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C:\Users\dh14\Downloads\"/>
    </mc:Choice>
  </mc:AlternateContent>
  <xr:revisionPtr revIDLastSave="0" documentId="8_{7CC5A8B8-A08B-4595-8548-3BCB6F94A3B6}" xr6:coauthVersionLast="47" xr6:coauthVersionMax="47" xr10:uidLastSave="{00000000-0000-0000-0000-000000000000}"/>
  <workbookProtection workbookAlgorithmName="SHA-512" workbookHashValue="WQMfQxbocnAGu08YllZRxsXjn3frPwfgCPYHeZ9np9v83xgcnO1g3So8YFRjDzeVWwYajyEK8eD8vB/XuhkcCQ==" workbookSaltValue="qzmHh5+gdeVbbM3OSAAwXQ==" workbookSpinCount="100000" lockStructure="1"/>
  <bookViews>
    <workbookView xWindow="0" yWindow="0" windowWidth="40890" windowHeight="19800" activeTab="4" xr2:uid="{00000000-000D-0000-FFFF-FFFF00000000}"/>
  </bookViews>
  <sheets>
    <sheet name="Disclaimer" sheetId="33" r:id="rId1"/>
    <sheet name="Water runs" sheetId="36" state="hidden" r:id="rId2"/>
    <sheet name="Option lists" sheetId="30" state="hidden" r:id="rId3"/>
    <sheet name="LR Comparison" sheetId="28" state="hidden" r:id="rId4"/>
    <sheet name="Model comparison" sheetId="29" r:id="rId5"/>
    <sheet name="MC engine" sheetId="34" state="hidden" r:id="rId6"/>
    <sheet name="Variables" sheetId="2" r:id="rId7"/>
    <sheet name="Guts (option 1)" sheetId="37" state="hidden" r:id="rId8"/>
    <sheet name="Guts (option 2)" sheetId="38" state="hidden" r:id="rId9"/>
    <sheet name="Guts (MC)" sheetId="39" state="hidden" r:id="rId10"/>
  </sheets>
  <definedNames>
    <definedName name="Scenarios" localSheetId="9">'Option lists'!$B$11:$B$23</definedName>
    <definedName name="Scenarios" localSheetId="7">'Option lists'!$B$11:$B$23</definedName>
    <definedName name="Scenarios" localSheetId="8">'Option lists'!$B$11:$B$23</definedName>
    <definedName name="Scenarios" localSheetId="1">'Option lists'!$B$11:$B$23</definedName>
    <definedName name="Scenarios">'Option lists'!$B$11:$B$23</definedName>
    <definedName name="solver_eng" localSheetId="6" hidden="1">1</definedName>
    <definedName name="solver_neg" localSheetId="6" hidden="1">1</definedName>
    <definedName name="solver_num" localSheetId="6" hidden="1">0</definedName>
    <definedName name="solver_opt" localSheetId="6" hidden="1">Variables!$B$9</definedName>
    <definedName name="solver_typ" localSheetId="6" hidden="1">1</definedName>
    <definedName name="solver_val" localSheetId="6" hidden="1">0</definedName>
    <definedName name="solver_ver" localSheetId="6"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8" i="2" l="1"/>
  <c r="E50" i="2"/>
  <c r="BQ5" i="36" l="1"/>
  <c r="BQ6" i="36"/>
  <c r="BQ7" i="36"/>
  <c r="BQ8" i="36"/>
  <c r="BQ9" i="36"/>
  <c r="BQ10" i="36"/>
  <c r="BQ11" i="36"/>
  <c r="BQ12" i="36"/>
  <c r="BQ13" i="36"/>
  <c r="BQ14" i="36"/>
  <c r="BQ15" i="36"/>
  <c r="BQ16" i="36"/>
  <c r="BQ17" i="36"/>
  <c r="BQ18" i="36"/>
  <c r="BQ19" i="36"/>
  <c r="BQ20" i="36"/>
  <c r="BQ21" i="36"/>
  <c r="BQ22" i="36"/>
  <c r="BQ23" i="36"/>
  <c r="BQ24" i="36"/>
  <c r="BQ25" i="36"/>
  <c r="BQ26" i="36"/>
  <c r="BQ27" i="36"/>
  <c r="BQ28" i="36"/>
  <c r="BQ29" i="36"/>
  <c r="BQ30" i="36"/>
  <c r="BQ31" i="36"/>
  <c r="BQ32" i="36"/>
  <c r="BQ33" i="36"/>
  <c r="BQ34" i="36"/>
  <c r="BQ35" i="36"/>
  <c r="BQ36" i="36"/>
  <c r="BQ37" i="36"/>
  <c r="BQ38" i="36"/>
  <c r="BQ39" i="36"/>
  <c r="BQ40" i="36"/>
  <c r="BQ41" i="36"/>
  <c r="BQ42" i="36"/>
  <c r="BQ43" i="36"/>
  <c r="BQ44" i="36"/>
  <c r="BQ45" i="36"/>
  <c r="BQ46" i="36"/>
  <c r="BQ47" i="36"/>
  <c r="BQ48" i="36"/>
  <c r="BQ49" i="36"/>
  <c r="BQ50" i="36"/>
  <c r="BQ51" i="36"/>
  <c r="BQ52" i="36"/>
  <c r="BQ53" i="36"/>
  <c r="BQ54" i="36"/>
  <c r="BQ55" i="36"/>
  <c r="BQ56" i="36"/>
  <c r="BQ57" i="36"/>
  <c r="BQ58" i="36"/>
  <c r="BQ59" i="36"/>
  <c r="BQ60" i="36"/>
  <c r="BQ61" i="36"/>
  <c r="BQ62" i="36"/>
  <c r="BQ63" i="36"/>
  <c r="BQ64" i="36"/>
  <c r="BQ65" i="36"/>
  <c r="BQ66" i="36"/>
  <c r="BQ67" i="36"/>
  <c r="BQ68" i="36"/>
  <c r="BQ69" i="36"/>
  <c r="BQ70" i="36"/>
  <c r="BQ71" i="36"/>
  <c r="BQ72" i="36"/>
  <c r="BQ73" i="36"/>
  <c r="BQ74" i="36"/>
  <c r="BQ75" i="36"/>
  <c r="BQ76" i="36"/>
  <c r="BQ77" i="36"/>
  <c r="BQ78" i="36"/>
  <c r="BQ79" i="36"/>
  <c r="BQ80" i="36"/>
  <c r="BQ81" i="36"/>
  <c r="BQ82" i="36"/>
  <c r="BQ83" i="36"/>
  <c r="BQ84" i="36"/>
  <c r="BQ85" i="36"/>
  <c r="BQ86" i="36"/>
  <c r="BQ87" i="36"/>
  <c r="BQ88" i="36"/>
  <c r="BQ89" i="36"/>
  <c r="BQ90" i="36"/>
  <c r="BQ91" i="36"/>
  <c r="BQ92" i="36"/>
  <c r="BQ93" i="36"/>
  <c r="BQ94" i="36"/>
  <c r="BQ95" i="36"/>
  <c r="BQ96" i="36"/>
  <c r="BQ97" i="36"/>
  <c r="BQ98" i="36"/>
  <c r="BQ99" i="36"/>
  <c r="BQ100" i="36"/>
  <c r="BQ101" i="36"/>
  <c r="BQ102" i="36"/>
  <c r="BQ103" i="36"/>
  <c r="BQ104" i="36"/>
  <c r="BQ105" i="36"/>
  <c r="BQ106" i="36"/>
  <c r="BQ107" i="36"/>
  <c r="BQ108" i="36"/>
  <c r="BQ109" i="36"/>
  <c r="BQ110" i="36"/>
  <c r="BQ111" i="36"/>
  <c r="BQ112" i="36"/>
  <c r="BQ113" i="36"/>
  <c r="BQ114" i="36"/>
  <c r="BQ115" i="36"/>
  <c r="BQ116" i="36"/>
  <c r="BQ117" i="36"/>
  <c r="BQ118" i="36"/>
  <c r="BQ119" i="36"/>
  <c r="BQ120" i="36"/>
  <c r="BQ121" i="36"/>
  <c r="BQ122" i="36"/>
  <c r="BQ123" i="36"/>
  <c r="BQ124" i="36"/>
  <c r="BQ125" i="36"/>
  <c r="BQ126" i="36"/>
  <c r="BQ127" i="36"/>
  <c r="BQ128" i="36"/>
  <c r="BQ129" i="36"/>
  <c r="BQ130" i="36"/>
  <c r="BQ131" i="36"/>
  <c r="BQ132" i="36"/>
  <c r="BQ133" i="36"/>
  <c r="BQ134" i="36"/>
  <c r="BQ135" i="36"/>
  <c r="BQ136" i="36"/>
  <c r="BQ137" i="36"/>
  <c r="BQ138" i="36"/>
  <c r="BQ139" i="36"/>
  <c r="BQ140" i="36"/>
  <c r="BQ141" i="36"/>
  <c r="BQ142" i="36"/>
  <c r="BQ143" i="36"/>
  <c r="BQ144" i="36"/>
  <c r="BQ145" i="36"/>
  <c r="BQ146" i="36"/>
  <c r="BQ147" i="36"/>
  <c r="BQ148" i="36"/>
  <c r="BQ149" i="36"/>
  <c r="BQ150" i="36"/>
  <c r="BQ151" i="36"/>
  <c r="BQ152" i="36"/>
  <c r="BQ153" i="36"/>
  <c r="BQ154" i="36"/>
  <c r="BQ155" i="36"/>
  <c r="BQ156" i="36"/>
  <c r="BQ157" i="36"/>
  <c r="BQ158" i="36"/>
  <c r="BQ159" i="36"/>
  <c r="BQ160" i="36"/>
  <c r="BQ161" i="36"/>
  <c r="BQ162" i="36"/>
  <c r="BQ163" i="36"/>
  <c r="BQ164" i="36"/>
  <c r="BQ165" i="36"/>
  <c r="BQ166" i="36"/>
  <c r="BQ167" i="36"/>
  <c r="BQ168" i="36"/>
  <c r="BQ169" i="36"/>
  <c r="BQ170" i="36"/>
  <c r="BQ171" i="36"/>
  <c r="BQ172" i="36"/>
  <c r="BQ173" i="36"/>
  <c r="BQ174" i="36"/>
  <c r="BQ175" i="36"/>
  <c r="BQ176" i="36"/>
  <c r="BQ177" i="36"/>
  <c r="BQ178" i="36"/>
  <c r="BQ179" i="36"/>
  <c r="BQ180" i="36"/>
  <c r="BQ181" i="36"/>
  <c r="BQ182" i="36"/>
  <c r="BQ183" i="36"/>
  <c r="BQ184" i="36"/>
  <c r="BQ185" i="36"/>
  <c r="BQ186" i="36"/>
  <c r="BQ187" i="36"/>
  <c r="BQ188" i="36"/>
  <c r="BQ189" i="36"/>
  <c r="BQ190" i="36"/>
  <c r="BQ191" i="36"/>
  <c r="BQ192" i="36"/>
  <c r="BQ193" i="36"/>
  <c r="BQ194" i="36"/>
  <c r="BQ195" i="36"/>
  <c r="BQ196" i="36"/>
  <c r="BQ197" i="36"/>
  <c r="BQ198" i="36"/>
  <c r="BQ199" i="36"/>
  <c r="BQ200" i="36"/>
  <c r="BQ201" i="36"/>
  <c r="BQ202" i="36"/>
  <c r="BQ203" i="36"/>
  <c r="BQ204" i="36"/>
  <c r="BQ205" i="36"/>
  <c r="BQ206" i="36"/>
  <c r="BQ207" i="36"/>
  <c r="BQ208" i="36"/>
  <c r="BQ209" i="36"/>
  <c r="BQ210" i="36"/>
  <c r="BQ211" i="36"/>
  <c r="BQ212" i="36"/>
  <c r="BQ213" i="36"/>
  <c r="BQ214" i="36"/>
  <c r="BQ215" i="36"/>
  <c r="BQ216" i="36"/>
  <c r="BQ217" i="36"/>
  <c r="BQ218" i="36"/>
  <c r="BQ219" i="36"/>
  <c r="BQ220" i="36"/>
  <c r="BQ221" i="36"/>
  <c r="BQ222" i="36"/>
  <c r="BQ223" i="36"/>
  <c r="BQ224" i="36"/>
  <c r="BQ225" i="36"/>
  <c r="BQ226" i="36"/>
  <c r="BQ227" i="36"/>
  <c r="BQ228" i="36"/>
  <c r="BQ229" i="36"/>
  <c r="BQ230" i="36"/>
  <c r="BQ231" i="36"/>
  <c r="BQ232" i="36"/>
  <c r="BQ233" i="36"/>
  <c r="BQ234" i="36"/>
  <c r="BQ235" i="36"/>
  <c r="BQ236" i="36"/>
  <c r="BQ237" i="36"/>
  <c r="BQ238" i="36"/>
  <c r="BQ239" i="36"/>
  <c r="BQ240" i="36"/>
  <c r="BQ241" i="36"/>
  <c r="BQ242" i="36"/>
  <c r="BQ243" i="36"/>
  <c r="BQ244" i="36"/>
  <c r="BQ245" i="36"/>
  <c r="BQ246" i="36"/>
  <c r="BQ247" i="36"/>
  <c r="BQ248" i="36"/>
  <c r="BQ249" i="36"/>
  <c r="BQ250" i="36"/>
  <c r="BQ251" i="36"/>
  <c r="BQ252" i="36"/>
  <c r="BQ253" i="36"/>
  <c r="BQ254" i="36"/>
  <c r="BQ255" i="36"/>
  <c r="BQ256" i="36"/>
  <c r="BQ257" i="36"/>
  <c r="BQ258" i="36"/>
  <c r="BQ259" i="36"/>
  <c r="BQ260" i="36"/>
  <c r="BQ261" i="36"/>
  <c r="BQ262" i="36"/>
  <c r="BQ263" i="36"/>
  <c r="BQ264" i="36"/>
  <c r="BQ265" i="36"/>
  <c r="BQ266" i="36"/>
  <c r="BQ267" i="36"/>
  <c r="BQ268" i="36"/>
  <c r="BQ269" i="36"/>
  <c r="BQ270" i="36"/>
  <c r="BQ271" i="36"/>
  <c r="BQ272" i="36"/>
  <c r="BQ273" i="36"/>
  <c r="BQ274" i="36"/>
  <c r="BQ275" i="36"/>
  <c r="BQ276" i="36"/>
  <c r="BQ277" i="36"/>
  <c r="BQ278" i="36"/>
  <c r="BQ279" i="36"/>
  <c r="BQ280" i="36"/>
  <c r="BQ281" i="36"/>
  <c r="BQ282" i="36"/>
  <c r="BQ283" i="36"/>
  <c r="BQ284" i="36"/>
  <c r="BQ285" i="36"/>
  <c r="BQ286" i="36"/>
  <c r="BQ287" i="36"/>
  <c r="BQ288" i="36"/>
  <c r="BQ289" i="36"/>
  <c r="BQ290" i="36"/>
  <c r="BQ291" i="36"/>
  <c r="BQ292" i="36"/>
  <c r="BQ293" i="36"/>
  <c r="BQ294" i="36"/>
  <c r="BQ295" i="36"/>
  <c r="BQ296" i="36"/>
  <c r="BQ297" i="36"/>
  <c r="BQ298" i="36"/>
  <c r="BQ299" i="36"/>
  <c r="BQ300" i="36"/>
  <c r="BQ301" i="36"/>
  <c r="BQ302" i="36"/>
  <c r="BQ303" i="36"/>
  <c r="BQ304" i="36"/>
  <c r="BQ305" i="36"/>
  <c r="BQ306" i="36"/>
  <c r="BQ307" i="36"/>
  <c r="BQ308" i="36"/>
  <c r="BQ309" i="36"/>
  <c r="BQ310" i="36"/>
  <c r="BQ311" i="36"/>
  <c r="BQ312" i="36"/>
  <c r="BQ313" i="36"/>
  <c r="BQ314" i="36"/>
  <c r="BQ315" i="36"/>
  <c r="BQ316" i="36"/>
  <c r="BQ317" i="36"/>
  <c r="BQ318" i="36"/>
  <c r="BQ319" i="36"/>
  <c r="BQ320" i="36"/>
  <c r="BQ321" i="36"/>
  <c r="BQ322" i="36"/>
  <c r="BQ323" i="36"/>
  <c r="BQ324" i="36"/>
  <c r="BQ325" i="36"/>
  <c r="BQ326" i="36"/>
  <c r="BQ327" i="36"/>
  <c r="BQ328" i="36"/>
  <c r="BQ329" i="36"/>
  <c r="BQ330" i="36"/>
  <c r="BQ331" i="36"/>
  <c r="BQ332" i="36"/>
  <c r="BQ333" i="36"/>
  <c r="BQ334" i="36"/>
  <c r="BQ335" i="36"/>
  <c r="BQ336" i="36"/>
  <c r="BQ337" i="36"/>
  <c r="BQ338" i="36"/>
  <c r="BQ339" i="36"/>
  <c r="BQ340" i="36"/>
  <c r="BQ341" i="36"/>
  <c r="BQ342" i="36"/>
  <c r="BQ343" i="36"/>
  <c r="BQ344" i="36"/>
  <c r="BQ345" i="36"/>
  <c r="BQ346" i="36"/>
  <c r="BQ347" i="36"/>
  <c r="BQ348" i="36"/>
  <c r="BQ349" i="36"/>
  <c r="BQ350" i="36"/>
  <c r="BQ351" i="36"/>
  <c r="BQ352" i="36"/>
  <c r="BQ353" i="36"/>
  <c r="BQ354" i="36"/>
  <c r="BQ355" i="36"/>
  <c r="BQ356" i="36"/>
  <c r="BQ357" i="36"/>
  <c r="BQ358" i="36"/>
  <c r="BQ359" i="36"/>
  <c r="BQ360" i="36"/>
  <c r="BQ361" i="36"/>
  <c r="BQ362" i="36"/>
  <c r="BQ363" i="36"/>
  <c r="BQ364" i="36"/>
  <c r="BQ365" i="36"/>
  <c r="BQ366" i="36"/>
  <c r="BQ367" i="36"/>
  <c r="BQ368" i="36"/>
  <c r="BQ369" i="36"/>
  <c r="BQ370" i="36"/>
  <c r="BQ371" i="36"/>
  <c r="BQ372" i="36"/>
  <c r="BQ373" i="36"/>
  <c r="BQ374" i="36"/>
  <c r="BQ375" i="36"/>
  <c r="BQ376" i="36"/>
  <c r="BQ377" i="36"/>
  <c r="BQ378" i="36"/>
  <c r="BQ379" i="36"/>
  <c r="BQ380" i="36"/>
  <c r="BQ381" i="36"/>
  <c r="BQ382" i="36"/>
  <c r="BQ383" i="36"/>
  <c r="BQ384" i="36"/>
  <c r="BQ385" i="36"/>
  <c r="BQ386" i="36"/>
  <c r="BQ387" i="36"/>
  <c r="BQ388" i="36"/>
  <c r="BQ389" i="36"/>
  <c r="BQ390" i="36"/>
  <c r="BQ391" i="36"/>
  <c r="BQ392" i="36"/>
  <c r="BQ393" i="36"/>
  <c r="BQ394" i="36"/>
  <c r="BQ395" i="36"/>
  <c r="BQ396" i="36"/>
  <c r="BQ397" i="36"/>
  <c r="BQ398" i="36"/>
  <c r="BQ399" i="36"/>
  <c r="BQ400" i="36"/>
  <c r="BQ401" i="36"/>
  <c r="BQ402" i="36"/>
  <c r="BQ403" i="36"/>
  <c r="BQ404" i="36"/>
  <c r="BQ405" i="36"/>
  <c r="BQ406" i="36"/>
  <c r="BQ407" i="36"/>
  <c r="BQ408" i="36"/>
  <c r="BQ409" i="36"/>
  <c r="BQ410" i="36"/>
  <c r="BQ411" i="36"/>
  <c r="BQ412" i="36"/>
  <c r="BQ413" i="36"/>
  <c r="BQ414" i="36"/>
  <c r="BQ415" i="36"/>
  <c r="BQ416" i="36"/>
  <c r="BQ417" i="36"/>
  <c r="BQ418" i="36"/>
  <c r="BQ419" i="36"/>
  <c r="BQ420" i="36"/>
  <c r="BQ421" i="36"/>
  <c r="BQ422" i="36"/>
  <c r="BQ423" i="36"/>
  <c r="BQ424" i="36"/>
  <c r="BQ4" i="36"/>
  <c r="BL5" i="36"/>
  <c r="BL6" i="36"/>
  <c r="BL7" i="36"/>
  <c r="BL8" i="36"/>
  <c r="BL9" i="36"/>
  <c r="BL10" i="36"/>
  <c r="BL11" i="36"/>
  <c r="BL12" i="36"/>
  <c r="BL13" i="36"/>
  <c r="BL14" i="36"/>
  <c r="BL15" i="36"/>
  <c r="BL16" i="36"/>
  <c r="BL17" i="36"/>
  <c r="BL18" i="36"/>
  <c r="BL19" i="36"/>
  <c r="BL20" i="36"/>
  <c r="BL21" i="36"/>
  <c r="BL22" i="36"/>
  <c r="BL23" i="36"/>
  <c r="BL24" i="36"/>
  <c r="BL25" i="36"/>
  <c r="BL26" i="36"/>
  <c r="BL27" i="36"/>
  <c r="BL28" i="36"/>
  <c r="BL29" i="36"/>
  <c r="BL30" i="36"/>
  <c r="BL31" i="36"/>
  <c r="BL32" i="36"/>
  <c r="BL33" i="36"/>
  <c r="BL34" i="36"/>
  <c r="BL35" i="36"/>
  <c r="BL36" i="36"/>
  <c r="BL37" i="36"/>
  <c r="BL38" i="36"/>
  <c r="BL39" i="36"/>
  <c r="BL40" i="36"/>
  <c r="BL41" i="36"/>
  <c r="BL42" i="36"/>
  <c r="BL43" i="36"/>
  <c r="BL44" i="36"/>
  <c r="BL45" i="36"/>
  <c r="BL46" i="36"/>
  <c r="BL47" i="36"/>
  <c r="BL48" i="36"/>
  <c r="BL49" i="36"/>
  <c r="BL50" i="36"/>
  <c r="BL51" i="36"/>
  <c r="BL52" i="36"/>
  <c r="BL53" i="36"/>
  <c r="BL54" i="36"/>
  <c r="BL55" i="36"/>
  <c r="BL56" i="36"/>
  <c r="BL57" i="36"/>
  <c r="BL58" i="36"/>
  <c r="BL59" i="36"/>
  <c r="BL60" i="36"/>
  <c r="BL61" i="36"/>
  <c r="BL62" i="36"/>
  <c r="BL63" i="36"/>
  <c r="BL64" i="36"/>
  <c r="BL65" i="36"/>
  <c r="BL66" i="36"/>
  <c r="BL67" i="36"/>
  <c r="BL68" i="36"/>
  <c r="BL69" i="36"/>
  <c r="BL70" i="36"/>
  <c r="BL71" i="36"/>
  <c r="BL72" i="36"/>
  <c r="BL73" i="36"/>
  <c r="BL74" i="36"/>
  <c r="BL75" i="36"/>
  <c r="BL76" i="36"/>
  <c r="BL77" i="36"/>
  <c r="BL78" i="36"/>
  <c r="BL79" i="36"/>
  <c r="BL80" i="36"/>
  <c r="BL81" i="36"/>
  <c r="BL82" i="36"/>
  <c r="BL83" i="36"/>
  <c r="BL84" i="36"/>
  <c r="BL85" i="36"/>
  <c r="BL86" i="36"/>
  <c r="BL87" i="36"/>
  <c r="BL88" i="36"/>
  <c r="BL89" i="36"/>
  <c r="BL90" i="36"/>
  <c r="BL91" i="36"/>
  <c r="BL92" i="36"/>
  <c r="BL93" i="36"/>
  <c r="BL94" i="36"/>
  <c r="BL95" i="36"/>
  <c r="BL96" i="36"/>
  <c r="BL97" i="36"/>
  <c r="BL98" i="36"/>
  <c r="BL99" i="36"/>
  <c r="BL100" i="36"/>
  <c r="BL101" i="36"/>
  <c r="BL102" i="36"/>
  <c r="BL103" i="36"/>
  <c r="BL104" i="36"/>
  <c r="BL105" i="36"/>
  <c r="BL106" i="36"/>
  <c r="BL107" i="36"/>
  <c r="BL108" i="36"/>
  <c r="BL109" i="36"/>
  <c r="BL110" i="36"/>
  <c r="BL111" i="36"/>
  <c r="BL112" i="36"/>
  <c r="BL113" i="36"/>
  <c r="BL114" i="36"/>
  <c r="BL115" i="36"/>
  <c r="BL116" i="36"/>
  <c r="BL117" i="36"/>
  <c r="BL118" i="36"/>
  <c r="BL119" i="36"/>
  <c r="BL120" i="36"/>
  <c r="BL121" i="36"/>
  <c r="BL122" i="36"/>
  <c r="BL123" i="36"/>
  <c r="BL124" i="36"/>
  <c r="BL125" i="36"/>
  <c r="BL126" i="36"/>
  <c r="BL127" i="36"/>
  <c r="BL128" i="36"/>
  <c r="BL129" i="36"/>
  <c r="BL130" i="36"/>
  <c r="BL131" i="36"/>
  <c r="BL132" i="36"/>
  <c r="BL133" i="36"/>
  <c r="BL134" i="36"/>
  <c r="BL135" i="36"/>
  <c r="BL136" i="36"/>
  <c r="BL137" i="36"/>
  <c r="BL138" i="36"/>
  <c r="BL139" i="36"/>
  <c r="BL140" i="36"/>
  <c r="BL141" i="36"/>
  <c r="BL142" i="36"/>
  <c r="BL143" i="36"/>
  <c r="BL144" i="36"/>
  <c r="BL145" i="36"/>
  <c r="BL146" i="36"/>
  <c r="BL147" i="36"/>
  <c r="BL148" i="36"/>
  <c r="BL149" i="36"/>
  <c r="BL150" i="36"/>
  <c r="BL151" i="36"/>
  <c r="BL152" i="36"/>
  <c r="BL153" i="36"/>
  <c r="BL154" i="36"/>
  <c r="BL155" i="36"/>
  <c r="BL156" i="36"/>
  <c r="BL157" i="36"/>
  <c r="BL158" i="36"/>
  <c r="BL159" i="36"/>
  <c r="BL160" i="36"/>
  <c r="BL161" i="36"/>
  <c r="BL162" i="36"/>
  <c r="BL163" i="36"/>
  <c r="BL164" i="36"/>
  <c r="BL165" i="36"/>
  <c r="BL166" i="36"/>
  <c r="BL167" i="36"/>
  <c r="BL168" i="36"/>
  <c r="BL169" i="36"/>
  <c r="BL170" i="36"/>
  <c r="BL171" i="36"/>
  <c r="BL172" i="36"/>
  <c r="BL173" i="36"/>
  <c r="BL174" i="36"/>
  <c r="BL175" i="36"/>
  <c r="BL176" i="36"/>
  <c r="BL177" i="36"/>
  <c r="BL178" i="36"/>
  <c r="BL179" i="36"/>
  <c r="BL180" i="36"/>
  <c r="BL181" i="36"/>
  <c r="BL182" i="36"/>
  <c r="BL183" i="36"/>
  <c r="BL184" i="36"/>
  <c r="BL185" i="36"/>
  <c r="BL186" i="36"/>
  <c r="BL187" i="36"/>
  <c r="BL188" i="36"/>
  <c r="BL189" i="36"/>
  <c r="BL190" i="36"/>
  <c r="BL191" i="36"/>
  <c r="BL192" i="36"/>
  <c r="BL193" i="36"/>
  <c r="BL194" i="36"/>
  <c r="BL195" i="36"/>
  <c r="BL196" i="36"/>
  <c r="BL197" i="36"/>
  <c r="BL198" i="36"/>
  <c r="BL199" i="36"/>
  <c r="BL200" i="36"/>
  <c r="BL201" i="36"/>
  <c r="BL202" i="36"/>
  <c r="BL203" i="36"/>
  <c r="BL204" i="36"/>
  <c r="BL205" i="36"/>
  <c r="BL206" i="36"/>
  <c r="BL207" i="36"/>
  <c r="BL208" i="36"/>
  <c r="BL209" i="36"/>
  <c r="BL210" i="36"/>
  <c r="BL211" i="36"/>
  <c r="BL212" i="36"/>
  <c r="BL213" i="36"/>
  <c r="BL214" i="36"/>
  <c r="BL215" i="36"/>
  <c r="BL216" i="36"/>
  <c r="BL217" i="36"/>
  <c r="BL218" i="36"/>
  <c r="BL219" i="36"/>
  <c r="BL220" i="36"/>
  <c r="BL221" i="36"/>
  <c r="BL222" i="36"/>
  <c r="BL223" i="36"/>
  <c r="BL224" i="36"/>
  <c r="BL225" i="36"/>
  <c r="BL226" i="36"/>
  <c r="BL227" i="36"/>
  <c r="BL228" i="36"/>
  <c r="BL229" i="36"/>
  <c r="BL230" i="36"/>
  <c r="BL231" i="36"/>
  <c r="BL232" i="36"/>
  <c r="BL233" i="36"/>
  <c r="BL234" i="36"/>
  <c r="BL235" i="36"/>
  <c r="BL236" i="36"/>
  <c r="BL237" i="36"/>
  <c r="BL238" i="36"/>
  <c r="BL239" i="36"/>
  <c r="BL240" i="36"/>
  <c r="BL241" i="36"/>
  <c r="BL242" i="36"/>
  <c r="BL243" i="36"/>
  <c r="BL244" i="36"/>
  <c r="BL245" i="36"/>
  <c r="BL246" i="36"/>
  <c r="BL247" i="36"/>
  <c r="BL248" i="36"/>
  <c r="BL249" i="36"/>
  <c r="BL250" i="36"/>
  <c r="BL251" i="36"/>
  <c r="BL252" i="36"/>
  <c r="BL253" i="36"/>
  <c r="BL254" i="36"/>
  <c r="BL255" i="36"/>
  <c r="BL256" i="36"/>
  <c r="BL257" i="36"/>
  <c r="BL258" i="36"/>
  <c r="BL259" i="36"/>
  <c r="BL260" i="36"/>
  <c r="BL261" i="36"/>
  <c r="BL262" i="36"/>
  <c r="BL263" i="36"/>
  <c r="BL264" i="36"/>
  <c r="BL265" i="36"/>
  <c r="BL266" i="36"/>
  <c r="BL267" i="36"/>
  <c r="BL268" i="36"/>
  <c r="BL269" i="36"/>
  <c r="BL270" i="36"/>
  <c r="BL271" i="36"/>
  <c r="BL272" i="36"/>
  <c r="BL273" i="36"/>
  <c r="BL274" i="36"/>
  <c r="BL275" i="36"/>
  <c r="BL276" i="36"/>
  <c r="BL277" i="36"/>
  <c r="BL278" i="36"/>
  <c r="BL279" i="36"/>
  <c r="BL280" i="36"/>
  <c r="BL281" i="36"/>
  <c r="BL282" i="36"/>
  <c r="BL283" i="36"/>
  <c r="BL284" i="36"/>
  <c r="BL285" i="36"/>
  <c r="BL286" i="36"/>
  <c r="BL287" i="36"/>
  <c r="BL288" i="36"/>
  <c r="BL289" i="36"/>
  <c r="BL290" i="36"/>
  <c r="BL291" i="36"/>
  <c r="BL292" i="36"/>
  <c r="BL293" i="36"/>
  <c r="BL294" i="36"/>
  <c r="BL295" i="36"/>
  <c r="BL296" i="36"/>
  <c r="BL297" i="36"/>
  <c r="BL298" i="36"/>
  <c r="BL299" i="36"/>
  <c r="BL300" i="36"/>
  <c r="BL301" i="36"/>
  <c r="BL302" i="36"/>
  <c r="BL303" i="36"/>
  <c r="BL304" i="36"/>
  <c r="BL305" i="36"/>
  <c r="BL306" i="36"/>
  <c r="BL307" i="36"/>
  <c r="BL308" i="36"/>
  <c r="BL309" i="36"/>
  <c r="BL310" i="36"/>
  <c r="BL311" i="36"/>
  <c r="BL312" i="36"/>
  <c r="BL313" i="36"/>
  <c r="BL314" i="36"/>
  <c r="BL315" i="36"/>
  <c r="BL316" i="36"/>
  <c r="BL317" i="36"/>
  <c r="BL318" i="36"/>
  <c r="BL319" i="36"/>
  <c r="BL320" i="36"/>
  <c r="BL321" i="36"/>
  <c r="BL322" i="36"/>
  <c r="BL323" i="36"/>
  <c r="BL324" i="36"/>
  <c r="BL325" i="36"/>
  <c r="BL326" i="36"/>
  <c r="BL327" i="36"/>
  <c r="BL328" i="36"/>
  <c r="BL329" i="36"/>
  <c r="BL330" i="36"/>
  <c r="BL331" i="36"/>
  <c r="BL332" i="36"/>
  <c r="BL333" i="36"/>
  <c r="BL334" i="36"/>
  <c r="BL335" i="36"/>
  <c r="BL336" i="36"/>
  <c r="BL337" i="36"/>
  <c r="BL338" i="36"/>
  <c r="BL339" i="36"/>
  <c r="BL340" i="36"/>
  <c r="BL341" i="36"/>
  <c r="BL342" i="36"/>
  <c r="BL343" i="36"/>
  <c r="BL344" i="36"/>
  <c r="BL345" i="36"/>
  <c r="BL346" i="36"/>
  <c r="BL347" i="36"/>
  <c r="BL348" i="36"/>
  <c r="BL349" i="36"/>
  <c r="BL350" i="36"/>
  <c r="BL351" i="36"/>
  <c r="BL352" i="36"/>
  <c r="BL353" i="36"/>
  <c r="BL354" i="36"/>
  <c r="BL355" i="36"/>
  <c r="BL356" i="36"/>
  <c r="BL357" i="36"/>
  <c r="BL358" i="36"/>
  <c r="BL359" i="36"/>
  <c r="BL360" i="36"/>
  <c r="BL361" i="36"/>
  <c r="BL362" i="36"/>
  <c r="BL363" i="36"/>
  <c r="BL364" i="36"/>
  <c r="BL365" i="36"/>
  <c r="BL366" i="36"/>
  <c r="BL367" i="36"/>
  <c r="BL368" i="36"/>
  <c r="BL369" i="36"/>
  <c r="BL370" i="36"/>
  <c r="BL371" i="36"/>
  <c r="BL372" i="36"/>
  <c r="BL373" i="36"/>
  <c r="BL374" i="36"/>
  <c r="BL375" i="36"/>
  <c r="BL376" i="36"/>
  <c r="BL377" i="36"/>
  <c r="BL378" i="36"/>
  <c r="BL379" i="36"/>
  <c r="BL380" i="36"/>
  <c r="BL381" i="36"/>
  <c r="BL382" i="36"/>
  <c r="BL383" i="36"/>
  <c r="BL384" i="36"/>
  <c r="BL385" i="36"/>
  <c r="BL386" i="36"/>
  <c r="BL387" i="36"/>
  <c r="BL388" i="36"/>
  <c r="BL389" i="36"/>
  <c r="BL390" i="36"/>
  <c r="BL391" i="36"/>
  <c r="BL392" i="36"/>
  <c r="BL393" i="36"/>
  <c r="BL394" i="36"/>
  <c r="BL395" i="36"/>
  <c r="BL396" i="36"/>
  <c r="BL397" i="36"/>
  <c r="BL398" i="36"/>
  <c r="BL399" i="36"/>
  <c r="BL400" i="36"/>
  <c r="BL401" i="36"/>
  <c r="BL402" i="36"/>
  <c r="BL403" i="36"/>
  <c r="BL404" i="36"/>
  <c r="BL405" i="36"/>
  <c r="BL406" i="36"/>
  <c r="BL407" i="36"/>
  <c r="BL408" i="36"/>
  <c r="BL409" i="36"/>
  <c r="BL410" i="36"/>
  <c r="BL411" i="36"/>
  <c r="BL412" i="36"/>
  <c r="BL413" i="36"/>
  <c r="BL414" i="36"/>
  <c r="BL415" i="36"/>
  <c r="BL416" i="36"/>
  <c r="BL417" i="36"/>
  <c r="BL418" i="36"/>
  <c r="BL419" i="36"/>
  <c r="BL420" i="36"/>
  <c r="BL421" i="36"/>
  <c r="BL422" i="36"/>
  <c r="BL423" i="36"/>
  <c r="BL424" i="36"/>
  <c r="BL4" i="36"/>
  <c r="BB5" i="36"/>
  <c r="BB6" i="36"/>
  <c r="BB7" i="36"/>
  <c r="BB8" i="36"/>
  <c r="BB9"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BB35" i="36"/>
  <c r="BB36" i="36"/>
  <c r="BB37" i="36"/>
  <c r="BB38" i="36"/>
  <c r="BB39" i="36"/>
  <c r="BB40" i="36"/>
  <c r="BB41" i="36"/>
  <c r="BB42" i="36"/>
  <c r="BB43" i="36"/>
  <c r="BB44" i="36"/>
  <c r="BB45" i="36"/>
  <c r="BB46" i="36"/>
  <c r="BB47" i="36"/>
  <c r="BB48" i="36"/>
  <c r="BB49" i="36"/>
  <c r="BB50" i="36"/>
  <c r="BB51" i="36"/>
  <c r="BB52" i="36"/>
  <c r="BB53" i="36"/>
  <c r="BB54" i="36"/>
  <c r="BB55" i="36"/>
  <c r="BB56" i="36"/>
  <c r="BB57" i="36"/>
  <c r="BB58" i="36"/>
  <c r="BB59" i="36"/>
  <c r="BB60" i="36"/>
  <c r="BB61" i="36"/>
  <c r="BB62" i="36"/>
  <c r="BB63" i="36"/>
  <c r="BB64" i="36"/>
  <c r="BB65" i="36"/>
  <c r="BB66" i="36"/>
  <c r="BB67" i="36"/>
  <c r="BB68" i="36"/>
  <c r="BB69" i="36"/>
  <c r="BB70" i="36"/>
  <c r="BB71" i="36"/>
  <c r="BB72" i="36"/>
  <c r="BB73" i="36"/>
  <c r="BB74" i="36"/>
  <c r="BB75" i="36"/>
  <c r="BB76" i="36"/>
  <c r="BB77" i="36"/>
  <c r="BB78" i="36"/>
  <c r="BB79" i="36"/>
  <c r="BB80" i="36"/>
  <c r="BB81" i="36"/>
  <c r="BB82" i="36"/>
  <c r="BB83" i="36"/>
  <c r="BB84" i="36"/>
  <c r="BB85" i="36"/>
  <c r="BB86" i="36"/>
  <c r="BB87" i="36"/>
  <c r="BB88" i="36"/>
  <c r="BB89" i="36"/>
  <c r="BB90" i="36"/>
  <c r="BB91" i="36"/>
  <c r="BB92" i="36"/>
  <c r="BB93" i="36"/>
  <c r="BB94" i="36"/>
  <c r="BB95" i="36"/>
  <c r="BB96" i="36"/>
  <c r="BB97" i="36"/>
  <c r="BB98" i="36"/>
  <c r="BB99" i="36"/>
  <c r="BB100" i="36"/>
  <c r="BB101" i="36"/>
  <c r="BB102" i="36"/>
  <c r="BB103" i="36"/>
  <c r="BB104" i="36"/>
  <c r="BB105" i="36"/>
  <c r="BB106" i="36"/>
  <c r="BB107" i="36"/>
  <c r="BB108" i="36"/>
  <c r="BB109" i="36"/>
  <c r="BB110" i="36"/>
  <c r="BB111" i="36"/>
  <c r="BB112" i="36"/>
  <c r="BB113" i="36"/>
  <c r="BB114" i="36"/>
  <c r="BB115" i="36"/>
  <c r="BB116" i="36"/>
  <c r="BB117" i="36"/>
  <c r="BB118" i="36"/>
  <c r="BB119" i="36"/>
  <c r="BB120" i="36"/>
  <c r="BB121" i="36"/>
  <c r="BB122" i="36"/>
  <c r="BB123" i="36"/>
  <c r="BB124" i="36"/>
  <c r="BB125" i="36"/>
  <c r="BB126" i="36"/>
  <c r="BB127" i="36"/>
  <c r="BB128" i="36"/>
  <c r="BB129" i="36"/>
  <c r="BB130" i="36"/>
  <c r="BB131" i="36"/>
  <c r="BB132" i="36"/>
  <c r="BB133" i="36"/>
  <c r="BB134" i="36"/>
  <c r="BB135" i="36"/>
  <c r="BB136" i="36"/>
  <c r="BB137" i="36"/>
  <c r="BB138" i="36"/>
  <c r="BB139" i="36"/>
  <c r="BB140" i="36"/>
  <c r="BB141" i="36"/>
  <c r="BB142" i="36"/>
  <c r="BB143" i="36"/>
  <c r="BB144" i="36"/>
  <c r="BB145" i="36"/>
  <c r="BB146" i="36"/>
  <c r="BB147" i="36"/>
  <c r="BB148" i="36"/>
  <c r="BB149" i="36"/>
  <c r="BB150" i="36"/>
  <c r="BB151" i="36"/>
  <c r="BB152" i="36"/>
  <c r="BB153" i="36"/>
  <c r="BB154" i="36"/>
  <c r="BB155" i="36"/>
  <c r="BB156" i="36"/>
  <c r="BB157" i="36"/>
  <c r="BB158" i="36"/>
  <c r="BB159" i="36"/>
  <c r="BB160" i="36"/>
  <c r="BB161" i="36"/>
  <c r="BB162" i="36"/>
  <c r="BB163" i="36"/>
  <c r="BB164" i="36"/>
  <c r="BB165" i="36"/>
  <c r="BB166" i="36"/>
  <c r="BB167" i="36"/>
  <c r="BB168" i="36"/>
  <c r="BB169" i="36"/>
  <c r="BB170" i="36"/>
  <c r="BB171" i="36"/>
  <c r="BB172" i="36"/>
  <c r="BB173" i="36"/>
  <c r="BB174" i="36"/>
  <c r="BB175" i="36"/>
  <c r="BB176" i="36"/>
  <c r="BB177" i="36"/>
  <c r="BB178" i="36"/>
  <c r="BB179" i="36"/>
  <c r="BB180" i="36"/>
  <c r="BB181" i="36"/>
  <c r="BB182" i="36"/>
  <c r="BB183" i="36"/>
  <c r="BB184" i="36"/>
  <c r="BB185" i="36"/>
  <c r="BB186" i="36"/>
  <c r="BB187" i="36"/>
  <c r="BB188" i="36"/>
  <c r="BB189" i="36"/>
  <c r="BB190" i="36"/>
  <c r="BB191" i="36"/>
  <c r="BB192" i="36"/>
  <c r="BB193" i="36"/>
  <c r="BB194" i="36"/>
  <c r="BB195" i="36"/>
  <c r="BB196" i="36"/>
  <c r="BB197" i="36"/>
  <c r="BB198" i="36"/>
  <c r="BB199" i="36"/>
  <c r="BB200" i="36"/>
  <c r="BB201" i="36"/>
  <c r="BB202" i="36"/>
  <c r="BB203" i="36"/>
  <c r="BB204" i="36"/>
  <c r="BB205" i="36"/>
  <c r="BB206" i="36"/>
  <c r="BB207" i="36"/>
  <c r="BB208" i="36"/>
  <c r="BB209" i="36"/>
  <c r="BB210" i="36"/>
  <c r="BB211" i="36"/>
  <c r="BB212" i="36"/>
  <c r="BB213" i="36"/>
  <c r="BB214" i="36"/>
  <c r="BB215" i="36"/>
  <c r="BB216" i="36"/>
  <c r="BB217" i="36"/>
  <c r="BB218" i="36"/>
  <c r="BB219" i="36"/>
  <c r="BB220" i="36"/>
  <c r="BB221" i="36"/>
  <c r="BB222" i="36"/>
  <c r="BB223" i="36"/>
  <c r="BB224" i="36"/>
  <c r="BB225" i="36"/>
  <c r="BB226" i="36"/>
  <c r="BB227" i="36"/>
  <c r="BB228" i="36"/>
  <c r="BB229" i="36"/>
  <c r="BB230" i="36"/>
  <c r="BB231" i="36"/>
  <c r="BB232" i="36"/>
  <c r="BB233" i="36"/>
  <c r="BB234" i="36"/>
  <c r="BB235" i="36"/>
  <c r="BB236" i="36"/>
  <c r="BB237" i="36"/>
  <c r="BB238" i="36"/>
  <c r="BB239" i="36"/>
  <c r="BB240" i="36"/>
  <c r="BB241" i="36"/>
  <c r="BB242" i="36"/>
  <c r="BB243" i="36"/>
  <c r="BB244" i="36"/>
  <c r="BB245" i="36"/>
  <c r="BB246" i="36"/>
  <c r="BB247" i="36"/>
  <c r="BB248" i="36"/>
  <c r="BB249" i="36"/>
  <c r="BB250" i="36"/>
  <c r="BB251" i="36"/>
  <c r="BB252" i="36"/>
  <c r="BB253" i="36"/>
  <c r="BB254" i="36"/>
  <c r="BB255" i="36"/>
  <c r="BB256" i="36"/>
  <c r="BB257" i="36"/>
  <c r="BB258" i="36"/>
  <c r="BB259" i="36"/>
  <c r="BB260" i="36"/>
  <c r="BB261" i="36"/>
  <c r="BB262" i="36"/>
  <c r="BB263" i="36"/>
  <c r="BB264" i="36"/>
  <c r="BB265" i="36"/>
  <c r="BB266" i="36"/>
  <c r="BB267" i="36"/>
  <c r="BB268" i="36"/>
  <c r="BB269" i="36"/>
  <c r="BB270" i="36"/>
  <c r="BB271" i="36"/>
  <c r="BB272" i="36"/>
  <c r="BB273" i="36"/>
  <c r="BB274" i="36"/>
  <c r="BB275" i="36"/>
  <c r="BB276" i="36"/>
  <c r="BB277" i="36"/>
  <c r="BB278" i="36"/>
  <c r="BB279" i="36"/>
  <c r="BB280" i="36"/>
  <c r="BB281" i="36"/>
  <c r="BB282" i="36"/>
  <c r="BB283" i="36"/>
  <c r="BB284" i="36"/>
  <c r="BB285" i="36"/>
  <c r="BB286" i="36"/>
  <c r="BB287" i="36"/>
  <c r="BB288" i="36"/>
  <c r="BB289" i="36"/>
  <c r="BB290" i="36"/>
  <c r="BB291" i="36"/>
  <c r="BB292" i="36"/>
  <c r="BB293" i="36"/>
  <c r="BB294" i="36"/>
  <c r="BB295" i="36"/>
  <c r="BB296" i="36"/>
  <c r="BB297" i="36"/>
  <c r="BB298" i="36"/>
  <c r="BB299" i="36"/>
  <c r="BB300" i="36"/>
  <c r="BB301" i="36"/>
  <c r="BB302" i="36"/>
  <c r="BB303" i="36"/>
  <c r="BB304" i="36"/>
  <c r="BB305" i="36"/>
  <c r="BB306" i="36"/>
  <c r="BB307" i="36"/>
  <c r="BB308" i="36"/>
  <c r="BB309" i="36"/>
  <c r="BB310" i="36"/>
  <c r="BB311" i="36"/>
  <c r="BB312" i="36"/>
  <c r="BB313" i="36"/>
  <c r="BB314" i="36"/>
  <c r="BB315" i="36"/>
  <c r="BB316" i="36"/>
  <c r="BB317" i="36"/>
  <c r="BB318" i="36"/>
  <c r="BB319" i="36"/>
  <c r="BB320" i="36"/>
  <c r="BB321" i="36"/>
  <c r="BB322" i="36"/>
  <c r="BB323" i="36"/>
  <c r="BB324" i="36"/>
  <c r="BB325" i="36"/>
  <c r="BB326" i="36"/>
  <c r="BB327" i="36"/>
  <c r="BB328" i="36"/>
  <c r="BB329" i="36"/>
  <c r="BB330" i="36"/>
  <c r="BB331" i="36"/>
  <c r="BB332" i="36"/>
  <c r="BB333" i="36"/>
  <c r="BB334" i="36"/>
  <c r="BB335" i="36"/>
  <c r="BB336" i="36"/>
  <c r="BB337" i="36"/>
  <c r="BB338" i="36"/>
  <c r="BB339" i="36"/>
  <c r="BB340" i="36"/>
  <c r="BB341" i="36"/>
  <c r="BB342" i="36"/>
  <c r="BB343" i="36"/>
  <c r="BB344" i="36"/>
  <c r="BB345" i="36"/>
  <c r="BB346" i="36"/>
  <c r="BB347" i="36"/>
  <c r="BB348" i="36"/>
  <c r="BB349" i="36"/>
  <c r="BB350" i="36"/>
  <c r="BB351" i="36"/>
  <c r="BB352" i="36"/>
  <c r="BB353" i="36"/>
  <c r="BB354" i="36"/>
  <c r="BB355" i="36"/>
  <c r="BB356" i="36"/>
  <c r="BB357" i="36"/>
  <c r="BB358" i="36"/>
  <c r="BB359" i="36"/>
  <c r="BB360" i="36"/>
  <c r="BB361" i="36"/>
  <c r="BB362" i="36"/>
  <c r="BB363" i="36"/>
  <c r="BB364" i="36"/>
  <c r="BB365" i="36"/>
  <c r="BB366" i="36"/>
  <c r="BB367" i="36"/>
  <c r="BB368" i="36"/>
  <c r="BB369" i="36"/>
  <c r="BB370" i="36"/>
  <c r="BB371" i="36"/>
  <c r="BB372" i="36"/>
  <c r="BB373" i="36"/>
  <c r="BB374" i="36"/>
  <c r="BB375" i="36"/>
  <c r="BB376" i="36"/>
  <c r="BB377" i="36"/>
  <c r="BB378" i="36"/>
  <c r="BB379" i="36"/>
  <c r="BB380" i="36"/>
  <c r="BB381" i="36"/>
  <c r="BB382" i="36"/>
  <c r="BB383" i="36"/>
  <c r="BB384" i="36"/>
  <c r="BB385" i="36"/>
  <c r="BB386" i="36"/>
  <c r="BB387" i="36"/>
  <c r="BB388" i="36"/>
  <c r="BB389" i="36"/>
  <c r="BB390" i="36"/>
  <c r="BB391" i="36"/>
  <c r="BB392" i="36"/>
  <c r="BB393" i="36"/>
  <c r="BB394" i="36"/>
  <c r="BB395" i="36"/>
  <c r="BB396" i="36"/>
  <c r="BB397" i="36"/>
  <c r="BB398" i="36"/>
  <c r="BB399" i="36"/>
  <c r="BB400" i="36"/>
  <c r="BB401" i="36"/>
  <c r="BB402" i="36"/>
  <c r="BB403" i="36"/>
  <c r="BB404" i="36"/>
  <c r="BB405" i="36"/>
  <c r="BB406" i="36"/>
  <c r="BB407" i="36"/>
  <c r="BB408" i="36"/>
  <c r="BB409" i="36"/>
  <c r="BB410" i="36"/>
  <c r="BB411" i="36"/>
  <c r="BB412" i="36"/>
  <c r="BB413" i="36"/>
  <c r="BB414" i="36"/>
  <c r="BB415" i="36"/>
  <c r="BB416" i="36"/>
  <c r="BB417" i="36"/>
  <c r="BB418" i="36"/>
  <c r="BB419" i="36"/>
  <c r="BB420" i="36"/>
  <c r="BB421" i="36"/>
  <c r="BB422" i="36"/>
  <c r="BB423" i="36"/>
  <c r="BB424" i="36"/>
  <c r="BB4" i="36"/>
  <c r="AW5" i="36"/>
  <c r="AW6" i="36"/>
  <c r="AW7" i="36"/>
  <c r="AW8" i="36"/>
  <c r="AW9" i="36"/>
  <c r="AW10" i="36"/>
  <c r="AW11" i="36"/>
  <c r="AW12" i="36"/>
  <c r="AW13" i="36"/>
  <c r="AW14" i="36"/>
  <c r="AW15" i="36"/>
  <c r="AW16" i="36"/>
  <c r="AW17" i="36"/>
  <c r="AW18" i="36"/>
  <c r="AW19" i="36"/>
  <c r="AW20" i="36"/>
  <c r="AW21" i="36"/>
  <c r="AW22" i="36"/>
  <c r="AW23" i="36"/>
  <c r="AW24" i="36"/>
  <c r="AW25" i="36"/>
  <c r="AW26" i="36"/>
  <c r="AW27" i="36"/>
  <c r="AW28" i="36"/>
  <c r="AW29" i="36"/>
  <c r="AW30" i="36"/>
  <c r="AW31" i="36"/>
  <c r="AW32" i="36"/>
  <c r="AW33" i="36"/>
  <c r="AW34" i="36"/>
  <c r="AW35" i="36"/>
  <c r="AW36" i="36"/>
  <c r="AW37" i="36"/>
  <c r="AW38" i="36"/>
  <c r="AW39" i="36"/>
  <c r="AW40" i="36"/>
  <c r="AW41" i="36"/>
  <c r="AW42" i="36"/>
  <c r="AW43" i="36"/>
  <c r="AW44" i="36"/>
  <c r="AW45" i="36"/>
  <c r="AW46" i="36"/>
  <c r="AW47" i="36"/>
  <c r="AW48" i="36"/>
  <c r="AW49" i="36"/>
  <c r="AW50" i="36"/>
  <c r="AW51" i="36"/>
  <c r="AW52" i="36"/>
  <c r="AW53" i="36"/>
  <c r="AW54" i="36"/>
  <c r="AW55" i="36"/>
  <c r="AW56" i="36"/>
  <c r="AW57" i="36"/>
  <c r="AW58" i="36"/>
  <c r="AW59" i="36"/>
  <c r="AW60" i="36"/>
  <c r="AW61" i="36"/>
  <c r="AW62" i="36"/>
  <c r="AW63" i="36"/>
  <c r="AW64" i="36"/>
  <c r="AW65" i="36"/>
  <c r="AW66" i="36"/>
  <c r="AW67" i="36"/>
  <c r="AW68" i="36"/>
  <c r="AW69" i="36"/>
  <c r="AW70" i="36"/>
  <c r="AW71" i="36"/>
  <c r="AW72" i="36"/>
  <c r="AW73" i="36"/>
  <c r="AW74" i="36"/>
  <c r="AW75" i="36"/>
  <c r="AW76" i="36"/>
  <c r="AW77" i="36"/>
  <c r="AW78" i="36"/>
  <c r="AW79" i="36"/>
  <c r="AW80" i="36"/>
  <c r="AW81" i="36"/>
  <c r="AW82" i="36"/>
  <c r="AW83" i="36"/>
  <c r="AW84" i="36"/>
  <c r="AW85" i="36"/>
  <c r="AW86" i="36"/>
  <c r="AW87" i="36"/>
  <c r="AW88" i="36"/>
  <c r="AW89" i="36"/>
  <c r="AW90" i="36"/>
  <c r="AW91" i="36"/>
  <c r="AW92" i="36"/>
  <c r="AW93" i="36"/>
  <c r="AW94" i="36"/>
  <c r="AW95" i="36"/>
  <c r="AW96" i="36"/>
  <c r="AW97" i="36"/>
  <c r="AW98" i="36"/>
  <c r="AW99" i="36"/>
  <c r="AW100" i="36"/>
  <c r="AW101" i="36"/>
  <c r="AW102" i="36"/>
  <c r="AW103" i="36"/>
  <c r="AW104" i="36"/>
  <c r="AW105" i="36"/>
  <c r="AW106" i="36"/>
  <c r="AW107" i="36"/>
  <c r="AW108" i="36"/>
  <c r="AW109" i="36"/>
  <c r="AW110" i="36"/>
  <c r="AW111" i="36"/>
  <c r="AW112" i="36"/>
  <c r="AW113" i="36"/>
  <c r="AW114" i="36"/>
  <c r="AW115" i="36"/>
  <c r="AW116" i="36"/>
  <c r="AW117" i="36"/>
  <c r="AW118" i="36"/>
  <c r="AW119" i="36"/>
  <c r="AW120" i="36"/>
  <c r="AW121" i="36"/>
  <c r="AW122" i="36"/>
  <c r="AW123" i="36"/>
  <c r="AW124" i="36"/>
  <c r="AW125" i="36"/>
  <c r="AW126" i="36"/>
  <c r="AW127" i="36"/>
  <c r="AW128" i="36"/>
  <c r="AW129" i="36"/>
  <c r="AW130" i="36"/>
  <c r="AW131" i="36"/>
  <c r="AW132" i="36"/>
  <c r="AW133" i="36"/>
  <c r="AW134" i="36"/>
  <c r="AW135" i="36"/>
  <c r="AW136" i="36"/>
  <c r="AW137" i="36"/>
  <c r="AW138" i="36"/>
  <c r="AW139" i="36"/>
  <c r="AW140" i="36"/>
  <c r="AW141" i="36"/>
  <c r="AW142" i="36"/>
  <c r="AW143" i="36"/>
  <c r="AW144" i="36"/>
  <c r="AW145" i="36"/>
  <c r="AW146" i="36"/>
  <c r="AW147" i="36"/>
  <c r="AW148" i="36"/>
  <c r="AW149" i="36"/>
  <c r="AW150" i="36"/>
  <c r="AW151" i="36"/>
  <c r="AW152" i="36"/>
  <c r="AW153" i="36"/>
  <c r="AW154" i="36"/>
  <c r="AW155" i="36"/>
  <c r="AW156" i="36"/>
  <c r="AW157" i="36"/>
  <c r="AW158" i="36"/>
  <c r="AW159" i="36"/>
  <c r="AW160" i="36"/>
  <c r="AW161" i="36"/>
  <c r="AW162" i="36"/>
  <c r="AW163" i="36"/>
  <c r="AW164" i="36"/>
  <c r="AW165" i="36"/>
  <c r="AW166" i="36"/>
  <c r="AW167" i="36"/>
  <c r="AW168" i="36"/>
  <c r="AW169" i="36"/>
  <c r="AW170" i="36"/>
  <c r="AW171" i="36"/>
  <c r="AW172" i="36"/>
  <c r="AW173" i="36"/>
  <c r="AW174" i="36"/>
  <c r="AW175" i="36"/>
  <c r="AW176" i="36"/>
  <c r="AW177" i="36"/>
  <c r="AW178" i="36"/>
  <c r="AW179" i="36"/>
  <c r="AW180" i="36"/>
  <c r="AW181" i="36"/>
  <c r="AW182" i="36"/>
  <c r="AW183" i="36"/>
  <c r="AW184" i="36"/>
  <c r="AW185" i="36"/>
  <c r="AW186" i="36"/>
  <c r="AW187" i="36"/>
  <c r="AW188" i="36"/>
  <c r="AW189" i="36"/>
  <c r="AW190" i="36"/>
  <c r="AW191" i="36"/>
  <c r="AW192" i="36"/>
  <c r="AW193" i="36"/>
  <c r="AW194" i="36"/>
  <c r="AW195" i="36"/>
  <c r="AW196" i="36"/>
  <c r="AW197" i="36"/>
  <c r="AW198" i="36"/>
  <c r="AW199" i="36"/>
  <c r="AW200" i="36"/>
  <c r="AW201" i="36"/>
  <c r="AW202" i="36"/>
  <c r="AW203" i="36"/>
  <c r="AW204" i="36"/>
  <c r="AW205" i="36"/>
  <c r="AW206" i="36"/>
  <c r="AW207" i="36"/>
  <c r="AW208" i="36"/>
  <c r="AW209" i="36"/>
  <c r="AW210" i="36"/>
  <c r="AW211" i="36"/>
  <c r="AW212" i="36"/>
  <c r="AW213" i="36"/>
  <c r="AW214" i="36"/>
  <c r="AW215" i="36"/>
  <c r="AW216" i="36"/>
  <c r="AW217" i="36"/>
  <c r="AW218" i="36"/>
  <c r="AW219" i="36"/>
  <c r="AW220" i="36"/>
  <c r="AW221" i="36"/>
  <c r="AW222" i="36"/>
  <c r="AW223" i="36"/>
  <c r="AW224" i="36"/>
  <c r="AW225" i="36"/>
  <c r="AW226" i="36"/>
  <c r="AW227" i="36"/>
  <c r="AW228" i="36"/>
  <c r="AW229" i="36"/>
  <c r="AW230" i="36"/>
  <c r="AW231" i="36"/>
  <c r="AW232" i="36"/>
  <c r="AW233" i="36"/>
  <c r="AW234" i="36"/>
  <c r="AW235" i="36"/>
  <c r="AW236" i="36"/>
  <c r="AW237" i="36"/>
  <c r="AW238" i="36"/>
  <c r="AW239" i="36"/>
  <c r="AW240" i="36"/>
  <c r="AW241" i="36"/>
  <c r="AW242" i="36"/>
  <c r="AW243" i="36"/>
  <c r="AW244" i="36"/>
  <c r="AW245" i="36"/>
  <c r="AW246" i="36"/>
  <c r="AW247" i="36"/>
  <c r="AW248" i="36"/>
  <c r="AW249" i="36"/>
  <c r="AW250" i="36"/>
  <c r="AW251" i="36"/>
  <c r="AW252" i="36"/>
  <c r="AW253" i="36"/>
  <c r="AW254" i="36"/>
  <c r="AW255" i="36"/>
  <c r="AW256" i="36"/>
  <c r="AW257" i="36"/>
  <c r="AW258" i="36"/>
  <c r="AW259" i="36"/>
  <c r="AW260" i="36"/>
  <c r="AW261" i="36"/>
  <c r="AW262" i="36"/>
  <c r="AW263" i="36"/>
  <c r="AW264" i="36"/>
  <c r="AW265" i="36"/>
  <c r="AW266" i="36"/>
  <c r="AW267" i="36"/>
  <c r="AW268" i="36"/>
  <c r="AW269" i="36"/>
  <c r="AW270" i="36"/>
  <c r="AW271" i="36"/>
  <c r="AW272" i="36"/>
  <c r="AW273" i="36"/>
  <c r="AW274" i="36"/>
  <c r="AW275" i="36"/>
  <c r="AW276" i="36"/>
  <c r="AW277" i="36"/>
  <c r="AW278" i="36"/>
  <c r="AW279" i="36"/>
  <c r="AW280" i="36"/>
  <c r="AW281" i="36"/>
  <c r="AW282" i="36"/>
  <c r="AW283" i="36"/>
  <c r="AW284" i="36"/>
  <c r="AW285" i="36"/>
  <c r="AW286" i="36"/>
  <c r="AW287" i="36"/>
  <c r="AW288" i="36"/>
  <c r="AW289" i="36"/>
  <c r="AW290" i="36"/>
  <c r="AW291" i="36"/>
  <c r="AW292" i="36"/>
  <c r="AW293" i="36"/>
  <c r="AW294" i="36"/>
  <c r="AW295" i="36"/>
  <c r="AW296" i="36"/>
  <c r="AW297" i="36"/>
  <c r="AW298" i="36"/>
  <c r="AW299" i="36"/>
  <c r="AW300" i="36"/>
  <c r="AW301" i="36"/>
  <c r="AW302" i="36"/>
  <c r="AW303" i="36"/>
  <c r="AW304" i="36"/>
  <c r="AW305" i="36"/>
  <c r="AW306" i="36"/>
  <c r="AW307" i="36"/>
  <c r="AW308" i="36"/>
  <c r="AW309" i="36"/>
  <c r="AW310" i="36"/>
  <c r="AW311" i="36"/>
  <c r="AW312" i="36"/>
  <c r="AW313" i="36"/>
  <c r="AW314" i="36"/>
  <c r="AW315" i="36"/>
  <c r="AW316" i="36"/>
  <c r="AW317" i="36"/>
  <c r="AW318" i="36"/>
  <c r="AW319" i="36"/>
  <c r="AW320" i="36"/>
  <c r="AW321" i="36"/>
  <c r="AW322" i="36"/>
  <c r="AW323" i="36"/>
  <c r="AW324" i="36"/>
  <c r="AW325" i="36"/>
  <c r="AW326" i="36"/>
  <c r="AW327" i="36"/>
  <c r="AW328" i="36"/>
  <c r="AW329" i="36"/>
  <c r="AW330" i="36"/>
  <c r="AW331" i="36"/>
  <c r="AW332" i="36"/>
  <c r="AW333" i="36"/>
  <c r="AW334" i="36"/>
  <c r="AW335" i="36"/>
  <c r="AW336" i="36"/>
  <c r="AW337" i="36"/>
  <c r="AW338" i="36"/>
  <c r="AW339" i="36"/>
  <c r="AW340" i="36"/>
  <c r="AW341" i="36"/>
  <c r="AW342" i="36"/>
  <c r="AW343" i="36"/>
  <c r="AW344" i="36"/>
  <c r="AW345" i="36"/>
  <c r="AW346" i="36"/>
  <c r="AW347" i="36"/>
  <c r="AW348" i="36"/>
  <c r="AW349" i="36"/>
  <c r="AW350" i="36"/>
  <c r="AW351" i="36"/>
  <c r="AW352" i="36"/>
  <c r="AW353" i="36"/>
  <c r="AW354" i="36"/>
  <c r="AW355" i="36"/>
  <c r="AW356" i="36"/>
  <c r="AW357" i="36"/>
  <c r="AW358" i="36"/>
  <c r="AW359" i="36"/>
  <c r="AW360" i="36"/>
  <c r="AW361" i="36"/>
  <c r="AW362" i="36"/>
  <c r="AW363" i="36"/>
  <c r="AW364" i="36"/>
  <c r="AW365" i="36"/>
  <c r="AW366" i="36"/>
  <c r="AW367" i="36"/>
  <c r="AW368" i="36"/>
  <c r="AW369" i="36"/>
  <c r="AW370" i="36"/>
  <c r="AW371" i="36"/>
  <c r="AW372" i="36"/>
  <c r="AW373" i="36"/>
  <c r="AW374" i="36"/>
  <c r="AW375" i="36"/>
  <c r="AW376" i="36"/>
  <c r="AW377" i="36"/>
  <c r="AW378" i="36"/>
  <c r="AW379" i="36"/>
  <c r="AW380" i="36"/>
  <c r="AW381" i="36"/>
  <c r="AW382" i="36"/>
  <c r="AW383" i="36"/>
  <c r="AW384" i="36"/>
  <c r="AW385" i="36"/>
  <c r="AW386" i="36"/>
  <c r="AW387" i="36"/>
  <c r="AW388" i="36"/>
  <c r="AW389" i="36"/>
  <c r="AW390" i="36"/>
  <c r="AW391" i="36"/>
  <c r="AW392" i="36"/>
  <c r="AW393" i="36"/>
  <c r="AW394" i="36"/>
  <c r="AW395" i="36"/>
  <c r="AW396" i="36"/>
  <c r="AW397" i="36"/>
  <c r="AW398" i="36"/>
  <c r="AW399" i="36"/>
  <c r="AW400" i="36"/>
  <c r="AW401" i="36"/>
  <c r="AW402" i="36"/>
  <c r="AW403" i="36"/>
  <c r="AW404" i="36"/>
  <c r="AW405" i="36"/>
  <c r="AW406" i="36"/>
  <c r="AW407" i="36"/>
  <c r="AW408" i="36"/>
  <c r="AW409" i="36"/>
  <c r="AW410" i="36"/>
  <c r="AW411" i="36"/>
  <c r="AW412" i="36"/>
  <c r="AW413" i="36"/>
  <c r="AW414" i="36"/>
  <c r="AW415" i="36"/>
  <c r="AW416" i="36"/>
  <c r="AW417" i="36"/>
  <c r="AW418" i="36"/>
  <c r="AW419" i="36"/>
  <c r="AW420" i="36"/>
  <c r="AW421" i="36"/>
  <c r="AW422" i="36"/>
  <c r="AW423" i="36"/>
  <c r="AW424" i="36"/>
  <c r="AW4" i="36"/>
  <c r="AR5" i="36"/>
  <c r="AR6" i="36"/>
  <c r="AR7" i="36"/>
  <c r="AR8" i="36"/>
  <c r="AR9" i="36"/>
  <c r="AR10" i="36"/>
  <c r="AR11" i="36"/>
  <c r="AR12" i="36"/>
  <c r="AR13" i="36"/>
  <c r="AR14" i="36"/>
  <c r="AR15" i="36"/>
  <c r="AR16" i="36"/>
  <c r="AR17" i="36"/>
  <c r="AR18" i="36"/>
  <c r="AR19" i="36"/>
  <c r="AR20" i="36"/>
  <c r="AR21" i="36"/>
  <c r="AR22" i="36"/>
  <c r="AR23" i="36"/>
  <c r="AR24" i="36"/>
  <c r="AR25" i="36"/>
  <c r="AR26" i="36"/>
  <c r="AR27" i="36"/>
  <c r="AR28" i="36"/>
  <c r="AR29" i="36"/>
  <c r="AR30" i="36"/>
  <c r="AR31" i="36"/>
  <c r="AR32" i="36"/>
  <c r="AR33" i="36"/>
  <c r="AR34" i="36"/>
  <c r="AR35" i="36"/>
  <c r="AR36" i="36"/>
  <c r="AR37" i="36"/>
  <c r="AR38" i="36"/>
  <c r="AR39" i="36"/>
  <c r="AR40" i="36"/>
  <c r="AR41" i="36"/>
  <c r="AR42" i="36"/>
  <c r="AR43" i="36"/>
  <c r="AR44" i="36"/>
  <c r="AR45" i="36"/>
  <c r="AR46" i="36"/>
  <c r="AR47" i="36"/>
  <c r="AR48" i="36"/>
  <c r="AR49" i="36"/>
  <c r="AR50" i="36"/>
  <c r="AR51" i="36"/>
  <c r="AR52" i="36"/>
  <c r="AR53" i="36"/>
  <c r="AR54" i="36"/>
  <c r="AR55" i="36"/>
  <c r="AR56" i="36"/>
  <c r="AR57" i="36"/>
  <c r="AR58" i="36"/>
  <c r="AR59" i="36"/>
  <c r="AR60" i="36"/>
  <c r="AR61" i="36"/>
  <c r="AR62" i="36"/>
  <c r="AR63" i="36"/>
  <c r="AR64" i="36"/>
  <c r="AR65" i="36"/>
  <c r="AR66" i="36"/>
  <c r="AR67" i="36"/>
  <c r="AR68" i="36"/>
  <c r="AR69" i="36"/>
  <c r="AR70" i="36"/>
  <c r="AR71" i="36"/>
  <c r="AR72" i="36"/>
  <c r="AR73" i="36"/>
  <c r="AR74" i="36"/>
  <c r="AR75" i="36"/>
  <c r="AR76" i="36"/>
  <c r="AR77" i="36"/>
  <c r="AR78" i="36"/>
  <c r="AR79" i="36"/>
  <c r="AR80" i="36"/>
  <c r="AR81" i="36"/>
  <c r="AR82" i="36"/>
  <c r="AR83" i="36"/>
  <c r="AR84" i="36"/>
  <c r="AR85" i="36"/>
  <c r="AR86" i="36"/>
  <c r="AR87" i="36"/>
  <c r="AR88" i="36"/>
  <c r="AR89" i="36"/>
  <c r="AR90" i="36"/>
  <c r="AR91" i="36"/>
  <c r="AR92" i="36"/>
  <c r="AR93" i="36"/>
  <c r="AR94" i="36"/>
  <c r="AR95" i="36"/>
  <c r="AR96" i="36"/>
  <c r="AR97" i="36"/>
  <c r="AR98" i="36"/>
  <c r="AR99" i="36"/>
  <c r="AR100" i="36"/>
  <c r="AR101" i="36"/>
  <c r="AR102" i="36"/>
  <c r="AR103" i="36"/>
  <c r="AR104" i="36"/>
  <c r="AR105" i="36"/>
  <c r="AR106" i="36"/>
  <c r="AR107" i="36"/>
  <c r="AR108" i="36"/>
  <c r="AR109" i="36"/>
  <c r="AR110" i="36"/>
  <c r="AR111" i="36"/>
  <c r="AR112" i="36"/>
  <c r="AR113" i="36"/>
  <c r="AR114" i="36"/>
  <c r="AR115" i="36"/>
  <c r="AR116" i="36"/>
  <c r="AR117" i="36"/>
  <c r="AR118" i="36"/>
  <c r="AR119" i="36"/>
  <c r="AR120" i="36"/>
  <c r="AR121" i="36"/>
  <c r="AR122" i="36"/>
  <c r="AR123" i="36"/>
  <c r="AR124" i="36"/>
  <c r="AR125" i="36"/>
  <c r="AR126" i="36"/>
  <c r="AR127" i="36"/>
  <c r="AR128" i="36"/>
  <c r="AR129" i="36"/>
  <c r="AR130" i="36"/>
  <c r="AR131" i="36"/>
  <c r="AR132" i="36"/>
  <c r="AR133" i="36"/>
  <c r="AR134" i="36"/>
  <c r="AR135" i="36"/>
  <c r="AR136" i="36"/>
  <c r="AR137" i="36"/>
  <c r="AR138" i="36"/>
  <c r="AR139" i="36"/>
  <c r="AR140" i="36"/>
  <c r="AR141" i="36"/>
  <c r="AR142" i="36"/>
  <c r="AR143" i="36"/>
  <c r="AR144" i="36"/>
  <c r="AR145" i="36"/>
  <c r="AR146" i="36"/>
  <c r="AR147" i="36"/>
  <c r="AR148" i="36"/>
  <c r="AR149" i="36"/>
  <c r="AR150" i="36"/>
  <c r="AR151" i="36"/>
  <c r="AR152" i="36"/>
  <c r="AR153" i="36"/>
  <c r="AR154" i="36"/>
  <c r="AR155" i="36"/>
  <c r="AR156" i="36"/>
  <c r="AR157" i="36"/>
  <c r="AR158" i="36"/>
  <c r="AR159" i="36"/>
  <c r="AR160" i="36"/>
  <c r="AR161" i="36"/>
  <c r="AR162" i="36"/>
  <c r="AR163" i="36"/>
  <c r="AR164" i="36"/>
  <c r="AR165" i="36"/>
  <c r="AR166" i="36"/>
  <c r="AR167" i="36"/>
  <c r="AR168" i="36"/>
  <c r="AR169" i="36"/>
  <c r="AR170" i="36"/>
  <c r="AR171" i="36"/>
  <c r="AR172" i="36"/>
  <c r="AR173" i="36"/>
  <c r="AR174" i="36"/>
  <c r="AR175" i="36"/>
  <c r="AR176" i="36"/>
  <c r="AR177" i="36"/>
  <c r="AR178" i="36"/>
  <c r="AR179" i="36"/>
  <c r="AR180" i="36"/>
  <c r="AR181" i="36"/>
  <c r="AR182" i="36"/>
  <c r="AR183" i="36"/>
  <c r="AR184" i="36"/>
  <c r="AR185" i="36"/>
  <c r="AR186" i="36"/>
  <c r="AR187" i="36"/>
  <c r="AR188" i="36"/>
  <c r="AR189" i="36"/>
  <c r="AR190" i="36"/>
  <c r="AR191" i="36"/>
  <c r="AR192" i="36"/>
  <c r="AR193" i="36"/>
  <c r="AR194" i="36"/>
  <c r="AR195" i="36"/>
  <c r="AR196" i="36"/>
  <c r="AR197" i="36"/>
  <c r="AR198" i="36"/>
  <c r="AR199" i="36"/>
  <c r="AR200" i="36"/>
  <c r="AR201" i="36"/>
  <c r="AR202" i="36"/>
  <c r="AR203" i="36"/>
  <c r="AR204" i="36"/>
  <c r="AR205" i="36"/>
  <c r="AR206" i="36"/>
  <c r="AR207" i="36"/>
  <c r="AR208" i="36"/>
  <c r="AR209" i="36"/>
  <c r="AR210" i="36"/>
  <c r="AR211" i="36"/>
  <c r="AR212" i="36"/>
  <c r="AR213" i="36"/>
  <c r="AR214" i="36"/>
  <c r="AR215" i="36"/>
  <c r="AR216" i="36"/>
  <c r="AR217" i="36"/>
  <c r="AR218" i="36"/>
  <c r="AR219" i="36"/>
  <c r="AR220" i="36"/>
  <c r="AR221" i="36"/>
  <c r="AR222" i="36"/>
  <c r="AR223" i="36"/>
  <c r="AR224" i="36"/>
  <c r="AR225" i="36"/>
  <c r="AR226" i="36"/>
  <c r="AR227" i="36"/>
  <c r="AR228" i="36"/>
  <c r="AR229" i="36"/>
  <c r="AR230" i="36"/>
  <c r="AR231" i="36"/>
  <c r="AR232" i="36"/>
  <c r="AR233" i="36"/>
  <c r="AR234" i="36"/>
  <c r="AR235" i="36"/>
  <c r="AR236" i="36"/>
  <c r="AR237" i="36"/>
  <c r="AR238" i="36"/>
  <c r="AR239" i="36"/>
  <c r="AR240" i="36"/>
  <c r="AR241" i="36"/>
  <c r="AR242" i="36"/>
  <c r="AR243" i="36"/>
  <c r="AR244" i="36"/>
  <c r="AR245" i="36"/>
  <c r="AR246" i="36"/>
  <c r="AR247" i="36"/>
  <c r="AR248" i="36"/>
  <c r="AR249" i="36"/>
  <c r="AR250" i="36"/>
  <c r="AR251" i="36"/>
  <c r="AR252" i="36"/>
  <c r="AR253" i="36"/>
  <c r="AR254" i="36"/>
  <c r="AR255" i="36"/>
  <c r="AR256" i="36"/>
  <c r="AR257" i="36"/>
  <c r="AR258" i="36"/>
  <c r="AR259" i="36"/>
  <c r="AR260" i="36"/>
  <c r="AR261" i="36"/>
  <c r="AR262" i="36"/>
  <c r="AR263" i="36"/>
  <c r="AR264" i="36"/>
  <c r="AR265" i="36"/>
  <c r="AR266" i="36"/>
  <c r="AR267" i="36"/>
  <c r="AR268" i="36"/>
  <c r="AR269" i="36"/>
  <c r="AR270" i="36"/>
  <c r="AR271" i="36"/>
  <c r="AR272" i="36"/>
  <c r="AR273" i="36"/>
  <c r="AR274" i="36"/>
  <c r="AR275" i="36"/>
  <c r="AR276" i="36"/>
  <c r="AR277" i="36"/>
  <c r="AR278" i="36"/>
  <c r="AR279" i="36"/>
  <c r="AR280" i="36"/>
  <c r="AR281" i="36"/>
  <c r="AR282" i="36"/>
  <c r="AR283" i="36"/>
  <c r="AR284" i="36"/>
  <c r="AR285" i="36"/>
  <c r="AR286" i="36"/>
  <c r="AR287" i="36"/>
  <c r="AR288" i="36"/>
  <c r="AR289" i="36"/>
  <c r="AR290" i="36"/>
  <c r="AR291" i="36"/>
  <c r="AR292" i="36"/>
  <c r="AR293" i="36"/>
  <c r="AR294" i="36"/>
  <c r="AR295" i="36"/>
  <c r="AR296" i="36"/>
  <c r="AR297" i="36"/>
  <c r="AR298" i="36"/>
  <c r="AR299" i="36"/>
  <c r="AR300" i="36"/>
  <c r="AR301" i="36"/>
  <c r="AR302" i="36"/>
  <c r="AR303" i="36"/>
  <c r="AR304" i="36"/>
  <c r="AR305" i="36"/>
  <c r="AR306" i="36"/>
  <c r="AR307" i="36"/>
  <c r="AR308" i="36"/>
  <c r="AR309" i="36"/>
  <c r="AR310" i="36"/>
  <c r="AR311" i="36"/>
  <c r="AR312" i="36"/>
  <c r="AR313" i="36"/>
  <c r="AR314" i="36"/>
  <c r="AR315" i="36"/>
  <c r="AR316" i="36"/>
  <c r="AR317" i="36"/>
  <c r="AR318" i="36"/>
  <c r="AR319" i="36"/>
  <c r="AR320" i="36"/>
  <c r="AR321" i="36"/>
  <c r="AR322" i="36"/>
  <c r="AR323" i="36"/>
  <c r="AR324" i="36"/>
  <c r="AR325" i="36"/>
  <c r="AR326" i="36"/>
  <c r="AR327" i="36"/>
  <c r="AR328" i="36"/>
  <c r="AR329" i="36"/>
  <c r="AR330" i="36"/>
  <c r="AR331" i="36"/>
  <c r="AR332" i="36"/>
  <c r="AR333" i="36"/>
  <c r="AR334" i="36"/>
  <c r="AR335" i="36"/>
  <c r="AR336" i="36"/>
  <c r="AR337" i="36"/>
  <c r="AR338" i="36"/>
  <c r="AR339" i="36"/>
  <c r="AR340" i="36"/>
  <c r="AR341" i="36"/>
  <c r="AR342" i="36"/>
  <c r="AR343" i="36"/>
  <c r="AR344" i="36"/>
  <c r="AR345" i="36"/>
  <c r="AR346" i="36"/>
  <c r="AR347" i="36"/>
  <c r="AR348" i="36"/>
  <c r="AR349" i="36"/>
  <c r="AR350" i="36"/>
  <c r="AR351" i="36"/>
  <c r="AR352" i="36"/>
  <c r="AR353" i="36"/>
  <c r="AR354" i="36"/>
  <c r="AR355" i="36"/>
  <c r="AR356" i="36"/>
  <c r="AR357" i="36"/>
  <c r="AR358" i="36"/>
  <c r="AR359" i="36"/>
  <c r="AR360" i="36"/>
  <c r="AR361" i="36"/>
  <c r="AR362" i="36"/>
  <c r="AR363" i="36"/>
  <c r="AR364" i="36"/>
  <c r="AR365" i="36"/>
  <c r="AR366" i="36"/>
  <c r="AR367" i="36"/>
  <c r="AR368" i="36"/>
  <c r="AR369" i="36"/>
  <c r="AR370" i="36"/>
  <c r="AR371" i="36"/>
  <c r="AR372" i="36"/>
  <c r="AR373" i="36"/>
  <c r="AR374" i="36"/>
  <c r="AR375" i="36"/>
  <c r="AR376" i="36"/>
  <c r="AR377" i="36"/>
  <c r="AR378" i="36"/>
  <c r="AR379" i="36"/>
  <c r="AR380" i="36"/>
  <c r="AR381" i="36"/>
  <c r="AR382" i="36"/>
  <c r="AR383" i="36"/>
  <c r="AR384" i="36"/>
  <c r="AR385" i="36"/>
  <c r="AR386" i="36"/>
  <c r="AR387" i="36"/>
  <c r="AR388" i="36"/>
  <c r="AR389" i="36"/>
  <c r="AR390" i="36"/>
  <c r="AR391" i="36"/>
  <c r="AR392" i="36"/>
  <c r="AR393" i="36"/>
  <c r="AR394" i="36"/>
  <c r="AR395" i="36"/>
  <c r="AR396" i="36"/>
  <c r="AR397" i="36"/>
  <c r="AR398" i="36"/>
  <c r="AR399" i="36"/>
  <c r="AR400" i="36"/>
  <c r="AR401" i="36"/>
  <c r="AR402" i="36"/>
  <c r="AR403" i="36"/>
  <c r="AR404" i="36"/>
  <c r="AR405" i="36"/>
  <c r="AR406" i="36"/>
  <c r="AR407" i="36"/>
  <c r="AR408" i="36"/>
  <c r="AR409" i="36"/>
  <c r="AR410" i="36"/>
  <c r="AR411" i="36"/>
  <c r="AR412" i="36"/>
  <c r="AR413" i="36"/>
  <c r="AR414" i="36"/>
  <c r="AR415" i="36"/>
  <c r="AR416" i="36"/>
  <c r="AR417" i="36"/>
  <c r="AR418" i="36"/>
  <c r="AR419" i="36"/>
  <c r="AR420" i="36"/>
  <c r="AR421" i="36"/>
  <c r="AR422" i="36"/>
  <c r="AR423" i="36"/>
  <c r="AR424" i="36"/>
  <c r="AR4" i="36"/>
  <c r="AM5" i="36"/>
  <c r="AM6" i="36"/>
  <c r="AM7" i="36"/>
  <c r="AM8" i="36"/>
  <c r="AM9" i="36"/>
  <c r="AM10" i="36"/>
  <c r="AM11" i="36"/>
  <c r="AM12" i="36"/>
  <c r="AM13" i="36"/>
  <c r="AM14" i="36"/>
  <c r="AM15" i="36"/>
  <c r="AM16" i="36"/>
  <c r="AM17" i="36"/>
  <c r="AM18" i="36"/>
  <c r="AM19" i="36"/>
  <c r="AM20" i="36"/>
  <c r="AM21" i="36"/>
  <c r="AM22" i="36"/>
  <c r="AM23" i="36"/>
  <c r="AM24" i="36"/>
  <c r="AM25" i="36"/>
  <c r="AM26" i="36"/>
  <c r="AM27" i="36"/>
  <c r="AM28" i="36"/>
  <c r="AM29" i="36"/>
  <c r="AM30" i="36"/>
  <c r="AM31" i="36"/>
  <c r="AM32" i="36"/>
  <c r="AM33" i="36"/>
  <c r="AM34" i="36"/>
  <c r="AM35" i="36"/>
  <c r="AM36" i="36"/>
  <c r="AM37" i="36"/>
  <c r="AM38" i="36"/>
  <c r="AM39" i="36"/>
  <c r="AM40" i="36"/>
  <c r="AM41" i="36"/>
  <c r="AM42" i="36"/>
  <c r="AM43" i="36"/>
  <c r="AM44" i="36"/>
  <c r="AM45" i="36"/>
  <c r="AM46" i="36"/>
  <c r="AM47" i="36"/>
  <c r="AM48" i="36"/>
  <c r="AM49" i="36"/>
  <c r="AM50" i="36"/>
  <c r="AM51" i="36"/>
  <c r="AM52" i="36"/>
  <c r="AM53" i="36"/>
  <c r="AM54" i="36"/>
  <c r="AM55" i="36"/>
  <c r="AM56" i="36"/>
  <c r="AM57" i="36"/>
  <c r="AM58" i="36"/>
  <c r="AM59" i="36"/>
  <c r="AM60" i="36"/>
  <c r="AM61" i="36"/>
  <c r="AM62" i="36"/>
  <c r="AM63" i="36"/>
  <c r="AM64" i="36"/>
  <c r="AM65" i="36"/>
  <c r="AM66" i="36"/>
  <c r="AM67" i="36"/>
  <c r="AM68" i="36"/>
  <c r="AM69" i="36"/>
  <c r="AM70" i="36"/>
  <c r="AM71" i="36"/>
  <c r="AM72" i="36"/>
  <c r="AM73" i="36"/>
  <c r="AM74" i="36"/>
  <c r="AM75" i="36"/>
  <c r="AM76" i="36"/>
  <c r="AM77" i="36"/>
  <c r="AM78" i="36"/>
  <c r="AM79" i="36"/>
  <c r="AM80" i="36"/>
  <c r="AM81" i="36"/>
  <c r="AM82" i="36"/>
  <c r="AM83" i="36"/>
  <c r="AM84" i="36"/>
  <c r="AM85" i="36"/>
  <c r="AM86" i="36"/>
  <c r="AM87" i="36"/>
  <c r="AM88" i="36"/>
  <c r="AM89" i="36"/>
  <c r="AM90" i="36"/>
  <c r="AM91" i="36"/>
  <c r="AM92" i="36"/>
  <c r="AM93" i="36"/>
  <c r="AM94" i="36"/>
  <c r="AM95" i="36"/>
  <c r="AM96" i="36"/>
  <c r="AM97" i="36"/>
  <c r="AM98" i="36"/>
  <c r="AM99" i="36"/>
  <c r="AM100" i="36"/>
  <c r="AM101" i="36"/>
  <c r="AM102" i="36"/>
  <c r="AM103" i="36"/>
  <c r="AM104" i="36"/>
  <c r="AM105" i="36"/>
  <c r="AM106" i="36"/>
  <c r="AM107" i="36"/>
  <c r="AM108" i="36"/>
  <c r="AM109" i="36"/>
  <c r="AM110" i="36"/>
  <c r="AM111" i="36"/>
  <c r="AM112" i="36"/>
  <c r="AM113" i="36"/>
  <c r="AM114" i="36"/>
  <c r="AM115" i="36"/>
  <c r="AM116" i="36"/>
  <c r="AM117" i="36"/>
  <c r="AM118" i="36"/>
  <c r="AM119" i="36"/>
  <c r="AM120" i="36"/>
  <c r="AM121" i="36"/>
  <c r="AM122" i="36"/>
  <c r="AM123" i="36"/>
  <c r="AM124" i="36"/>
  <c r="AM125" i="36"/>
  <c r="AM126" i="36"/>
  <c r="AM127" i="36"/>
  <c r="AM128" i="36"/>
  <c r="AM129" i="36"/>
  <c r="AM130" i="36"/>
  <c r="AM131" i="36"/>
  <c r="AM132" i="36"/>
  <c r="AM133" i="36"/>
  <c r="AM134" i="36"/>
  <c r="AM135" i="36"/>
  <c r="AM136" i="36"/>
  <c r="AM137" i="36"/>
  <c r="AM138" i="36"/>
  <c r="AM139" i="36"/>
  <c r="AM140" i="36"/>
  <c r="AM141" i="36"/>
  <c r="AM142" i="36"/>
  <c r="AM143" i="36"/>
  <c r="AM144" i="36"/>
  <c r="AM145" i="36"/>
  <c r="AM146" i="36"/>
  <c r="AM147" i="36"/>
  <c r="AM148" i="36"/>
  <c r="AM149" i="36"/>
  <c r="AM150" i="36"/>
  <c r="AM151" i="36"/>
  <c r="AM152" i="36"/>
  <c r="AM153" i="36"/>
  <c r="AM154" i="36"/>
  <c r="AM155" i="36"/>
  <c r="AM156" i="36"/>
  <c r="AM157" i="36"/>
  <c r="AM158" i="36"/>
  <c r="AM159" i="36"/>
  <c r="AM160" i="36"/>
  <c r="AM161" i="36"/>
  <c r="AM162" i="36"/>
  <c r="AM163" i="36"/>
  <c r="AM164" i="36"/>
  <c r="AM165" i="36"/>
  <c r="AM166" i="36"/>
  <c r="AM167" i="36"/>
  <c r="AM168" i="36"/>
  <c r="AM169" i="36"/>
  <c r="AM170" i="36"/>
  <c r="AM171" i="36"/>
  <c r="AM172" i="36"/>
  <c r="AM173" i="36"/>
  <c r="AM174" i="36"/>
  <c r="AM175" i="36"/>
  <c r="AM176" i="36"/>
  <c r="AM177" i="36"/>
  <c r="AM178" i="36"/>
  <c r="AM179" i="36"/>
  <c r="AM180" i="36"/>
  <c r="AM181" i="36"/>
  <c r="AM182" i="36"/>
  <c r="AM183" i="36"/>
  <c r="AM184" i="36"/>
  <c r="AM185" i="36"/>
  <c r="AM186" i="36"/>
  <c r="AM187" i="36"/>
  <c r="AM188" i="36"/>
  <c r="AM189" i="36"/>
  <c r="AM190" i="36"/>
  <c r="AM191" i="36"/>
  <c r="AM192" i="36"/>
  <c r="AM193" i="36"/>
  <c r="AM194" i="36"/>
  <c r="AM195" i="36"/>
  <c r="AM196" i="36"/>
  <c r="AM197" i="36"/>
  <c r="AM198" i="36"/>
  <c r="AM199" i="36"/>
  <c r="AM200" i="36"/>
  <c r="AM201" i="36"/>
  <c r="AM202" i="36"/>
  <c r="AM203" i="36"/>
  <c r="AM204" i="36"/>
  <c r="AM205" i="36"/>
  <c r="AM206" i="36"/>
  <c r="AM207" i="36"/>
  <c r="AM208" i="36"/>
  <c r="AM209" i="36"/>
  <c r="AM210" i="36"/>
  <c r="AM211" i="36"/>
  <c r="AM212" i="36"/>
  <c r="AM213" i="36"/>
  <c r="AM214" i="36"/>
  <c r="AM215" i="36"/>
  <c r="AM216" i="36"/>
  <c r="AM217" i="36"/>
  <c r="AM218" i="36"/>
  <c r="AM219" i="36"/>
  <c r="AM220" i="36"/>
  <c r="AM221" i="36"/>
  <c r="AM222" i="36"/>
  <c r="AM223" i="36"/>
  <c r="AM224" i="36"/>
  <c r="AM225" i="36"/>
  <c r="AM226" i="36"/>
  <c r="AM227" i="36"/>
  <c r="AM228" i="36"/>
  <c r="AM229" i="36"/>
  <c r="AM230" i="36"/>
  <c r="AM231" i="36"/>
  <c r="AM232" i="36"/>
  <c r="AM233" i="36"/>
  <c r="AM234" i="36"/>
  <c r="AM235" i="36"/>
  <c r="AM236" i="36"/>
  <c r="AM237" i="36"/>
  <c r="AM238" i="36"/>
  <c r="AM239" i="36"/>
  <c r="AM240" i="36"/>
  <c r="AM241" i="36"/>
  <c r="AM242" i="36"/>
  <c r="AM243" i="36"/>
  <c r="AM244" i="36"/>
  <c r="AM245" i="36"/>
  <c r="AM246" i="36"/>
  <c r="AM247" i="36"/>
  <c r="AM248" i="36"/>
  <c r="AM249" i="36"/>
  <c r="AM250" i="36"/>
  <c r="AM251" i="36"/>
  <c r="AM252" i="36"/>
  <c r="AM253" i="36"/>
  <c r="AM254" i="36"/>
  <c r="AM255" i="36"/>
  <c r="AM256" i="36"/>
  <c r="AM257" i="36"/>
  <c r="AM258" i="36"/>
  <c r="AM259" i="36"/>
  <c r="AM260" i="36"/>
  <c r="AM261" i="36"/>
  <c r="AM262" i="36"/>
  <c r="AM263" i="36"/>
  <c r="AM264" i="36"/>
  <c r="AM265" i="36"/>
  <c r="AM266" i="36"/>
  <c r="AM267" i="36"/>
  <c r="AM268" i="36"/>
  <c r="AM269" i="36"/>
  <c r="AM270" i="36"/>
  <c r="AM271" i="36"/>
  <c r="AM272" i="36"/>
  <c r="AM273" i="36"/>
  <c r="AM274" i="36"/>
  <c r="AM275" i="36"/>
  <c r="AM276" i="36"/>
  <c r="AM277" i="36"/>
  <c r="AM278" i="36"/>
  <c r="AM279" i="36"/>
  <c r="AM280" i="36"/>
  <c r="AM281" i="36"/>
  <c r="AM282" i="36"/>
  <c r="AM283" i="36"/>
  <c r="AM284" i="36"/>
  <c r="AM285" i="36"/>
  <c r="AM286" i="36"/>
  <c r="AM287" i="36"/>
  <c r="AM288" i="36"/>
  <c r="AM289" i="36"/>
  <c r="AM290" i="36"/>
  <c r="AM291" i="36"/>
  <c r="AM292" i="36"/>
  <c r="AM293" i="36"/>
  <c r="AM294" i="36"/>
  <c r="AM295" i="36"/>
  <c r="AM296" i="36"/>
  <c r="AM297" i="36"/>
  <c r="AM298" i="36"/>
  <c r="AM299" i="36"/>
  <c r="AM300" i="36"/>
  <c r="AM301" i="36"/>
  <c r="AM302" i="36"/>
  <c r="AM303" i="36"/>
  <c r="AM304" i="36"/>
  <c r="AM305" i="36"/>
  <c r="AM306" i="36"/>
  <c r="AM307" i="36"/>
  <c r="AM308" i="36"/>
  <c r="AM309" i="36"/>
  <c r="AM310" i="36"/>
  <c r="AM311" i="36"/>
  <c r="AM312" i="36"/>
  <c r="AM313" i="36"/>
  <c r="AM314" i="36"/>
  <c r="AM315" i="36"/>
  <c r="AM316" i="36"/>
  <c r="AM317" i="36"/>
  <c r="AM318" i="36"/>
  <c r="AM319" i="36"/>
  <c r="AM320" i="36"/>
  <c r="AM321" i="36"/>
  <c r="AM322" i="36"/>
  <c r="AM323" i="36"/>
  <c r="AM324" i="36"/>
  <c r="AM325" i="36"/>
  <c r="AM326" i="36"/>
  <c r="AM327" i="36"/>
  <c r="AM328" i="36"/>
  <c r="AM329" i="36"/>
  <c r="AM330" i="36"/>
  <c r="AM331" i="36"/>
  <c r="AM332" i="36"/>
  <c r="AM333" i="36"/>
  <c r="AM334" i="36"/>
  <c r="AM335" i="36"/>
  <c r="AM336" i="36"/>
  <c r="AM337" i="36"/>
  <c r="AM338" i="36"/>
  <c r="AM339" i="36"/>
  <c r="AM340" i="36"/>
  <c r="AM341" i="36"/>
  <c r="AM342" i="36"/>
  <c r="AM343" i="36"/>
  <c r="AM344" i="36"/>
  <c r="AM345" i="36"/>
  <c r="AM346" i="36"/>
  <c r="AM347" i="36"/>
  <c r="AM348" i="36"/>
  <c r="AM349" i="36"/>
  <c r="AM350" i="36"/>
  <c r="AM351" i="36"/>
  <c r="AM352" i="36"/>
  <c r="AM353" i="36"/>
  <c r="AM354" i="36"/>
  <c r="AM355" i="36"/>
  <c r="AM356" i="36"/>
  <c r="AM357" i="36"/>
  <c r="AM358" i="36"/>
  <c r="AM359" i="36"/>
  <c r="AM360" i="36"/>
  <c r="AM361" i="36"/>
  <c r="AM362" i="36"/>
  <c r="AM363" i="36"/>
  <c r="AM364" i="36"/>
  <c r="AM365" i="36"/>
  <c r="AM366" i="36"/>
  <c r="AM367" i="36"/>
  <c r="AM368" i="36"/>
  <c r="AM369" i="36"/>
  <c r="AM370" i="36"/>
  <c r="AM371" i="36"/>
  <c r="AM372" i="36"/>
  <c r="AM373" i="36"/>
  <c r="AM374" i="36"/>
  <c r="AM375" i="36"/>
  <c r="AM376" i="36"/>
  <c r="AM377" i="36"/>
  <c r="AM378" i="36"/>
  <c r="AM379" i="36"/>
  <c r="AM380" i="36"/>
  <c r="AM381" i="36"/>
  <c r="AM382" i="36"/>
  <c r="AM383" i="36"/>
  <c r="AM384" i="36"/>
  <c r="AM385" i="36"/>
  <c r="AM386" i="36"/>
  <c r="AM387" i="36"/>
  <c r="AM388" i="36"/>
  <c r="AM389" i="36"/>
  <c r="AM390" i="36"/>
  <c r="AM391" i="36"/>
  <c r="AM392" i="36"/>
  <c r="AM393" i="36"/>
  <c r="AM394" i="36"/>
  <c r="AM395" i="36"/>
  <c r="AM396" i="36"/>
  <c r="AM397" i="36"/>
  <c r="AM398" i="36"/>
  <c r="AM399" i="36"/>
  <c r="AM400" i="36"/>
  <c r="AM401" i="36"/>
  <c r="AM402" i="36"/>
  <c r="AM403" i="36"/>
  <c r="AM404" i="36"/>
  <c r="AM405" i="36"/>
  <c r="AM406" i="36"/>
  <c r="AM407" i="36"/>
  <c r="AM408" i="36"/>
  <c r="AM409" i="36"/>
  <c r="AM410" i="36"/>
  <c r="AM411" i="36"/>
  <c r="AM412" i="36"/>
  <c r="AM413" i="36"/>
  <c r="AM414" i="36"/>
  <c r="AM415" i="36"/>
  <c r="AM416" i="36"/>
  <c r="AM417" i="36"/>
  <c r="AM418" i="36"/>
  <c r="AM419" i="36"/>
  <c r="AM420" i="36"/>
  <c r="AM421" i="36"/>
  <c r="AM422" i="36"/>
  <c r="AM423" i="36"/>
  <c r="AM424" i="36"/>
  <c r="AM4" i="36"/>
  <c r="AH4" i="36"/>
  <c r="AH5" i="36"/>
  <c r="AH6" i="36"/>
  <c r="AH7" i="36"/>
  <c r="AH8" i="36"/>
  <c r="AH9" i="36"/>
  <c r="AH10" i="36"/>
  <c r="AH11" i="36"/>
  <c r="AH12" i="36"/>
  <c r="AH13" i="36"/>
  <c r="AH14" i="36"/>
  <c r="AH15" i="36"/>
  <c r="AH16" i="36"/>
  <c r="AH17" i="36"/>
  <c r="AH18" i="36"/>
  <c r="AH19" i="36"/>
  <c r="AH20" i="36"/>
  <c r="AH21" i="36"/>
  <c r="AH22" i="36"/>
  <c r="AH23" i="36"/>
  <c r="AH24" i="36"/>
  <c r="AH25" i="36"/>
  <c r="AH26" i="36"/>
  <c r="AH27" i="36"/>
  <c r="AH28" i="36"/>
  <c r="AH29" i="36"/>
  <c r="AH30" i="36"/>
  <c r="AH31" i="36"/>
  <c r="AH32" i="36"/>
  <c r="AH33" i="36"/>
  <c r="AH34" i="36"/>
  <c r="AH35" i="36"/>
  <c r="AH36" i="36"/>
  <c r="AH37" i="36"/>
  <c r="AH38" i="36"/>
  <c r="AH39" i="36"/>
  <c r="AH40" i="36"/>
  <c r="AH41" i="36"/>
  <c r="AH42" i="36"/>
  <c r="AH43" i="36"/>
  <c r="AH44" i="36"/>
  <c r="AH45" i="36"/>
  <c r="AH46" i="36"/>
  <c r="AH47" i="36"/>
  <c r="AH48" i="36"/>
  <c r="AH49" i="36"/>
  <c r="AH50" i="36"/>
  <c r="AH51" i="36"/>
  <c r="AH52" i="36"/>
  <c r="AH53" i="36"/>
  <c r="AH54" i="36"/>
  <c r="AH55" i="36"/>
  <c r="AH56" i="36"/>
  <c r="AH57" i="36"/>
  <c r="AH58" i="36"/>
  <c r="AH59" i="36"/>
  <c r="AH60" i="36"/>
  <c r="AH61" i="36"/>
  <c r="AH62" i="36"/>
  <c r="AH63" i="36"/>
  <c r="AH64" i="36"/>
  <c r="AH65" i="36"/>
  <c r="AH66" i="36"/>
  <c r="AH67" i="36"/>
  <c r="AH68" i="36"/>
  <c r="AH69" i="36"/>
  <c r="AH70" i="36"/>
  <c r="AH71" i="36"/>
  <c r="AH72" i="36"/>
  <c r="AH73" i="36"/>
  <c r="AH74" i="36"/>
  <c r="AH75" i="36"/>
  <c r="AH76" i="36"/>
  <c r="AH77" i="36"/>
  <c r="AH78" i="36"/>
  <c r="AH79" i="36"/>
  <c r="AH80" i="36"/>
  <c r="AH81" i="36"/>
  <c r="AH82" i="36"/>
  <c r="AH83" i="36"/>
  <c r="AH84" i="36"/>
  <c r="AH85" i="36"/>
  <c r="AH86" i="36"/>
  <c r="AH87" i="36"/>
  <c r="AH88" i="36"/>
  <c r="AH89" i="36"/>
  <c r="AH90" i="36"/>
  <c r="AH91" i="36"/>
  <c r="AH92" i="36"/>
  <c r="AH93" i="36"/>
  <c r="AH94" i="36"/>
  <c r="AH95" i="36"/>
  <c r="AH96" i="36"/>
  <c r="AH97" i="36"/>
  <c r="AH98" i="36"/>
  <c r="AH99" i="36"/>
  <c r="AH100" i="36"/>
  <c r="AH101" i="36"/>
  <c r="AH102" i="36"/>
  <c r="AH103" i="36"/>
  <c r="AH104" i="36"/>
  <c r="AH105" i="36"/>
  <c r="AH106" i="36"/>
  <c r="AH107" i="36"/>
  <c r="AH108" i="36"/>
  <c r="AH109" i="36"/>
  <c r="AH110" i="36"/>
  <c r="AH111" i="36"/>
  <c r="AH112" i="36"/>
  <c r="AH113" i="36"/>
  <c r="AH114" i="36"/>
  <c r="AH115" i="36"/>
  <c r="AH116" i="36"/>
  <c r="AH117" i="36"/>
  <c r="AH118" i="36"/>
  <c r="AH119" i="36"/>
  <c r="AH120" i="36"/>
  <c r="AH121" i="36"/>
  <c r="AH122" i="36"/>
  <c r="AH123" i="36"/>
  <c r="AH124" i="36"/>
  <c r="AH125" i="36"/>
  <c r="AH126" i="36"/>
  <c r="AH127" i="36"/>
  <c r="AH128" i="36"/>
  <c r="AH129" i="36"/>
  <c r="AH130" i="36"/>
  <c r="AH131" i="36"/>
  <c r="AH132" i="36"/>
  <c r="AH133" i="36"/>
  <c r="AH134" i="36"/>
  <c r="AH135" i="36"/>
  <c r="AH136" i="36"/>
  <c r="AH137" i="36"/>
  <c r="AH138" i="36"/>
  <c r="AH139" i="36"/>
  <c r="AH140" i="36"/>
  <c r="AH141" i="36"/>
  <c r="AH142" i="36"/>
  <c r="AH143" i="36"/>
  <c r="AH144" i="36"/>
  <c r="AH145" i="36"/>
  <c r="AH146" i="36"/>
  <c r="AH147" i="36"/>
  <c r="AH148" i="36"/>
  <c r="AH149" i="36"/>
  <c r="AH150" i="36"/>
  <c r="AH151" i="36"/>
  <c r="AH152" i="36"/>
  <c r="AH153" i="36"/>
  <c r="AH154" i="36"/>
  <c r="AH155" i="36"/>
  <c r="AH156" i="36"/>
  <c r="AH157" i="36"/>
  <c r="AH158" i="36"/>
  <c r="AH159" i="36"/>
  <c r="AH160" i="36"/>
  <c r="AH161" i="36"/>
  <c r="AH162" i="36"/>
  <c r="AH163" i="36"/>
  <c r="AH164" i="36"/>
  <c r="AH165" i="36"/>
  <c r="AH166" i="36"/>
  <c r="AH167" i="36"/>
  <c r="AH168" i="36"/>
  <c r="AH169" i="36"/>
  <c r="AH170" i="36"/>
  <c r="AH171" i="36"/>
  <c r="AH172" i="36"/>
  <c r="AH173" i="36"/>
  <c r="AH174" i="36"/>
  <c r="AH175" i="36"/>
  <c r="AH176" i="36"/>
  <c r="AH177" i="36"/>
  <c r="AH178" i="36"/>
  <c r="AH179" i="36"/>
  <c r="AH180" i="36"/>
  <c r="AH181" i="36"/>
  <c r="AH182" i="36"/>
  <c r="AH183" i="36"/>
  <c r="AH184" i="36"/>
  <c r="AH185" i="36"/>
  <c r="AH186" i="36"/>
  <c r="AH187" i="36"/>
  <c r="AH188" i="36"/>
  <c r="AH189" i="36"/>
  <c r="AH190" i="36"/>
  <c r="AH191" i="36"/>
  <c r="AH192" i="36"/>
  <c r="AH193" i="36"/>
  <c r="AH194" i="36"/>
  <c r="AH195" i="36"/>
  <c r="AH196" i="36"/>
  <c r="AH197" i="36"/>
  <c r="AH198" i="36"/>
  <c r="AH199" i="36"/>
  <c r="AH200" i="36"/>
  <c r="AH201" i="36"/>
  <c r="AH202" i="36"/>
  <c r="AH203" i="36"/>
  <c r="AH204" i="36"/>
  <c r="AH205" i="36"/>
  <c r="AH206" i="36"/>
  <c r="AH207" i="36"/>
  <c r="AH208" i="36"/>
  <c r="AH209" i="36"/>
  <c r="AH210" i="36"/>
  <c r="AH211" i="36"/>
  <c r="AH212" i="36"/>
  <c r="AH213" i="36"/>
  <c r="AH214" i="36"/>
  <c r="AH215" i="36"/>
  <c r="AH216" i="36"/>
  <c r="AH217" i="36"/>
  <c r="AH218" i="36"/>
  <c r="AH219" i="36"/>
  <c r="AH220" i="36"/>
  <c r="AH221" i="36"/>
  <c r="AH222" i="36"/>
  <c r="AH223" i="36"/>
  <c r="AH224" i="36"/>
  <c r="AH225" i="36"/>
  <c r="AH226" i="36"/>
  <c r="AH227" i="36"/>
  <c r="AH228" i="36"/>
  <c r="AH229" i="36"/>
  <c r="AH230" i="36"/>
  <c r="AH231" i="36"/>
  <c r="AH232" i="36"/>
  <c r="AH233" i="36"/>
  <c r="AH234" i="36"/>
  <c r="AH235" i="36"/>
  <c r="AH236" i="36"/>
  <c r="AH237" i="36"/>
  <c r="AH238" i="36"/>
  <c r="AH239" i="36"/>
  <c r="AH240" i="36"/>
  <c r="AH241" i="36"/>
  <c r="AH242" i="36"/>
  <c r="AH243" i="36"/>
  <c r="AH244" i="36"/>
  <c r="AH245" i="36"/>
  <c r="AH246" i="36"/>
  <c r="AH247" i="36"/>
  <c r="AH248" i="36"/>
  <c r="AH249" i="36"/>
  <c r="AH250" i="36"/>
  <c r="AH251" i="36"/>
  <c r="AH252" i="36"/>
  <c r="AH253" i="36"/>
  <c r="AH254" i="36"/>
  <c r="AH255" i="36"/>
  <c r="AH256" i="36"/>
  <c r="AH257" i="36"/>
  <c r="AH258" i="36"/>
  <c r="AH259" i="36"/>
  <c r="AH260" i="36"/>
  <c r="AH261" i="36"/>
  <c r="AH262" i="36"/>
  <c r="AH263" i="36"/>
  <c r="AH264" i="36"/>
  <c r="AH265" i="36"/>
  <c r="AH266" i="36"/>
  <c r="AH267" i="36"/>
  <c r="AH268" i="36"/>
  <c r="AH269" i="36"/>
  <c r="AH270" i="36"/>
  <c r="AH271" i="36"/>
  <c r="AH272" i="36"/>
  <c r="AH273" i="36"/>
  <c r="AH274" i="36"/>
  <c r="AH275" i="36"/>
  <c r="AH276" i="36"/>
  <c r="AH277" i="36"/>
  <c r="AH278" i="36"/>
  <c r="AH279" i="36"/>
  <c r="AH280" i="36"/>
  <c r="AH281" i="36"/>
  <c r="AH282" i="36"/>
  <c r="AH283" i="36"/>
  <c r="AH284" i="36"/>
  <c r="AH285" i="36"/>
  <c r="AH286" i="36"/>
  <c r="AH287" i="36"/>
  <c r="AH288" i="36"/>
  <c r="AH289" i="36"/>
  <c r="AH290" i="36"/>
  <c r="AH291" i="36"/>
  <c r="AH292" i="36"/>
  <c r="AH293" i="36"/>
  <c r="AH294" i="36"/>
  <c r="AH295" i="36"/>
  <c r="AH296" i="36"/>
  <c r="AH297" i="36"/>
  <c r="AH298" i="36"/>
  <c r="AH299" i="36"/>
  <c r="AH300" i="36"/>
  <c r="AH301" i="36"/>
  <c r="AH302" i="36"/>
  <c r="AH303" i="36"/>
  <c r="AH304" i="36"/>
  <c r="AH305" i="36"/>
  <c r="AH306" i="36"/>
  <c r="AH307" i="36"/>
  <c r="AH308" i="36"/>
  <c r="AH309" i="36"/>
  <c r="AH310" i="36"/>
  <c r="AH311" i="36"/>
  <c r="AH312" i="36"/>
  <c r="AH313" i="36"/>
  <c r="AH314" i="36"/>
  <c r="AH315" i="36"/>
  <c r="AH316" i="36"/>
  <c r="AH317" i="36"/>
  <c r="AH318" i="36"/>
  <c r="AH319" i="36"/>
  <c r="AH320" i="36"/>
  <c r="AH321" i="36"/>
  <c r="AH322" i="36"/>
  <c r="AH323" i="36"/>
  <c r="AH324" i="36"/>
  <c r="AH325" i="36"/>
  <c r="AH326" i="36"/>
  <c r="AH327" i="36"/>
  <c r="AH328" i="36"/>
  <c r="AH329" i="36"/>
  <c r="AH330" i="36"/>
  <c r="AH331" i="36"/>
  <c r="AH332" i="36"/>
  <c r="AH333" i="36"/>
  <c r="AH334" i="36"/>
  <c r="AH335" i="36"/>
  <c r="AH336" i="36"/>
  <c r="AH337" i="36"/>
  <c r="AH338" i="36"/>
  <c r="AH339" i="36"/>
  <c r="AH340" i="36"/>
  <c r="AH341" i="36"/>
  <c r="AH342" i="36"/>
  <c r="AH343" i="36"/>
  <c r="AH344" i="36"/>
  <c r="AH345" i="36"/>
  <c r="AH346" i="36"/>
  <c r="AH347" i="36"/>
  <c r="AH348" i="36"/>
  <c r="AH349" i="36"/>
  <c r="AH350" i="36"/>
  <c r="AH351" i="36"/>
  <c r="AH352" i="36"/>
  <c r="AH353" i="36"/>
  <c r="AH354" i="36"/>
  <c r="AH355" i="36"/>
  <c r="AH356" i="36"/>
  <c r="AH357" i="36"/>
  <c r="AH358" i="36"/>
  <c r="AH359" i="36"/>
  <c r="AH360" i="36"/>
  <c r="AH361" i="36"/>
  <c r="AH362" i="36"/>
  <c r="AH363" i="36"/>
  <c r="AH364" i="36"/>
  <c r="AH365" i="36"/>
  <c r="AH366" i="36"/>
  <c r="AH367" i="36"/>
  <c r="AH368" i="36"/>
  <c r="AH369" i="36"/>
  <c r="AH370" i="36"/>
  <c r="AH371" i="36"/>
  <c r="AH372" i="36"/>
  <c r="AH373" i="36"/>
  <c r="AH374" i="36"/>
  <c r="AH375" i="36"/>
  <c r="AH376" i="36"/>
  <c r="AH377" i="36"/>
  <c r="AH378" i="36"/>
  <c r="AH379" i="36"/>
  <c r="AH380" i="36"/>
  <c r="AH381" i="36"/>
  <c r="AH382" i="36"/>
  <c r="AH383" i="36"/>
  <c r="AH384" i="36"/>
  <c r="AH385" i="36"/>
  <c r="AH386" i="36"/>
  <c r="AH387" i="36"/>
  <c r="AH388" i="36"/>
  <c r="AH389" i="36"/>
  <c r="AH390" i="36"/>
  <c r="AH391" i="36"/>
  <c r="AH392" i="36"/>
  <c r="AH393" i="36"/>
  <c r="AH394" i="36"/>
  <c r="AH395" i="36"/>
  <c r="AH396" i="36"/>
  <c r="AH397" i="36"/>
  <c r="AH398" i="36"/>
  <c r="AH399" i="36"/>
  <c r="AH400" i="36"/>
  <c r="AH401" i="36"/>
  <c r="AH402" i="36"/>
  <c r="AH403" i="36"/>
  <c r="AH404" i="36"/>
  <c r="AH405" i="36"/>
  <c r="AH406" i="36"/>
  <c r="AH407" i="36"/>
  <c r="AH408" i="36"/>
  <c r="AH409" i="36"/>
  <c r="AH410" i="36"/>
  <c r="AH411" i="36"/>
  <c r="AH412" i="36"/>
  <c r="AH413" i="36"/>
  <c r="AH414" i="36"/>
  <c r="AH415" i="36"/>
  <c r="AH416" i="36"/>
  <c r="AH417" i="36"/>
  <c r="AH418" i="36"/>
  <c r="AH419" i="36"/>
  <c r="AH420" i="36"/>
  <c r="AH421" i="36"/>
  <c r="AH422" i="36"/>
  <c r="AH423" i="36"/>
  <c r="AH424" i="36"/>
  <c r="AC5" i="36"/>
  <c r="AC6" i="36"/>
  <c r="AC7" i="36"/>
  <c r="AC8" i="36"/>
  <c r="AC9" i="36"/>
  <c r="AC10" i="36"/>
  <c r="AC11" i="36"/>
  <c r="AC12" i="36"/>
  <c r="AC13" i="36"/>
  <c r="AC14" i="36"/>
  <c r="AC15" i="36"/>
  <c r="AC16" i="36"/>
  <c r="AC17" i="36"/>
  <c r="AC18" i="36"/>
  <c r="AC19" i="36"/>
  <c r="AC20" i="36"/>
  <c r="AC21" i="36"/>
  <c r="AC22" i="36"/>
  <c r="AC23" i="36"/>
  <c r="AC24" i="36"/>
  <c r="AC25" i="36"/>
  <c r="AC26" i="36"/>
  <c r="AC27" i="36"/>
  <c r="AC28" i="36"/>
  <c r="AC29" i="36"/>
  <c r="AC30" i="36"/>
  <c r="AC31" i="36"/>
  <c r="AC32" i="36"/>
  <c r="AC33" i="36"/>
  <c r="AC34" i="36"/>
  <c r="AC35" i="36"/>
  <c r="AC36" i="36"/>
  <c r="AC37" i="36"/>
  <c r="AC38" i="36"/>
  <c r="AC39" i="36"/>
  <c r="AC40" i="36"/>
  <c r="AC41" i="36"/>
  <c r="AC42" i="36"/>
  <c r="AC43" i="36"/>
  <c r="AC44" i="36"/>
  <c r="AC45" i="36"/>
  <c r="AC46" i="36"/>
  <c r="AC47" i="36"/>
  <c r="AC48" i="36"/>
  <c r="AC49" i="36"/>
  <c r="AC50" i="36"/>
  <c r="AC51" i="36"/>
  <c r="AC52" i="36"/>
  <c r="AC53" i="36"/>
  <c r="AC54" i="36"/>
  <c r="AC55" i="36"/>
  <c r="AC56" i="36"/>
  <c r="AC57" i="36"/>
  <c r="AC58" i="36"/>
  <c r="AC59" i="36"/>
  <c r="AC60" i="36"/>
  <c r="AC61" i="36"/>
  <c r="AC62" i="36"/>
  <c r="AC63" i="36"/>
  <c r="AC64" i="36"/>
  <c r="AC65" i="36"/>
  <c r="AC66" i="36"/>
  <c r="AC67" i="36"/>
  <c r="AC68" i="36"/>
  <c r="AC69" i="36"/>
  <c r="AC70" i="36"/>
  <c r="AC71" i="36"/>
  <c r="AC72" i="36"/>
  <c r="AC73" i="36"/>
  <c r="AC74" i="36"/>
  <c r="AC75" i="36"/>
  <c r="AC76" i="36"/>
  <c r="AC77" i="36"/>
  <c r="AC78" i="36"/>
  <c r="AC79" i="36"/>
  <c r="AC80" i="36"/>
  <c r="AC81" i="36"/>
  <c r="AC82" i="36"/>
  <c r="AC83" i="36"/>
  <c r="AC84" i="36"/>
  <c r="AC85" i="36"/>
  <c r="AC86" i="36"/>
  <c r="AC87" i="36"/>
  <c r="AC88" i="36"/>
  <c r="AC89" i="36"/>
  <c r="AC90" i="36"/>
  <c r="AC91" i="36"/>
  <c r="AC92" i="36"/>
  <c r="AC93" i="36"/>
  <c r="AC94" i="36"/>
  <c r="AC95" i="36"/>
  <c r="AC96" i="36"/>
  <c r="AC97" i="36"/>
  <c r="AC98" i="36"/>
  <c r="AC99" i="36"/>
  <c r="AC100" i="36"/>
  <c r="AC101" i="36"/>
  <c r="AC102" i="36"/>
  <c r="AC103" i="36"/>
  <c r="AC104" i="36"/>
  <c r="AC105" i="36"/>
  <c r="AC106" i="36"/>
  <c r="AC107" i="36"/>
  <c r="AC108" i="36"/>
  <c r="AC109" i="36"/>
  <c r="AC110" i="36"/>
  <c r="AC111" i="36"/>
  <c r="AC112" i="36"/>
  <c r="AC113" i="36"/>
  <c r="AC114" i="36"/>
  <c r="AC115" i="36"/>
  <c r="AC116" i="36"/>
  <c r="AC117" i="36"/>
  <c r="AC118" i="36"/>
  <c r="AC119" i="36"/>
  <c r="AC120" i="36"/>
  <c r="AC121" i="36"/>
  <c r="AC122" i="36"/>
  <c r="AC123" i="36"/>
  <c r="AC124" i="36"/>
  <c r="AC125" i="36"/>
  <c r="AC126" i="36"/>
  <c r="AC127" i="36"/>
  <c r="AC128" i="36"/>
  <c r="AC129" i="36"/>
  <c r="AC130" i="36"/>
  <c r="AC131" i="36"/>
  <c r="AC132" i="36"/>
  <c r="AC133" i="36"/>
  <c r="AC134" i="36"/>
  <c r="AC135" i="36"/>
  <c r="AC136" i="36"/>
  <c r="AC137" i="36"/>
  <c r="AC138" i="36"/>
  <c r="AC139" i="36"/>
  <c r="AC140" i="36"/>
  <c r="AC141" i="36"/>
  <c r="AC142" i="36"/>
  <c r="AC143" i="36"/>
  <c r="AC144" i="36"/>
  <c r="AC145" i="36"/>
  <c r="AC146" i="36"/>
  <c r="AC147" i="36"/>
  <c r="AC148" i="36"/>
  <c r="AC149" i="36"/>
  <c r="AC150" i="36"/>
  <c r="AC151" i="36"/>
  <c r="AC152" i="36"/>
  <c r="AC153" i="36"/>
  <c r="AC154" i="36"/>
  <c r="AC155" i="36"/>
  <c r="AC156" i="36"/>
  <c r="AC157" i="36"/>
  <c r="AC158" i="36"/>
  <c r="AC159" i="36"/>
  <c r="AC160" i="36"/>
  <c r="AC161" i="36"/>
  <c r="AC162" i="36"/>
  <c r="AC163" i="36"/>
  <c r="AC164" i="36"/>
  <c r="AC165" i="36"/>
  <c r="AC166" i="36"/>
  <c r="AC167" i="36"/>
  <c r="AC168" i="36"/>
  <c r="AC169" i="36"/>
  <c r="AC170" i="36"/>
  <c r="AC171" i="36"/>
  <c r="AC172" i="36"/>
  <c r="AC173" i="36"/>
  <c r="AC174" i="36"/>
  <c r="AC175" i="36"/>
  <c r="AC176" i="36"/>
  <c r="AC177" i="36"/>
  <c r="AC178" i="36"/>
  <c r="AC179" i="36"/>
  <c r="AC180" i="36"/>
  <c r="AC181" i="36"/>
  <c r="AC182" i="36"/>
  <c r="AC183" i="36"/>
  <c r="AC184" i="36"/>
  <c r="AC185" i="36"/>
  <c r="AC186" i="36"/>
  <c r="AC187" i="36"/>
  <c r="AC188" i="36"/>
  <c r="AC189" i="36"/>
  <c r="AC190" i="36"/>
  <c r="AC191" i="36"/>
  <c r="AC192" i="36"/>
  <c r="AC193" i="36"/>
  <c r="AC194" i="36"/>
  <c r="AC195" i="36"/>
  <c r="AC196" i="36"/>
  <c r="AC197" i="36"/>
  <c r="AC198" i="36"/>
  <c r="AC199" i="36"/>
  <c r="AC200" i="36"/>
  <c r="AC201" i="36"/>
  <c r="AC202" i="36"/>
  <c r="AC203" i="36"/>
  <c r="AC204" i="36"/>
  <c r="AC205" i="36"/>
  <c r="AC206" i="36"/>
  <c r="AC207" i="36"/>
  <c r="AC208" i="36"/>
  <c r="AC209" i="36"/>
  <c r="AC210" i="36"/>
  <c r="AC211" i="36"/>
  <c r="AC212" i="36"/>
  <c r="AC213" i="36"/>
  <c r="AC214" i="36"/>
  <c r="AC215" i="36"/>
  <c r="AC216" i="36"/>
  <c r="AC217" i="36"/>
  <c r="AC218" i="36"/>
  <c r="AC219" i="36"/>
  <c r="AC220" i="36"/>
  <c r="AC221" i="36"/>
  <c r="AC222" i="36"/>
  <c r="AC223" i="36"/>
  <c r="AC224" i="36"/>
  <c r="AC225" i="36"/>
  <c r="AC226" i="36"/>
  <c r="AC227" i="36"/>
  <c r="AC228" i="36"/>
  <c r="AC229" i="36"/>
  <c r="AC230" i="36"/>
  <c r="AC231" i="36"/>
  <c r="AC232" i="36"/>
  <c r="AC233" i="36"/>
  <c r="AC234" i="36"/>
  <c r="AC235" i="36"/>
  <c r="AC236" i="36"/>
  <c r="AC237" i="36"/>
  <c r="AC238" i="36"/>
  <c r="AC239" i="36"/>
  <c r="AC240" i="36"/>
  <c r="AC241" i="36"/>
  <c r="AC242" i="36"/>
  <c r="AC243" i="36"/>
  <c r="AC244" i="36"/>
  <c r="AC245" i="36"/>
  <c r="AC246" i="36"/>
  <c r="AC247" i="36"/>
  <c r="AC248" i="36"/>
  <c r="AC249" i="36"/>
  <c r="AC250" i="36"/>
  <c r="AC251" i="36"/>
  <c r="AC252" i="36"/>
  <c r="AC253" i="36"/>
  <c r="AC254" i="36"/>
  <c r="AC255" i="36"/>
  <c r="AC256" i="36"/>
  <c r="AC257" i="36"/>
  <c r="AC258" i="36"/>
  <c r="AC259" i="36"/>
  <c r="AC260" i="36"/>
  <c r="AC261" i="36"/>
  <c r="AC262" i="36"/>
  <c r="AC263" i="36"/>
  <c r="AC264" i="36"/>
  <c r="AC265" i="36"/>
  <c r="AC266" i="36"/>
  <c r="AC267" i="36"/>
  <c r="AC268" i="36"/>
  <c r="AC269" i="36"/>
  <c r="AC270" i="36"/>
  <c r="AC271" i="36"/>
  <c r="AC272" i="36"/>
  <c r="AC273" i="36"/>
  <c r="AC274" i="36"/>
  <c r="AC275" i="36"/>
  <c r="AC276" i="36"/>
  <c r="AC277" i="36"/>
  <c r="AC278" i="36"/>
  <c r="AC279" i="36"/>
  <c r="AC280" i="36"/>
  <c r="AC281" i="36"/>
  <c r="AC282" i="36"/>
  <c r="AC283" i="36"/>
  <c r="AC284" i="36"/>
  <c r="AC285" i="36"/>
  <c r="AC286" i="36"/>
  <c r="AC287" i="36"/>
  <c r="AC288" i="36"/>
  <c r="AC289" i="36"/>
  <c r="AC290" i="36"/>
  <c r="AC291" i="36"/>
  <c r="AC292" i="36"/>
  <c r="AC293" i="36"/>
  <c r="AC294" i="36"/>
  <c r="AC295" i="36"/>
  <c r="AC296" i="36"/>
  <c r="AC297" i="36"/>
  <c r="AC298" i="36"/>
  <c r="AC299" i="36"/>
  <c r="AC300" i="36"/>
  <c r="AC301" i="36"/>
  <c r="AC302" i="36"/>
  <c r="AC303" i="36"/>
  <c r="AC304" i="36"/>
  <c r="AC305" i="36"/>
  <c r="AC306" i="36"/>
  <c r="AC307" i="36"/>
  <c r="AC308" i="36"/>
  <c r="AC309" i="36"/>
  <c r="AC310" i="36"/>
  <c r="AC311" i="36"/>
  <c r="AC312" i="36"/>
  <c r="AC313" i="36"/>
  <c r="AC314" i="36"/>
  <c r="AC315" i="36"/>
  <c r="AC316" i="36"/>
  <c r="AC317" i="36"/>
  <c r="AC318" i="36"/>
  <c r="AC319" i="36"/>
  <c r="AC320" i="36"/>
  <c r="AC321" i="36"/>
  <c r="AC322" i="36"/>
  <c r="AC323" i="36"/>
  <c r="AC324" i="36"/>
  <c r="AC325" i="36"/>
  <c r="AC326" i="36"/>
  <c r="AC327" i="36"/>
  <c r="AC328" i="36"/>
  <c r="AC329" i="36"/>
  <c r="AC330" i="36"/>
  <c r="AC331" i="36"/>
  <c r="AC332" i="36"/>
  <c r="AC333" i="36"/>
  <c r="AC334" i="36"/>
  <c r="AC335" i="36"/>
  <c r="AC336" i="36"/>
  <c r="AC337" i="36"/>
  <c r="AC338" i="36"/>
  <c r="AC339" i="36"/>
  <c r="AC340" i="36"/>
  <c r="AC341" i="36"/>
  <c r="AC342" i="36"/>
  <c r="AC343" i="36"/>
  <c r="AC344" i="36"/>
  <c r="AC345" i="36"/>
  <c r="AC346" i="36"/>
  <c r="AC347" i="36"/>
  <c r="AC348" i="36"/>
  <c r="AC349" i="36"/>
  <c r="AC350" i="36"/>
  <c r="AC351" i="36"/>
  <c r="AC352" i="36"/>
  <c r="AC353" i="36"/>
  <c r="AC354" i="36"/>
  <c r="AC355" i="36"/>
  <c r="AC356" i="36"/>
  <c r="AC357" i="36"/>
  <c r="AC358" i="36"/>
  <c r="AC359" i="36"/>
  <c r="AC360" i="36"/>
  <c r="AC361" i="36"/>
  <c r="AC362" i="36"/>
  <c r="AC363" i="36"/>
  <c r="AC364" i="36"/>
  <c r="AC365" i="36"/>
  <c r="AC366" i="36"/>
  <c r="AC367" i="36"/>
  <c r="AC368" i="36"/>
  <c r="AC369" i="36"/>
  <c r="AC370" i="36"/>
  <c r="AC371" i="36"/>
  <c r="AC372" i="36"/>
  <c r="AC373" i="36"/>
  <c r="AC374" i="36"/>
  <c r="AC375" i="36"/>
  <c r="AC376" i="36"/>
  <c r="AC377" i="36"/>
  <c r="AC378" i="36"/>
  <c r="AC379" i="36"/>
  <c r="AC380" i="36"/>
  <c r="AC381" i="36"/>
  <c r="AC382" i="36"/>
  <c r="AC383" i="36"/>
  <c r="AC384" i="36"/>
  <c r="AC385" i="36"/>
  <c r="AC386" i="36"/>
  <c r="AC387" i="36"/>
  <c r="AC388" i="36"/>
  <c r="AC389" i="36"/>
  <c r="AC390" i="36"/>
  <c r="AC391" i="36"/>
  <c r="AC392" i="36"/>
  <c r="AC393" i="36"/>
  <c r="AC394" i="36"/>
  <c r="AC395" i="36"/>
  <c r="AC396" i="36"/>
  <c r="AC397" i="36"/>
  <c r="AC398" i="36"/>
  <c r="AC399" i="36"/>
  <c r="AC400" i="36"/>
  <c r="AC401" i="36"/>
  <c r="AC402" i="36"/>
  <c r="AC403" i="36"/>
  <c r="AC404" i="36"/>
  <c r="AC405" i="36"/>
  <c r="AC406" i="36"/>
  <c r="AC407" i="36"/>
  <c r="AC408" i="36"/>
  <c r="AC409" i="36"/>
  <c r="AC410" i="36"/>
  <c r="AC411" i="36"/>
  <c r="AC412" i="36"/>
  <c r="AC413" i="36"/>
  <c r="AC414" i="36"/>
  <c r="AC415" i="36"/>
  <c r="AC416" i="36"/>
  <c r="AC417" i="36"/>
  <c r="AC418" i="36"/>
  <c r="AC419" i="36"/>
  <c r="AC420" i="36"/>
  <c r="AC421" i="36"/>
  <c r="AC422" i="36"/>
  <c r="AC423" i="36"/>
  <c r="AC424" i="36"/>
  <c r="AC4" i="36"/>
  <c r="X5" i="36"/>
  <c r="X6" i="36"/>
  <c r="X7" i="36"/>
  <c r="X8" i="36"/>
  <c r="X9" i="36"/>
  <c r="X10" i="36"/>
  <c r="X11" i="36"/>
  <c r="X12" i="36"/>
  <c r="X13" i="36"/>
  <c r="X14" i="36"/>
  <c r="X15" i="36"/>
  <c r="X16" i="36"/>
  <c r="X17" i="36"/>
  <c r="X18" i="36"/>
  <c r="X19" i="36"/>
  <c r="X20" i="36"/>
  <c r="X21" i="36"/>
  <c r="X22" i="36"/>
  <c r="X23" i="36"/>
  <c r="X24" i="36"/>
  <c r="X25" i="36"/>
  <c r="X26" i="36"/>
  <c r="X27" i="36"/>
  <c r="X28" i="36"/>
  <c r="X29" i="36"/>
  <c r="X30" i="36"/>
  <c r="X31" i="36"/>
  <c r="X32" i="36"/>
  <c r="X33" i="36"/>
  <c r="X34" i="36"/>
  <c r="X35" i="36"/>
  <c r="X36" i="36"/>
  <c r="X37" i="36"/>
  <c r="X38" i="36"/>
  <c r="X39" i="36"/>
  <c r="X40" i="36"/>
  <c r="X41" i="36"/>
  <c r="X42" i="36"/>
  <c r="X43" i="36"/>
  <c r="X44" i="36"/>
  <c r="X45" i="36"/>
  <c r="X46" i="36"/>
  <c r="X47" i="36"/>
  <c r="X48" i="36"/>
  <c r="X49" i="36"/>
  <c r="X50" i="36"/>
  <c r="X51" i="36"/>
  <c r="X52" i="36"/>
  <c r="X53" i="36"/>
  <c r="X54" i="36"/>
  <c r="X55" i="36"/>
  <c r="X56" i="36"/>
  <c r="X57" i="36"/>
  <c r="X58" i="36"/>
  <c r="X59" i="36"/>
  <c r="X60" i="36"/>
  <c r="X61" i="36"/>
  <c r="X62" i="36"/>
  <c r="X63" i="36"/>
  <c r="X64" i="36"/>
  <c r="X65" i="36"/>
  <c r="X66" i="36"/>
  <c r="X67" i="36"/>
  <c r="X68" i="36"/>
  <c r="X69" i="36"/>
  <c r="X70" i="36"/>
  <c r="X71" i="36"/>
  <c r="X72" i="36"/>
  <c r="X73" i="36"/>
  <c r="X74" i="36"/>
  <c r="X75" i="36"/>
  <c r="X76" i="36"/>
  <c r="X77" i="36"/>
  <c r="X78" i="36"/>
  <c r="X79" i="36"/>
  <c r="X80" i="36"/>
  <c r="X81" i="36"/>
  <c r="X82" i="36"/>
  <c r="X83" i="36"/>
  <c r="X84" i="36"/>
  <c r="X85" i="36"/>
  <c r="X86" i="36"/>
  <c r="X87" i="36"/>
  <c r="X88" i="36"/>
  <c r="X89" i="36"/>
  <c r="X90" i="36"/>
  <c r="X91" i="36"/>
  <c r="X92" i="36"/>
  <c r="X93" i="36"/>
  <c r="X94" i="36"/>
  <c r="X95" i="36"/>
  <c r="X96" i="36"/>
  <c r="X97" i="36"/>
  <c r="X98" i="36"/>
  <c r="X99" i="36"/>
  <c r="X100" i="36"/>
  <c r="X101" i="36"/>
  <c r="X102" i="36"/>
  <c r="X103" i="36"/>
  <c r="X104" i="36"/>
  <c r="X105" i="36"/>
  <c r="X106" i="36"/>
  <c r="X107" i="36"/>
  <c r="X108" i="36"/>
  <c r="X109" i="36"/>
  <c r="X110" i="36"/>
  <c r="X111" i="36"/>
  <c r="X112" i="36"/>
  <c r="X113" i="36"/>
  <c r="X114" i="36"/>
  <c r="X115" i="36"/>
  <c r="X116" i="36"/>
  <c r="X117" i="36"/>
  <c r="X118" i="36"/>
  <c r="X119" i="36"/>
  <c r="X120" i="36"/>
  <c r="X121" i="36"/>
  <c r="X122" i="36"/>
  <c r="X123" i="36"/>
  <c r="X124" i="36"/>
  <c r="X125" i="36"/>
  <c r="X126" i="36"/>
  <c r="X127" i="36"/>
  <c r="X128" i="36"/>
  <c r="X129" i="36"/>
  <c r="X130" i="36"/>
  <c r="X131" i="36"/>
  <c r="X132" i="36"/>
  <c r="X133" i="36"/>
  <c r="X134" i="36"/>
  <c r="X135" i="36"/>
  <c r="X136" i="36"/>
  <c r="X137" i="36"/>
  <c r="X138" i="36"/>
  <c r="X139" i="36"/>
  <c r="X140" i="36"/>
  <c r="X141" i="36"/>
  <c r="X142" i="36"/>
  <c r="X143" i="36"/>
  <c r="X144" i="36"/>
  <c r="X145" i="36"/>
  <c r="X146" i="36"/>
  <c r="X147" i="36"/>
  <c r="X148" i="36"/>
  <c r="X149" i="36"/>
  <c r="X150" i="36"/>
  <c r="X151" i="36"/>
  <c r="X152" i="36"/>
  <c r="X153" i="36"/>
  <c r="X154" i="36"/>
  <c r="X155" i="36"/>
  <c r="X156" i="36"/>
  <c r="X157" i="36"/>
  <c r="X158" i="36"/>
  <c r="X159" i="36"/>
  <c r="X160" i="36"/>
  <c r="X161" i="36"/>
  <c r="X162" i="36"/>
  <c r="X163" i="36"/>
  <c r="X164" i="36"/>
  <c r="X165" i="36"/>
  <c r="X166" i="36"/>
  <c r="X167" i="36"/>
  <c r="X168" i="36"/>
  <c r="X169" i="36"/>
  <c r="X170" i="36"/>
  <c r="X171" i="36"/>
  <c r="X172" i="36"/>
  <c r="X173" i="36"/>
  <c r="X174" i="36"/>
  <c r="X175" i="36"/>
  <c r="X176" i="36"/>
  <c r="X177" i="36"/>
  <c r="X178" i="36"/>
  <c r="X179" i="36"/>
  <c r="X180" i="36"/>
  <c r="X181" i="36"/>
  <c r="X182" i="36"/>
  <c r="X183" i="36"/>
  <c r="X184" i="36"/>
  <c r="X185" i="36"/>
  <c r="X186" i="36"/>
  <c r="X187" i="36"/>
  <c r="X188" i="36"/>
  <c r="X189" i="36"/>
  <c r="X190" i="36"/>
  <c r="X191" i="36"/>
  <c r="X192" i="36"/>
  <c r="X193" i="36"/>
  <c r="X194" i="36"/>
  <c r="X195" i="36"/>
  <c r="X196" i="36"/>
  <c r="X197" i="36"/>
  <c r="X198" i="36"/>
  <c r="X199" i="36"/>
  <c r="X200" i="36"/>
  <c r="X201" i="36"/>
  <c r="X202" i="36"/>
  <c r="X203" i="36"/>
  <c r="X204" i="36"/>
  <c r="X205" i="36"/>
  <c r="X206" i="36"/>
  <c r="X207" i="36"/>
  <c r="X208" i="36"/>
  <c r="X209" i="36"/>
  <c r="X210" i="36"/>
  <c r="X211" i="36"/>
  <c r="X212" i="36"/>
  <c r="X213" i="36"/>
  <c r="X214" i="36"/>
  <c r="X215" i="36"/>
  <c r="X216" i="36"/>
  <c r="X217" i="36"/>
  <c r="X218" i="36"/>
  <c r="X219" i="36"/>
  <c r="X220" i="36"/>
  <c r="X221" i="36"/>
  <c r="X222" i="36"/>
  <c r="X223" i="36"/>
  <c r="X224" i="36"/>
  <c r="X225" i="36"/>
  <c r="X226" i="36"/>
  <c r="X227" i="36"/>
  <c r="X228" i="36"/>
  <c r="X229" i="36"/>
  <c r="X230" i="36"/>
  <c r="X231" i="36"/>
  <c r="X232" i="36"/>
  <c r="X233" i="36"/>
  <c r="X234" i="36"/>
  <c r="X235" i="36"/>
  <c r="X236" i="36"/>
  <c r="X237" i="36"/>
  <c r="X238" i="36"/>
  <c r="X239" i="36"/>
  <c r="X240" i="36"/>
  <c r="X241" i="36"/>
  <c r="X242" i="36"/>
  <c r="X243" i="36"/>
  <c r="X244" i="36"/>
  <c r="X245" i="36"/>
  <c r="X246" i="36"/>
  <c r="X247" i="36"/>
  <c r="X248" i="36"/>
  <c r="X249" i="36"/>
  <c r="X250" i="36"/>
  <c r="X251" i="36"/>
  <c r="X252" i="36"/>
  <c r="X253" i="36"/>
  <c r="X254" i="36"/>
  <c r="X255" i="36"/>
  <c r="X256" i="36"/>
  <c r="X257" i="36"/>
  <c r="X258" i="36"/>
  <c r="X259" i="36"/>
  <c r="X260" i="36"/>
  <c r="X261" i="36"/>
  <c r="X262" i="36"/>
  <c r="X263" i="36"/>
  <c r="X264" i="36"/>
  <c r="X265" i="36"/>
  <c r="X266" i="36"/>
  <c r="X267" i="36"/>
  <c r="X268" i="36"/>
  <c r="X269" i="36"/>
  <c r="X270" i="36"/>
  <c r="X271" i="36"/>
  <c r="X272" i="36"/>
  <c r="X273" i="36"/>
  <c r="X274" i="36"/>
  <c r="X275" i="36"/>
  <c r="X276" i="36"/>
  <c r="X277" i="36"/>
  <c r="X278" i="36"/>
  <c r="X279" i="36"/>
  <c r="X280" i="36"/>
  <c r="X281" i="36"/>
  <c r="X282" i="36"/>
  <c r="X283" i="36"/>
  <c r="X284" i="36"/>
  <c r="X285" i="36"/>
  <c r="X286" i="36"/>
  <c r="X287" i="36"/>
  <c r="X288" i="36"/>
  <c r="X289" i="36"/>
  <c r="X290" i="36"/>
  <c r="X291" i="36"/>
  <c r="X292" i="36"/>
  <c r="X293" i="36"/>
  <c r="X294" i="36"/>
  <c r="X295" i="36"/>
  <c r="X296" i="36"/>
  <c r="X297" i="36"/>
  <c r="X298" i="36"/>
  <c r="X299" i="36"/>
  <c r="X300" i="36"/>
  <c r="X301" i="36"/>
  <c r="X302" i="36"/>
  <c r="X303" i="36"/>
  <c r="X304" i="36"/>
  <c r="X305" i="36"/>
  <c r="X306" i="36"/>
  <c r="X307" i="36"/>
  <c r="X308" i="36"/>
  <c r="X309" i="36"/>
  <c r="X310" i="36"/>
  <c r="X311" i="36"/>
  <c r="X312" i="36"/>
  <c r="X313" i="36"/>
  <c r="X314" i="36"/>
  <c r="X315" i="36"/>
  <c r="X316" i="36"/>
  <c r="X317" i="36"/>
  <c r="X318" i="36"/>
  <c r="X319" i="36"/>
  <c r="X320" i="36"/>
  <c r="X321" i="36"/>
  <c r="X322" i="36"/>
  <c r="X323" i="36"/>
  <c r="X324" i="36"/>
  <c r="X325" i="36"/>
  <c r="X326" i="36"/>
  <c r="X327" i="36"/>
  <c r="X328" i="36"/>
  <c r="X329" i="36"/>
  <c r="X330" i="36"/>
  <c r="X331" i="36"/>
  <c r="X332" i="36"/>
  <c r="X333" i="36"/>
  <c r="X334" i="36"/>
  <c r="X335" i="36"/>
  <c r="X336" i="36"/>
  <c r="X337" i="36"/>
  <c r="X338" i="36"/>
  <c r="X339" i="36"/>
  <c r="X340" i="36"/>
  <c r="X341" i="36"/>
  <c r="X342" i="36"/>
  <c r="X343" i="36"/>
  <c r="X344" i="36"/>
  <c r="X345" i="36"/>
  <c r="X346" i="36"/>
  <c r="X347" i="36"/>
  <c r="X348" i="36"/>
  <c r="X349" i="36"/>
  <c r="X350" i="36"/>
  <c r="X351" i="36"/>
  <c r="X352" i="36"/>
  <c r="X353" i="36"/>
  <c r="X354" i="36"/>
  <c r="X355" i="36"/>
  <c r="X356" i="36"/>
  <c r="X357" i="36"/>
  <c r="X358" i="36"/>
  <c r="X359" i="36"/>
  <c r="X360" i="36"/>
  <c r="X361" i="36"/>
  <c r="X362" i="36"/>
  <c r="X363" i="36"/>
  <c r="X364" i="36"/>
  <c r="X365" i="36"/>
  <c r="X366" i="36"/>
  <c r="X367" i="36"/>
  <c r="X368" i="36"/>
  <c r="X369" i="36"/>
  <c r="X370" i="36"/>
  <c r="X371" i="36"/>
  <c r="X372" i="36"/>
  <c r="X373" i="36"/>
  <c r="X374" i="36"/>
  <c r="X375" i="36"/>
  <c r="X376" i="36"/>
  <c r="X377" i="36"/>
  <c r="X378" i="36"/>
  <c r="X379" i="36"/>
  <c r="X380" i="36"/>
  <c r="X381" i="36"/>
  <c r="X382" i="36"/>
  <c r="X383" i="36"/>
  <c r="X384" i="36"/>
  <c r="X385" i="36"/>
  <c r="X386" i="36"/>
  <c r="X387" i="36"/>
  <c r="X388" i="36"/>
  <c r="X389" i="36"/>
  <c r="X390" i="36"/>
  <c r="X391" i="36"/>
  <c r="X392" i="36"/>
  <c r="X393" i="36"/>
  <c r="X394" i="36"/>
  <c r="X395" i="36"/>
  <c r="X396" i="36"/>
  <c r="X397" i="36"/>
  <c r="X398" i="36"/>
  <c r="X399" i="36"/>
  <c r="X400" i="36"/>
  <c r="X401" i="36"/>
  <c r="X402" i="36"/>
  <c r="X403" i="36"/>
  <c r="X404" i="36"/>
  <c r="X405" i="36"/>
  <c r="X406" i="36"/>
  <c r="X407" i="36"/>
  <c r="X408" i="36"/>
  <c r="X409" i="36"/>
  <c r="X410" i="36"/>
  <c r="X411" i="36"/>
  <c r="X412" i="36"/>
  <c r="X413" i="36"/>
  <c r="X414" i="36"/>
  <c r="X415" i="36"/>
  <c r="X416" i="36"/>
  <c r="X417" i="36"/>
  <c r="X418" i="36"/>
  <c r="X419" i="36"/>
  <c r="X420" i="36"/>
  <c r="X421" i="36"/>
  <c r="X422" i="36"/>
  <c r="X423" i="36"/>
  <c r="X424" i="36"/>
  <c r="X4" i="36"/>
  <c r="S5" i="36"/>
  <c r="S6" i="36"/>
  <c r="S7" i="36"/>
  <c r="S8" i="36"/>
  <c r="S9" i="36"/>
  <c r="S10" i="36"/>
  <c r="S11" i="36"/>
  <c r="S12" i="36"/>
  <c r="S13" i="36"/>
  <c r="S14" i="36"/>
  <c r="S15" i="36"/>
  <c r="S16" i="36"/>
  <c r="S17" i="36"/>
  <c r="S18" i="36"/>
  <c r="S19" i="36"/>
  <c r="S20" i="36"/>
  <c r="S21" i="36"/>
  <c r="S22" i="36"/>
  <c r="S23" i="36"/>
  <c r="S24" i="36"/>
  <c r="S25" i="36"/>
  <c r="S26" i="36"/>
  <c r="S27" i="36"/>
  <c r="S28" i="36"/>
  <c r="S29" i="36"/>
  <c r="S30" i="36"/>
  <c r="S31" i="36"/>
  <c r="S32" i="36"/>
  <c r="S33" i="36"/>
  <c r="S34" i="36"/>
  <c r="S35" i="36"/>
  <c r="S36" i="36"/>
  <c r="S37" i="36"/>
  <c r="S38" i="36"/>
  <c r="S39" i="36"/>
  <c r="S40" i="36"/>
  <c r="S41" i="36"/>
  <c r="S42" i="36"/>
  <c r="S43" i="36"/>
  <c r="S44" i="36"/>
  <c r="S45" i="36"/>
  <c r="S46" i="36"/>
  <c r="S47" i="36"/>
  <c r="S48" i="36"/>
  <c r="S49" i="36"/>
  <c r="S50" i="36"/>
  <c r="S51" i="36"/>
  <c r="S52" i="36"/>
  <c r="S53" i="36"/>
  <c r="S54" i="36"/>
  <c r="S55" i="36"/>
  <c r="S56" i="36"/>
  <c r="S57" i="36"/>
  <c r="S58" i="36"/>
  <c r="S59" i="36"/>
  <c r="S60" i="36"/>
  <c r="S61" i="36"/>
  <c r="S62" i="36"/>
  <c r="S63" i="36"/>
  <c r="S64" i="36"/>
  <c r="S65" i="36"/>
  <c r="S66" i="36"/>
  <c r="S67" i="36"/>
  <c r="S68" i="36"/>
  <c r="S69" i="36"/>
  <c r="S70" i="36"/>
  <c r="S71" i="36"/>
  <c r="S72" i="36"/>
  <c r="S73" i="36"/>
  <c r="S74" i="36"/>
  <c r="S75" i="36"/>
  <c r="S76" i="36"/>
  <c r="S77" i="36"/>
  <c r="S78" i="36"/>
  <c r="S79" i="36"/>
  <c r="S80" i="36"/>
  <c r="S81" i="36"/>
  <c r="S82" i="36"/>
  <c r="S83" i="36"/>
  <c r="S84" i="36"/>
  <c r="S85" i="36"/>
  <c r="S86" i="36"/>
  <c r="S87" i="36"/>
  <c r="S88" i="36"/>
  <c r="S89" i="36"/>
  <c r="S90" i="36"/>
  <c r="S91" i="36"/>
  <c r="S92" i="36"/>
  <c r="S93" i="36"/>
  <c r="S94" i="36"/>
  <c r="S95" i="36"/>
  <c r="S96" i="36"/>
  <c r="S97" i="36"/>
  <c r="S98" i="36"/>
  <c r="S99" i="36"/>
  <c r="S100" i="36"/>
  <c r="S101" i="36"/>
  <c r="S102" i="36"/>
  <c r="S103" i="36"/>
  <c r="S104" i="36"/>
  <c r="S105" i="36"/>
  <c r="S106" i="36"/>
  <c r="S107" i="36"/>
  <c r="S108" i="36"/>
  <c r="S109" i="36"/>
  <c r="S110" i="36"/>
  <c r="S111" i="36"/>
  <c r="S112" i="36"/>
  <c r="S113" i="36"/>
  <c r="S114" i="36"/>
  <c r="S115" i="36"/>
  <c r="S116" i="36"/>
  <c r="S117" i="36"/>
  <c r="S118" i="36"/>
  <c r="S119" i="36"/>
  <c r="S120" i="36"/>
  <c r="S121" i="36"/>
  <c r="S122" i="36"/>
  <c r="S123" i="36"/>
  <c r="S124" i="36"/>
  <c r="S125" i="36"/>
  <c r="S126" i="36"/>
  <c r="S127" i="36"/>
  <c r="S128" i="36"/>
  <c r="S129" i="36"/>
  <c r="S130" i="36"/>
  <c r="S131" i="36"/>
  <c r="S132" i="36"/>
  <c r="S133" i="36"/>
  <c r="S134" i="36"/>
  <c r="S135" i="36"/>
  <c r="S136" i="36"/>
  <c r="S137" i="36"/>
  <c r="S138" i="36"/>
  <c r="S139" i="36"/>
  <c r="S140" i="36"/>
  <c r="S141" i="36"/>
  <c r="S142" i="36"/>
  <c r="S143" i="36"/>
  <c r="S144" i="36"/>
  <c r="S145" i="36"/>
  <c r="S146" i="36"/>
  <c r="S147" i="36"/>
  <c r="S148" i="36"/>
  <c r="S149" i="36"/>
  <c r="S150" i="36"/>
  <c r="S151" i="36"/>
  <c r="S152" i="36"/>
  <c r="S153" i="36"/>
  <c r="S154" i="36"/>
  <c r="S155" i="36"/>
  <c r="S156" i="36"/>
  <c r="S157" i="36"/>
  <c r="S158" i="36"/>
  <c r="S159" i="36"/>
  <c r="S160" i="36"/>
  <c r="S161" i="36"/>
  <c r="S162" i="36"/>
  <c r="S163" i="36"/>
  <c r="S164" i="36"/>
  <c r="S165" i="36"/>
  <c r="S166" i="36"/>
  <c r="S167" i="36"/>
  <c r="S168" i="36"/>
  <c r="S169" i="36"/>
  <c r="S170" i="36"/>
  <c r="S171" i="36"/>
  <c r="S172" i="36"/>
  <c r="S173" i="36"/>
  <c r="S174" i="36"/>
  <c r="S175" i="36"/>
  <c r="S176" i="36"/>
  <c r="S177" i="36"/>
  <c r="S178" i="36"/>
  <c r="S179" i="36"/>
  <c r="S180" i="36"/>
  <c r="S181" i="36"/>
  <c r="S182" i="36"/>
  <c r="S183" i="36"/>
  <c r="S184" i="36"/>
  <c r="S185" i="36"/>
  <c r="S186" i="36"/>
  <c r="S187" i="36"/>
  <c r="S188" i="36"/>
  <c r="S189" i="36"/>
  <c r="S190" i="36"/>
  <c r="S191" i="36"/>
  <c r="S192" i="36"/>
  <c r="S193" i="36"/>
  <c r="S194" i="36"/>
  <c r="S195" i="36"/>
  <c r="S196" i="36"/>
  <c r="S197" i="36"/>
  <c r="S198" i="36"/>
  <c r="S199" i="36"/>
  <c r="S200" i="36"/>
  <c r="S201" i="36"/>
  <c r="S202" i="36"/>
  <c r="S203" i="36"/>
  <c r="S204" i="36"/>
  <c r="S205" i="36"/>
  <c r="S206" i="36"/>
  <c r="S207" i="36"/>
  <c r="S208" i="36"/>
  <c r="S209" i="36"/>
  <c r="S210" i="36"/>
  <c r="S211" i="36"/>
  <c r="S212" i="36"/>
  <c r="S213" i="36"/>
  <c r="S214" i="36"/>
  <c r="S215" i="36"/>
  <c r="S216" i="36"/>
  <c r="S217" i="36"/>
  <c r="S218" i="36"/>
  <c r="S219" i="36"/>
  <c r="S220" i="36"/>
  <c r="S221" i="36"/>
  <c r="S222" i="36"/>
  <c r="S223" i="36"/>
  <c r="S224" i="36"/>
  <c r="S225" i="36"/>
  <c r="S226" i="36"/>
  <c r="S227" i="36"/>
  <c r="S228" i="36"/>
  <c r="S229" i="36"/>
  <c r="S230" i="36"/>
  <c r="S231" i="36"/>
  <c r="S232" i="36"/>
  <c r="S233" i="36"/>
  <c r="S234" i="36"/>
  <c r="S235" i="36"/>
  <c r="S236" i="36"/>
  <c r="S237" i="36"/>
  <c r="S238" i="36"/>
  <c r="S239" i="36"/>
  <c r="S240" i="36"/>
  <c r="S241" i="36"/>
  <c r="S242" i="36"/>
  <c r="S243" i="36"/>
  <c r="S244" i="36"/>
  <c r="S245" i="36"/>
  <c r="S246" i="36"/>
  <c r="S247" i="36"/>
  <c r="S248" i="36"/>
  <c r="S249" i="36"/>
  <c r="S250" i="36"/>
  <c r="S251" i="36"/>
  <c r="S252" i="36"/>
  <c r="S253" i="36"/>
  <c r="S254" i="36"/>
  <c r="S255" i="36"/>
  <c r="S256" i="36"/>
  <c r="S257" i="36"/>
  <c r="S258" i="36"/>
  <c r="S259" i="36"/>
  <c r="S260" i="36"/>
  <c r="S261" i="36"/>
  <c r="S262" i="36"/>
  <c r="S263" i="36"/>
  <c r="S264" i="36"/>
  <c r="S265" i="36"/>
  <c r="S266" i="36"/>
  <c r="S267" i="36"/>
  <c r="S268" i="36"/>
  <c r="S269" i="36"/>
  <c r="S270" i="36"/>
  <c r="S271" i="36"/>
  <c r="S272" i="36"/>
  <c r="S273" i="36"/>
  <c r="S274" i="36"/>
  <c r="S275" i="36"/>
  <c r="S276" i="36"/>
  <c r="S277" i="36"/>
  <c r="S278" i="36"/>
  <c r="S279" i="36"/>
  <c r="S280" i="36"/>
  <c r="S281" i="36"/>
  <c r="S282" i="36"/>
  <c r="S283" i="36"/>
  <c r="S284" i="36"/>
  <c r="S285" i="36"/>
  <c r="S286" i="36"/>
  <c r="S287" i="36"/>
  <c r="S288" i="36"/>
  <c r="S289" i="36"/>
  <c r="S290" i="36"/>
  <c r="S291" i="36"/>
  <c r="S292" i="36"/>
  <c r="S293" i="36"/>
  <c r="S294" i="36"/>
  <c r="S295" i="36"/>
  <c r="S296" i="36"/>
  <c r="S297" i="36"/>
  <c r="S298" i="36"/>
  <c r="S299" i="36"/>
  <c r="S300" i="36"/>
  <c r="S301" i="36"/>
  <c r="S302" i="36"/>
  <c r="S303" i="36"/>
  <c r="S304" i="36"/>
  <c r="S305" i="36"/>
  <c r="S306" i="36"/>
  <c r="S307" i="36"/>
  <c r="S308" i="36"/>
  <c r="S309" i="36"/>
  <c r="S310" i="36"/>
  <c r="S311" i="36"/>
  <c r="S312" i="36"/>
  <c r="S313" i="36"/>
  <c r="S314" i="36"/>
  <c r="S315" i="36"/>
  <c r="S316" i="36"/>
  <c r="S317" i="36"/>
  <c r="S318" i="36"/>
  <c r="S319" i="36"/>
  <c r="S320" i="36"/>
  <c r="S321" i="36"/>
  <c r="S322" i="36"/>
  <c r="S323" i="36"/>
  <c r="S324" i="36"/>
  <c r="S325" i="36"/>
  <c r="S326" i="36"/>
  <c r="S327" i="36"/>
  <c r="S328" i="36"/>
  <c r="S329" i="36"/>
  <c r="S330" i="36"/>
  <c r="S331" i="36"/>
  <c r="S332" i="36"/>
  <c r="S333" i="36"/>
  <c r="S334" i="36"/>
  <c r="S335" i="36"/>
  <c r="S336" i="36"/>
  <c r="S337" i="36"/>
  <c r="S338" i="36"/>
  <c r="S339" i="36"/>
  <c r="S340" i="36"/>
  <c r="S341" i="36"/>
  <c r="S342" i="36"/>
  <c r="S343" i="36"/>
  <c r="S344" i="36"/>
  <c r="S345" i="36"/>
  <c r="S346" i="36"/>
  <c r="S347" i="36"/>
  <c r="S348" i="36"/>
  <c r="S349" i="36"/>
  <c r="S350" i="36"/>
  <c r="S351" i="36"/>
  <c r="S352" i="36"/>
  <c r="S353" i="36"/>
  <c r="S354" i="36"/>
  <c r="S355" i="36"/>
  <c r="S356" i="36"/>
  <c r="S357" i="36"/>
  <c r="S358" i="36"/>
  <c r="S359" i="36"/>
  <c r="S360" i="36"/>
  <c r="S361" i="36"/>
  <c r="S362" i="36"/>
  <c r="S363" i="36"/>
  <c r="S364" i="36"/>
  <c r="S365" i="36"/>
  <c r="S366" i="36"/>
  <c r="S367" i="36"/>
  <c r="S368" i="36"/>
  <c r="S369" i="36"/>
  <c r="S370" i="36"/>
  <c r="S371" i="36"/>
  <c r="S372" i="36"/>
  <c r="S373" i="36"/>
  <c r="S374" i="36"/>
  <c r="S375" i="36"/>
  <c r="S376" i="36"/>
  <c r="S377" i="36"/>
  <c r="S378" i="36"/>
  <c r="S379" i="36"/>
  <c r="S380" i="36"/>
  <c r="S381" i="36"/>
  <c r="S382" i="36"/>
  <c r="S383" i="36"/>
  <c r="S384" i="36"/>
  <c r="S385" i="36"/>
  <c r="S386" i="36"/>
  <c r="S387" i="36"/>
  <c r="S388" i="36"/>
  <c r="S389" i="36"/>
  <c r="S390" i="36"/>
  <c r="S391" i="36"/>
  <c r="S392" i="36"/>
  <c r="S393" i="36"/>
  <c r="S394" i="36"/>
  <c r="S395" i="36"/>
  <c r="S396" i="36"/>
  <c r="S397" i="36"/>
  <c r="S398" i="36"/>
  <c r="S399" i="36"/>
  <c r="S400" i="36"/>
  <c r="S401" i="36"/>
  <c r="S402" i="36"/>
  <c r="S403" i="36"/>
  <c r="S404" i="36"/>
  <c r="S405" i="36"/>
  <c r="S406" i="36"/>
  <c r="S407" i="36"/>
  <c r="S408" i="36"/>
  <c r="S409" i="36"/>
  <c r="S410" i="36"/>
  <c r="S411" i="36"/>
  <c r="S412" i="36"/>
  <c r="S413" i="36"/>
  <c r="S414" i="36"/>
  <c r="S415" i="36"/>
  <c r="S416" i="36"/>
  <c r="S417" i="36"/>
  <c r="S418" i="36"/>
  <c r="S419" i="36"/>
  <c r="S420" i="36"/>
  <c r="S421" i="36"/>
  <c r="S422" i="36"/>
  <c r="S423" i="36"/>
  <c r="S424" i="36"/>
  <c r="S4" i="36"/>
  <c r="N5" i="36"/>
  <c r="N6" i="36"/>
  <c r="N7" i="36"/>
  <c r="N8" i="36"/>
  <c r="N9" i="36"/>
  <c r="N10" i="36"/>
  <c r="N11" i="36"/>
  <c r="N12" i="36"/>
  <c r="N13" i="36"/>
  <c r="N14" i="36"/>
  <c r="N15" i="36"/>
  <c r="N16" i="36"/>
  <c r="N17" i="36"/>
  <c r="N18" i="36"/>
  <c r="N19" i="36"/>
  <c r="N20" i="36"/>
  <c r="N21" i="36"/>
  <c r="N22" i="36"/>
  <c r="N23" i="36"/>
  <c r="N24" i="36"/>
  <c r="N25" i="36"/>
  <c r="N26" i="36"/>
  <c r="N27" i="36"/>
  <c r="N28" i="36"/>
  <c r="N29" i="36"/>
  <c r="N30" i="36"/>
  <c r="N31" i="36"/>
  <c r="N32" i="36"/>
  <c r="N33" i="36"/>
  <c r="N34" i="36"/>
  <c r="N35" i="36"/>
  <c r="N36" i="36"/>
  <c r="N37" i="36"/>
  <c r="N38" i="36"/>
  <c r="N39" i="36"/>
  <c r="N40" i="36"/>
  <c r="N41" i="36"/>
  <c r="N42" i="36"/>
  <c r="N43" i="36"/>
  <c r="N44" i="36"/>
  <c r="N45" i="36"/>
  <c r="N46" i="36"/>
  <c r="N47" i="36"/>
  <c r="N48" i="36"/>
  <c r="N49" i="36"/>
  <c r="N50" i="36"/>
  <c r="N51" i="36"/>
  <c r="N52" i="36"/>
  <c r="N53" i="36"/>
  <c r="N54" i="36"/>
  <c r="N55" i="36"/>
  <c r="N56" i="36"/>
  <c r="N57" i="36"/>
  <c r="N58" i="36"/>
  <c r="N59" i="36"/>
  <c r="N60" i="36"/>
  <c r="N61" i="36"/>
  <c r="N62" i="36"/>
  <c r="N63" i="36"/>
  <c r="N64" i="36"/>
  <c r="N65" i="36"/>
  <c r="N66" i="36"/>
  <c r="N67" i="36"/>
  <c r="N68" i="36"/>
  <c r="N69" i="36"/>
  <c r="N70" i="36"/>
  <c r="N71" i="36"/>
  <c r="N72" i="36"/>
  <c r="N73" i="36"/>
  <c r="N74" i="36"/>
  <c r="N75" i="36"/>
  <c r="N76" i="36"/>
  <c r="N77" i="36"/>
  <c r="N78" i="36"/>
  <c r="N79" i="36"/>
  <c r="N80" i="36"/>
  <c r="N81" i="36"/>
  <c r="N82" i="36"/>
  <c r="N83" i="36"/>
  <c r="N84" i="36"/>
  <c r="N85" i="36"/>
  <c r="N86" i="36"/>
  <c r="N87" i="36"/>
  <c r="N88" i="36"/>
  <c r="N89" i="36"/>
  <c r="N90" i="36"/>
  <c r="N91" i="36"/>
  <c r="N92" i="36"/>
  <c r="N93" i="36"/>
  <c r="N94" i="36"/>
  <c r="N95" i="36"/>
  <c r="N96" i="36"/>
  <c r="N97" i="36"/>
  <c r="N98" i="36"/>
  <c r="N99" i="36"/>
  <c r="N100" i="36"/>
  <c r="N101" i="36"/>
  <c r="N102" i="36"/>
  <c r="N103" i="36"/>
  <c r="N104" i="36"/>
  <c r="N105" i="36"/>
  <c r="N106" i="36"/>
  <c r="N107" i="36"/>
  <c r="N108" i="36"/>
  <c r="N109" i="36"/>
  <c r="N110" i="36"/>
  <c r="N111" i="36"/>
  <c r="N112" i="36"/>
  <c r="N113" i="36"/>
  <c r="N114" i="36"/>
  <c r="N115" i="36"/>
  <c r="N116" i="36"/>
  <c r="N117" i="36"/>
  <c r="N118" i="36"/>
  <c r="N119" i="36"/>
  <c r="N120" i="36"/>
  <c r="N121" i="36"/>
  <c r="N122" i="36"/>
  <c r="N123" i="36"/>
  <c r="N124" i="36"/>
  <c r="N125" i="36"/>
  <c r="N126" i="36"/>
  <c r="N127" i="36"/>
  <c r="N128" i="36"/>
  <c r="N129" i="36"/>
  <c r="N130" i="36"/>
  <c r="N131" i="36"/>
  <c r="N132" i="36"/>
  <c r="N133" i="36"/>
  <c r="N134" i="36"/>
  <c r="N135" i="36"/>
  <c r="N136" i="36"/>
  <c r="N137" i="36"/>
  <c r="N138" i="36"/>
  <c r="N139" i="36"/>
  <c r="N140" i="36"/>
  <c r="N141" i="36"/>
  <c r="N142" i="36"/>
  <c r="N143" i="36"/>
  <c r="N144" i="36"/>
  <c r="N145" i="36"/>
  <c r="N146" i="36"/>
  <c r="N147" i="36"/>
  <c r="N148" i="36"/>
  <c r="N149" i="36"/>
  <c r="N150" i="36"/>
  <c r="N151" i="36"/>
  <c r="N152" i="36"/>
  <c r="N153" i="36"/>
  <c r="N154" i="36"/>
  <c r="N155" i="36"/>
  <c r="N156" i="36"/>
  <c r="N157" i="36"/>
  <c r="N158" i="36"/>
  <c r="N159" i="36"/>
  <c r="N160" i="36"/>
  <c r="N161" i="36"/>
  <c r="N162" i="36"/>
  <c r="N163" i="36"/>
  <c r="N164" i="36"/>
  <c r="N165" i="36"/>
  <c r="N166" i="36"/>
  <c r="N167" i="36"/>
  <c r="N168" i="36"/>
  <c r="N169" i="36"/>
  <c r="N170" i="36"/>
  <c r="N171" i="36"/>
  <c r="N172" i="36"/>
  <c r="N173" i="36"/>
  <c r="N174" i="36"/>
  <c r="N175" i="36"/>
  <c r="N176" i="36"/>
  <c r="N177" i="36"/>
  <c r="N178" i="36"/>
  <c r="N179" i="36"/>
  <c r="N180" i="36"/>
  <c r="N181" i="36"/>
  <c r="N182" i="36"/>
  <c r="N183" i="36"/>
  <c r="N184" i="36"/>
  <c r="N185" i="36"/>
  <c r="N186" i="36"/>
  <c r="N187" i="36"/>
  <c r="N188" i="36"/>
  <c r="N189" i="36"/>
  <c r="N190" i="36"/>
  <c r="N191" i="36"/>
  <c r="N192" i="36"/>
  <c r="N193" i="36"/>
  <c r="N194" i="36"/>
  <c r="N195" i="36"/>
  <c r="N196" i="36"/>
  <c r="N197" i="36"/>
  <c r="N198" i="36"/>
  <c r="N199" i="36"/>
  <c r="N200" i="36"/>
  <c r="N201" i="36"/>
  <c r="N202" i="36"/>
  <c r="N203" i="36"/>
  <c r="N204" i="36"/>
  <c r="N205" i="36"/>
  <c r="N206" i="36"/>
  <c r="N207" i="36"/>
  <c r="N208" i="36"/>
  <c r="N209" i="36"/>
  <c r="N210" i="36"/>
  <c r="N211" i="36"/>
  <c r="N212" i="36"/>
  <c r="N213" i="36"/>
  <c r="N214" i="36"/>
  <c r="N215" i="36"/>
  <c r="N216" i="36"/>
  <c r="N217" i="36"/>
  <c r="N218" i="36"/>
  <c r="N219" i="36"/>
  <c r="N220" i="36"/>
  <c r="N221" i="36"/>
  <c r="N222" i="36"/>
  <c r="N223" i="36"/>
  <c r="N224" i="36"/>
  <c r="N225" i="36"/>
  <c r="N226" i="36"/>
  <c r="N227" i="36"/>
  <c r="N228" i="36"/>
  <c r="N229" i="36"/>
  <c r="N230" i="36"/>
  <c r="N231" i="36"/>
  <c r="N232" i="36"/>
  <c r="N233" i="36"/>
  <c r="N234" i="36"/>
  <c r="N235" i="36"/>
  <c r="N236" i="36"/>
  <c r="N237" i="36"/>
  <c r="N238" i="36"/>
  <c r="N239" i="36"/>
  <c r="N240" i="36"/>
  <c r="N241" i="36"/>
  <c r="N242" i="36"/>
  <c r="N243" i="36"/>
  <c r="N244" i="36"/>
  <c r="N245" i="36"/>
  <c r="N246" i="36"/>
  <c r="N247" i="36"/>
  <c r="N248" i="36"/>
  <c r="N249" i="36"/>
  <c r="N250" i="36"/>
  <c r="N251" i="36"/>
  <c r="N252" i="36"/>
  <c r="N253" i="36"/>
  <c r="N254" i="36"/>
  <c r="N255" i="36"/>
  <c r="N256" i="36"/>
  <c r="N257" i="36"/>
  <c r="N258" i="36"/>
  <c r="N259" i="36"/>
  <c r="N260" i="36"/>
  <c r="N261" i="36"/>
  <c r="N262" i="36"/>
  <c r="N263" i="36"/>
  <c r="N264" i="36"/>
  <c r="N265" i="36"/>
  <c r="N266" i="36"/>
  <c r="N267" i="36"/>
  <c r="N268" i="36"/>
  <c r="N269" i="36"/>
  <c r="N270" i="36"/>
  <c r="N271" i="36"/>
  <c r="N272" i="36"/>
  <c r="N273" i="36"/>
  <c r="N274" i="36"/>
  <c r="N275" i="36"/>
  <c r="N276" i="36"/>
  <c r="N277" i="36"/>
  <c r="N278" i="36"/>
  <c r="N279" i="36"/>
  <c r="N280" i="36"/>
  <c r="N281" i="36"/>
  <c r="N282" i="36"/>
  <c r="N283" i="36"/>
  <c r="N284" i="36"/>
  <c r="N285" i="36"/>
  <c r="N286" i="36"/>
  <c r="N287" i="36"/>
  <c r="N288" i="36"/>
  <c r="N289" i="36"/>
  <c r="N290" i="36"/>
  <c r="N291" i="36"/>
  <c r="N292" i="36"/>
  <c r="N293" i="36"/>
  <c r="N294" i="36"/>
  <c r="N295" i="36"/>
  <c r="N296" i="36"/>
  <c r="N297" i="36"/>
  <c r="N298" i="36"/>
  <c r="N299" i="36"/>
  <c r="N300" i="36"/>
  <c r="N301" i="36"/>
  <c r="N302" i="36"/>
  <c r="N303" i="36"/>
  <c r="N304" i="36"/>
  <c r="N305" i="36"/>
  <c r="N306" i="36"/>
  <c r="N307" i="36"/>
  <c r="N308" i="36"/>
  <c r="N309" i="36"/>
  <c r="N310" i="36"/>
  <c r="N311" i="36"/>
  <c r="N312" i="36"/>
  <c r="N313" i="36"/>
  <c r="N314" i="36"/>
  <c r="N315" i="36"/>
  <c r="N316" i="36"/>
  <c r="N317" i="36"/>
  <c r="N318" i="36"/>
  <c r="N319" i="36"/>
  <c r="N320" i="36"/>
  <c r="N321" i="36"/>
  <c r="N322" i="36"/>
  <c r="N323" i="36"/>
  <c r="N324" i="36"/>
  <c r="N325" i="36"/>
  <c r="N326" i="36"/>
  <c r="N327" i="36"/>
  <c r="N328" i="36"/>
  <c r="N329" i="36"/>
  <c r="N330" i="36"/>
  <c r="N331" i="36"/>
  <c r="N332" i="36"/>
  <c r="N333" i="36"/>
  <c r="N334" i="36"/>
  <c r="N335" i="36"/>
  <c r="N336" i="36"/>
  <c r="N337" i="36"/>
  <c r="N338" i="36"/>
  <c r="N339" i="36"/>
  <c r="N340" i="36"/>
  <c r="N341" i="36"/>
  <c r="N342" i="36"/>
  <c r="N343" i="36"/>
  <c r="N344" i="36"/>
  <c r="N345" i="36"/>
  <c r="N346" i="36"/>
  <c r="N347" i="36"/>
  <c r="N348" i="36"/>
  <c r="N349" i="36"/>
  <c r="N350" i="36"/>
  <c r="N351" i="36"/>
  <c r="N352" i="36"/>
  <c r="N353" i="36"/>
  <c r="N354" i="36"/>
  <c r="N355" i="36"/>
  <c r="N356" i="36"/>
  <c r="N357" i="36"/>
  <c r="N358" i="36"/>
  <c r="N359" i="36"/>
  <c r="N360" i="36"/>
  <c r="N361" i="36"/>
  <c r="N362" i="36"/>
  <c r="N363" i="36"/>
  <c r="N364" i="36"/>
  <c r="N365" i="36"/>
  <c r="N366" i="36"/>
  <c r="N367" i="36"/>
  <c r="N368" i="36"/>
  <c r="N369" i="36"/>
  <c r="N370" i="36"/>
  <c r="N371" i="36"/>
  <c r="N372" i="36"/>
  <c r="N373" i="36"/>
  <c r="N374" i="36"/>
  <c r="N375" i="36"/>
  <c r="N376" i="36"/>
  <c r="N377" i="36"/>
  <c r="N378" i="36"/>
  <c r="N379" i="36"/>
  <c r="N380" i="36"/>
  <c r="N381" i="36"/>
  <c r="N382" i="36"/>
  <c r="N383" i="36"/>
  <c r="N384" i="36"/>
  <c r="N385" i="36"/>
  <c r="N386" i="36"/>
  <c r="N387" i="36"/>
  <c r="N388" i="36"/>
  <c r="N389" i="36"/>
  <c r="N390" i="36"/>
  <c r="N391" i="36"/>
  <c r="N392" i="36"/>
  <c r="N393" i="36"/>
  <c r="N394" i="36"/>
  <c r="N395" i="36"/>
  <c r="N396" i="36"/>
  <c r="N397" i="36"/>
  <c r="N398" i="36"/>
  <c r="N399" i="36"/>
  <c r="N400" i="36"/>
  <c r="N401" i="36"/>
  <c r="N402" i="36"/>
  <c r="N403" i="36"/>
  <c r="N404" i="36"/>
  <c r="N405" i="36"/>
  <c r="N406" i="36"/>
  <c r="N407" i="36"/>
  <c r="N408" i="36"/>
  <c r="N409" i="36"/>
  <c r="N410" i="36"/>
  <c r="N411" i="36"/>
  <c r="N412" i="36"/>
  <c r="N413" i="36"/>
  <c r="N414" i="36"/>
  <c r="N415" i="36"/>
  <c r="N416" i="36"/>
  <c r="N417" i="36"/>
  <c r="N418" i="36"/>
  <c r="N419" i="36"/>
  <c r="N420" i="36"/>
  <c r="N421" i="36"/>
  <c r="N422" i="36"/>
  <c r="N423" i="36"/>
  <c r="N424" i="36"/>
  <c r="N4" i="36"/>
  <c r="I5" i="36"/>
  <c r="I6" i="36"/>
  <c r="I7" i="36"/>
  <c r="I8" i="36"/>
  <c r="I9" i="36"/>
  <c r="I10"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77" i="36"/>
  <c r="I78" i="36"/>
  <c r="I79" i="36"/>
  <c r="I80" i="36"/>
  <c r="I81" i="36"/>
  <c r="I82" i="36"/>
  <c r="I83" i="36"/>
  <c r="I84" i="36"/>
  <c r="I85" i="36"/>
  <c r="I86" i="36"/>
  <c r="I87" i="36"/>
  <c r="I88" i="36"/>
  <c r="I89" i="36"/>
  <c r="I90" i="36"/>
  <c r="I91" i="36"/>
  <c r="I92" i="36"/>
  <c r="I93" i="36"/>
  <c r="I94" i="36"/>
  <c r="I95" i="36"/>
  <c r="I96" i="36"/>
  <c r="I97" i="36"/>
  <c r="I98" i="36"/>
  <c r="I99" i="36"/>
  <c r="I100" i="36"/>
  <c r="I101" i="36"/>
  <c r="I102" i="36"/>
  <c r="I103" i="36"/>
  <c r="I104" i="36"/>
  <c r="I105" i="36"/>
  <c r="I106" i="36"/>
  <c r="I107" i="36"/>
  <c r="I108" i="36"/>
  <c r="I109" i="36"/>
  <c r="I110" i="36"/>
  <c r="I111" i="36"/>
  <c r="I112" i="36"/>
  <c r="I113" i="36"/>
  <c r="I114" i="36"/>
  <c r="I115" i="36"/>
  <c r="I116" i="36"/>
  <c r="I117" i="36"/>
  <c r="I118" i="36"/>
  <c r="I119" i="36"/>
  <c r="I120" i="36"/>
  <c r="I121" i="36"/>
  <c r="I122" i="36"/>
  <c r="I123" i="36"/>
  <c r="I124" i="36"/>
  <c r="I125" i="36"/>
  <c r="I126" i="36"/>
  <c r="I127" i="36"/>
  <c r="I128" i="36"/>
  <c r="I129" i="36"/>
  <c r="I130" i="36"/>
  <c r="I131" i="36"/>
  <c r="I132" i="36"/>
  <c r="I133" i="36"/>
  <c r="I134" i="36"/>
  <c r="I135" i="36"/>
  <c r="I136" i="36"/>
  <c r="I137" i="36"/>
  <c r="I138" i="36"/>
  <c r="I139" i="36"/>
  <c r="I140" i="36"/>
  <c r="I141" i="36"/>
  <c r="I142" i="36"/>
  <c r="I143" i="36"/>
  <c r="I144" i="36"/>
  <c r="I145" i="36"/>
  <c r="I146" i="36"/>
  <c r="I147" i="36"/>
  <c r="I148" i="36"/>
  <c r="I149" i="36"/>
  <c r="I150" i="36"/>
  <c r="I151" i="36"/>
  <c r="I152" i="36"/>
  <c r="I153" i="36"/>
  <c r="I154" i="36"/>
  <c r="I155" i="36"/>
  <c r="I156" i="36"/>
  <c r="I157" i="36"/>
  <c r="I158" i="36"/>
  <c r="I159" i="36"/>
  <c r="I160" i="36"/>
  <c r="I161" i="36"/>
  <c r="I162" i="36"/>
  <c r="I163" i="36"/>
  <c r="I164" i="36"/>
  <c r="I165" i="36"/>
  <c r="I166" i="36"/>
  <c r="I167" i="36"/>
  <c r="I168" i="36"/>
  <c r="I169" i="36"/>
  <c r="I170" i="36"/>
  <c r="I171" i="36"/>
  <c r="I172" i="36"/>
  <c r="I173" i="36"/>
  <c r="I174" i="36"/>
  <c r="I175" i="36"/>
  <c r="I176" i="36"/>
  <c r="I177" i="36"/>
  <c r="I178" i="36"/>
  <c r="I179" i="36"/>
  <c r="I180" i="36"/>
  <c r="I181" i="36"/>
  <c r="I182" i="36"/>
  <c r="I183" i="36"/>
  <c r="I184" i="36"/>
  <c r="I185" i="36"/>
  <c r="I186" i="36"/>
  <c r="I187" i="36"/>
  <c r="I188" i="36"/>
  <c r="I189" i="36"/>
  <c r="I190" i="36"/>
  <c r="I191" i="36"/>
  <c r="I192" i="36"/>
  <c r="I193" i="36"/>
  <c r="I194" i="36"/>
  <c r="I195" i="36"/>
  <c r="I196" i="36"/>
  <c r="I197" i="36"/>
  <c r="I198" i="36"/>
  <c r="I199" i="36"/>
  <c r="I200" i="36"/>
  <c r="I201" i="36"/>
  <c r="I202" i="36"/>
  <c r="I203" i="36"/>
  <c r="I204" i="36"/>
  <c r="I205" i="36"/>
  <c r="I206" i="36"/>
  <c r="I207" i="36"/>
  <c r="I208" i="36"/>
  <c r="I209" i="36"/>
  <c r="I210" i="36"/>
  <c r="I211" i="36"/>
  <c r="I212" i="36"/>
  <c r="I213" i="36"/>
  <c r="I214" i="36"/>
  <c r="I215" i="36"/>
  <c r="I216" i="36"/>
  <c r="I217" i="36"/>
  <c r="I218" i="36"/>
  <c r="I219" i="36"/>
  <c r="I220" i="36"/>
  <c r="I221" i="36"/>
  <c r="I222" i="36"/>
  <c r="I223" i="36"/>
  <c r="I224" i="36"/>
  <c r="I225" i="36"/>
  <c r="I226" i="36"/>
  <c r="I227" i="36"/>
  <c r="I228" i="36"/>
  <c r="I229" i="36"/>
  <c r="I230" i="36"/>
  <c r="I231" i="36"/>
  <c r="I232" i="36"/>
  <c r="I233" i="36"/>
  <c r="I234" i="36"/>
  <c r="I235" i="36"/>
  <c r="I236" i="36"/>
  <c r="I237" i="36"/>
  <c r="I238" i="36"/>
  <c r="I239" i="36"/>
  <c r="I240" i="36"/>
  <c r="I241" i="36"/>
  <c r="I242" i="36"/>
  <c r="I243" i="36"/>
  <c r="I244" i="36"/>
  <c r="I245" i="36"/>
  <c r="I246" i="36"/>
  <c r="I247" i="36"/>
  <c r="I248" i="36"/>
  <c r="I249" i="36"/>
  <c r="I250" i="36"/>
  <c r="I251" i="36"/>
  <c r="I252" i="36"/>
  <c r="I253" i="36"/>
  <c r="I254" i="36"/>
  <c r="I255" i="36"/>
  <c r="I256" i="36"/>
  <c r="I257" i="36"/>
  <c r="I258" i="36"/>
  <c r="I259" i="36"/>
  <c r="I260" i="36"/>
  <c r="I261" i="36"/>
  <c r="I262" i="36"/>
  <c r="I263" i="36"/>
  <c r="I264" i="36"/>
  <c r="I265" i="36"/>
  <c r="I266" i="36"/>
  <c r="I267" i="36"/>
  <c r="I268" i="36"/>
  <c r="I269" i="36"/>
  <c r="I270" i="36"/>
  <c r="I271" i="36"/>
  <c r="I272" i="36"/>
  <c r="I273" i="36"/>
  <c r="I274" i="36"/>
  <c r="I275" i="36"/>
  <c r="I276" i="36"/>
  <c r="I277" i="36"/>
  <c r="I278" i="36"/>
  <c r="I279" i="36"/>
  <c r="I280" i="36"/>
  <c r="I281" i="36"/>
  <c r="I282" i="36"/>
  <c r="I283" i="36"/>
  <c r="I284" i="36"/>
  <c r="I285" i="36"/>
  <c r="I286" i="36"/>
  <c r="I287" i="36"/>
  <c r="I288" i="36"/>
  <c r="I289" i="36"/>
  <c r="I290" i="36"/>
  <c r="I291" i="36"/>
  <c r="I292" i="36"/>
  <c r="I293" i="36"/>
  <c r="I294" i="36"/>
  <c r="I295" i="36"/>
  <c r="I296" i="36"/>
  <c r="I297" i="36"/>
  <c r="I298" i="36"/>
  <c r="I299" i="36"/>
  <c r="I300" i="36"/>
  <c r="I301" i="36"/>
  <c r="I302" i="36"/>
  <c r="I303" i="36"/>
  <c r="I304" i="36"/>
  <c r="I305" i="36"/>
  <c r="I306" i="36"/>
  <c r="I307" i="36"/>
  <c r="I308" i="36"/>
  <c r="I309" i="36"/>
  <c r="I310" i="36"/>
  <c r="I311" i="36"/>
  <c r="I312" i="36"/>
  <c r="I313" i="36"/>
  <c r="I314" i="36"/>
  <c r="I315" i="36"/>
  <c r="I316" i="36"/>
  <c r="I317" i="36"/>
  <c r="I318" i="36"/>
  <c r="I319" i="36"/>
  <c r="I320" i="36"/>
  <c r="I321" i="36"/>
  <c r="I322" i="36"/>
  <c r="I323" i="36"/>
  <c r="I324" i="36"/>
  <c r="I325" i="36"/>
  <c r="I326" i="36"/>
  <c r="I327" i="36"/>
  <c r="I328" i="36"/>
  <c r="I329" i="36"/>
  <c r="I330" i="36"/>
  <c r="I331" i="36"/>
  <c r="I332" i="36"/>
  <c r="I333" i="36"/>
  <c r="I334" i="36"/>
  <c r="I335" i="36"/>
  <c r="I336" i="36"/>
  <c r="I337" i="36"/>
  <c r="I338" i="36"/>
  <c r="I339" i="36"/>
  <c r="I340" i="36"/>
  <c r="I341" i="36"/>
  <c r="I342" i="36"/>
  <c r="I343" i="36"/>
  <c r="I344" i="36"/>
  <c r="I345" i="36"/>
  <c r="I346" i="36"/>
  <c r="I347" i="36"/>
  <c r="I348" i="36"/>
  <c r="I349" i="36"/>
  <c r="I350" i="36"/>
  <c r="I351" i="36"/>
  <c r="I352" i="36"/>
  <c r="I353" i="36"/>
  <c r="I354" i="36"/>
  <c r="I355" i="36"/>
  <c r="I356" i="36"/>
  <c r="I357" i="36"/>
  <c r="I358" i="36"/>
  <c r="I359" i="36"/>
  <c r="I360" i="36"/>
  <c r="I361" i="36"/>
  <c r="I362" i="36"/>
  <c r="I363" i="36"/>
  <c r="I364" i="36"/>
  <c r="I365" i="36"/>
  <c r="I366" i="36"/>
  <c r="I367" i="36"/>
  <c r="I368" i="36"/>
  <c r="I369" i="36"/>
  <c r="I370" i="36"/>
  <c r="I371" i="36"/>
  <c r="I372" i="36"/>
  <c r="I373" i="36"/>
  <c r="I374" i="36"/>
  <c r="I375" i="36"/>
  <c r="I376" i="36"/>
  <c r="I377" i="36"/>
  <c r="I378" i="36"/>
  <c r="I379" i="36"/>
  <c r="I380" i="36"/>
  <c r="I381" i="36"/>
  <c r="I382" i="36"/>
  <c r="I383" i="36"/>
  <c r="I384" i="36"/>
  <c r="I385" i="36"/>
  <c r="I386" i="36"/>
  <c r="I387" i="36"/>
  <c r="I388" i="36"/>
  <c r="I389" i="36"/>
  <c r="I390" i="36"/>
  <c r="I391" i="36"/>
  <c r="I392" i="36"/>
  <c r="I393" i="36"/>
  <c r="I394" i="36"/>
  <c r="I395" i="36"/>
  <c r="I396" i="36"/>
  <c r="I397" i="36"/>
  <c r="I398" i="36"/>
  <c r="I399" i="36"/>
  <c r="I400" i="36"/>
  <c r="I401" i="36"/>
  <c r="I402" i="36"/>
  <c r="I403" i="36"/>
  <c r="I404" i="36"/>
  <c r="I405" i="36"/>
  <c r="I406" i="36"/>
  <c r="I407" i="36"/>
  <c r="I408" i="36"/>
  <c r="I409" i="36"/>
  <c r="I410" i="36"/>
  <c r="I411" i="36"/>
  <c r="I412" i="36"/>
  <c r="I413" i="36"/>
  <c r="I414" i="36"/>
  <c r="I415" i="36"/>
  <c r="I416" i="36"/>
  <c r="I417" i="36"/>
  <c r="I418" i="36"/>
  <c r="I419" i="36"/>
  <c r="I420" i="36"/>
  <c r="I421" i="36"/>
  <c r="I422" i="36"/>
  <c r="I423" i="36"/>
  <c r="I424" i="36"/>
  <c r="I4" i="36"/>
  <c r="B1" i="39" l="1"/>
  <c r="F360" i="39" s="1"/>
  <c r="C417" i="39"/>
  <c r="B417" i="39"/>
  <c r="R417" i="39" s="1"/>
  <c r="A417" i="39"/>
  <c r="C416" i="39"/>
  <c r="B416" i="39"/>
  <c r="A416" i="39"/>
  <c r="C415" i="39"/>
  <c r="B415" i="39"/>
  <c r="A415" i="39"/>
  <c r="C414" i="39"/>
  <c r="B414" i="39"/>
  <c r="A414" i="39"/>
  <c r="C413" i="39"/>
  <c r="B413" i="39"/>
  <c r="R413" i="39" s="1"/>
  <c r="A413" i="39"/>
  <c r="C412" i="39"/>
  <c r="B412" i="39"/>
  <c r="S412" i="39" s="1"/>
  <c r="A412" i="39"/>
  <c r="C411" i="39"/>
  <c r="B411" i="39"/>
  <c r="A411" i="39"/>
  <c r="C410" i="39"/>
  <c r="B410" i="39"/>
  <c r="A410" i="39"/>
  <c r="C409" i="39"/>
  <c r="B409" i="39"/>
  <c r="R409" i="39" s="1"/>
  <c r="A409" i="39"/>
  <c r="C408" i="39"/>
  <c r="B408" i="39"/>
  <c r="S408" i="39" s="1"/>
  <c r="A408" i="39"/>
  <c r="C407" i="39"/>
  <c r="B407" i="39"/>
  <c r="A407" i="39"/>
  <c r="C406" i="39"/>
  <c r="B406" i="39"/>
  <c r="A406" i="39"/>
  <c r="C405" i="39"/>
  <c r="B405" i="39"/>
  <c r="R405" i="39" s="1"/>
  <c r="A405" i="39"/>
  <c r="C404" i="39"/>
  <c r="B404" i="39"/>
  <c r="A404" i="39"/>
  <c r="C403" i="39"/>
  <c r="B403" i="39"/>
  <c r="A403" i="39"/>
  <c r="C402" i="39"/>
  <c r="B402" i="39"/>
  <c r="A402" i="39"/>
  <c r="C401" i="39"/>
  <c r="B401" i="39"/>
  <c r="R401" i="39" s="1"/>
  <c r="A401" i="39"/>
  <c r="C400" i="39"/>
  <c r="B400" i="39"/>
  <c r="A400" i="39"/>
  <c r="C399" i="39"/>
  <c r="B399" i="39"/>
  <c r="A399" i="39"/>
  <c r="R398" i="39"/>
  <c r="C398" i="39"/>
  <c r="B398" i="39"/>
  <c r="A398" i="39"/>
  <c r="R397" i="39"/>
  <c r="C397" i="39"/>
  <c r="B397" i="39"/>
  <c r="A397" i="39"/>
  <c r="S396" i="39"/>
  <c r="C396" i="39"/>
  <c r="B396" i="39"/>
  <c r="A396" i="39"/>
  <c r="S395" i="39"/>
  <c r="R395" i="39"/>
  <c r="C395" i="39"/>
  <c r="B395" i="39"/>
  <c r="A395" i="39"/>
  <c r="C394" i="39"/>
  <c r="B394" i="39"/>
  <c r="A394" i="39"/>
  <c r="S393" i="39"/>
  <c r="C393" i="39"/>
  <c r="B393" i="39"/>
  <c r="R393" i="39" s="1"/>
  <c r="A393" i="39"/>
  <c r="S392" i="39"/>
  <c r="C392" i="39"/>
  <c r="B392" i="39"/>
  <c r="A392" i="39"/>
  <c r="S391" i="39"/>
  <c r="L391" i="39"/>
  <c r="C391" i="39"/>
  <c r="B391" i="39"/>
  <c r="R391" i="39" s="1"/>
  <c r="A391" i="39"/>
  <c r="C390" i="39"/>
  <c r="B390" i="39"/>
  <c r="R390" i="39" s="1"/>
  <c r="A390" i="39"/>
  <c r="S389" i="39"/>
  <c r="C389" i="39"/>
  <c r="B389" i="39"/>
  <c r="R389" i="39" s="1"/>
  <c r="A389" i="39"/>
  <c r="C388" i="39"/>
  <c r="B388" i="39"/>
  <c r="S388" i="39" s="1"/>
  <c r="A388" i="39"/>
  <c r="C387" i="39"/>
  <c r="B387" i="39"/>
  <c r="A387" i="39"/>
  <c r="C386" i="39"/>
  <c r="B386" i="39"/>
  <c r="A386" i="39"/>
  <c r="R385" i="39"/>
  <c r="C385" i="39"/>
  <c r="B385" i="39"/>
  <c r="A385" i="39"/>
  <c r="C384" i="39"/>
  <c r="B384" i="39"/>
  <c r="S384" i="39" s="1"/>
  <c r="A384" i="39"/>
  <c r="S383" i="39"/>
  <c r="R383" i="39"/>
  <c r="C383" i="39"/>
  <c r="B383" i="39"/>
  <c r="A383" i="39"/>
  <c r="C382" i="39"/>
  <c r="B382" i="39"/>
  <c r="L382" i="39" s="1"/>
  <c r="A382" i="39"/>
  <c r="C381" i="39"/>
  <c r="B381" i="39"/>
  <c r="A381" i="39"/>
  <c r="C380" i="39"/>
  <c r="B380" i="39"/>
  <c r="L380" i="39" s="1"/>
  <c r="A380" i="39"/>
  <c r="R379" i="39"/>
  <c r="L379" i="39"/>
  <c r="C379" i="39"/>
  <c r="B379" i="39"/>
  <c r="A379" i="39"/>
  <c r="C378" i="39"/>
  <c r="B378" i="39"/>
  <c r="L378" i="39" s="1"/>
  <c r="A378" i="39"/>
  <c r="C377" i="39"/>
  <c r="B377" i="39"/>
  <c r="A377" i="39"/>
  <c r="C376" i="39"/>
  <c r="B376" i="39"/>
  <c r="S376" i="39" s="1"/>
  <c r="A376" i="39"/>
  <c r="R375" i="39"/>
  <c r="L375" i="39"/>
  <c r="C375" i="39"/>
  <c r="B375" i="39"/>
  <c r="A375" i="39"/>
  <c r="C374" i="39"/>
  <c r="B374" i="39"/>
  <c r="L374" i="39" s="1"/>
  <c r="A374" i="39"/>
  <c r="S373" i="39"/>
  <c r="R373" i="39"/>
  <c r="C373" i="39"/>
  <c r="B373" i="39"/>
  <c r="A373" i="39"/>
  <c r="L372" i="39"/>
  <c r="C372" i="39"/>
  <c r="B372" i="39"/>
  <c r="S372" i="39" s="1"/>
  <c r="A372" i="39"/>
  <c r="C371" i="39"/>
  <c r="B371" i="39"/>
  <c r="A371" i="39"/>
  <c r="C370" i="39"/>
  <c r="B370" i="39"/>
  <c r="L370" i="39" s="1"/>
  <c r="A370" i="39"/>
  <c r="S369" i="39"/>
  <c r="R369" i="39"/>
  <c r="C369" i="39"/>
  <c r="B369" i="39"/>
  <c r="A369" i="39"/>
  <c r="L368" i="39"/>
  <c r="C368" i="39"/>
  <c r="B368" i="39"/>
  <c r="S368" i="39" s="1"/>
  <c r="A368" i="39"/>
  <c r="L367" i="39"/>
  <c r="C367" i="39"/>
  <c r="B367" i="39"/>
  <c r="A367" i="39"/>
  <c r="L366" i="39"/>
  <c r="C366" i="39"/>
  <c r="B366" i="39"/>
  <c r="A366" i="39"/>
  <c r="S365" i="39"/>
  <c r="C365" i="39"/>
  <c r="B365" i="39"/>
  <c r="R365" i="39" s="1"/>
  <c r="A365" i="39"/>
  <c r="C364" i="39"/>
  <c r="B364" i="39"/>
  <c r="A364" i="39"/>
  <c r="S363" i="39"/>
  <c r="C363" i="39"/>
  <c r="B363" i="39"/>
  <c r="R363" i="39" s="1"/>
  <c r="A363" i="39"/>
  <c r="C362" i="39"/>
  <c r="B362" i="39"/>
  <c r="A362" i="39"/>
  <c r="C361" i="39"/>
  <c r="B361" i="39"/>
  <c r="R361" i="39" s="1"/>
  <c r="A361" i="39"/>
  <c r="C360" i="39"/>
  <c r="B360" i="39"/>
  <c r="A360" i="39"/>
  <c r="S359" i="39"/>
  <c r="C359" i="39"/>
  <c r="B359" i="39"/>
  <c r="A359" i="39"/>
  <c r="R358" i="39"/>
  <c r="C358" i="39"/>
  <c r="B358" i="39"/>
  <c r="A358" i="39"/>
  <c r="C357" i="39"/>
  <c r="B357" i="39"/>
  <c r="A357" i="39"/>
  <c r="C356" i="39"/>
  <c r="B356" i="39"/>
  <c r="S356" i="39" s="1"/>
  <c r="A356" i="39"/>
  <c r="L355" i="39"/>
  <c r="C355" i="39"/>
  <c r="B355" i="39"/>
  <c r="R355" i="39" s="1"/>
  <c r="A355" i="39"/>
  <c r="C354" i="39"/>
  <c r="B354" i="39"/>
  <c r="A354" i="39"/>
  <c r="R353" i="39"/>
  <c r="C353" i="39"/>
  <c r="B353" i="39"/>
  <c r="S353" i="39" s="1"/>
  <c r="A353" i="39"/>
  <c r="C352" i="39"/>
  <c r="B352" i="39"/>
  <c r="A352" i="39"/>
  <c r="C351" i="39"/>
  <c r="B351" i="39"/>
  <c r="S351" i="39" s="1"/>
  <c r="A351" i="39"/>
  <c r="C350" i="39"/>
  <c r="B350" i="39"/>
  <c r="R350" i="39" s="1"/>
  <c r="A350" i="39"/>
  <c r="C349" i="39"/>
  <c r="B349" i="39"/>
  <c r="A349" i="39"/>
  <c r="C348" i="39"/>
  <c r="B348" i="39"/>
  <c r="A348" i="39"/>
  <c r="S347" i="39"/>
  <c r="R347" i="39"/>
  <c r="C347" i="39"/>
  <c r="B347" i="39"/>
  <c r="L347" i="39" s="1"/>
  <c r="A347" i="39"/>
  <c r="C346" i="39"/>
  <c r="B346" i="39"/>
  <c r="A346" i="39"/>
  <c r="S345" i="39"/>
  <c r="C345" i="39"/>
  <c r="B345" i="39"/>
  <c r="R345" i="39" s="1"/>
  <c r="A345" i="39"/>
  <c r="C344" i="39"/>
  <c r="B344" i="39"/>
  <c r="A344" i="39"/>
  <c r="C343" i="39"/>
  <c r="B343" i="39"/>
  <c r="A343" i="39"/>
  <c r="C342" i="39"/>
  <c r="B342" i="39"/>
  <c r="R342" i="39" s="1"/>
  <c r="A342" i="39"/>
  <c r="C341" i="39"/>
  <c r="B341" i="39"/>
  <c r="R341" i="39" s="1"/>
  <c r="A341" i="39"/>
  <c r="C340" i="39"/>
  <c r="B340" i="39"/>
  <c r="A340" i="39"/>
  <c r="C339" i="39"/>
  <c r="B339" i="39"/>
  <c r="A339" i="39"/>
  <c r="C338" i="39"/>
  <c r="B338" i="39"/>
  <c r="L338" i="39" s="1"/>
  <c r="A338" i="39"/>
  <c r="C337" i="39"/>
  <c r="B337" i="39"/>
  <c r="S337" i="39" s="1"/>
  <c r="A337" i="39"/>
  <c r="C336" i="39"/>
  <c r="B336" i="39"/>
  <c r="L336" i="39" s="1"/>
  <c r="A336" i="39"/>
  <c r="S335" i="39"/>
  <c r="C335" i="39"/>
  <c r="B335" i="39"/>
  <c r="R335" i="39" s="1"/>
  <c r="A335" i="39"/>
  <c r="C334" i="39"/>
  <c r="B334" i="39"/>
  <c r="A334" i="39"/>
  <c r="C333" i="39"/>
  <c r="B333" i="39"/>
  <c r="A333" i="39"/>
  <c r="C332" i="39"/>
  <c r="B332" i="39"/>
  <c r="A332" i="39"/>
  <c r="C331" i="39"/>
  <c r="B331" i="39"/>
  <c r="A331" i="39"/>
  <c r="C330" i="39"/>
  <c r="B330" i="39"/>
  <c r="L330" i="39" s="1"/>
  <c r="A330" i="39"/>
  <c r="C329" i="39"/>
  <c r="B329" i="39"/>
  <c r="A329" i="39"/>
  <c r="C328" i="39"/>
  <c r="B328" i="39"/>
  <c r="L328" i="39" s="1"/>
  <c r="A328" i="39"/>
  <c r="L327" i="39"/>
  <c r="C327" i="39"/>
  <c r="B327" i="39"/>
  <c r="R327" i="39" s="1"/>
  <c r="A327" i="39"/>
  <c r="R326" i="39"/>
  <c r="L326" i="39"/>
  <c r="C326" i="39"/>
  <c r="B326" i="39"/>
  <c r="A326" i="39"/>
  <c r="S325" i="39"/>
  <c r="C325" i="39"/>
  <c r="B325" i="39"/>
  <c r="R325" i="39" s="1"/>
  <c r="A325" i="39"/>
  <c r="L324" i="39"/>
  <c r="C324" i="39"/>
  <c r="B324" i="39"/>
  <c r="A324" i="39"/>
  <c r="C323" i="39"/>
  <c r="B323" i="39"/>
  <c r="R323" i="39" s="1"/>
  <c r="A323" i="39"/>
  <c r="C322" i="39"/>
  <c r="B322" i="39"/>
  <c r="L322" i="39" s="1"/>
  <c r="A322" i="39"/>
  <c r="C321" i="39"/>
  <c r="B321" i="39"/>
  <c r="R321" i="39" s="1"/>
  <c r="A321" i="39"/>
  <c r="L320" i="39"/>
  <c r="C320" i="39"/>
  <c r="B320" i="39"/>
  <c r="A320" i="39"/>
  <c r="C319" i="39"/>
  <c r="B319" i="39"/>
  <c r="R319" i="39" s="1"/>
  <c r="A319" i="39"/>
  <c r="C318" i="39"/>
  <c r="B318" i="39"/>
  <c r="A318" i="39"/>
  <c r="C317" i="39"/>
  <c r="B317" i="39"/>
  <c r="R317" i="39" s="1"/>
  <c r="A317" i="39"/>
  <c r="C316" i="39"/>
  <c r="B316" i="39"/>
  <c r="A316" i="39"/>
  <c r="S315" i="39"/>
  <c r="C315" i="39"/>
  <c r="B315" i="39"/>
  <c r="R315" i="39" s="1"/>
  <c r="A315" i="39"/>
  <c r="L314" i="39"/>
  <c r="C314" i="39"/>
  <c r="B314" i="39"/>
  <c r="A314" i="39"/>
  <c r="C313" i="39"/>
  <c r="B313" i="39"/>
  <c r="R313" i="39" s="1"/>
  <c r="A313" i="39"/>
  <c r="C312" i="39"/>
  <c r="B312" i="39"/>
  <c r="A312" i="39"/>
  <c r="C311" i="39"/>
  <c r="B311" i="39"/>
  <c r="A311" i="39"/>
  <c r="C310" i="39"/>
  <c r="B310" i="39"/>
  <c r="R310" i="39" s="1"/>
  <c r="A310" i="39"/>
  <c r="C309" i="39"/>
  <c r="B309" i="39"/>
  <c r="A309" i="39"/>
  <c r="C308" i="39"/>
  <c r="B308" i="39"/>
  <c r="A308" i="39"/>
  <c r="C307" i="39"/>
  <c r="B307" i="39"/>
  <c r="A307" i="39"/>
  <c r="R306" i="39"/>
  <c r="C306" i="39"/>
  <c r="B306" i="39"/>
  <c r="A306" i="39"/>
  <c r="C305" i="39"/>
  <c r="B305" i="39"/>
  <c r="A305" i="39"/>
  <c r="C304" i="39"/>
  <c r="B304" i="39"/>
  <c r="A304" i="39"/>
  <c r="C303" i="39"/>
  <c r="B303" i="39"/>
  <c r="A303" i="39"/>
  <c r="R302" i="39"/>
  <c r="C302" i="39"/>
  <c r="B302" i="39"/>
  <c r="A302" i="39"/>
  <c r="C301" i="39"/>
  <c r="B301" i="39"/>
  <c r="A301" i="39"/>
  <c r="C300" i="39"/>
  <c r="B300" i="39"/>
  <c r="A300" i="39"/>
  <c r="C299" i="39"/>
  <c r="B299" i="39"/>
  <c r="A299" i="39"/>
  <c r="C298" i="39"/>
  <c r="B298" i="39"/>
  <c r="R298" i="39" s="1"/>
  <c r="A298" i="39"/>
  <c r="C297" i="39"/>
  <c r="B297" i="39"/>
  <c r="A297" i="39"/>
  <c r="C296" i="39"/>
  <c r="B296" i="39"/>
  <c r="A296" i="39"/>
  <c r="R295" i="39"/>
  <c r="C295" i="39"/>
  <c r="B295" i="39"/>
  <c r="A295" i="39"/>
  <c r="C294" i="39"/>
  <c r="B294" i="39"/>
  <c r="A294" i="39"/>
  <c r="C293" i="39"/>
  <c r="B293" i="39"/>
  <c r="A293" i="39"/>
  <c r="C292" i="39"/>
  <c r="B292" i="39"/>
  <c r="S292" i="39" s="1"/>
  <c r="A292" i="39"/>
  <c r="C291" i="39"/>
  <c r="B291" i="39"/>
  <c r="A291" i="39"/>
  <c r="L290" i="39"/>
  <c r="C290" i="39"/>
  <c r="B290" i="39"/>
  <c r="A290" i="39"/>
  <c r="C289" i="39"/>
  <c r="B289" i="39"/>
  <c r="A289" i="39"/>
  <c r="L288" i="39"/>
  <c r="C288" i="39"/>
  <c r="B288" i="39"/>
  <c r="S288" i="39" s="1"/>
  <c r="A288" i="39"/>
  <c r="C287" i="39"/>
  <c r="B287" i="39"/>
  <c r="A287" i="39"/>
  <c r="C286" i="39"/>
  <c r="B286" i="39"/>
  <c r="L286" i="39" s="1"/>
  <c r="A286" i="39"/>
  <c r="C285" i="39"/>
  <c r="B285" i="39"/>
  <c r="R285" i="39" s="1"/>
  <c r="A285" i="39"/>
  <c r="C284" i="39"/>
  <c r="B284" i="39"/>
  <c r="S284" i="39" s="1"/>
  <c r="A284" i="39"/>
  <c r="C283" i="39"/>
  <c r="B283" i="39"/>
  <c r="A283" i="39"/>
  <c r="C282" i="39"/>
  <c r="B282" i="39"/>
  <c r="L282" i="39" s="1"/>
  <c r="A282" i="39"/>
  <c r="C281" i="39"/>
  <c r="B281" i="39"/>
  <c r="R281" i="39" s="1"/>
  <c r="A281" i="39"/>
  <c r="C280" i="39"/>
  <c r="B280" i="39"/>
  <c r="S280" i="39" s="1"/>
  <c r="A280" i="39"/>
  <c r="C279" i="39"/>
  <c r="B279" i="39"/>
  <c r="A279" i="39"/>
  <c r="C278" i="39"/>
  <c r="B278" i="39"/>
  <c r="L278" i="39" s="1"/>
  <c r="A278" i="39"/>
  <c r="R277" i="39"/>
  <c r="C277" i="39"/>
  <c r="B277" i="39"/>
  <c r="A277" i="39"/>
  <c r="C276" i="39"/>
  <c r="B276" i="39"/>
  <c r="S276" i="39" s="1"/>
  <c r="A276" i="39"/>
  <c r="C275" i="39"/>
  <c r="B275" i="39"/>
  <c r="A275" i="39"/>
  <c r="L274" i="39"/>
  <c r="C274" i="39"/>
  <c r="B274" i="39"/>
  <c r="A274" i="39"/>
  <c r="C273" i="39"/>
  <c r="B273" i="39"/>
  <c r="A273" i="39"/>
  <c r="C272" i="39"/>
  <c r="B272" i="39"/>
  <c r="S272" i="39" s="1"/>
  <c r="A272" i="39"/>
  <c r="C271" i="39"/>
  <c r="B271" i="39"/>
  <c r="A271" i="39"/>
  <c r="C270" i="39"/>
  <c r="B270" i="39"/>
  <c r="L270" i="39" s="1"/>
  <c r="A270" i="39"/>
  <c r="C269" i="39"/>
  <c r="B269" i="39"/>
  <c r="R269" i="39" s="1"/>
  <c r="A269" i="39"/>
  <c r="C268" i="39"/>
  <c r="B268" i="39"/>
  <c r="A268" i="39"/>
  <c r="C267" i="39"/>
  <c r="B267" i="39"/>
  <c r="A267" i="39"/>
  <c r="L266" i="39"/>
  <c r="C266" i="39"/>
  <c r="B266" i="39"/>
  <c r="A266" i="39"/>
  <c r="C265" i="39"/>
  <c r="B265" i="39"/>
  <c r="R265" i="39" s="1"/>
  <c r="A265" i="39"/>
  <c r="L264" i="39"/>
  <c r="C264" i="39"/>
  <c r="B264" i="39"/>
  <c r="S264" i="39" s="1"/>
  <c r="A264" i="39"/>
  <c r="C263" i="39"/>
  <c r="B263" i="39"/>
  <c r="A263" i="39"/>
  <c r="C262" i="39"/>
  <c r="B262" i="39"/>
  <c r="L262" i="39" s="1"/>
  <c r="A262" i="39"/>
  <c r="C261" i="39"/>
  <c r="B261" i="39"/>
  <c r="R261" i="39" s="1"/>
  <c r="A261" i="39"/>
  <c r="C260" i="39"/>
  <c r="B260" i="39"/>
  <c r="S260" i="39" s="1"/>
  <c r="A260" i="39"/>
  <c r="C259" i="39"/>
  <c r="B259" i="39"/>
  <c r="S259" i="39" s="1"/>
  <c r="A259" i="39"/>
  <c r="C258" i="39"/>
  <c r="B258" i="39"/>
  <c r="L258" i="39" s="1"/>
  <c r="A258" i="39"/>
  <c r="C257" i="39"/>
  <c r="B257" i="39"/>
  <c r="A257" i="39"/>
  <c r="C256" i="39"/>
  <c r="B256" i="39"/>
  <c r="S256" i="39" s="1"/>
  <c r="A256" i="39"/>
  <c r="C255" i="39"/>
  <c r="B255" i="39"/>
  <c r="A255" i="39"/>
  <c r="C254" i="39"/>
  <c r="B254" i="39"/>
  <c r="L254" i="39" s="1"/>
  <c r="A254" i="39"/>
  <c r="C253" i="39"/>
  <c r="B253" i="39"/>
  <c r="A253" i="39"/>
  <c r="C252" i="39"/>
  <c r="B252" i="39"/>
  <c r="S252" i="39" s="1"/>
  <c r="A252" i="39"/>
  <c r="R251" i="39"/>
  <c r="C251" i="39"/>
  <c r="B251" i="39"/>
  <c r="S251" i="39" s="1"/>
  <c r="A251" i="39"/>
  <c r="C250" i="39"/>
  <c r="B250" i="39"/>
  <c r="L250" i="39" s="1"/>
  <c r="A250" i="39"/>
  <c r="C249" i="39"/>
  <c r="B249" i="39"/>
  <c r="A249" i="39"/>
  <c r="L248" i="39"/>
  <c r="C248" i="39"/>
  <c r="B248" i="39"/>
  <c r="S248" i="39" s="1"/>
  <c r="A248" i="39"/>
  <c r="R247" i="39"/>
  <c r="C247" i="39"/>
  <c r="B247" i="39"/>
  <c r="S247" i="39" s="1"/>
  <c r="A247" i="39"/>
  <c r="L246" i="39"/>
  <c r="C246" i="39"/>
  <c r="B246" i="39"/>
  <c r="A246" i="39"/>
  <c r="C245" i="39"/>
  <c r="B245" i="39"/>
  <c r="A245" i="39"/>
  <c r="C244" i="39"/>
  <c r="B244" i="39"/>
  <c r="S244" i="39" s="1"/>
  <c r="A244" i="39"/>
  <c r="R243" i="39"/>
  <c r="C243" i="39"/>
  <c r="B243" i="39"/>
  <c r="S243" i="39" s="1"/>
  <c r="A243" i="39"/>
  <c r="L242" i="39"/>
  <c r="C242" i="39"/>
  <c r="B242" i="39"/>
  <c r="A242" i="39"/>
  <c r="C241" i="39"/>
  <c r="B241" i="39"/>
  <c r="A241" i="39"/>
  <c r="C240" i="39"/>
  <c r="B240" i="39"/>
  <c r="S240" i="39" s="1"/>
  <c r="A240" i="39"/>
  <c r="R239" i="39"/>
  <c r="C239" i="39"/>
  <c r="B239" i="39"/>
  <c r="S239" i="39" s="1"/>
  <c r="A239" i="39"/>
  <c r="L238" i="39"/>
  <c r="C238" i="39"/>
  <c r="B238" i="39"/>
  <c r="A238" i="39"/>
  <c r="C237" i="39"/>
  <c r="B237" i="39"/>
  <c r="A237" i="39"/>
  <c r="C236" i="39"/>
  <c r="B236" i="39"/>
  <c r="S236" i="39" s="1"/>
  <c r="A236" i="39"/>
  <c r="R235" i="39"/>
  <c r="C235" i="39"/>
  <c r="B235" i="39"/>
  <c r="S235" i="39" s="1"/>
  <c r="A235" i="39"/>
  <c r="L234" i="39"/>
  <c r="C234" i="39"/>
  <c r="B234" i="39"/>
  <c r="A234" i="39"/>
  <c r="C233" i="39"/>
  <c r="B233" i="39"/>
  <c r="A233" i="39"/>
  <c r="C232" i="39"/>
  <c r="B232" i="39"/>
  <c r="S232" i="39" s="1"/>
  <c r="A232" i="39"/>
  <c r="C231" i="39"/>
  <c r="B231" i="39"/>
  <c r="A231" i="39"/>
  <c r="C230" i="39"/>
  <c r="B230" i="39"/>
  <c r="L230" i="39" s="1"/>
  <c r="A230" i="39"/>
  <c r="C229" i="39"/>
  <c r="B229" i="39"/>
  <c r="R229" i="39" s="1"/>
  <c r="A229" i="39"/>
  <c r="C228" i="39"/>
  <c r="B228" i="39"/>
  <c r="A228" i="39"/>
  <c r="C227" i="39"/>
  <c r="B227" i="39"/>
  <c r="A227" i="39"/>
  <c r="L226" i="39"/>
  <c r="C226" i="39"/>
  <c r="B226" i="39"/>
  <c r="A226" i="39"/>
  <c r="R225" i="39"/>
  <c r="C225" i="39"/>
  <c r="B225" i="39"/>
  <c r="S225" i="39" s="1"/>
  <c r="A225" i="39"/>
  <c r="L224" i="39"/>
  <c r="C224" i="39"/>
  <c r="B224" i="39"/>
  <c r="S224" i="39" s="1"/>
  <c r="A224" i="39"/>
  <c r="C223" i="39"/>
  <c r="B223" i="39"/>
  <c r="A223" i="39"/>
  <c r="C222" i="39"/>
  <c r="B222" i="39"/>
  <c r="A222" i="39"/>
  <c r="R221" i="39"/>
  <c r="C221" i="39"/>
  <c r="B221" i="39"/>
  <c r="S221" i="39" s="1"/>
  <c r="A221" i="39"/>
  <c r="C220" i="39"/>
  <c r="B220" i="39"/>
  <c r="A220" i="39"/>
  <c r="L219" i="39"/>
  <c r="C219" i="39"/>
  <c r="B219" i="39"/>
  <c r="S219" i="39" s="1"/>
  <c r="A219" i="39"/>
  <c r="L218" i="39"/>
  <c r="C218" i="39"/>
  <c r="B218" i="39"/>
  <c r="A218" i="39"/>
  <c r="R217" i="39"/>
  <c r="C217" i="39"/>
  <c r="B217" i="39"/>
  <c r="S217" i="39" s="1"/>
  <c r="A217" i="39"/>
  <c r="S216" i="39"/>
  <c r="L216" i="39"/>
  <c r="C216" i="39"/>
  <c r="B216" i="39"/>
  <c r="A216" i="39"/>
  <c r="C215" i="39"/>
  <c r="B215" i="39"/>
  <c r="R215" i="39" s="1"/>
  <c r="A215" i="39"/>
  <c r="C214" i="39"/>
  <c r="B214" i="39"/>
  <c r="L214" i="39" s="1"/>
  <c r="A214" i="39"/>
  <c r="C213" i="39"/>
  <c r="B213" i="39"/>
  <c r="R213" i="39" s="1"/>
  <c r="A213" i="39"/>
  <c r="C212" i="39"/>
  <c r="B212" i="39"/>
  <c r="S212" i="39" s="1"/>
  <c r="A212" i="39"/>
  <c r="L211" i="39"/>
  <c r="C211" i="39"/>
  <c r="B211" i="39"/>
  <c r="R211" i="39" s="1"/>
  <c r="A211" i="39"/>
  <c r="L210" i="39"/>
  <c r="C210" i="39"/>
  <c r="B210" i="39"/>
  <c r="A210" i="39"/>
  <c r="S209" i="39"/>
  <c r="C209" i="39"/>
  <c r="B209" i="39"/>
  <c r="R209" i="39" s="1"/>
  <c r="A209" i="39"/>
  <c r="S208" i="39"/>
  <c r="C208" i="39"/>
  <c r="B208" i="39"/>
  <c r="L208" i="39" s="1"/>
  <c r="A208" i="39"/>
  <c r="C207" i="39"/>
  <c r="B207" i="39"/>
  <c r="A207" i="39"/>
  <c r="C206" i="39"/>
  <c r="B206" i="39"/>
  <c r="L206" i="39" s="1"/>
  <c r="A206" i="39"/>
  <c r="C205" i="39"/>
  <c r="B205" i="39"/>
  <c r="A205" i="39"/>
  <c r="C204" i="39"/>
  <c r="B204" i="39"/>
  <c r="L204" i="39" s="1"/>
  <c r="A204" i="39"/>
  <c r="L203" i="39"/>
  <c r="C203" i="39"/>
  <c r="B203" i="39"/>
  <c r="R203" i="39" s="1"/>
  <c r="A203" i="39"/>
  <c r="L202" i="39"/>
  <c r="C202" i="39"/>
  <c r="B202" i="39"/>
  <c r="A202" i="39"/>
  <c r="S201" i="39"/>
  <c r="C201" i="39"/>
  <c r="B201" i="39"/>
  <c r="R201" i="39" s="1"/>
  <c r="A201" i="39"/>
  <c r="S200" i="39"/>
  <c r="L200" i="39"/>
  <c r="C200" i="39"/>
  <c r="B200" i="39"/>
  <c r="A200" i="39"/>
  <c r="C199" i="39"/>
  <c r="B199" i="39"/>
  <c r="R199" i="39" s="1"/>
  <c r="A199" i="39"/>
  <c r="C198" i="39"/>
  <c r="B198" i="39"/>
  <c r="L198" i="39" s="1"/>
  <c r="A198" i="39"/>
  <c r="C197" i="39"/>
  <c r="B197" i="39"/>
  <c r="R197" i="39" s="1"/>
  <c r="A197" i="39"/>
  <c r="S196" i="39"/>
  <c r="C196" i="39"/>
  <c r="B196" i="39"/>
  <c r="L196" i="39" s="1"/>
  <c r="A196" i="39"/>
  <c r="L195" i="39"/>
  <c r="C195" i="39"/>
  <c r="B195" i="39"/>
  <c r="R195" i="39" s="1"/>
  <c r="A195" i="39"/>
  <c r="L194" i="39"/>
  <c r="C194" i="39"/>
  <c r="B194" i="39"/>
  <c r="A194" i="39"/>
  <c r="S193" i="39"/>
  <c r="C193" i="39"/>
  <c r="B193" i="39"/>
  <c r="R193" i="39" s="1"/>
  <c r="A193" i="39"/>
  <c r="L192" i="39"/>
  <c r="C192" i="39"/>
  <c r="B192" i="39"/>
  <c r="A192" i="39"/>
  <c r="S191" i="39"/>
  <c r="L191" i="39"/>
  <c r="C191" i="39"/>
  <c r="B191" i="39"/>
  <c r="R191" i="39" s="1"/>
  <c r="A191" i="39"/>
  <c r="C190" i="39"/>
  <c r="B190" i="39"/>
  <c r="R190" i="39" s="1"/>
  <c r="A190" i="39"/>
  <c r="S189" i="39"/>
  <c r="C189" i="39"/>
  <c r="B189" i="39"/>
  <c r="R189" i="39" s="1"/>
  <c r="A189" i="39"/>
  <c r="C188" i="39"/>
  <c r="B188" i="39"/>
  <c r="L188" i="39" s="1"/>
  <c r="A188" i="39"/>
  <c r="C187" i="39"/>
  <c r="B187" i="39"/>
  <c r="A187" i="39"/>
  <c r="C186" i="39"/>
  <c r="B186" i="39"/>
  <c r="R186" i="39" s="1"/>
  <c r="A186" i="39"/>
  <c r="C185" i="39"/>
  <c r="B185" i="39"/>
  <c r="A185" i="39"/>
  <c r="C184" i="39"/>
  <c r="B184" i="39"/>
  <c r="L184" i="39" s="1"/>
  <c r="A184" i="39"/>
  <c r="S183" i="39"/>
  <c r="L183" i="39"/>
  <c r="C183" i="39"/>
  <c r="B183" i="39"/>
  <c r="R183" i="39" s="1"/>
  <c r="A183" i="39"/>
  <c r="L182" i="39"/>
  <c r="C182" i="39"/>
  <c r="B182" i="39"/>
  <c r="A182" i="39"/>
  <c r="S181" i="39"/>
  <c r="C181" i="39"/>
  <c r="B181" i="39"/>
  <c r="R181" i="39" s="1"/>
  <c r="A181" i="39"/>
  <c r="S180" i="39"/>
  <c r="L180" i="39"/>
  <c r="C180" i="39"/>
  <c r="B180" i="39"/>
  <c r="A180" i="39"/>
  <c r="C179" i="39"/>
  <c r="B179" i="39"/>
  <c r="R179" i="39" s="1"/>
  <c r="A179" i="39"/>
  <c r="C178" i="39"/>
  <c r="B178" i="39"/>
  <c r="L178" i="39" s="1"/>
  <c r="A178" i="39"/>
  <c r="C177" i="39"/>
  <c r="B177" i="39"/>
  <c r="R177" i="39" s="1"/>
  <c r="A177" i="39"/>
  <c r="S176" i="39"/>
  <c r="L176" i="39"/>
  <c r="C176" i="39"/>
  <c r="B176" i="39"/>
  <c r="A176" i="39"/>
  <c r="L175" i="39"/>
  <c r="C175" i="39"/>
  <c r="B175" i="39"/>
  <c r="R175" i="39" s="1"/>
  <c r="A175" i="39"/>
  <c r="L174" i="39"/>
  <c r="C174" i="39"/>
  <c r="B174" i="39"/>
  <c r="A174" i="39"/>
  <c r="S173" i="39"/>
  <c r="C173" i="39"/>
  <c r="B173" i="39"/>
  <c r="R173" i="39" s="1"/>
  <c r="A173" i="39"/>
  <c r="S172" i="39"/>
  <c r="C172" i="39"/>
  <c r="B172" i="39"/>
  <c r="L172" i="39" s="1"/>
  <c r="A172" i="39"/>
  <c r="C171" i="39"/>
  <c r="B171" i="39"/>
  <c r="A171" i="39"/>
  <c r="C170" i="39"/>
  <c r="B170" i="39"/>
  <c r="L170" i="39" s="1"/>
  <c r="A170" i="39"/>
  <c r="C169" i="39"/>
  <c r="B169" i="39"/>
  <c r="A169" i="39"/>
  <c r="C168" i="39"/>
  <c r="B168" i="39"/>
  <c r="L168" i="39" s="1"/>
  <c r="A168" i="39"/>
  <c r="L167" i="39"/>
  <c r="C167" i="39"/>
  <c r="B167" i="39"/>
  <c r="R167" i="39" s="1"/>
  <c r="A167" i="39"/>
  <c r="L166" i="39"/>
  <c r="C166" i="39"/>
  <c r="B166" i="39"/>
  <c r="A166" i="39"/>
  <c r="S165" i="39"/>
  <c r="C165" i="39"/>
  <c r="B165" i="39"/>
  <c r="R165" i="39" s="1"/>
  <c r="A165" i="39"/>
  <c r="S164" i="39"/>
  <c r="L164" i="39"/>
  <c r="C164" i="39"/>
  <c r="B164" i="39"/>
  <c r="A164" i="39"/>
  <c r="C163" i="39"/>
  <c r="B163" i="39"/>
  <c r="L163" i="39" s="1"/>
  <c r="A163" i="39"/>
  <c r="L162" i="39"/>
  <c r="C162" i="39"/>
  <c r="B162" i="39"/>
  <c r="A162" i="39"/>
  <c r="C161" i="39"/>
  <c r="B161" i="39"/>
  <c r="A161" i="39"/>
  <c r="S160" i="39"/>
  <c r="L160" i="39"/>
  <c r="C160" i="39"/>
  <c r="B160" i="39"/>
  <c r="A160" i="39"/>
  <c r="C159" i="39"/>
  <c r="B159" i="39"/>
  <c r="R159" i="39" s="1"/>
  <c r="A159" i="39"/>
  <c r="C158" i="39"/>
  <c r="B158" i="39"/>
  <c r="L158" i="39" s="1"/>
  <c r="A158" i="39"/>
  <c r="C157" i="39"/>
  <c r="B157" i="39"/>
  <c r="S157" i="39" s="1"/>
  <c r="A157" i="39"/>
  <c r="S156" i="39"/>
  <c r="C156" i="39"/>
  <c r="B156" i="39"/>
  <c r="L156" i="39" s="1"/>
  <c r="A156" i="39"/>
  <c r="C155" i="39"/>
  <c r="B155" i="39"/>
  <c r="S155" i="39" s="1"/>
  <c r="A155" i="39"/>
  <c r="C154" i="39"/>
  <c r="B154" i="39"/>
  <c r="L154" i="39" s="1"/>
  <c r="A154" i="39"/>
  <c r="C153" i="39"/>
  <c r="B153" i="39"/>
  <c r="S153" i="39" s="1"/>
  <c r="A153" i="39"/>
  <c r="L152" i="39"/>
  <c r="C152" i="39"/>
  <c r="B152" i="39"/>
  <c r="S152" i="39" s="1"/>
  <c r="A152" i="39"/>
  <c r="S151" i="39"/>
  <c r="R151" i="39"/>
  <c r="C151" i="39"/>
  <c r="B151" i="39"/>
  <c r="A151" i="39"/>
  <c r="C150" i="39"/>
  <c r="B150" i="39"/>
  <c r="L150" i="39" s="1"/>
  <c r="A150" i="39"/>
  <c r="R149" i="39"/>
  <c r="C149" i="39"/>
  <c r="B149" i="39"/>
  <c r="S149" i="39" s="1"/>
  <c r="A149" i="39"/>
  <c r="C148" i="39"/>
  <c r="B148" i="39"/>
  <c r="S148" i="39" s="1"/>
  <c r="A148" i="39"/>
  <c r="L147" i="39"/>
  <c r="C147" i="39"/>
  <c r="B147" i="39"/>
  <c r="R147" i="39" s="1"/>
  <c r="A147" i="39"/>
  <c r="C146" i="39"/>
  <c r="B146" i="39"/>
  <c r="L146" i="39" s="1"/>
  <c r="A146" i="39"/>
  <c r="C145" i="39"/>
  <c r="B145" i="39"/>
  <c r="S145" i="39" s="1"/>
  <c r="A145" i="39"/>
  <c r="L144" i="39"/>
  <c r="C144" i="39"/>
  <c r="B144" i="39"/>
  <c r="S144" i="39" s="1"/>
  <c r="A144" i="39"/>
  <c r="R143" i="39"/>
  <c r="C143" i="39"/>
  <c r="B143" i="39"/>
  <c r="L143" i="39" s="1"/>
  <c r="A143" i="39"/>
  <c r="L142" i="39"/>
  <c r="C142" i="39"/>
  <c r="B142" i="39"/>
  <c r="A142" i="39"/>
  <c r="C141" i="39"/>
  <c r="B141" i="39"/>
  <c r="S141" i="39" s="1"/>
  <c r="A141" i="39"/>
  <c r="C140" i="39"/>
  <c r="B140" i="39"/>
  <c r="A140" i="39"/>
  <c r="C139" i="39"/>
  <c r="B139" i="39"/>
  <c r="S139" i="39" s="1"/>
  <c r="A139" i="39"/>
  <c r="C138" i="39"/>
  <c r="B138" i="39"/>
  <c r="L138" i="39" s="1"/>
  <c r="A138" i="39"/>
  <c r="C137" i="39"/>
  <c r="B137" i="39"/>
  <c r="A137" i="39"/>
  <c r="C136" i="39"/>
  <c r="B136" i="39"/>
  <c r="A136" i="39"/>
  <c r="C135" i="39"/>
  <c r="B135" i="39"/>
  <c r="R135" i="39" s="1"/>
  <c r="A135" i="39"/>
  <c r="C134" i="39"/>
  <c r="B134" i="39"/>
  <c r="A134" i="39"/>
  <c r="C133" i="39"/>
  <c r="B133" i="39"/>
  <c r="R133" i="39" s="1"/>
  <c r="A133" i="39"/>
  <c r="C132" i="39"/>
  <c r="B132" i="39"/>
  <c r="S132" i="39" s="1"/>
  <c r="A132" i="39"/>
  <c r="C131" i="39"/>
  <c r="B131" i="39"/>
  <c r="S131" i="39" s="1"/>
  <c r="A131" i="39"/>
  <c r="C130" i="39"/>
  <c r="B130" i="39"/>
  <c r="A130" i="39"/>
  <c r="R129" i="39"/>
  <c r="C129" i="39"/>
  <c r="B129" i="39"/>
  <c r="S129" i="39" s="1"/>
  <c r="A129" i="39"/>
  <c r="S128" i="39"/>
  <c r="L128" i="39"/>
  <c r="C128" i="39"/>
  <c r="B128" i="39"/>
  <c r="A128" i="39"/>
  <c r="C127" i="39"/>
  <c r="B127" i="39"/>
  <c r="A127" i="39"/>
  <c r="R126" i="39"/>
  <c r="C126" i="39"/>
  <c r="B126" i="39"/>
  <c r="A126" i="39"/>
  <c r="R125" i="39"/>
  <c r="C125" i="39"/>
  <c r="B125" i="39"/>
  <c r="A125" i="39"/>
  <c r="S124" i="39"/>
  <c r="C124" i="39"/>
  <c r="B124" i="39"/>
  <c r="A124" i="39"/>
  <c r="C123" i="39"/>
  <c r="B123" i="39"/>
  <c r="A123" i="39"/>
  <c r="C122" i="39"/>
  <c r="B122" i="39"/>
  <c r="A122" i="39"/>
  <c r="C121" i="39"/>
  <c r="B121" i="39"/>
  <c r="R121" i="39" s="1"/>
  <c r="A121" i="39"/>
  <c r="C120" i="39"/>
  <c r="B120" i="39"/>
  <c r="S120" i="39" s="1"/>
  <c r="A120" i="39"/>
  <c r="C119" i="39"/>
  <c r="B119" i="39"/>
  <c r="A119" i="39"/>
  <c r="R118" i="39"/>
  <c r="C118" i="39"/>
  <c r="B118" i="39"/>
  <c r="A118" i="39"/>
  <c r="C117" i="39"/>
  <c r="B117" i="39"/>
  <c r="A117" i="39"/>
  <c r="S116" i="39"/>
  <c r="C116" i="39"/>
  <c r="B116" i="39"/>
  <c r="A116" i="39"/>
  <c r="C115" i="39"/>
  <c r="B115" i="39"/>
  <c r="A115" i="39"/>
  <c r="C114" i="39"/>
  <c r="B114" i="39"/>
  <c r="R114" i="39" s="1"/>
  <c r="A114" i="39"/>
  <c r="C113" i="39"/>
  <c r="B113" i="39"/>
  <c r="R113" i="39" s="1"/>
  <c r="A113" i="39"/>
  <c r="S112" i="39"/>
  <c r="C112" i="39"/>
  <c r="B112" i="39"/>
  <c r="A112" i="39"/>
  <c r="C111" i="39"/>
  <c r="B111" i="39"/>
  <c r="A111" i="39"/>
  <c r="C110" i="39"/>
  <c r="B110" i="39"/>
  <c r="A110" i="39"/>
  <c r="C109" i="39"/>
  <c r="B109" i="39"/>
  <c r="A109" i="39"/>
  <c r="C108" i="39"/>
  <c r="B108" i="39"/>
  <c r="S108" i="39" s="1"/>
  <c r="A108" i="39"/>
  <c r="C107" i="39"/>
  <c r="B107" i="39"/>
  <c r="A107" i="39"/>
  <c r="C106" i="39"/>
  <c r="B106" i="39"/>
  <c r="R106" i="39" s="1"/>
  <c r="A106" i="39"/>
  <c r="C105" i="39"/>
  <c r="B105" i="39"/>
  <c r="A105" i="39"/>
  <c r="S104" i="39"/>
  <c r="C104" i="39"/>
  <c r="B104" i="39"/>
  <c r="A104" i="39"/>
  <c r="C103" i="39"/>
  <c r="B103" i="39"/>
  <c r="A103" i="39"/>
  <c r="C102" i="39"/>
  <c r="B102" i="39"/>
  <c r="A102" i="39"/>
  <c r="C101" i="39"/>
  <c r="B101" i="39"/>
  <c r="R101" i="39" s="1"/>
  <c r="A101" i="39"/>
  <c r="C100" i="39"/>
  <c r="B100" i="39"/>
  <c r="A100" i="39"/>
  <c r="C99" i="39"/>
  <c r="B99" i="39"/>
  <c r="A99" i="39"/>
  <c r="C98" i="39"/>
  <c r="B98" i="39"/>
  <c r="A98" i="39"/>
  <c r="C97" i="39"/>
  <c r="B97" i="39"/>
  <c r="R97" i="39" s="1"/>
  <c r="A97" i="39"/>
  <c r="C96" i="39"/>
  <c r="B96" i="39"/>
  <c r="A96" i="39"/>
  <c r="C95" i="39"/>
  <c r="B95" i="39"/>
  <c r="A95" i="39"/>
  <c r="C94" i="39"/>
  <c r="B94" i="39"/>
  <c r="A94" i="39"/>
  <c r="R93" i="39"/>
  <c r="C93" i="39"/>
  <c r="B93" i="39"/>
  <c r="A93" i="39"/>
  <c r="S92" i="39"/>
  <c r="C92" i="39"/>
  <c r="B92" i="39"/>
  <c r="A92" i="39"/>
  <c r="C91" i="39"/>
  <c r="B91" i="39"/>
  <c r="A91" i="39"/>
  <c r="C90" i="39"/>
  <c r="B90" i="39"/>
  <c r="A90" i="39"/>
  <c r="C89" i="39"/>
  <c r="B89" i="39"/>
  <c r="A89" i="39"/>
  <c r="C88" i="39"/>
  <c r="B88" i="39"/>
  <c r="S88" i="39" s="1"/>
  <c r="A88" i="39"/>
  <c r="C87" i="39"/>
  <c r="B87" i="39"/>
  <c r="A87" i="39"/>
  <c r="C86" i="39"/>
  <c r="B86" i="39"/>
  <c r="A86" i="39"/>
  <c r="C85" i="39"/>
  <c r="B85" i="39"/>
  <c r="R85" i="39" s="1"/>
  <c r="A85" i="39"/>
  <c r="C84" i="39"/>
  <c r="B84" i="39"/>
  <c r="S84" i="39" s="1"/>
  <c r="A84" i="39"/>
  <c r="C83" i="39"/>
  <c r="B83" i="39"/>
  <c r="A83" i="39"/>
  <c r="C82" i="39"/>
  <c r="B82" i="39"/>
  <c r="R82" i="39" s="1"/>
  <c r="A82" i="39"/>
  <c r="R81" i="39"/>
  <c r="C81" i="39"/>
  <c r="B81" i="39"/>
  <c r="A81" i="39"/>
  <c r="C80" i="39"/>
  <c r="B80" i="39"/>
  <c r="S80" i="39" s="1"/>
  <c r="A80" i="39"/>
  <c r="C79" i="39"/>
  <c r="B79" i="39"/>
  <c r="A79" i="39"/>
  <c r="R78" i="39"/>
  <c r="C78" i="39"/>
  <c r="B78" i="39"/>
  <c r="A78" i="39"/>
  <c r="R77" i="39"/>
  <c r="C77" i="39"/>
  <c r="B77" i="39"/>
  <c r="A77" i="39"/>
  <c r="S76" i="39"/>
  <c r="C76" i="39"/>
  <c r="B76" i="39"/>
  <c r="A76" i="39"/>
  <c r="C75" i="39"/>
  <c r="B75" i="39"/>
  <c r="A75" i="39"/>
  <c r="C74" i="39"/>
  <c r="B74" i="39"/>
  <c r="A74" i="39"/>
  <c r="C73" i="39"/>
  <c r="B73" i="39"/>
  <c r="R73" i="39" s="1"/>
  <c r="A73" i="39"/>
  <c r="C72" i="39"/>
  <c r="B72" i="39"/>
  <c r="S72" i="39" s="1"/>
  <c r="A72" i="39"/>
  <c r="C71" i="39"/>
  <c r="B71" i="39"/>
  <c r="R71" i="39" s="1"/>
  <c r="A71" i="39"/>
  <c r="C70" i="39"/>
  <c r="B70" i="39"/>
  <c r="A70" i="39"/>
  <c r="C69" i="39"/>
  <c r="B69" i="39"/>
  <c r="R69" i="39" s="1"/>
  <c r="A69" i="39"/>
  <c r="S68" i="39"/>
  <c r="C68" i="39"/>
  <c r="B68" i="39"/>
  <c r="A68" i="39"/>
  <c r="C67" i="39"/>
  <c r="B67" i="39"/>
  <c r="R67" i="39" s="1"/>
  <c r="A67" i="39"/>
  <c r="C66" i="39"/>
  <c r="B66" i="39"/>
  <c r="A66" i="39"/>
  <c r="R65" i="39"/>
  <c r="C65" i="39"/>
  <c r="B65" i="39"/>
  <c r="A65" i="39"/>
  <c r="S64" i="39"/>
  <c r="C64" i="39"/>
  <c r="B64" i="39"/>
  <c r="A64" i="39"/>
  <c r="R63" i="39"/>
  <c r="C63" i="39"/>
  <c r="B63" i="39"/>
  <c r="A63" i="39"/>
  <c r="C62" i="39"/>
  <c r="B62" i="39"/>
  <c r="R62" i="39" s="1"/>
  <c r="A62" i="39"/>
  <c r="C61" i="39"/>
  <c r="B61" i="39"/>
  <c r="R61" i="39" s="1"/>
  <c r="A61" i="39"/>
  <c r="C60" i="39"/>
  <c r="B60" i="39"/>
  <c r="S60" i="39" s="1"/>
  <c r="A60" i="39"/>
  <c r="C59" i="39"/>
  <c r="B59" i="39"/>
  <c r="R59" i="39" s="1"/>
  <c r="A59" i="39"/>
  <c r="C58" i="39"/>
  <c r="B58" i="39"/>
  <c r="A58" i="39"/>
  <c r="C57" i="39"/>
  <c r="B57" i="39"/>
  <c r="R57" i="39" s="1"/>
  <c r="A57" i="39"/>
  <c r="C56" i="39"/>
  <c r="B56" i="39"/>
  <c r="S56" i="39" s="1"/>
  <c r="A56" i="39"/>
  <c r="C55" i="39"/>
  <c r="B55" i="39"/>
  <c r="R55" i="39" s="1"/>
  <c r="A55" i="39"/>
  <c r="C54" i="39"/>
  <c r="B54" i="39"/>
  <c r="A54" i="39"/>
  <c r="R53" i="39"/>
  <c r="C53" i="39"/>
  <c r="B53" i="39"/>
  <c r="A53" i="39"/>
  <c r="C52" i="39"/>
  <c r="B52" i="39"/>
  <c r="S52" i="39" s="1"/>
  <c r="A52" i="39"/>
  <c r="R51" i="39"/>
  <c r="C51" i="39"/>
  <c r="B51" i="39"/>
  <c r="A51" i="39"/>
  <c r="C50" i="39"/>
  <c r="B50" i="39"/>
  <c r="A50" i="39"/>
  <c r="R49" i="39"/>
  <c r="C49" i="39"/>
  <c r="B49" i="39"/>
  <c r="A49" i="39"/>
  <c r="S48" i="39"/>
  <c r="C48" i="39"/>
  <c r="B48" i="39"/>
  <c r="A48" i="39"/>
  <c r="R47" i="39"/>
  <c r="C47" i="39"/>
  <c r="B47" i="39"/>
  <c r="A47" i="39"/>
  <c r="C46" i="39"/>
  <c r="B46" i="39"/>
  <c r="A46" i="39"/>
  <c r="C45" i="39"/>
  <c r="B45" i="39"/>
  <c r="R45" i="39" s="1"/>
  <c r="A45" i="39"/>
  <c r="C44" i="39"/>
  <c r="B44" i="39"/>
  <c r="S44" i="39" s="1"/>
  <c r="A44" i="39"/>
  <c r="C43" i="39"/>
  <c r="B43" i="39"/>
  <c r="R43" i="39" s="1"/>
  <c r="A43" i="39"/>
  <c r="C42" i="39"/>
  <c r="B42" i="39"/>
  <c r="A42" i="39"/>
  <c r="C41" i="39"/>
  <c r="B41" i="39"/>
  <c r="R41" i="39" s="1"/>
  <c r="A41" i="39"/>
  <c r="C40" i="39"/>
  <c r="B40" i="39"/>
  <c r="S40" i="39" s="1"/>
  <c r="A40" i="39"/>
  <c r="C39" i="39"/>
  <c r="B39" i="39"/>
  <c r="R39" i="39" s="1"/>
  <c r="A39" i="39"/>
  <c r="C38" i="39"/>
  <c r="B38" i="39"/>
  <c r="A38" i="39"/>
  <c r="C37" i="39"/>
  <c r="B37" i="39"/>
  <c r="R37" i="39" s="1"/>
  <c r="A37" i="39"/>
  <c r="S36" i="39"/>
  <c r="C36" i="39"/>
  <c r="B36" i="39"/>
  <c r="A36" i="39"/>
  <c r="C35" i="39"/>
  <c r="B35" i="39"/>
  <c r="R35" i="39" s="1"/>
  <c r="A35" i="39"/>
  <c r="C34" i="39"/>
  <c r="B34" i="39"/>
  <c r="A34" i="39"/>
  <c r="R33" i="39"/>
  <c r="C33" i="39"/>
  <c r="B33" i="39"/>
  <c r="A33" i="39"/>
  <c r="S32" i="39"/>
  <c r="C32" i="39"/>
  <c r="B32" i="39"/>
  <c r="A32" i="39"/>
  <c r="R31" i="39"/>
  <c r="C31" i="39"/>
  <c r="B31" i="39"/>
  <c r="A31" i="39"/>
  <c r="C30" i="39"/>
  <c r="B30" i="39"/>
  <c r="A30" i="39"/>
  <c r="C29" i="39"/>
  <c r="B29" i="39"/>
  <c r="R29" i="39" s="1"/>
  <c r="A29" i="39"/>
  <c r="C28" i="39"/>
  <c r="B28" i="39"/>
  <c r="S28" i="39" s="1"/>
  <c r="A28" i="39"/>
  <c r="C27" i="39"/>
  <c r="B27" i="39"/>
  <c r="R27" i="39" s="1"/>
  <c r="A27" i="39"/>
  <c r="C26" i="39"/>
  <c r="B26" i="39"/>
  <c r="A26" i="39"/>
  <c r="C25" i="39"/>
  <c r="B25" i="39"/>
  <c r="R25" i="39" s="1"/>
  <c r="A25" i="39"/>
  <c r="C24" i="39"/>
  <c r="B24" i="39"/>
  <c r="S24" i="39" s="1"/>
  <c r="A24" i="39"/>
  <c r="C23" i="39"/>
  <c r="B23" i="39"/>
  <c r="R23" i="39" s="1"/>
  <c r="A23" i="39"/>
  <c r="C22" i="39"/>
  <c r="B22" i="39"/>
  <c r="A22" i="39"/>
  <c r="R21" i="39"/>
  <c r="C21" i="39"/>
  <c r="B21" i="39"/>
  <c r="A21" i="39"/>
  <c r="C20" i="39"/>
  <c r="B20" i="39"/>
  <c r="S20" i="39" s="1"/>
  <c r="A20" i="39"/>
  <c r="R19" i="39"/>
  <c r="C19" i="39"/>
  <c r="B19" i="39"/>
  <c r="A19" i="39"/>
  <c r="C18" i="39"/>
  <c r="B18" i="39"/>
  <c r="A18" i="39"/>
  <c r="R17" i="39"/>
  <c r="C17" i="39"/>
  <c r="B17" i="39"/>
  <c r="A17" i="39"/>
  <c r="S16" i="39"/>
  <c r="C16" i="39"/>
  <c r="B16" i="39"/>
  <c r="A16" i="39"/>
  <c r="R15" i="39"/>
  <c r="C15" i="39"/>
  <c r="B15" i="39"/>
  <c r="L15" i="39" s="1"/>
  <c r="A15" i="39"/>
  <c r="C14" i="39"/>
  <c r="B14" i="39"/>
  <c r="A14" i="39"/>
  <c r="C13" i="39"/>
  <c r="B13" i="39"/>
  <c r="A13" i="39"/>
  <c r="C12" i="39"/>
  <c r="B12" i="39"/>
  <c r="A12" i="39"/>
  <c r="C11" i="39"/>
  <c r="B11" i="39"/>
  <c r="A11" i="39"/>
  <c r="C10" i="39"/>
  <c r="B10" i="39"/>
  <c r="A10" i="39"/>
  <c r="C9" i="39"/>
  <c r="B9" i="39"/>
  <c r="A9" i="39"/>
  <c r="C8" i="39"/>
  <c r="B8" i="39"/>
  <c r="A8" i="39"/>
  <c r="C7" i="39"/>
  <c r="B7" i="39"/>
  <c r="A7" i="39"/>
  <c r="C6" i="39"/>
  <c r="B6" i="39"/>
  <c r="A6" i="39"/>
  <c r="C5" i="39"/>
  <c r="B5" i="39"/>
  <c r="A5" i="39"/>
  <c r="C4" i="39"/>
  <c r="B4" i="39"/>
  <c r="A4" i="39"/>
  <c r="J1" i="38"/>
  <c r="I1" i="38"/>
  <c r="H1" i="38"/>
  <c r="G1" i="38"/>
  <c r="F1" i="38"/>
  <c r="B1" i="38"/>
  <c r="C417" i="38"/>
  <c r="B417" i="38"/>
  <c r="R417" i="38" s="1"/>
  <c r="A417" i="38"/>
  <c r="C416" i="38"/>
  <c r="B416" i="38"/>
  <c r="L416" i="38" s="1"/>
  <c r="A416" i="38"/>
  <c r="L415" i="38"/>
  <c r="C415" i="38"/>
  <c r="B415" i="38"/>
  <c r="R415" i="38" s="1"/>
  <c r="A415" i="38"/>
  <c r="C414" i="38"/>
  <c r="B414" i="38"/>
  <c r="L414" i="38" s="1"/>
  <c r="A414" i="38"/>
  <c r="C413" i="38"/>
  <c r="B413" i="38"/>
  <c r="R413" i="38" s="1"/>
  <c r="A413" i="38"/>
  <c r="C412" i="38"/>
  <c r="B412" i="38"/>
  <c r="L412" i="38" s="1"/>
  <c r="A412" i="38"/>
  <c r="L411" i="38"/>
  <c r="C411" i="38"/>
  <c r="B411" i="38"/>
  <c r="R411" i="38" s="1"/>
  <c r="A411" i="38"/>
  <c r="C410" i="38"/>
  <c r="B410" i="38"/>
  <c r="L410" i="38" s="1"/>
  <c r="A410" i="38"/>
  <c r="C409" i="38"/>
  <c r="B409" i="38"/>
  <c r="R409" i="38" s="1"/>
  <c r="A409" i="38"/>
  <c r="C408" i="38"/>
  <c r="B408" i="38"/>
  <c r="L408" i="38" s="1"/>
  <c r="A408" i="38"/>
  <c r="L407" i="38"/>
  <c r="C407" i="38"/>
  <c r="B407" i="38"/>
  <c r="R407" i="38" s="1"/>
  <c r="A407" i="38"/>
  <c r="C406" i="38"/>
  <c r="B406" i="38"/>
  <c r="L406" i="38" s="1"/>
  <c r="A406" i="38"/>
  <c r="C405" i="38"/>
  <c r="B405" i="38"/>
  <c r="R405" i="38" s="1"/>
  <c r="A405" i="38"/>
  <c r="C404" i="38"/>
  <c r="B404" i="38"/>
  <c r="A404" i="38"/>
  <c r="L403" i="38"/>
  <c r="C403" i="38"/>
  <c r="B403" i="38"/>
  <c r="R403" i="38" s="1"/>
  <c r="A403" i="38"/>
  <c r="C402" i="38"/>
  <c r="B402" i="38"/>
  <c r="L402" i="38" s="1"/>
  <c r="A402" i="38"/>
  <c r="C401" i="38"/>
  <c r="B401" i="38"/>
  <c r="R401" i="38" s="1"/>
  <c r="A401" i="38"/>
  <c r="C400" i="38"/>
  <c r="B400" i="38"/>
  <c r="A400" i="38"/>
  <c r="L399" i="38"/>
  <c r="C399" i="38"/>
  <c r="B399" i="38"/>
  <c r="R399" i="38" s="1"/>
  <c r="A399" i="38"/>
  <c r="C398" i="38"/>
  <c r="B398" i="38"/>
  <c r="L398" i="38" s="1"/>
  <c r="A398" i="38"/>
  <c r="C397" i="38"/>
  <c r="B397" i="38"/>
  <c r="R397" i="38" s="1"/>
  <c r="A397" i="38"/>
  <c r="C396" i="38"/>
  <c r="B396" i="38"/>
  <c r="A396" i="38"/>
  <c r="L395" i="38"/>
  <c r="C395" i="38"/>
  <c r="B395" i="38"/>
  <c r="S395" i="38" s="1"/>
  <c r="A395" i="38"/>
  <c r="C394" i="38"/>
  <c r="B394" i="38"/>
  <c r="L394" i="38" s="1"/>
  <c r="A394" i="38"/>
  <c r="C393" i="38"/>
  <c r="B393" i="38"/>
  <c r="A393" i="38"/>
  <c r="C392" i="38"/>
  <c r="B392" i="38"/>
  <c r="A392" i="38"/>
  <c r="C391" i="38"/>
  <c r="B391" i="38"/>
  <c r="L391" i="38" s="1"/>
  <c r="A391" i="38"/>
  <c r="C390" i="38"/>
  <c r="B390" i="38"/>
  <c r="A390" i="38"/>
  <c r="C389" i="38"/>
  <c r="B389" i="38"/>
  <c r="R389" i="38" s="1"/>
  <c r="A389" i="38"/>
  <c r="C388" i="38"/>
  <c r="B388" i="38"/>
  <c r="A388" i="38"/>
  <c r="C387" i="38"/>
  <c r="B387" i="38"/>
  <c r="A387" i="38"/>
  <c r="C386" i="38"/>
  <c r="B386" i="38"/>
  <c r="A386" i="38"/>
  <c r="C385" i="38"/>
  <c r="B385" i="38"/>
  <c r="A385" i="38"/>
  <c r="C384" i="38"/>
  <c r="B384" i="38"/>
  <c r="L384" i="38" s="1"/>
  <c r="A384" i="38"/>
  <c r="C383" i="38"/>
  <c r="B383" i="38"/>
  <c r="S383" i="38" s="1"/>
  <c r="A383" i="38"/>
  <c r="C382" i="38"/>
  <c r="B382" i="38"/>
  <c r="R382" i="38" s="1"/>
  <c r="A382" i="38"/>
  <c r="C381" i="38"/>
  <c r="B381" i="38"/>
  <c r="A381" i="38"/>
  <c r="C380" i="38"/>
  <c r="B380" i="38"/>
  <c r="A380" i="38"/>
  <c r="C379" i="38"/>
  <c r="B379" i="38"/>
  <c r="A379" i="38"/>
  <c r="C378" i="38"/>
  <c r="B378" i="38"/>
  <c r="L378" i="38" s="1"/>
  <c r="A378" i="38"/>
  <c r="C377" i="38"/>
  <c r="B377" i="38"/>
  <c r="S377" i="38" s="1"/>
  <c r="A377" i="38"/>
  <c r="C376" i="38"/>
  <c r="B376" i="38"/>
  <c r="S376" i="38" s="1"/>
  <c r="A376" i="38"/>
  <c r="C375" i="38"/>
  <c r="B375" i="38"/>
  <c r="R375" i="38" s="1"/>
  <c r="A375" i="38"/>
  <c r="C374" i="38"/>
  <c r="B374" i="38"/>
  <c r="A374" i="38"/>
  <c r="C373" i="38"/>
  <c r="B373" i="38"/>
  <c r="S373" i="38" s="1"/>
  <c r="A373" i="38"/>
  <c r="C372" i="38"/>
  <c r="B372" i="38"/>
  <c r="S372" i="38" s="1"/>
  <c r="A372" i="38"/>
  <c r="L371" i="38"/>
  <c r="C371" i="38"/>
  <c r="B371" i="38"/>
  <c r="S371" i="38" s="1"/>
  <c r="A371" i="38"/>
  <c r="C370" i="38"/>
  <c r="B370" i="38"/>
  <c r="R370" i="38" s="1"/>
  <c r="A370" i="38"/>
  <c r="C369" i="38"/>
  <c r="B369" i="38"/>
  <c r="S369" i="38" s="1"/>
  <c r="A369" i="38"/>
  <c r="C368" i="38"/>
  <c r="B368" i="38"/>
  <c r="S368" i="38" s="1"/>
  <c r="A368" i="38"/>
  <c r="L367" i="38"/>
  <c r="C367" i="38"/>
  <c r="B367" i="38"/>
  <c r="R367" i="38" s="1"/>
  <c r="A367" i="38"/>
  <c r="C366" i="38"/>
  <c r="B366" i="38"/>
  <c r="R366" i="38" s="1"/>
  <c r="A366" i="38"/>
  <c r="C365" i="38"/>
  <c r="B365" i="38"/>
  <c r="R365" i="38" s="1"/>
  <c r="A365" i="38"/>
  <c r="C364" i="38"/>
  <c r="B364" i="38"/>
  <c r="S364" i="38" s="1"/>
  <c r="A364" i="38"/>
  <c r="C363" i="38"/>
  <c r="B363" i="38"/>
  <c r="L363" i="38" s="1"/>
  <c r="A363" i="38"/>
  <c r="C362" i="38"/>
  <c r="B362" i="38"/>
  <c r="R362" i="38" s="1"/>
  <c r="A362" i="38"/>
  <c r="C361" i="38"/>
  <c r="B361" i="38"/>
  <c r="S361" i="38" s="1"/>
  <c r="A361" i="38"/>
  <c r="C360" i="38"/>
  <c r="B360" i="38"/>
  <c r="S360" i="38" s="1"/>
  <c r="A360" i="38"/>
  <c r="L359" i="38"/>
  <c r="C359" i="38"/>
  <c r="B359" i="38"/>
  <c r="R359" i="38" s="1"/>
  <c r="A359" i="38"/>
  <c r="C358" i="38"/>
  <c r="B358" i="38"/>
  <c r="R358" i="38" s="1"/>
  <c r="A358" i="38"/>
  <c r="R357" i="38"/>
  <c r="C357" i="38"/>
  <c r="B357" i="38"/>
  <c r="S357" i="38" s="1"/>
  <c r="A357" i="38"/>
  <c r="S356" i="38"/>
  <c r="C356" i="38"/>
  <c r="B356" i="38"/>
  <c r="A356" i="38"/>
  <c r="S355" i="38"/>
  <c r="C355" i="38"/>
  <c r="B355" i="38"/>
  <c r="A355" i="38"/>
  <c r="C354" i="38"/>
  <c r="B354" i="38"/>
  <c r="R354" i="38" s="1"/>
  <c r="A354" i="38"/>
  <c r="C353" i="38"/>
  <c r="B353" i="38"/>
  <c r="S353" i="38" s="1"/>
  <c r="A353" i="38"/>
  <c r="C352" i="38"/>
  <c r="B352" i="38"/>
  <c r="S352" i="38" s="1"/>
  <c r="A352" i="38"/>
  <c r="L351" i="38"/>
  <c r="C351" i="38"/>
  <c r="B351" i="38"/>
  <c r="R351" i="38" s="1"/>
  <c r="A351" i="38"/>
  <c r="C350" i="38"/>
  <c r="B350" i="38"/>
  <c r="R350" i="38" s="1"/>
  <c r="A350" i="38"/>
  <c r="C349" i="38"/>
  <c r="B349" i="38"/>
  <c r="R349" i="38" s="1"/>
  <c r="A349" i="38"/>
  <c r="C348" i="38"/>
  <c r="B348" i="38"/>
  <c r="S348" i="38" s="1"/>
  <c r="A348" i="38"/>
  <c r="C347" i="38"/>
  <c r="B347" i="38"/>
  <c r="R347" i="38" s="1"/>
  <c r="A347" i="38"/>
  <c r="C346" i="38"/>
  <c r="B346" i="38"/>
  <c r="R346" i="38" s="1"/>
  <c r="A346" i="38"/>
  <c r="C345" i="38"/>
  <c r="B345" i="38"/>
  <c r="S345" i="38" s="1"/>
  <c r="A345" i="38"/>
  <c r="C344" i="38"/>
  <c r="B344" i="38"/>
  <c r="A344" i="38"/>
  <c r="C343" i="38"/>
  <c r="B343" i="38"/>
  <c r="R343" i="38" s="1"/>
  <c r="A343" i="38"/>
  <c r="C342" i="38"/>
  <c r="B342" i="38"/>
  <c r="A342" i="38"/>
  <c r="C341" i="38"/>
  <c r="B341" i="38"/>
  <c r="S341" i="38" s="1"/>
  <c r="A341" i="38"/>
  <c r="C340" i="38"/>
  <c r="B340" i="38"/>
  <c r="S340" i="38" s="1"/>
  <c r="A340" i="38"/>
  <c r="C339" i="38"/>
  <c r="B339" i="38"/>
  <c r="R339" i="38" s="1"/>
  <c r="A339" i="38"/>
  <c r="L338" i="38"/>
  <c r="C338" i="38"/>
  <c r="B338" i="38"/>
  <c r="R338" i="38" s="1"/>
  <c r="A338" i="38"/>
  <c r="C337" i="38"/>
  <c r="B337" i="38"/>
  <c r="A337" i="38"/>
  <c r="C336" i="38"/>
  <c r="B336" i="38"/>
  <c r="L336" i="38" s="1"/>
  <c r="A336" i="38"/>
  <c r="C335" i="38"/>
  <c r="B335" i="38"/>
  <c r="A335" i="38"/>
  <c r="C334" i="38"/>
  <c r="B334" i="38"/>
  <c r="A334" i="38"/>
  <c r="C333" i="38"/>
  <c r="B333" i="38"/>
  <c r="A333" i="38"/>
  <c r="C332" i="38"/>
  <c r="B332" i="38"/>
  <c r="A332" i="38"/>
  <c r="C331" i="38"/>
  <c r="B331" i="38"/>
  <c r="A331" i="38"/>
  <c r="C330" i="38"/>
  <c r="B330" i="38"/>
  <c r="A330" i="38"/>
  <c r="C329" i="38"/>
  <c r="B329" i="38"/>
  <c r="A329" i="38"/>
  <c r="C328" i="38"/>
  <c r="B328" i="38"/>
  <c r="L328" i="38" s="1"/>
  <c r="A328" i="38"/>
  <c r="C327" i="38"/>
  <c r="B327" i="38"/>
  <c r="A327" i="38"/>
  <c r="R326" i="38"/>
  <c r="C326" i="38"/>
  <c r="B326" i="38"/>
  <c r="L326" i="38" s="1"/>
  <c r="A326" i="38"/>
  <c r="C325" i="38"/>
  <c r="B325" i="38"/>
  <c r="A325" i="38"/>
  <c r="L324" i="38"/>
  <c r="C324" i="38"/>
  <c r="B324" i="38"/>
  <c r="A324" i="38"/>
  <c r="C323" i="38"/>
  <c r="B323" i="38"/>
  <c r="R323" i="38" s="1"/>
  <c r="A323" i="38"/>
  <c r="C322" i="38"/>
  <c r="B322" i="38"/>
  <c r="A322" i="38"/>
  <c r="R321" i="38"/>
  <c r="C321" i="38"/>
  <c r="B321" i="38"/>
  <c r="S321" i="38" s="1"/>
  <c r="A321" i="38"/>
  <c r="C320" i="38"/>
  <c r="B320" i="38"/>
  <c r="A320" i="38"/>
  <c r="C319" i="38"/>
  <c r="B319" i="38"/>
  <c r="S319" i="38" s="1"/>
  <c r="A319" i="38"/>
  <c r="C318" i="38"/>
  <c r="B318" i="38"/>
  <c r="A318" i="38"/>
  <c r="C317" i="38"/>
  <c r="B317" i="38"/>
  <c r="R317" i="38" s="1"/>
  <c r="A317" i="38"/>
  <c r="C316" i="38"/>
  <c r="B316" i="38"/>
  <c r="L316" i="38" s="1"/>
  <c r="A316" i="38"/>
  <c r="C315" i="38"/>
  <c r="B315" i="38"/>
  <c r="A315" i="38"/>
  <c r="L314" i="38"/>
  <c r="C314" i="38"/>
  <c r="B314" i="38"/>
  <c r="A314" i="38"/>
  <c r="C313" i="38"/>
  <c r="B313" i="38"/>
  <c r="A313" i="38"/>
  <c r="C312" i="38"/>
  <c r="B312" i="38"/>
  <c r="A312" i="38"/>
  <c r="R311" i="38"/>
  <c r="L311" i="38"/>
  <c r="C311" i="38"/>
  <c r="B311" i="38"/>
  <c r="S311" i="38" s="1"/>
  <c r="A311" i="38"/>
  <c r="C310" i="38"/>
  <c r="B310" i="38"/>
  <c r="A310" i="38"/>
  <c r="R309" i="38"/>
  <c r="C309" i="38"/>
  <c r="B309" i="38"/>
  <c r="A309" i="38"/>
  <c r="L308" i="38"/>
  <c r="C308" i="38"/>
  <c r="B308" i="38"/>
  <c r="A308" i="38"/>
  <c r="S307" i="38"/>
  <c r="C307" i="38"/>
  <c r="B307" i="38"/>
  <c r="A307" i="38"/>
  <c r="L306" i="38"/>
  <c r="C306" i="38"/>
  <c r="B306" i="38"/>
  <c r="A306" i="38"/>
  <c r="C305" i="38"/>
  <c r="B305" i="38"/>
  <c r="A305" i="38"/>
  <c r="C304" i="38"/>
  <c r="B304" i="38"/>
  <c r="L304" i="38" s="1"/>
  <c r="A304" i="38"/>
  <c r="R303" i="38"/>
  <c r="L303" i="38"/>
  <c r="C303" i="38"/>
  <c r="B303" i="38"/>
  <c r="S303" i="38" s="1"/>
  <c r="A303" i="38"/>
  <c r="C302" i="38"/>
  <c r="B302" i="38"/>
  <c r="A302" i="38"/>
  <c r="R301" i="38"/>
  <c r="C301" i="38"/>
  <c r="B301" i="38"/>
  <c r="A301" i="38"/>
  <c r="L300" i="38"/>
  <c r="C300" i="38"/>
  <c r="B300" i="38"/>
  <c r="A300" i="38"/>
  <c r="C299" i="38"/>
  <c r="B299" i="38"/>
  <c r="L299" i="38" s="1"/>
  <c r="A299" i="38"/>
  <c r="C298" i="38"/>
  <c r="B298" i="38"/>
  <c r="A298" i="38"/>
  <c r="R297" i="38"/>
  <c r="C297" i="38"/>
  <c r="B297" i="38"/>
  <c r="A297" i="38"/>
  <c r="C296" i="38"/>
  <c r="B296" i="38"/>
  <c r="A296" i="38"/>
  <c r="C295" i="38"/>
  <c r="B295" i="38"/>
  <c r="A295" i="38"/>
  <c r="C294" i="38"/>
  <c r="B294" i="38"/>
  <c r="A294" i="38"/>
  <c r="C293" i="38"/>
  <c r="B293" i="38"/>
  <c r="A293" i="38"/>
  <c r="C292" i="38"/>
  <c r="B292" i="38"/>
  <c r="A292" i="38"/>
  <c r="S291" i="38"/>
  <c r="C291" i="38"/>
  <c r="B291" i="38"/>
  <c r="R291" i="38" s="1"/>
  <c r="A291" i="38"/>
  <c r="C290" i="38"/>
  <c r="B290" i="38"/>
  <c r="A290" i="38"/>
  <c r="C289" i="38"/>
  <c r="B289" i="38"/>
  <c r="A289" i="38"/>
  <c r="C288" i="38"/>
  <c r="B288" i="38"/>
  <c r="A288" i="38"/>
  <c r="C287" i="38"/>
  <c r="B287" i="38"/>
  <c r="A287" i="38"/>
  <c r="C286" i="38"/>
  <c r="B286" i="38"/>
  <c r="A286" i="38"/>
  <c r="C285" i="38"/>
  <c r="B285" i="38"/>
  <c r="A285" i="38"/>
  <c r="C284" i="38"/>
  <c r="B284" i="38"/>
  <c r="A284" i="38"/>
  <c r="S283" i="38"/>
  <c r="C283" i="38"/>
  <c r="B283" i="38"/>
  <c r="R283" i="38" s="1"/>
  <c r="A283" i="38"/>
  <c r="C282" i="38"/>
  <c r="B282" i="38"/>
  <c r="R282" i="38" s="1"/>
  <c r="A282" i="38"/>
  <c r="R281" i="38"/>
  <c r="C281" i="38"/>
  <c r="B281" i="38"/>
  <c r="S281" i="38" s="1"/>
  <c r="A281" i="38"/>
  <c r="S280" i="38"/>
  <c r="C280" i="38"/>
  <c r="B280" i="38"/>
  <c r="A280" i="38"/>
  <c r="S279" i="38"/>
  <c r="C279" i="38"/>
  <c r="B279" i="38"/>
  <c r="L279" i="38" s="1"/>
  <c r="A279" i="38"/>
  <c r="R278" i="38"/>
  <c r="C278" i="38"/>
  <c r="B278" i="38"/>
  <c r="A278" i="38"/>
  <c r="C277" i="38"/>
  <c r="B277" i="38"/>
  <c r="A277" i="38"/>
  <c r="C276" i="38"/>
  <c r="B276" i="38"/>
  <c r="A276" i="38"/>
  <c r="R275" i="38"/>
  <c r="C275" i="38"/>
  <c r="B275" i="38"/>
  <c r="S275" i="38" s="1"/>
  <c r="A275" i="38"/>
  <c r="R274" i="38"/>
  <c r="C274" i="38"/>
  <c r="B274" i="38"/>
  <c r="A274" i="38"/>
  <c r="C273" i="38"/>
  <c r="B273" i="38"/>
  <c r="A273" i="38"/>
  <c r="C272" i="38"/>
  <c r="B272" i="38"/>
  <c r="A272" i="38"/>
  <c r="R271" i="38"/>
  <c r="C271" i="38"/>
  <c r="B271" i="38"/>
  <c r="S271" i="38" s="1"/>
  <c r="A271" i="38"/>
  <c r="R270" i="38"/>
  <c r="C270" i="38"/>
  <c r="B270" i="38"/>
  <c r="L270" i="38" s="1"/>
  <c r="A270" i="38"/>
  <c r="C269" i="38"/>
  <c r="B269" i="38"/>
  <c r="S269" i="38" s="1"/>
  <c r="A269" i="38"/>
  <c r="S268" i="38"/>
  <c r="C268" i="38"/>
  <c r="B268" i="38"/>
  <c r="A268" i="38"/>
  <c r="C267" i="38"/>
  <c r="B267" i="38"/>
  <c r="A267" i="38"/>
  <c r="C266" i="38"/>
  <c r="B266" i="38"/>
  <c r="A266" i="38"/>
  <c r="R265" i="38"/>
  <c r="C265" i="38"/>
  <c r="B265" i="38"/>
  <c r="A265" i="38"/>
  <c r="C264" i="38"/>
  <c r="B264" i="38"/>
  <c r="A264" i="38"/>
  <c r="R263" i="38"/>
  <c r="L263" i="38"/>
  <c r="C263" i="38"/>
  <c r="B263" i="38"/>
  <c r="S263" i="38" s="1"/>
  <c r="A263" i="38"/>
  <c r="R262" i="38"/>
  <c r="C262" i="38"/>
  <c r="B262" i="38"/>
  <c r="L262" i="38" s="1"/>
  <c r="A262" i="38"/>
  <c r="S261" i="38"/>
  <c r="C261" i="38"/>
  <c r="B261" i="38"/>
  <c r="A261" i="38"/>
  <c r="C260" i="38"/>
  <c r="B260" i="38"/>
  <c r="A260" i="38"/>
  <c r="S259" i="38"/>
  <c r="R259" i="38"/>
  <c r="C259" i="38"/>
  <c r="B259" i="38"/>
  <c r="A259" i="38"/>
  <c r="C258" i="38"/>
  <c r="B258" i="38"/>
  <c r="A258" i="38"/>
  <c r="C257" i="38"/>
  <c r="B257" i="38"/>
  <c r="A257" i="38"/>
  <c r="C256" i="38"/>
  <c r="B256" i="38"/>
  <c r="S256" i="38" s="1"/>
  <c r="A256" i="38"/>
  <c r="L255" i="38"/>
  <c r="C255" i="38"/>
  <c r="B255" i="38"/>
  <c r="S255" i="38" s="1"/>
  <c r="A255" i="38"/>
  <c r="C254" i="38"/>
  <c r="B254" i="38"/>
  <c r="A254" i="38"/>
  <c r="C253" i="38"/>
  <c r="B253" i="38"/>
  <c r="R253" i="38" s="1"/>
  <c r="A253" i="38"/>
  <c r="C252" i="38"/>
  <c r="B252" i="38"/>
  <c r="S252" i="38" s="1"/>
  <c r="A252" i="38"/>
  <c r="C251" i="38"/>
  <c r="B251" i="38"/>
  <c r="L251" i="38" s="1"/>
  <c r="A251" i="38"/>
  <c r="C250" i="38"/>
  <c r="B250" i="38"/>
  <c r="A250" i="38"/>
  <c r="R249" i="38"/>
  <c r="C249" i="38"/>
  <c r="B249" i="38"/>
  <c r="A249" i="38"/>
  <c r="C248" i="38"/>
  <c r="B248" i="38"/>
  <c r="A248" i="38"/>
  <c r="R247" i="38"/>
  <c r="L247" i="38"/>
  <c r="C247" i="38"/>
  <c r="B247" i="38"/>
  <c r="S247" i="38" s="1"/>
  <c r="A247" i="38"/>
  <c r="C246" i="38"/>
  <c r="B246" i="38"/>
  <c r="L246" i="38" s="1"/>
  <c r="A246" i="38"/>
  <c r="S245" i="38"/>
  <c r="C245" i="38"/>
  <c r="B245" i="38"/>
  <c r="R245" i="38" s="1"/>
  <c r="A245" i="38"/>
  <c r="C244" i="38"/>
  <c r="B244" i="38"/>
  <c r="S244" i="38" s="1"/>
  <c r="A244" i="38"/>
  <c r="R243" i="38"/>
  <c r="L243" i="38"/>
  <c r="C243" i="38"/>
  <c r="B243" i="38"/>
  <c r="S243" i="38" s="1"/>
  <c r="A243" i="38"/>
  <c r="C242" i="38"/>
  <c r="B242" i="38"/>
  <c r="A242" i="38"/>
  <c r="S241" i="38"/>
  <c r="R241" i="38"/>
  <c r="C241" i="38"/>
  <c r="B241" i="38"/>
  <c r="A241" i="38"/>
  <c r="C240" i="38"/>
  <c r="B240" i="38"/>
  <c r="A240" i="38"/>
  <c r="S239" i="38"/>
  <c r="L239" i="38"/>
  <c r="C239" i="38"/>
  <c r="B239" i="38"/>
  <c r="A239" i="38"/>
  <c r="C238" i="38"/>
  <c r="B238" i="38"/>
  <c r="A238" i="38"/>
  <c r="S237" i="38"/>
  <c r="C237" i="38"/>
  <c r="B237" i="38"/>
  <c r="A237" i="38"/>
  <c r="C236" i="38"/>
  <c r="B236" i="38"/>
  <c r="S236" i="38" s="1"/>
  <c r="A236" i="38"/>
  <c r="S235" i="38"/>
  <c r="L235" i="38"/>
  <c r="C235" i="38"/>
  <c r="B235" i="38"/>
  <c r="A235" i="38"/>
  <c r="C234" i="38"/>
  <c r="B234" i="38"/>
  <c r="A234" i="38"/>
  <c r="S233" i="38"/>
  <c r="R233" i="38"/>
  <c r="C233" i="38"/>
  <c r="B233" i="38"/>
  <c r="A233" i="38"/>
  <c r="C232" i="38"/>
  <c r="B232" i="38"/>
  <c r="A232" i="38"/>
  <c r="S231" i="38"/>
  <c r="L231" i="38"/>
  <c r="C231" i="38"/>
  <c r="B231" i="38"/>
  <c r="R231" i="38" s="1"/>
  <c r="A231" i="38"/>
  <c r="R230" i="38"/>
  <c r="C230" i="38"/>
  <c r="B230" i="38"/>
  <c r="A230" i="38"/>
  <c r="S229" i="38"/>
  <c r="C229" i="38"/>
  <c r="B229" i="38"/>
  <c r="R229" i="38" s="1"/>
  <c r="A229" i="38"/>
  <c r="C228" i="38"/>
  <c r="B228" i="38"/>
  <c r="A228" i="38"/>
  <c r="S227" i="38"/>
  <c r="C227" i="38"/>
  <c r="B227" i="38"/>
  <c r="R227" i="38" s="1"/>
  <c r="A227" i="38"/>
  <c r="C226" i="38"/>
  <c r="B226" i="38"/>
  <c r="A226" i="38"/>
  <c r="S225" i="38"/>
  <c r="C225" i="38"/>
  <c r="B225" i="38"/>
  <c r="R225" i="38" s="1"/>
  <c r="A225" i="38"/>
  <c r="C224" i="38"/>
  <c r="B224" i="38"/>
  <c r="A224" i="38"/>
  <c r="S223" i="38"/>
  <c r="C223" i="38"/>
  <c r="B223" i="38"/>
  <c r="R223" i="38" s="1"/>
  <c r="A223" i="38"/>
  <c r="R222" i="38"/>
  <c r="C222" i="38"/>
  <c r="B222" i="38"/>
  <c r="A222" i="38"/>
  <c r="C221" i="38"/>
  <c r="B221" i="38"/>
  <c r="A221" i="38"/>
  <c r="C220" i="38"/>
  <c r="B220" i="38"/>
  <c r="A220" i="38"/>
  <c r="C219" i="38"/>
  <c r="B219" i="38"/>
  <c r="A219" i="38"/>
  <c r="C218" i="38"/>
  <c r="B218" i="38"/>
  <c r="A218" i="38"/>
  <c r="C217" i="38"/>
  <c r="B217" i="38"/>
  <c r="A217" i="38"/>
  <c r="C216" i="38"/>
  <c r="B216" i="38"/>
  <c r="A216" i="38"/>
  <c r="C215" i="38"/>
  <c r="B215" i="38"/>
  <c r="A215" i="38"/>
  <c r="C214" i="38"/>
  <c r="B214" i="38"/>
  <c r="A214" i="38"/>
  <c r="C213" i="38"/>
  <c r="B213" i="38"/>
  <c r="A213" i="38"/>
  <c r="C212" i="38"/>
  <c r="B212" i="38"/>
  <c r="A212" i="38"/>
  <c r="C211" i="38"/>
  <c r="B211" i="38"/>
  <c r="A211" i="38"/>
  <c r="C210" i="38"/>
  <c r="B210" i="38"/>
  <c r="A210" i="38"/>
  <c r="C209" i="38"/>
  <c r="B209" i="38"/>
  <c r="A209" i="38"/>
  <c r="L208" i="38"/>
  <c r="C208" i="38"/>
  <c r="B208" i="38"/>
  <c r="S208" i="38" s="1"/>
  <c r="A208" i="38"/>
  <c r="S207" i="38"/>
  <c r="L207" i="38"/>
  <c r="C207" i="38"/>
  <c r="B207" i="38"/>
  <c r="R207" i="38" s="1"/>
  <c r="A207" i="38"/>
  <c r="L206" i="38"/>
  <c r="C206" i="38"/>
  <c r="B206" i="38"/>
  <c r="R206" i="38" s="1"/>
  <c r="A206" i="38"/>
  <c r="S205" i="38"/>
  <c r="C205" i="38"/>
  <c r="B205" i="38"/>
  <c r="R205" i="38" s="1"/>
  <c r="A205" i="38"/>
  <c r="S204" i="38"/>
  <c r="C204" i="38"/>
  <c r="B204" i="38"/>
  <c r="L204" i="38" s="1"/>
  <c r="A204" i="38"/>
  <c r="S203" i="38"/>
  <c r="C203" i="38"/>
  <c r="B203" i="38"/>
  <c r="A203" i="38"/>
  <c r="C202" i="38"/>
  <c r="B202" i="38"/>
  <c r="A202" i="38"/>
  <c r="C201" i="38"/>
  <c r="B201" i="38"/>
  <c r="A201" i="38"/>
  <c r="C200" i="38"/>
  <c r="B200" i="38"/>
  <c r="A200" i="38"/>
  <c r="S199" i="38"/>
  <c r="L199" i="38"/>
  <c r="C199" i="38"/>
  <c r="B199" i="38"/>
  <c r="R199" i="38" s="1"/>
  <c r="A199" i="38"/>
  <c r="L198" i="38"/>
  <c r="C198" i="38"/>
  <c r="B198" i="38"/>
  <c r="R198" i="38" s="1"/>
  <c r="A198" i="38"/>
  <c r="S197" i="38"/>
  <c r="C197" i="38"/>
  <c r="B197" i="38"/>
  <c r="R197" i="38" s="1"/>
  <c r="A197" i="38"/>
  <c r="S196" i="38"/>
  <c r="L196" i="38"/>
  <c r="C196" i="38"/>
  <c r="B196" i="38"/>
  <c r="A196" i="38"/>
  <c r="C195" i="38"/>
  <c r="B195" i="38"/>
  <c r="A195" i="38"/>
  <c r="C194" i="38"/>
  <c r="B194" i="38"/>
  <c r="A194" i="38"/>
  <c r="C193" i="38"/>
  <c r="B193" i="38"/>
  <c r="A193" i="38"/>
  <c r="L192" i="38"/>
  <c r="C192" i="38"/>
  <c r="B192" i="38"/>
  <c r="S192" i="38" s="1"/>
  <c r="A192" i="38"/>
  <c r="L191" i="38"/>
  <c r="C191" i="38"/>
  <c r="B191" i="38"/>
  <c r="R191" i="38" s="1"/>
  <c r="A191" i="38"/>
  <c r="L190" i="38"/>
  <c r="C190" i="38"/>
  <c r="B190" i="38"/>
  <c r="R190" i="38" s="1"/>
  <c r="A190" i="38"/>
  <c r="S189" i="38"/>
  <c r="C189" i="38"/>
  <c r="B189" i="38"/>
  <c r="R189" i="38" s="1"/>
  <c r="A189" i="38"/>
  <c r="S188" i="38"/>
  <c r="C188" i="38"/>
  <c r="B188" i="38"/>
  <c r="L188" i="38" s="1"/>
  <c r="A188" i="38"/>
  <c r="S187" i="38"/>
  <c r="C187" i="38"/>
  <c r="B187" i="38"/>
  <c r="A187" i="38"/>
  <c r="C186" i="38"/>
  <c r="B186" i="38"/>
  <c r="A186" i="38"/>
  <c r="C185" i="38"/>
  <c r="B185" i="38"/>
  <c r="A185" i="38"/>
  <c r="C184" i="38"/>
  <c r="B184" i="38"/>
  <c r="A184" i="38"/>
  <c r="L183" i="38"/>
  <c r="C183" i="38"/>
  <c r="B183" i="38"/>
  <c r="R183" i="38" s="1"/>
  <c r="A183" i="38"/>
  <c r="L182" i="38"/>
  <c r="C182" i="38"/>
  <c r="B182" i="38"/>
  <c r="R182" i="38" s="1"/>
  <c r="A182" i="38"/>
  <c r="S181" i="38"/>
  <c r="C181" i="38"/>
  <c r="B181" i="38"/>
  <c r="R181" i="38" s="1"/>
  <c r="A181" i="38"/>
  <c r="S180" i="38"/>
  <c r="L180" i="38"/>
  <c r="C180" i="38"/>
  <c r="B180" i="38"/>
  <c r="A180" i="38"/>
  <c r="C179" i="38"/>
  <c r="B179" i="38"/>
  <c r="A179" i="38"/>
  <c r="C178" i="38"/>
  <c r="B178" i="38"/>
  <c r="A178" i="38"/>
  <c r="C177" i="38"/>
  <c r="B177" i="38"/>
  <c r="A177" i="38"/>
  <c r="C176" i="38"/>
  <c r="B176" i="38"/>
  <c r="S176" i="38" s="1"/>
  <c r="A176" i="38"/>
  <c r="L175" i="38"/>
  <c r="C175" i="38"/>
  <c r="B175" i="38"/>
  <c r="R175" i="38" s="1"/>
  <c r="A175" i="38"/>
  <c r="L174" i="38"/>
  <c r="C174" i="38"/>
  <c r="B174" i="38"/>
  <c r="R174" i="38" s="1"/>
  <c r="A174" i="38"/>
  <c r="S173" i="38"/>
  <c r="C173" i="38"/>
  <c r="B173" i="38"/>
  <c r="R173" i="38" s="1"/>
  <c r="A173" i="38"/>
  <c r="S172" i="38"/>
  <c r="C172" i="38"/>
  <c r="B172" i="38"/>
  <c r="L172" i="38" s="1"/>
  <c r="A172" i="38"/>
  <c r="S171" i="38"/>
  <c r="C171" i="38"/>
  <c r="B171" i="38"/>
  <c r="A171" i="38"/>
  <c r="C170" i="38"/>
  <c r="B170" i="38"/>
  <c r="A170" i="38"/>
  <c r="C169" i="38"/>
  <c r="B169" i="38"/>
  <c r="A169" i="38"/>
  <c r="C168" i="38"/>
  <c r="B168" i="38"/>
  <c r="A168" i="38"/>
  <c r="L167" i="38"/>
  <c r="C167" i="38"/>
  <c r="B167" i="38"/>
  <c r="R167" i="38" s="1"/>
  <c r="A167" i="38"/>
  <c r="L166" i="38"/>
  <c r="C166" i="38"/>
  <c r="B166" i="38"/>
  <c r="R166" i="38" s="1"/>
  <c r="A166" i="38"/>
  <c r="S165" i="38"/>
  <c r="C165" i="38"/>
  <c r="B165" i="38"/>
  <c r="R165" i="38" s="1"/>
  <c r="A165" i="38"/>
  <c r="S164" i="38"/>
  <c r="L164" i="38"/>
  <c r="C164" i="38"/>
  <c r="B164" i="38"/>
  <c r="A164" i="38"/>
  <c r="C163" i="38"/>
  <c r="B163" i="38"/>
  <c r="A163" i="38"/>
  <c r="C162" i="38"/>
  <c r="B162" i="38"/>
  <c r="A162" i="38"/>
  <c r="C161" i="38"/>
  <c r="B161" i="38"/>
  <c r="A161" i="38"/>
  <c r="C160" i="38"/>
  <c r="B160" i="38"/>
  <c r="S160" i="38" s="1"/>
  <c r="A160" i="38"/>
  <c r="L159" i="38"/>
  <c r="C159" i="38"/>
  <c r="B159" i="38"/>
  <c r="R159" i="38" s="1"/>
  <c r="A159" i="38"/>
  <c r="C158" i="38"/>
  <c r="B158" i="38"/>
  <c r="L158" i="38" s="1"/>
  <c r="A158" i="38"/>
  <c r="C157" i="38"/>
  <c r="B157" i="38"/>
  <c r="A157" i="38"/>
  <c r="C156" i="38"/>
  <c r="B156" i="38"/>
  <c r="L156" i="38" s="1"/>
  <c r="A156" i="38"/>
  <c r="L155" i="38"/>
  <c r="C155" i="38"/>
  <c r="B155" i="38"/>
  <c r="R155" i="38" s="1"/>
  <c r="A155" i="38"/>
  <c r="C154" i="38"/>
  <c r="B154" i="38"/>
  <c r="L154" i="38" s="1"/>
  <c r="A154" i="38"/>
  <c r="C153" i="38"/>
  <c r="B153" i="38"/>
  <c r="A153" i="38"/>
  <c r="C152" i="38"/>
  <c r="B152" i="38"/>
  <c r="L152" i="38" s="1"/>
  <c r="A152" i="38"/>
  <c r="L151" i="38"/>
  <c r="C151" i="38"/>
  <c r="B151" i="38"/>
  <c r="S151" i="38" s="1"/>
  <c r="A151" i="38"/>
  <c r="C150" i="38"/>
  <c r="B150" i="38"/>
  <c r="L150" i="38" s="1"/>
  <c r="A150" i="38"/>
  <c r="C149" i="38"/>
  <c r="B149" i="38"/>
  <c r="S149" i="38" s="1"/>
  <c r="A149" i="38"/>
  <c r="C148" i="38"/>
  <c r="B148" i="38"/>
  <c r="L148" i="38" s="1"/>
  <c r="A148" i="38"/>
  <c r="L147" i="38"/>
  <c r="C147" i="38"/>
  <c r="B147" i="38"/>
  <c r="S147" i="38" s="1"/>
  <c r="A147" i="38"/>
  <c r="C146" i="38"/>
  <c r="B146" i="38"/>
  <c r="L146" i="38" s="1"/>
  <c r="A146" i="38"/>
  <c r="C145" i="38"/>
  <c r="B145" i="38"/>
  <c r="S145" i="38" s="1"/>
  <c r="A145" i="38"/>
  <c r="C144" i="38"/>
  <c r="B144" i="38"/>
  <c r="A144" i="38"/>
  <c r="L143" i="38"/>
  <c r="C143" i="38"/>
  <c r="B143" i="38"/>
  <c r="S143" i="38" s="1"/>
  <c r="A143" i="38"/>
  <c r="C142" i="38"/>
  <c r="B142" i="38"/>
  <c r="L142" i="38" s="1"/>
  <c r="A142" i="38"/>
  <c r="C141" i="38"/>
  <c r="B141" i="38"/>
  <c r="S141" i="38" s="1"/>
  <c r="A141" i="38"/>
  <c r="C140" i="38"/>
  <c r="B140" i="38"/>
  <c r="A140" i="38"/>
  <c r="L139" i="38"/>
  <c r="C139" i="38"/>
  <c r="B139" i="38"/>
  <c r="S139" i="38" s="1"/>
  <c r="A139" i="38"/>
  <c r="C138" i="38"/>
  <c r="B138" i="38"/>
  <c r="A138" i="38"/>
  <c r="C137" i="38"/>
  <c r="B137" i="38"/>
  <c r="S137" i="38" s="1"/>
  <c r="A137" i="38"/>
  <c r="C136" i="38"/>
  <c r="B136" i="38"/>
  <c r="S136" i="38" s="1"/>
  <c r="A136" i="38"/>
  <c r="L135" i="38"/>
  <c r="C135" i="38"/>
  <c r="B135" i="38"/>
  <c r="R135" i="38" s="1"/>
  <c r="A135" i="38"/>
  <c r="C134" i="38"/>
  <c r="B134" i="38"/>
  <c r="L134" i="38" s="1"/>
  <c r="A134" i="38"/>
  <c r="C133" i="38"/>
  <c r="B133" i="38"/>
  <c r="A133" i="38"/>
  <c r="C132" i="38"/>
  <c r="B132" i="38"/>
  <c r="A132" i="38"/>
  <c r="C131" i="38"/>
  <c r="B131" i="38"/>
  <c r="L131" i="38" s="1"/>
  <c r="A131" i="38"/>
  <c r="L130" i="38"/>
  <c r="C130" i="38"/>
  <c r="B130" i="38"/>
  <c r="R130" i="38" s="1"/>
  <c r="A130" i="38"/>
  <c r="R129" i="38"/>
  <c r="C129" i="38"/>
  <c r="B129" i="38"/>
  <c r="A129" i="38"/>
  <c r="L128" i="38"/>
  <c r="C128" i="38"/>
  <c r="B128" i="38"/>
  <c r="A128" i="38"/>
  <c r="R127" i="38"/>
  <c r="C127" i="38"/>
  <c r="B127" i="38"/>
  <c r="A127" i="38"/>
  <c r="L126" i="38"/>
  <c r="C126" i="38"/>
  <c r="B126" i="38"/>
  <c r="A126" i="38"/>
  <c r="C125" i="38"/>
  <c r="B125" i="38"/>
  <c r="A125" i="38"/>
  <c r="L124" i="38"/>
  <c r="C124" i="38"/>
  <c r="B124" i="38"/>
  <c r="S124" i="38" s="1"/>
  <c r="A124" i="38"/>
  <c r="L123" i="38"/>
  <c r="C123" i="38"/>
  <c r="B123" i="38"/>
  <c r="A123" i="38"/>
  <c r="R122" i="38"/>
  <c r="C122" i="38"/>
  <c r="B122" i="38"/>
  <c r="A122" i="38"/>
  <c r="R121" i="38"/>
  <c r="C121" i="38"/>
  <c r="B121" i="38"/>
  <c r="A121" i="38"/>
  <c r="L120" i="38"/>
  <c r="C120" i="38"/>
  <c r="B120" i="38"/>
  <c r="A120" i="38"/>
  <c r="R119" i="38"/>
  <c r="C119" i="38"/>
  <c r="B119" i="38"/>
  <c r="A119" i="38"/>
  <c r="L118" i="38"/>
  <c r="C118" i="38"/>
  <c r="B118" i="38"/>
  <c r="A118" i="38"/>
  <c r="C117" i="38"/>
  <c r="B117" i="38"/>
  <c r="A117" i="38"/>
  <c r="L116" i="38"/>
  <c r="C116" i="38"/>
  <c r="B116" i="38"/>
  <c r="S116" i="38" s="1"/>
  <c r="A116" i="38"/>
  <c r="L115" i="38"/>
  <c r="C115" i="38"/>
  <c r="B115" i="38"/>
  <c r="A115" i="38"/>
  <c r="C114" i="38"/>
  <c r="B114" i="38"/>
  <c r="A114" i="38"/>
  <c r="C113" i="38"/>
  <c r="B113" i="38"/>
  <c r="R113" i="38" s="1"/>
  <c r="A113" i="38"/>
  <c r="C112" i="38"/>
  <c r="B112" i="38"/>
  <c r="A112" i="38"/>
  <c r="C111" i="38"/>
  <c r="B111" i="38"/>
  <c r="A111" i="38"/>
  <c r="L110" i="38"/>
  <c r="C110" i="38"/>
  <c r="B110" i="38"/>
  <c r="A110" i="38"/>
  <c r="C109" i="38"/>
  <c r="B109" i="38"/>
  <c r="A109" i="38"/>
  <c r="S108" i="38"/>
  <c r="L108" i="38"/>
  <c r="C108" i="38"/>
  <c r="B108" i="38"/>
  <c r="A108" i="38"/>
  <c r="C107" i="38"/>
  <c r="B107" i="38"/>
  <c r="L107" i="38" s="1"/>
  <c r="A107" i="38"/>
  <c r="R106" i="38"/>
  <c r="C106" i="38"/>
  <c r="B106" i="38"/>
  <c r="A106" i="38"/>
  <c r="C105" i="38"/>
  <c r="B105" i="38"/>
  <c r="R105" i="38" s="1"/>
  <c r="A105" i="38"/>
  <c r="L104" i="38"/>
  <c r="C104" i="38"/>
  <c r="B104" i="38"/>
  <c r="A104" i="38"/>
  <c r="C103" i="38"/>
  <c r="B103" i="38"/>
  <c r="A103" i="38"/>
  <c r="C102" i="38"/>
  <c r="B102" i="38"/>
  <c r="L102" i="38" s="1"/>
  <c r="A102" i="38"/>
  <c r="C101" i="38"/>
  <c r="B101" i="38"/>
  <c r="A101" i="38"/>
  <c r="C100" i="38"/>
  <c r="B100" i="38"/>
  <c r="S100" i="38" s="1"/>
  <c r="A100" i="38"/>
  <c r="C99" i="38"/>
  <c r="B99" i="38"/>
  <c r="L99" i="38" s="1"/>
  <c r="A99" i="38"/>
  <c r="C98" i="38"/>
  <c r="B98" i="38"/>
  <c r="A98" i="38"/>
  <c r="C97" i="38"/>
  <c r="B97" i="38"/>
  <c r="A97" i="38"/>
  <c r="C96" i="38"/>
  <c r="B96" i="38"/>
  <c r="S96" i="38" s="1"/>
  <c r="A96" i="38"/>
  <c r="C95" i="38"/>
  <c r="B95" i="38"/>
  <c r="R95" i="38" s="1"/>
  <c r="A95" i="38"/>
  <c r="C94" i="38"/>
  <c r="B94" i="38"/>
  <c r="L94" i="38" s="1"/>
  <c r="A94" i="38"/>
  <c r="C93" i="38"/>
  <c r="B93" i="38"/>
  <c r="A93" i="38"/>
  <c r="C92" i="38"/>
  <c r="B92" i="38"/>
  <c r="S92" i="38" s="1"/>
  <c r="A92" i="38"/>
  <c r="C91" i="38"/>
  <c r="B91" i="38"/>
  <c r="L91" i="38" s="1"/>
  <c r="A91" i="38"/>
  <c r="C90" i="38"/>
  <c r="B90" i="38"/>
  <c r="A90" i="38"/>
  <c r="C89" i="38"/>
  <c r="B89" i="38"/>
  <c r="R89" i="38" s="1"/>
  <c r="A89" i="38"/>
  <c r="C88" i="38"/>
  <c r="B88" i="38"/>
  <c r="S88" i="38" s="1"/>
  <c r="A88" i="38"/>
  <c r="C87" i="38"/>
  <c r="B87" i="38"/>
  <c r="A87" i="38"/>
  <c r="C86" i="38"/>
  <c r="B86" i="38"/>
  <c r="L86" i="38" s="1"/>
  <c r="A86" i="38"/>
  <c r="C85" i="38"/>
  <c r="B85" i="38"/>
  <c r="A85" i="38"/>
  <c r="S84" i="38"/>
  <c r="C84" i="38"/>
  <c r="B84" i="38"/>
  <c r="L84" i="38" s="1"/>
  <c r="A84" i="38"/>
  <c r="C83" i="38"/>
  <c r="B83" i="38"/>
  <c r="L83" i="38" s="1"/>
  <c r="A83" i="38"/>
  <c r="C82" i="38"/>
  <c r="B82" i="38"/>
  <c r="R82" i="38" s="1"/>
  <c r="A82" i="38"/>
  <c r="C81" i="38"/>
  <c r="B81" i="38"/>
  <c r="A81" i="38"/>
  <c r="C80" i="38"/>
  <c r="B80" i="38"/>
  <c r="L80" i="38" s="1"/>
  <c r="A80" i="38"/>
  <c r="C79" i="38"/>
  <c r="B79" i="38"/>
  <c r="R79" i="38" s="1"/>
  <c r="A79" i="38"/>
  <c r="C78" i="38"/>
  <c r="B78" i="38"/>
  <c r="L78" i="38" s="1"/>
  <c r="A78" i="38"/>
  <c r="C77" i="38"/>
  <c r="B77" i="38"/>
  <c r="S77" i="38" s="1"/>
  <c r="A77" i="38"/>
  <c r="C76" i="38"/>
  <c r="B76" i="38"/>
  <c r="S76" i="38" s="1"/>
  <c r="A76" i="38"/>
  <c r="C75" i="38"/>
  <c r="B75" i="38"/>
  <c r="S75" i="38" s="1"/>
  <c r="A75" i="38"/>
  <c r="C74" i="38"/>
  <c r="B74" i="38"/>
  <c r="A74" i="38"/>
  <c r="C73" i="38"/>
  <c r="B73" i="38"/>
  <c r="R73" i="38" s="1"/>
  <c r="A73" i="38"/>
  <c r="C72" i="38"/>
  <c r="B72" i="38"/>
  <c r="S72" i="38" s="1"/>
  <c r="A72" i="38"/>
  <c r="C71" i="38"/>
  <c r="B71" i="38"/>
  <c r="R71" i="38" s="1"/>
  <c r="A71" i="38"/>
  <c r="C70" i="38"/>
  <c r="B70" i="38"/>
  <c r="R70" i="38" s="1"/>
  <c r="A70" i="38"/>
  <c r="S69" i="38"/>
  <c r="R69" i="38"/>
  <c r="C69" i="38"/>
  <c r="B69" i="38"/>
  <c r="A69" i="38"/>
  <c r="L68" i="38"/>
  <c r="C68" i="38"/>
  <c r="B68" i="38"/>
  <c r="A68" i="38"/>
  <c r="R67" i="38"/>
  <c r="C67" i="38"/>
  <c r="B67" i="38"/>
  <c r="L67" i="38" s="1"/>
  <c r="A67" i="38"/>
  <c r="C66" i="38"/>
  <c r="B66" i="38"/>
  <c r="A66" i="38"/>
  <c r="C65" i="38"/>
  <c r="B65" i="38"/>
  <c r="A65" i="38"/>
  <c r="L64" i="38"/>
  <c r="C64" i="38"/>
  <c r="B64" i="38"/>
  <c r="S64" i="38" s="1"/>
  <c r="A64" i="38"/>
  <c r="R63" i="38"/>
  <c r="C63" i="38"/>
  <c r="B63" i="38"/>
  <c r="S63" i="38" s="1"/>
  <c r="A63" i="38"/>
  <c r="L62" i="38"/>
  <c r="C62" i="38"/>
  <c r="B62" i="38"/>
  <c r="A62" i="38"/>
  <c r="C61" i="38"/>
  <c r="B61" i="38"/>
  <c r="A61" i="38"/>
  <c r="C60" i="38"/>
  <c r="B60" i="38"/>
  <c r="S60" i="38" s="1"/>
  <c r="A60" i="38"/>
  <c r="C59" i="38"/>
  <c r="B59" i="38"/>
  <c r="R59" i="38" s="1"/>
  <c r="A59" i="38"/>
  <c r="C58" i="38"/>
  <c r="B58" i="38"/>
  <c r="L58" i="38" s="1"/>
  <c r="A58" i="38"/>
  <c r="C57" i="38"/>
  <c r="B57" i="38"/>
  <c r="R57" i="38" s="1"/>
  <c r="A57" i="38"/>
  <c r="C56" i="38"/>
  <c r="B56" i="38"/>
  <c r="S56" i="38" s="1"/>
  <c r="A56" i="38"/>
  <c r="C55" i="38"/>
  <c r="B55" i="38"/>
  <c r="S55" i="38" s="1"/>
  <c r="A55" i="38"/>
  <c r="C54" i="38"/>
  <c r="B54" i="38"/>
  <c r="L54" i="38" s="1"/>
  <c r="A54" i="38"/>
  <c r="R53" i="38"/>
  <c r="C53" i="38"/>
  <c r="B53" i="38"/>
  <c r="S53" i="38" s="1"/>
  <c r="A53" i="38"/>
  <c r="L52" i="38"/>
  <c r="C52" i="38"/>
  <c r="B52" i="38"/>
  <c r="S52" i="38" s="1"/>
  <c r="A52" i="38"/>
  <c r="S51" i="38"/>
  <c r="C51" i="38"/>
  <c r="B51" i="38"/>
  <c r="R51" i="38" s="1"/>
  <c r="A51" i="38"/>
  <c r="C50" i="38"/>
  <c r="B50" i="38"/>
  <c r="A50" i="38"/>
  <c r="C49" i="38"/>
  <c r="B49" i="38"/>
  <c r="R49" i="38" s="1"/>
  <c r="A49" i="38"/>
  <c r="C48" i="38"/>
  <c r="B48" i="38"/>
  <c r="A48" i="38"/>
  <c r="C47" i="38"/>
  <c r="B47" i="38"/>
  <c r="R47" i="38" s="1"/>
  <c r="A47" i="38"/>
  <c r="C46" i="38"/>
  <c r="B46" i="38"/>
  <c r="R46" i="38" s="1"/>
  <c r="A46" i="38"/>
  <c r="C45" i="38"/>
  <c r="B45" i="38"/>
  <c r="R45" i="38" s="1"/>
  <c r="A45" i="38"/>
  <c r="C44" i="38"/>
  <c r="B44" i="38"/>
  <c r="A44" i="38"/>
  <c r="L43" i="38"/>
  <c r="C43" i="38"/>
  <c r="B43" i="38"/>
  <c r="R43" i="38" s="1"/>
  <c r="A43" i="38"/>
  <c r="C42" i="38"/>
  <c r="B42" i="38"/>
  <c r="A42" i="38"/>
  <c r="C41" i="38"/>
  <c r="B41" i="38"/>
  <c r="R41" i="38" s="1"/>
  <c r="A41" i="38"/>
  <c r="C40" i="38"/>
  <c r="B40" i="38"/>
  <c r="A40" i="38"/>
  <c r="L39" i="38"/>
  <c r="C39" i="38"/>
  <c r="B39" i="38"/>
  <c r="R39" i="38" s="1"/>
  <c r="A39" i="38"/>
  <c r="C38" i="38"/>
  <c r="B38" i="38"/>
  <c r="R38" i="38" s="1"/>
  <c r="A38" i="38"/>
  <c r="C37" i="38"/>
  <c r="B37" i="38"/>
  <c r="R37" i="38" s="1"/>
  <c r="A37" i="38"/>
  <c r="C36" i="38"/>
  <c r="B36" i="38"/>
  <c r="A36" i="38"/>
  <c r="C35" i="38"/>
  <c r="B35" i="38"/>
  <c r="R35" i="38" s="1"/>
  <c r="A35" i="38"/>
  <c r="C34" i="38"/>
  <c r="B34" i="38"/>
  <c r="L34" i="38" s="1"/>
  <c r="A34" i="38"/>
  <c r="C33" i="38"/>
  <c r="B33" i="38"/>
  <c r="R33" i="38" s="1"/>
  <c r="A33" i="38"/>
  <c r="C32" i="38"/>
  <c r="B32" i="38"/>
  <c r="A32" i="38"/>
  <c r="L31" i="38"/>
  <c r="F31" i="38"/>
  <c r="C31" i="38"/>
  <c r="B31" i="38"/>
  <c r="R31" i="38" s="1"/>
  <c r="A31" i="38"/>
  <c r="R30" i="38"/>
  <c r="C30" i="38"/>
  <c r="B30" i="38"/>
  <c r="A30" i="38"/>
  <c r="C29" i="38"/>
  <c r="B29" i="38"/>
  <c r="A29" i="38"/>
  <c r="C28" i="38"/>
  <c r="B28" i="38"/>
  <c r="A28" i="38"/>
  <c r="C27" i="38"/>
  <c r="B27" i="38"/>
  <c r="R27" i="38" s="1"/>
  <c r="A27" i="38"/>
  <c r="R26" i="38"/>
  <c r="C26" i="38"/>
  <c r="B26" i="38"/>
  <c r="A26" i="38"/>
  <c r="C25" i="38"/>
  <c r="B25" i="38"/>
  <c r="S25" i="38" s="1"/>
  <c r="A25" i="38"/>
  <c r="S24" i="38"/>
  <c r="L24" i="38"/>
  <c r="C24" i="38"/>
  <c r="B24" i="38"/>
  <c r="A24" i="38"/>
  <c r="S23" i="38"/>
  <c r="L23" i="38"/>
  <c r="C23" i="38"/>
  <c r="B23" i="38"/>
  <c r="A23" i="38"/>
  <c r="C22" i="38"/>
  <c r="B22" i="38"/>
  <c r="L22" i="38" s="1"/>
  <c r="A22" i="38"/>
  <c r="S21" i="38"/>
  <c r="C21" i="38"/>
  <c r="B21" i="38"/>
  <c r="A21" i="38"/>
  <c r="C20" i="38"/>
  <c r="B20" i="38"/>
  <c r="S20" i="38" s="1"/>
  <c r="A20" i="38"/>
  <c r="C19" i="38"/>
  <c r="B19" i="38"/>
  <c r="S19" i="38" s="1"/>
  <c r="A19" i="38"/>
  <c r="C18" i="38"/>
  <c r="B18" i="38"/>
  <c r="L18" i="38" s="1"/>
  <c r="A18" i="38"/>
  <c r="C17" i="38"/>
  <c r="B17" i="38"/>
  <c r="S17" i="38" s="1"/>
  <c r="A17" i="38"/>
  <c r="L16" i="38"/>
  <c r="C16" i="38"/>
  <c r="B16" i="38"/>
  <c r="S16" i="38" s="1"/>
  <c r="A16" i="38"/>
  <c r="L15" i="38"/>
  <c r="C15" i="38"/>
  <c r="B15" i="38"/>
  <c r="A15" i="38"/>
  <c r="C14" i="38"/>
  <c r="B14" i="38"/>
  <c r="A14" i="38"/>
  <c r="C13" i="38"/>
  <c r="B13" i="38"/>
  <c r="A13" i="38"/>
  <c r="C12" i="38"/>
  <c r="B12" i="38"/>
  <c r="A12" i="38"/>
  <c r="C11" i="38"/>
  <c r="B11" i="38"/>
  <c r="A11" i="38"/>
  <c r="C10" i="38"/>
  <c r="B10" i="38"/>
  <c r="A10" i="38"/>
  <c r="C9" i="38"/>
  <c r="B9" i="38"/>
  <c r="A9" i="38"/>
  <c r="C8" i="38"/>
  <c r="B8" i="38"/>
  <c r="A8" i="38"/>
  <c r="C7" i="38"/>
  <c r="B7" i="38"/>
  <c r="A7" i="38"/>
  <c r="C6" i="38"/>
  <c r="B6" i="38"/>
  <c r="A6" i="38"/>
  <c r="C5" i="38"/>
  <c r="B5" i="38"/>
  <c r="A5" i="38"/>
  <c r="C4" i="38"/>
  <c r="B4" i="38"/>
  <c r="A4" i="38"/>
  <c r="L19" i="38" l="1"/>
  <c r="R55" i="38"/>
  <c r="S59" i="38"/>
  <c r="R169" i="38"/>
  <c r="S169" i="38"/>
  <c r="R178" i="38"/>
  <c r="L178" i="38"/>
  <c r="R187" i="38"/>
  <c r="L187" i="38"/>
  <c r="R193" i="38"/>
  <c r="S193" i="38"/>
  <c r="R299" i="38"/>
  <c r="R331" i="39"/>
  <c r="S331" i="39"/>
  <c r="L331" i="39"/>
  <c r="L35" i="38"/>
  <c r="L47" i="38"/>
  <c r="R77" i="38"/>
  <c r="R153" i="38"/>
  <c r="S153" i="38"/>
  <c r="R163" i="38"/>
  <c r="S163" i="38"/>
  <c r="L163" i="38"/>
  <c r="R202" i="38"/>
  <c r="L202" i="38"/>
  <c r="S213" i="38"/>
  <c r="R213" i="38"/>
  <c r="S221" i="38"/>
  <c r="R221" i="38"/>
  <c r="S299" i="38"/>
  <c r="L380" i="38"/>
  <c r="S380" i="38"/>
  <c r="L388" i="38"/>
  <c r="S388" i="38"/>
  <c r="S140" i="39"/>
  <c r="L140" i="39"/>
  <c r="R169" i="39"/>
  <c r="S169" i="39"/>
  <c r="S339" i="39"/>
  <c r="R339" i="39"/>
  <c r="R387" i="39"/>
  <c r="S387" i="39"/>
  <c r="L387" i="39"/>
  <c r="R185" i="38"/>
  <c r="S185" i="38"/>
  <c r="R285" i="38"/>
  <c r="S285" i="38"/>
  <c r="L396" i="38"/>
  <c r="S396" i="38"/>
  <c r="R329" i="39"/>
  <c r="S329" i="39"/>
  <c r="R161" i="38"/>
  <c r="S161" i="38"/>
  <c r="R170" i="38"/>
  <c r="L170" i="38"/>
  <c r="R179" i="38"/>
  <c r="S179" i="38"/>
  <c r="L179" i="38"/>
  <c r="R194" i="38"/>
  <c r="L194" i="38"/>
  <c r="L200" i="38"/>
  <c r="S200" i="38"/>
  <c r="R211" i="38"/>
  <c r="S211" i="38"/>
  <c r="L211" i="38"/>
  <c r="R219" i="38"/>
  <c r="S219" i="38"/>
  <c r="L219" i="38"/>
  <c r="S288" i="38"/>
  <c r="L288" i="38"/>
  <c r="R293" i="38"/>
  <c r="S293" i="38"/>
  <c r="L386" i="38"/>
  <c r="R386" i="38"/>
  <c r="S187" i="39"/>
  <c r="L187" i="39"/>
  <c r="S255" i="39"/>
  <c r="R255" i="39"/>
  <c r="L60" i="38"/>
  <c r="L70" i="38"/>
  <c r="L100" i="38"/>
  <c r="L144" i="38"/>
  <c r="S144" i="38"/>
  <c r="R203" i="38"/>
  <c r="L203" i="38"/>
  <c r="S296" i="38"/>
  <c r="L296" i="38"/>
  <c r="L404" i="38"/>
  <c r="S404" i="38"/>
  <c r="R207" i="39"/>
  <c r="S207" i="39"/>
  <c r="L207" i="39"/>
  <c r="S268" i="39"/>
  <c r="L268" i="39"/>
  <c r="L20" i="38"/>
  <c r="R34" i="38"/>
  <c r="L56" i="38"/>
  <c r="L72" i="38"/>
  <c r="L82" i="38"/>
  <c r="L88" i="38"/>
  <c r="L92" i="38"/>
  <c r="L96" i="38"/>
  <c r="S132" i="38"/>
  <c r="L132" i="38"/>
  <c r="L168" i="38"/>
  <c r="S168" i="38"/>
  <c r="R177" i="38"/>
  <c r="S177" i="38"/>
  <c r="R186" i="38"/>
  <c r="L186" i="38"/>
  <c r="S209" i="38"/>
  <c r="R209" i="38"/>
  <c r="S217" i="38"/>
  <c r="R217" i="38"/>
  <c r="R286" i="38"/>
  <c r="L286" i="38"/>
  <c r="L392" i="38"/>
  <c r="S392" i="38"/>
  <c r="S136" i="39"/>
  <c r="L136" i="39"/>
  <c r="R185" i="39"/>
  <c r="S185" i="39"/>
  <c r="R343" i="39"/>
  <c r="L343" i="39"/>
  <c r="R157" i="38"/>
  <c r="S157" i="38"/>
  <c r="R162" i="38"/>
  <c r="L162" i="38"/>
  <c r="R171" i="38"/>
  <c r="L171" i="38"/>
  <c r="R195" i="38"/>
  <c r="S195" i="38"/>
  <c r="L195" i="38"/>
  <c r="R201" i="38"/>
  <c r="S201" i="38"/>
  <c r="R294" i="38"/>
  <c r="L294" i="38"/>
  <c r="L344" i="38"/>
  <c r="S344" i="38"/>
  <c r="R205" i="39"/>
  <c r="S205" i="39"/>
  <c r="R333" i="39"/>
  <c r="S333" i="39"/>
  <c r="L140" i="38"/>
  <c r="S140" i="38"/>
  <c r="L184" i="38"/>
  <c r="S184" i="38"/>
  <c r="R215" i="38"/>
  <c r="S215" i="38"/>
  <c r="L215" i="38"/>
  <c r="L334" i="38"/>
  <c r="R334" i="38"/>
  <c r="L374" i="38"/>
  <c r="R374" i="38"/>
  <c r="L400" i="38"/>
  <c r="S400" i="38"/>
  <c r="R171" i="39"/>
  <c r="S171" i="39"/>
  <c r="L171" i="39"/>
  <c r="S133" i="39"/>
  <c r="S135" i="39"/>
  <c r="L148" i="39"/>
  <c r="L159" i="39"/>
  <c r="S168" i="39"/>
  <c r="S177" i="39"/>
  <c r="L179" i="39"/>
  <c r="S184" i="39"/>
  <c r="S197" i="39"/>
  <c r="L199" i="39"/>
  <c r="S204" i="39"/>
  <c r="S213" i="39"/>
  <c r="L215" i="39"/>
  <c r="S229" i="39"/>
  <c r="L256" i="39"/>
  <c r="L280" i="39"/>
  <c r="L319" i="39"/>
  <c r="L323" i="39"/>
  <c r="S328" i="39"/>
  <c r="R338" i="39"/>
  <c r="L363" i="39"/>
  <c r="L376" i="39"/>
  <c r="L384" i="39"/>
  <c r="L223" i="38"/>
  <c r="L227" i="38"/>
  <c r="R246" i="38"/>
  <c r="L271" i="38"/>
  <c r="L275" i="38"/>
  <c r="S163" i="39"/>
  <c r="S179" i="39"/>
  <c r="S199" i="39"/>
  <c r="S215" i="39"/>
  <c r="L252" i="39"/>
  <c r="L276" i="39"/>
  <c r="L315" i="39"/>
  <c r="S317" i="39"/>
  <c r="S319" i="39"/>
  <c r="S321" i="39"/>
  <c r="S323" i="39"/>
  <c r="S148" i="38"/>
  <c r="S152" i="38"/>
  <c r="S156" i="38"/>
  <c r="L160" i="38"/>
  <c r="S167" i="38"/>
  <c r="L176" i="38"/>
  <c r="S183" i="38"/>
  <c r="L283" i="38"/>
  <c r="L291" i="38"/>
  <c r="R341" i="38"/>
  <c r="R345" i="38"/>
  <c r="S349" i="38"/>
  <c r="R361" i="38"/>
  <c r="S365" i="38"/>
  <c r="R377" i="38"/>
  <c r="L383" i="38"/>
  <c r="S397" i="38"/>
  <c r="S399" i="38"/>
  <c r="S401" i="38"/>
  <c r="S403" i="38"/>
  <c r="S405" i="38"/>
  <c r="S407" i="38"/>
  <c r="S409" i="38"/>
  <c r="S411" i="38"/>
  <c r="S413" i="38"/>
  <c r="S415" i="38"/>
  <c r="S417" i="38"/>
  <c r="S167" i="39"/>
  <c r="S203" i="39"/>
  <c r="L212" i="39"/>
  <c r="L232" i="39"/>
  <c r="L236" i="39"/>
  <c r="L240" i="39"/>
  <c r="L244" i="39"/>
  <c r="R259" i="39"/>
  <c r="L272" i="39"/>
  <c r="S327" i="39"/>
  <c r="L335" i="39"/>
  <c r="R383" i="38"/>
  <c r="S135" i="38"/>
  <c r="S155" i="38"/>
  <c r="S159" i="38"/>
  <c r="S175" i="38"/>
  <c r="S191" i="38"/>
  <c r="S408" i="38"/>
  <c r="S412" i="38"/>
  <c r="S416" i="38"/>
  <c r="S175" i="39"/>
  <c r="S195" i="39"/>
  <c r="S211" i="39"/>
  <c r="L260" i="39"/>
  <c r="L284" i="39"/>
  <c r="F14" i="39"/>
  <c r="F109" i="39"/>
  <c r="F28" i="39"/>
  <c r="F60" i="39"/>
  <c r="F116" i="39"/>
  <c r="F131" i="39"/>
  <c r="F44" i="39"/>
  <c r="F84" i="39"/>
  <c r="F96" i="39"/>
  <c r="F81" i="39"/>
  <c r="F16" i="39"/>
  <c r="F32" i="39"/>
  <c r="F48" i="39"/>
  <c r="F64" i="39"/>
  <c r="F6" i="39"/>
  <c r="F20" i="39"/>
  <c r="F68" i="39"/>
  <c r="F132" i="39"/>
  <c r="F82" i="39"/>
  <c r="F85" i="39"/>
  <c r="F97" i="39"/>
  <c r="F36" i="39"/>
  <c r="F52" i="39"/>
  <c r="F24" i="39"/>
  <c r="F40" i="39"/>
  <c r="F56" i="39"/>
  <c r="F72" i="39"/>
  <c r="F105" i="39"/>
  <c r="F142" i="39"/>
  <c r="L26" i="39"/>
  <c r="R26" i="39"/>
  <c r="L42" i="39"/>
  <c r="R42" i="39"/>
  <c r="L22" i="39"/>
  <c r="R22" i="39"/>
  <c r="L18" i="39"/>
  <c r="R18" i="39"/>
  <c r="L34" i="39"/>
  <c r="R34" i="39"/>
  <c r="L30" i="39"/>
  <c r="R30" i="39"/>
  <c r="L38" i="39"/>
  <c r="R38" i="39"/>
  <c r="L100" i="39"/>
  <c r="S100" i="39"/>
  <c r="L46" i="39"/>
  <c r="L50" i="39"/>
  <c r="L66" i="39"/>
  <c r="L70" i="39"/>
  <c r="L99" i="39"/>
  <c r="S99" i="39"/>
  <c r="R99" i="39"/>
  <c r="L110" i="39"/>
  <c r="F17" i="39"/>
  <c r="F21" i="39"/>
  <c r="F25" i="39"/>
  <c r="F45" i="39"/>
  <c r="F53" i="39"/>
  <c r="F57" i="39"/>
  <c r="F65" i="39"/>
  <c r="L106" i="39"/>
  <c r="F8" i="39"/>
  <c r="F11" i="39"/>
  <c r="L19" i="39"/>
  <c r="S19" i="39"/>
  <c r="L23" i="39"/>
  <c r="S23" i="39"/>
  <c r="L27" i="39"/>
  <c r="S27" i="39"/>
  <c r="L31" i="39"/>
  <c r="S31" i="39"/>
  <c r="L35" i="39"/>
  <c r="S35" i="39"/>
  <c r="L39" i="39"/>
  <c r="S39" i="39"/>
  <c r="L43" i="39"/>
  <c r="S43" i="39"/>
  <c r="R46" i="39"/>
  <c r="L47" i="39"/>
  <c r="S47" i="39"/>
  <c r="R50" i="39"/>
  <c r="L51" i="39"/>
  <c r="S51" i="39"/>
  <c r="R54" i="39"/>
  <c r="L55" i="39"/>
  <c r="S55" i="39"/>
  <c r="R58" i="39"/>
  <c r="L59" i="39"/>
  <c r="S59" i="39"/>
  <c r="L63" i="39"/>
  <c r="S63" i="39"/>
  <c r="R66" i="39"/>
  <c r="L67" i="39"/>
  <c r="S67" i="39"/>
  <c r="R70" i="39"/>
  <c r="L71" i="39"/>
  <c r="S71" i="39"/>
  <c r="R74" i="39"/>
  <c r="L75" i="39"/>
  <c r="S75" i="39"/>
  <c r="R75" i="39"/>
  <c r="L76" i="39"/>
  <c r="L87" i="39"/>
  <c r="S87" i="39"/>
  <c r="R87" i="39"/>
  <c r="S93" i="39"/>
  <c r="L98" i="39"/>
  <c r="R98" i="39"/>
  <c r="F100" i="39"/>
  <c r="L103" i="39"/>
  <c r="S103" i="39"/>
  <c r="R103" i="39"/>
  <c r="F112" i="39"/>
  <c r="L118" i="39"/>
  <c r="S121" i="39"/>
  <c r="F124" i="39"/>
  <c r="L135" i="39"/>
  <c r="F223" i="39"/>
  <c r="L62" i="39"/>
  <c r="S89" i="39"/>
  <c r="L94" i="39"/>
  <c r="R94" i="39"/>
  <c r="R137" i="39"/>
  <c r="F41" i="39"/>
  <c r="F49" i="39"/>
  <c r="F69" i="39"/>
  <c r="L88" i="39"/>
  <c r="F101" i="39"/>
  <c r="L115" i="39"/>
  <c r="S115" i="39"/>
  <c r="R115" i="39"/>
  <c r="F158" i="39"/>
  <c r="F18" i="39"/>
  <c r="F22" i="39"/>
  <c r="F26" i="39"/>
  <c r="F30" i="39"/>
  <c r="F34" i="39"/>
  <c r="F38" i="39"/>
  <c r="F42" i="39"/>
  <c r="F46" i="39"/>
  <c r="F50" i="39"/>
  <c r="F54" i="39"/>
  <c r="F58" i="39"/>
  <c r="F62" i="39"/>
  <c r="F66" i="39"/>
  <c r="F70" i="39"/>
  <c r="F74" i="39"/>
  <c r="S77" i="39"/>
  <c r="L78" i="39"/>
  <c r="L79" i="39"/>
  <c r="S79" i="39"/>
  <c r="R79" i="39"/>
  <c r="L80" i="39"/>
  <c r="F89" i="39"/>
  <c r="L92" i="39"/>
  <c r="F104" i="39"/>
  <c r="L111" i="39"/>
  <c r="S111" i="39"/>
  <c r="R111" i="39"/>
  <c r="S113" i="39"/>
  <c r="F117" i="39"/>
  <c r="L126" i="39"/>
  <c r="R153" i="39"/>
  <c r="L54" i="39"/>
  <c r="L58" i="39"/>
  <c r="L74" i="39"/>
  <c r="F29" i="39"/>
  <c r="F33" i="39"/>
  <c r="F37" i="39"/>
  <c r="F61" i="39"/>
  <c r="F73" i="39"/>
  <c r="R89" i="39"/>
  <c r="R163" i="39"/>
  <c r="F10" i="39"/>
  <c r="L16" i="39"/>
  <c r="L20" i="39"/>
  <c r="L24" i="39"/>
  <c r="L28" i="39"/>
  <c r="L32" i="39"/>
  <c r="L36" i="39"/>
  <c r="L40" i="39"/>
  <c r="L44" i="39"/>
  <c r="L48" i="39"/>
  <c r="L52" i="39"/>
  <c r="L56" i="39"/>
  <c r="L60" i="39"/>
  <c r="L64" i="39"/>
  <c r="L68" i="39"/>
  <c r="L72" i="39"/>
  <c r="S81" i="39"/>
  <c r="L82" i="39"/>
  <c r="L83" i="39"/>
  <c r="S83" i="39"/>
  <c r="R83" i="39"/>
  <c r="L84" i="39"/>
  <c r="L86" i="39"/>
  <c r="R86" i="39"/>
  <c r="F88" i="39"/>
  <c r="L91" i="39"/>
  <c r="S91" i="39"/>
  <c r="R91" i="39"/>
  <c r="S97" i="39"/>
  <c r="L102" i="39"/>
  <c r="R102" i="39"/>
  <c r="F108" i="39"/>
  <c r="L122" i="39"/>
  <c r="R122" i="39"/>
  <c r="R134" i="39"/>
  <c r="L134" i="39"/>
  <c r="S137" i="39"/>
  <c r="F140" i="39"/>
  <c r="F152" i="39"/>
  <c r="S287" i="39"/>
  <c r="R287" i="39"/>
  <c r="L287" i="39"/>
  <c r="F396" i="39"/>
  <c r="F392" i="39"/>
  <c r="F390" i="39"/>
  <c r="F388" i="39"/>
  <c r="F415" i="39"/>
  <c r="F411" i="39"/>
  <c r="F407" i="39"/>
  <c r="F403" i="39"/>
  <c r="F399" i="39"/>
  <c r="F413" i="39"/>
  <c r="F404" i="39"/>
  <c r="F402" i="39"/>
  <c r="F409" i="39"/>
  <c r="F400" i="39"/>
  <c r="F384" i="39"/>
  <c r="F383" i="39"/>
  <c r="F379" i="39"/>
  <c r="F377" i="39"/>
  <c r="F375" i="39"/>
  <c r="F373" i="39"/>
  <c r="F371" i="39"/>
  <c r="F369" i="39"/>
  <c r="F367" i="39"/>
  <c r="F365" i="39"/>
  <c r="F398" i="39"/>
  <c r="F414" i="39"/>
  <c r="F374" i="39"/>
  <c r="F408" i="39"/>
  <c r="F393" i="39"/>
  <c r="F417" i="39"/>
  <c r="F386" i="39"/>
  <c r="F385" i="39"/>
  <c r="F378" i="39"/>
  <c r="F412" i="39"/>
  <c r="F395" i="39"/>
  <c r="F376" i="39"/>
  <c r="F366" i="39"/>
  <c r="F362" i="39"/>
  <c r="F349" i="39"/>
  <c r="F346" i="39"/>
  <c r="F336" i="39"/>
  <c r="F334" i="39"/>
  <c r="F332" i="39"/>
  <c r="F330" i="39"/>
  <c r="F328" i="39"/>
  <c r="F326" i="39"/>
  <c r="F324" i="39"/>
  <c r="F322" i="39"/>
  <c r="F320" i="39"/>
  <c r="F318" i="39"/>
  <c r="F316" i="39"/>
  <c r="F314" i="39"/>
  <c r="F405" i="39"/>
  <c r="F370" i="39"/>
  <c r="F368" i="39"/>
  <c r="F355" i="39"/>
  <c r="F352" i="39"/>
  <c r="F340" i="39"/>
  <c r="F389" i="39"/>
  <c r="F357" i="39"/>
  <c r="F354" i="39"/>
  <c r="F345" i="39"/>
  <c r="F391" i="39"/>
  <c r="F351" i="39"/>
  <c r="F344" i="39"/>
  <c r="F337" i="39"/>
  <c r="F361" i="39"/>
  <c r="F356" i="39"/>
  <c r="F339" i="39"/>
  <c r="F335" i="39"/>
  <c r="F331" i="39"/>
  <c r="F327" i="39"/>
  <c r="F323" i="39"/>
  <c r="F319" i="39"/>
  <c r="F315" i="39"/>
  <c r="F401" i="39"/>
  <c r="F350" i="39"/>
  <c r="F341" i="39"/>
  <c r="F338" i="39"/>
  <c r="F406" i="39"/>
  <c r="F397" i="39"/>
  <c r="F394" i="39"/>
  <c r="F358" i="39"/>
  <c r="F343" i="39"/>
  <c r="F329" i="39"/>
  <c r="F309" i="39"/>
  <c r="F305" i="39"/>
  <c r="F301" i="39"/>
  <c r="F297" i="39"/>
  <c r="F293" i="39"/>
  <c r="F313" i="39"/>
  <c r="F291" i="39"/>
  <c r="F289" i="39"/>
  <c r="F287" i="39"/>
  <c r="F285" i="39"/>
  <c r="F283" i="39"/>
  <c r="F281" i="39"/>
  <c r="F279" i="39"/>
  <c r="F277" i="39"/>
  <c r="F275" i="39"/>
  <c r="F273" i="39"/>
  <c r="F271" i="39"/>
  <c r="F269" i="39"/>
  <c r="F267" i="39"/>
  <c r="F265" i="39"/>
  <c r="F263" i="39"/>
  <c r="F261" i="39"/>
  <c r="F259" i="39"/>
  <c r="F257" i="39"/>
  <c r="F255" i="39"/>
  <c r="F253" i="39"/>
  <c r="F251" i="39"/>
  <c r="F249" i="39"/>
  <c r="F247" i="39"/>
  <c r="F245" i="39"/>
  <c r="F243" i="39"/>
  <c r="F241" i="39"/>
  <c r="F239" i="39"/>
  <c r="F237" i="39"/>
  <c r="F235" i="39"/>
  <c r="F233" i="39"/>
  <c r="F410" i="39"/>
  <c r="F382" i="39"/>
  <c r="F348" i="39"/>
  <c r="F342" i="39"/>
  <c r="F321" i="39"/>
  <c r="F311" i="39"/>
  <c r="F307" i="39"/>
  <c r="F303" i="39"/>
  <c r="F299" i="39"/>
  <c r="F387" i="39"/>
  <c r="F308" i="39"/>
  <c r="F292" i="39"/>
  <c r="F284" i="39"/>
  <c r="F276" i="39"/>
  <c r="F268" i="39"/>
  <c r="F260" i="39"/>
  <c r="F229" i="39"/>
  <c r="F221" i="39"/>
  <c r="F216" i="39"/>
  <c r="F214" i="39"/>
  <c r="F212" i="39"/>
  <c r="F210" i="39"/>
  <c r="F208" i="39"/>
  <c r="F206" i="39"/>
  <c r="F204" i="39"/>
  <c r="F202" i="39"/>
  <c r="F200" i="39"/>
  <c r="F198" i="39"/>
  <c r="F196" i="39"/>
  <c r="F194" i="39"/>
  <c r="F192" i="39"/>
  <c r="F190" i="39"/>
  <c r="F188" i="39"/>
  <c r="F380" i="39"/>
  <c r="F363" i="39"/>
  <c r="F306" i="39"/>
  <c r="F228" i="39"/>
  <c r="F220" i="39"/>
  <c r="F300" i="39"/>
  <c r="F295" i="39"/>
  <c r="F288" i="39"/>
  <c r="F280" i="39"/>
  <c r="F272" i="39"/>
  <c r="F264" i="39"/>
  <c r="F225" i="39"/>
  <c r="F217" i="39"/>
  <c r="F215" i="39"/>
  <c r="F213" i="39"/>
  <c r="F211" i="39"/>
  <c r="F209" i="39"/>
  <c r="F207" i="39"/>
  <c r="F205" i="39"/>
  <c r="F203" i="39"/>
  <c r="F201" i="39"/>
  <c r="F199" i="39"/>
  <c r="F197" i="39"/>
  <c r="F195" i="39"/>
  <c r="F381" i="39"/>
  <c r="F372" i="39"/>
  <c r="F347" i="39"/>
  <c r="F325" i="39"/>
  <c r="F317" i="39"/>
  <c r="F278" i="39"/>
  <c r="F333" i="39"/>
  <c r="F290" i="39"/>
  <c r="F274" i="39"/>
  <c r="F254" i="39"/>
  <c r="F232" i="39"/>
  <c r="F231" i="39"/>
  <c r="F222" i="39"/>
  <c r="F187" i="39"/>
  <c r="F184" i="39"/>
  <c r="F182" i="39"/>
  <c r="F180" i="39"/>
  <c r="F178" i="39"/>
  <c r="F176" i="39"/>
  <c r="F174" i="39"/>
  <c r="F172" i="39"/>
  <c r="F170" i="39"/>
  <c r="F168" i="39"/>
  <c r="F166" i="39"/>
  <c r="F310" i="39"/>
  <c r="F270" i="39"/>
  <c r="F266" i="39"/>
  <c r="F262" i="39"/>
  <c r="F256" i="39"/>
  <c r="F236" i="39"/>
  <c r="F234" i="39"/>
  <c r="F230" i="39"/>
  <c r="F219" i="39"/>
  <c r="F218" i="39"/>
  <c r="F304" i="39"/>
  <c r="F298" i="39"/>
  <c r="F296" i="39"/>
  <c r="F246" i="39"/>
  <c r="F185" i="39"/>
  <c r="F183" i="39"/>
  <c r="F181" i="39"/>
  <c r="F179" i="39"/>
  <c r="F177" i="39"/>
  <c r="F175" i="39"/>
  <c r="F173" i="39"/>
  <c r="F171" i="39"/>
  <c r="F169" i="39"/>
  <c r="F167" i="39"/>
  <c r="F165" i="39"/>
  <c r="F163" i="39"/>
  <c r="F161" i="39"/>
  <c r="F159" i="39"/>
  <c r="F157" i="39"/>
  <c r="F155" i="39"/>
  <c r="F153" i="39"/>
  <c r="F151" i="39"/>
  <c r="F149" i="39"/>
  <c r="F147" i="39"/>
  <c r="F145" i="39"/>
  <c r="F143" i="39"/>
  <c r="F141" i="39"/>
  <c r="F139" i="39"/>
  <c r="F137" i="39"/>
  <c r="F135" i="39"/>
  <c r="F248" i="39"/>
  <c r="F226" i="39"/>
  <c r="F224" i="39"/>
  <c r="F312" i="39"/>
  <c r="F302" i="39"/>
  <c r="F286" i="39"/>
  <c r="F238" i="39"/>
  <c r="F191" i="39"/>
  <c r="F282" i="39"/>
  <c r="F240" i="39"/>
  <c r="F364" i="39"/>
  <c r="F359" i="39"/>
  <c r="F242" i="39"/>
  <c r="F227" i="39"/>
  <c r="F134" i="39"/>
  <c r="F133" i="39"/>
  <c r="F250" i="39"/>
  <c r="F193" i="39"/>
  <c r="F13" i="39"/>
  <c r="F9" i="39"/>
  <c r="F5" i="39"/>
  <c r="F353" i="39"/>
  <c r="F164" i="39"/>
  <c r="F162" i="39"/>
  <c r="F130" i="39"/>
  <c r="F129" i="39"/>
  <c r="F258" i="39"/>
  <c r="F144" i="39"/>
  <c r="F128" i="39"/>
  <c r="F146" i="39"/>
  <c r="F127" i="39"/>
  <c r="F123" i="39"/>
  <c r="F119" i="39"/>
  <c r="F115" i="39"/>
  <c r="F111" i="39"/>
  <c r="F107" i="39"/>
  <c r="F103" i="39"/>
  <c r="F99" i="39"/>
  <c r="F95" i="39"/>
  <c r="F91" i="39"/>
  <c r="F87" i="39"/>
  <c r="F83" i="39"/>
  <c r="F79" i="39"/>
  <c r="F75" i="39"/>
  <c r="F244" i="39"/>
  <c r="F160" i="39"/>
  <c r="F148" i="39"/>
  <c r="F252" i="39"/>
  <c r="F189" i="39"/>
  <c r="F150" i="39"/>
  <c r="F126" i="39"/>
  <c r="F122" i="39"/>
  <c r="F118" i="39"/>
  <c r="F114" i="39"/>
  <c r="F110" i="39"/>
  <c r="F106" i="39"/>
  <c r="F102" i="39"/>
  <c r="F98" i="39"/>
  <c r="F94" i="39"/>
  <c r="F90" i="39"/>
  <c r="F86" i="39"/>
  <c r="F138" i="39"/>
  <c r="F120" i="39"/>
  <c r="F416" i="39"/>
  <c r="F186" i="39"/>
  <c r="F154" i="39"/>
  <c r="F136" i="39"/>
  <c r="F121" i="39"/>
  <c r="F19" i="39"/>
  <c r="F23" i="39"/>
  <c r="F27" i="39"/>
  <c r="F31" i="39"/>
  <c r="F35" i="39"/>
  <c r="F39" i="39"/>
  <c r="F43" i="39"/>
  <c r="F47" i="39"/>
  <c r="F51" i="39"/>
  <c r="F55" i="39"/>
  <c r="F59" i="39"/>
  <c r="F63" i="39"/>
  <c r="F67" i="39"/>
  <c r="F71" i="39"/>
  <c r="F76" i="39"/>
  <c r="S85" i="39"/>
  <c r="F93" i="39"/>
  <c r="L96" i="39"/>
  <c r="S105" i="39"/>
  <c r="R105" i="39"/>
  <c r="L107" i="39"/>
  <c r="S107" i="39"/>
  <c r="R107" i="39"/>
  <c r="S109" i="39"/>
  <c r="R109" i="39"/>
  <c r="L123" i="39"/>
  <c r="S123" i="39"/>
  <c r="R123" i="39"/>
  <c r="F125" i="39"/>
  <c r="R130" i="39"/>
  <c r="L130" i="39"/>
  <c r="L132" i="39"/>
  <c r="F156" i="39"/>
  <c r="F294" i="39"/>
  <c r="F4" i="39"/>
  <c r="F7" i="39"/>
  <c r="F12" i="39"/>
  <c r="F15" i="39"/>
  <c r="S17" i="39"/>
  <c r="S21" i="39"/>
  <c r="S25" i="39"/>
  <c r="S29" i="39"/>
  <c r="S33" i="39"/>
  <c r="S37" i="39"/>
  <c r="S41" i="39"/>
  <c r="S45" i="39"/>
  <c r="S49" i="39"/>
  <c r="S53" i="39"/>
  <c r="S57" i="39"/>
  <c r="S61" i="39"/>
  <c r="S65" i="39"/>
  <c r="S69" i="39"/>
  <c r="S73" i="39"/>
  <c r="F77" i="39"/>
  <c r="F78" i="39"/>
  <c r="F80" i="39"/>
  <c r="L90" i="39"/>
  <c r="R90" i="39"/>
  <c r="F92" i="39"/>
  <c r="L95" i="39"/>
  <c r="S95" i="39"/>
  <c r="R95" i="39"/>
  <c r="S96" i="39"/>
  <c r="S101" i="39"/>
  <c r="R110" i="39"/>
  <c r="F113" i="39"/>
  <c r="L114" i="39"/>
  <c r="R155" i="39"/>
  <c r="L155" i="39"/>
  <c r="R161" i="39"/>
  <c r="S161" i="39"/>
  <c r="S117" i="39"/>
  <c r="R117" i="39"/>
  <c r="L119" i="39"/>
  <c r="S119" i="39"/>
  <c r="R119" i="39"/>
  <c r="L127" i="39"/>
  <c r="R127" i="39"/>
  <c r="S127" i="39"/>
  <c r="R131" i="39"/>
  <c r="L131" i="39"/>
  <c r="R139" i="39"/>
  <c r="L139" i="39"/>
  <c r="L151" i="39"/>
  <c r="R145" i="39"/>
  <c r="S147" i="39"/>
  <c r="S357" i="39"/>
  <c r="R357" i="39"/>
  <c r="S377" i="39"/>
  <c r="R377" i="39"/>
  <c r="L104" i="39"/>
  <c r="L108" i="39"/>
  <c r="L112" i="39"/>
  <c r="L116" i="39"/>
  <c r="L120" i="39"/>
  <c r="L124" i="39"/>
  <c r="S228" i="39"/>
  <c r="L228" i="39"/>
  <c r="S283" i="39"/>
  <c r="L283" i="39"/>
  <c r="R283" i="39"/>
  <c r="R141" i="39"/>
  <c r="S143" i="39"/>
  <c r="R157" i="39"/>
  <c r="S159" i="39"/>
  <c r="S125" i="39"/>
  <c r="S241" i="39"/>
  <c r="R241" i="39"/>
  <c r="L299" i="39"/>
  <c r="S299" i="39"/>
  <c r="R299" i="39"/>
  <c r="L308" i="39"/>
  <c r="S308" i="39"/>
  <c r="S273" i="39"/>
  <c r="R273" i="39"/>
  <c r="S15" i="39"/>
  <c r="S192" i="39"/>
  <c r="R230" i="39"/>
  <c r="L231" i="39"/>
  <c r="S231" i="39"/>
  <c r="R231" i="39"/>
  <c r="S281" i="39"/>
  <c r="L304" i="39"/>
  <c r="S304" i="39"/>
  <c r="L223" i="39"/>
  <c r="R223" i="39"/>
  <c r="S223" i="39"/>
  <c r="S245" i="39"/>
  <c r="R245" i="39"/>
  <c r="S279" i="39"/>
  <c r="R279" i="39"/>
  <c r="L279" i="39"/>
  <c r="L300" i="39"/>
  <c r="S300" i="39"/>
  <c r="S309" i="39"/>
  <c r="R309" i="39"/>
  <c r="L227" i="39"/>
  <c r="S257" i="39"/>
  <c r="R257" i="39"/>
  <c r="S275" i="39"/>
  <c r="L275" i="39"/>
  <c r="R275" i="39"/>
  <c r="S291" i="39"/>
  <c r="L291" i="39"/>
  <c r="R291" i="39"/>
  <c r="S293" i="39"/>
  <c r="R293" i="39"/>
  <c r="L186" i="39"/>
  <c r="S188" i="39"/>
  <c r="R222" i="39"/>
  <c r="L222" i="39"/>
  <c r="R226" i="39"/>
  <c r="L362" i="39"/>
  <c r="R362" i="39"/>
  <c r="R227" i="39"/>
  <c r="S227" i="39"/>
  <c r="S237" i="39"/>
  <c r="R237" i="39"/>
  <c r="S253" i="39"/>
  <c r="R253" i="39"/>
  <c r="L318" i="39"/>
  <c r="R318" i="39"/>
  <c r="R138" i="39"/>
  <c r="R142" i="39"/>
  <c r="R146" i="39"/>
  <c r="R150" i="39"/>
  <c r="R154" i="39"/>
  <c r="R158" i="39"/>
  <c r="R162" i="39"/>
  <c r="R166" i="39"/>
  <c r="R170" i="39"/>
  <c r="R174" i="39"/>
  <c r="R178" i="39"/>
  <c r="R182" i="39"/>
  <c r="R187" i="39"/>
  <c r="R218" i="39"/>
  <c r="R219" i="39"/>
  <c r="S220" i="39"/>
  <c r="L220" i="39"/>
  <c r="S233" i="39"/>
  <c r="R233" i="39"/>
  <c r="L334" i="39"/>
  <c r="R334" i="39"/>
  <c r="L190" i="39"/>
  <c r="S249" i="39"/>
  <c r="R249" i="39"/>
  <c r="L307" i="39"/>
  <c r="S307" i="39"/>
  <c r="R307" i="39"/>
  <c r="S263" i="39"/>
  <c r="R263" i="39"/>
  <c r="L263" i="39"/>
  <c r="S265" i="39"/>
  <c r="S267" i="39"/>
  <c r="L267" i="39"/>
  <c r="R267" i="39"/>
  <c r="L294" i="39"/>
  <c r="R294" i="39"/>
  <c r="S301" i="39"/>
  <c r="R301" i="39"/>
  <c r="S289" i="39"/>
  <c r="R289" i="39"/>
  <c r="S336" i="39"/>
  <c r="L352" i="39"/>
  <c r="S352" i="39"/>
  <c r="S271" i="39"/>
  <c r="R271" i="39"/>
  <c r="L271" i="39"/>
  <c r="L311" i="39"/>
  <c r="S311" i="39"/>
  <c r="R311" i="39"/>
  <c r="S320" i="39"/>
  <c r="R194" i="39"/>
  <c r="R198" i="39"/>
  <c r="R202" i="39"/>
  <c r="R206" i="39"/>
  <c r="R210" i="39"/>
  <c r="R214" i="39"/>
  <c r="S297" i="39"/>
  <c r="R297" i="39"/>
  <c r="S313" i="39"/>
  <c r="L316" i="39"/>
  <c r="S316" i="39"/>
  <c r="L332" i="39"/>
  <c r="S332" i="39"/>
  <c r="L235" i="39"/>
  <c r="L239" i="39"/>
  <c r="L243" i="39"/>
  <c r="L247" i="39"/>
  <c r="L251" i="39"/>
  <c r="L255" i="39"/>
  <c r="L259" i="39"/>
  <c r="S261" i="39"/>
  <c r="S269" i="39"/>
  <c r="S277" i="39"/>
  <c r="S285" i="39"/>
  <c r="L296" i="39"/>
  <c r="S296" i="39"/>
  <c r="L303" i="39"/>
  <c r="S303" i="39"/>
  <c r="R303" i="39"/>
  <c r="L312" i="39"/>
  <c r="S312" i="39"/>
  <c r="R314" i="39"/>
  <c r="R330" i="39"/>
  <c r="S305" i="39"/>
  <c r="R305" i="39"/>
  <c r="R322" i="39"/>
  <c r="S349" i="39"/>
  <c r="R349" i="39"/>
  <c r="R351" i="39"/>
  <c r="R234" i="39"/>
  <c r="R238" i="39"/>
  <c r="R242" i="39"/>
  <c r="R246" i="39"/>
  <c r="R250" i="39"/>
  <c r="R254" i="39"/>
  <c r="R258" i="39"/>
  <c r="R262" i="39"/>
  <c r="R266" i="39"/>
  <c r="R270" i="39"/>
  <c r="R274" i="39"/>
  <c r="R278" i="39"/>
  <c r="R282" i="39"/>
  <c r="R286" i="39"/>
  <c r="R290" i="39"/>
  <c r="L292" i="39"/>
  <c r="L298" i="39"/>
  <c r="L302" i="39"/>
  <c r="L306" i="39"/>
  <c r="L310" i="39"/>
  <c r="R337" i="39"/>
  <c r="S341" i="39"/>
  <c r="L346" i="39"/>
  <c r="R346" i="39"/>
  <c r="L351" i="39"/>
  <c r="R359" i="39"/>
  <c r="L359" i="39"/>
  <c r="L295" i="39"/>
  <c r="S295" i="39"/>
  <c r="S324" i="39"/>
  <c r="L344" i="39"/>
  <c r="S344" i="39"/>
  <c r="L340" i="39"/>
  <c r="S340" i="39"/>
  <c r="L354" i="39"/>
  <c r="R354" i="39"/>
  <c r="S361" i="39"/>
  <c r="S364" i="39"/>
  <c r="L364" i="39"/>
  <c r="S371" i="39"/>
  <c r="R371" i="39"/>
  <c r="L404" i="39"/>
  <c r="L414" i="39"/>
  <c r="R414" i="39"/>
  <c r="S379" i="39"/>
  <c r="S404" i="39"/>
  <c r="S343" i="39"/>
  <c r="L348" i="39"/>
  <c r="S348" i="39"/>
  <c r="L360" i="39"/>
  <c r="S360" i="39"/>
  <c r="L371" i="39"/>
  <c r="L386" i="39"/>
  <c r="R386" i="39"/>
  <c r="L358" i="39"/>
  <c r="S367" i="39"/>
  <c r="R367" i="39"/>
  <c r="L339" i="39"/>
  <c r="S355" i="39"/>
  <c r="L356" i="39"/>
  <c r="S385" i="39"/>
  <c r="L342" i="39"/>
  <c r="L350" i="39"/>
  <c r="L396" i="39"/>
  <c r="S375" i="39"/>
  <c r="L400" i="39"/>
  <c r="S400" i="39"/>
  <c r="S381" i="39"/>
  <c r="R381" i="39"/>
  <c r="R382" i="39"/>
  <c r="L383" i="39"/>
  <c r="L402" i="39"/>
  <c r="R402" i="39"/>
  <c r="L416" i="39"/>
  <c r="S416" i="39"/>
  <c r="L388" i="39"/>
  <c r="L392" i="39"/>
  <c r="R366" i="39"/>
  <c r="R370" i="39"/>
  <c r="R374" i="39"/>
  <c r="R378" i="39"/>
  <c r="S380" i="39"/>
  <c r="L394" i="39"/>
  <c r="R394" i="39"/>
  <c r="L406" i="39"/>
  <c r="R406" i="39"/>
  <c r="L408" i="39"/>
  <c r="L390" i="39"/>
  <c r="S397" i="39"/>
  <c r="L410" i="39"/>
  <c r="R410" i="39"/>
  <c r="L412" i="39"/>
  <c r="L399" i="39"/>
  <c r="S399" i="39"/>
  <c r="L403" i="39"/>
  <c r="S403" i="39"/>
  <c r="L407" i="39"/>
  <c r="S407" i="39"/>
  <c r="L411" i="39"/>
  <c r="S411" i="39"/>
  <c r="L415" i="39"/>
  <c r="S415" i="39"/>
  <c r="L398" i="39"/>
  <c r="R399" i="39"/>
  <c r="R403" i="39"/>
  <c r="R407" i="39"/>
  <c r="R411" i="39"/>
  <c r="R415" i="39"/>
  <c r="L395" i="39"/>
  <c r="S401" i="39"/>
  <c r="S405" i="39"/>
  <c r="S409" i="39"/>
  <c r="S413" i="39"/>
  <c r="S417" i="39"/>
  <c r="F5" i="38"/>
  <c r="F15" i="38"/>
  <c r="F47" i="38"/>
  <c r="F27" i="38"/>
  <c r="F11" i="38"/>
  <c r="F7" i="38"/>
  <c r="F10" i="38"/>
  <c r="F13" i="38"/>
  <c r="F9" i="38"/>
  <c r="F81" i="38"/>
  <c r="F45" i="38"/>
  <c r="F112" i="38"/>
  <c r="F49" i="38"/>
  <c r="F14" i="38"/>
  <c r="F6" i="38"/>
  <c r="F86" i="38"/>
  <c r="L48" i="38"/>
  <c r="S48" i="38"/>
  <c r="S29" i="38"/>
  <c r="R29" i="38"/>
  <c r="L46" i="38"/>
  <c r="S103" i="38"/>
  <c r="L103" i="38"/>
  <c r="R103" i="38"/>
  <c r="R114" i="38"/>
  <c r="L114" i="38"/>
  <c r="L36" i="38"/>
  <c r="S36" i="38"/>
  <c r="L44" i="38"/>
  <c r="S44" i="38"/>
  <c r="L50" i="38"/>
  <c r="R50" i="38"/>
  <c r="F17" i="38"/>
  <c r="R18" i="38"/>
  <c r="F19" i="38"/>
  <c r="F21" i="38"/>
  <c r="R22" i="38"/>
  <c r="F23" i="38"/>
  <c r="F25" i="38"/>
  <c r="L26" i="38"/>
  <c r="F28" i="38"/>
  <c r="L30" i="38"/>
  <c r="S32" i="38"/>
  <c r="L42" i="38"/>
  <c r="F43" i="38"/>
  <c r="F56" i="38"/>
  <c r="F62" i="38"/>
  <c r="F71" i="38"/>
  <c r="F416" i="38"/>
  <c r="F414" i="38"/>
  <c r="F412" i="38"/>
  <c r="F410" i="38"/>
  <c r="F408" i="38"/>
  <c r="F406" i="38"/>
  <c r="F404" i="38"/>
  <c r="F402" i="38"/>
  <c r="F400" i="38"/>
  <c r="F398" i="38"/>
  <c r="F396" i="38"/>
  <c r="F417" i="38"/>
  <c r="F415" i="38"/>
  <c r="F413" i="38"/>
  <c r="F411" i="38"/>
  <c r="F409" i="38"/>
  <c r="F407" i="38"/>
  <c r="F405" i="38"/>
  <c r="F403" i="38"/>
  <c r="F401" i="38"/>
  <c r="F399" i="38"/>
  <c r="F397" i="38"/>
  <c r="F395" i="38"/>
  <c r="F394" i="38"/>
  <c r="F391" i="38"/>
  <c r="F382" i="38"/>
  <c r="F390" i="38"/>
  <c r="F387" i="38"/>
  <c r="F386" i="38"/>
  <c r="F378" i="38"/>
  <c r="F373" i="38"/>
  <c r="F371" i="38"/>
  <c r="F369" i="38"/>
  <c r="F367" i="38"/>
  <c r="F365" i="38"/>
  <c r="F363" i="38"/>
  <c r="F361" i="38"/>
  <c r="F359" i="38"/>
  <c r="F357" i="38"/>
  <c r="F355" i="38"/>
  <c r="F353" i="38"/>
  <c r="F351" i="38"/>
  <c r="F349" i="38"/>
  <c r="F347" i="38"/>
  <c r="F345" i="38"/>
  <c r="F388" i="38"/>
  <c r="F375" i="38"/>
  <c r="F374" i="38"/>
  <c r="F380" i="38"/>
  <c r="F360" i="38"/>
  <c r="F384" i="38"/>
  <c r="F376" i="38"/>
  <c r="F368" i="38"/>
  <c r="F352" i="38"/>
  <c r="F342" i="38"/>
  <c r="F341" i="38"/>
  <c r="F392" i="38"/>
  <c r="F385" i="38"/>
  <c r="F379" i="38"/>
  <c r="F372" i="38"/>
  <c r="F356" i="38"/>
  <c r="F393" i="38"/>
  <c r="F389" i="38"/>
  <c r="F381" i="38"/>
  <c r="F370" i="38"/>
  <c r="F364" i="38"/>
  <c r="F377" i="38"/>
  <c r="F344" i="38"/>
  <c r="F343" i="38"/>
  <c r="F336" i="38"/>
  <c r="F328" i="38"/>
  <c r="F316" i="38"/>
  <c r="F312" i="38"/>
  <c r="F308" i="38"/>
  <c r="F304" i="38"/>
  <c r="F300" i="38"/>
  <c r="F298" i="38"/>
  <c r="F297" i="38"/>
  <c r="F290" i="38"/>
  <c r="F289" i="38"/>
  <c r="F282" i="38"/>
  <c r="F366" i="38"/>
  <c r="F338" i="38"/>
  <c r="F330" i="38"/>
  <c r="F322" i="38"/>
  <c r="F321" i="38"/>
  <c r="F296" i="38"/>
  <c r="F295" i="38"/>
  <c r="F288" i="38"/>
  <c r="F287" i="38"/>
  <c r="F280" i="38"/>
  <c r="F279" i="38"/>
  <c r="F333" i="38"/>
  <c r="F323" i="38"/>
  <c r="F317" i="38"/>
  <c r="F311" i="38"/>
  <c r="F301" i="38"/>
  <c r="F272" i="38"/>
  <c r="F271" i="38"/>
  <c r="F256" i="38"/>
  <c r="F255" i="38"/>
  <c r="F240" i="38"/>
  <c r="F239" i="38"/>
  <c r="F383" i="38"/>
  <c r="F354" i="38"/>
  <c r="F350" i="38"/>
  <c r="F340" i="38"/>
  <c r="F310" i="38"/>
  <c r="F362" i="38"/>
  <c r="F334" i="38"/>
  <c r="F332" i="38"/>
  <c r="F319" i="38"/>
  <c r="F309" i="38"/>
  <c r="F303" i="38"/>
  <c r="F358" i="38"/>
  <c r="F337" i="38"/>
  <c r="F313" i="38"/>
  <c r="F294" i="38"/>
  <c r="F327" i="38"/>
  <c r="F348" i="38"/>
  <c r="F335" i="38"/>
  <c r="F326" i="38"/>
  <c r="F325" i="38"/>
  <c r="F320" i="38"/>
  <c r="F339" i="38"/>
  <c r="F314" i="38"/>
  <c r="F306" i="38"/>
  <c r="F281" i="38"/>
  <c r="F267" i="38"/>
  <c r="F260" i="38"/>
  <c r="F246" i="38"/>
  <c r="F305" i="38"/>
  <c r="F278" i="38"/>
  <c r="F268" i="38"/>
  <c r="F264" i="38"/>
  <c r="F253" i="38"/>
  <c r="F299" i="38"/>
  <c r="F293" i="38"/>
  <c r="F286" i="38"/>
  <c r="F283" i="38"/>
  <c r="F275" i="38"/>
  <c r="F274" i="38"/>
  <c r="F273" i="38"/>
  <c r="F258" i="38"/>
  <c r="F291" i="38"/>
  <c r="F346" i="38"/>
  <c r="F331" i="38"/>
  <c r="F315" i="38"/>
  <c r="F307" i="38"/>
  <c r="F292" i="38"/>
  <c r="F254" i="38"/>
  <c r="F242" i="38"/>
  <c r="F318" i="38"/>
  <c r="F270" i="38"/>
  <c r="F302" i="38"/>
  <c r="F285" i="38"/>
  <c r="F266" i="38"/>
  <c r="F247" i="38"/>
  <c r="F245" i="38"/>
  <c r="F243" i="38"/>
  <c r="F238" i="38"/>
  <c r="F228" i="38"/>
  <c r="F227" i="38"/>
  <c r="F220" i="38"/>
  <c r="F219" i="38"/>
  <c r="F212" i="38"/>
  <c r="F211" i="38"/>
  <c r="F263" i="38"/>
  <c r="F237" i="38"/>
  <c r="F233" i="38"/>
  <c r="F226" i="38"/>
  <c r="F225" i="38"/>
  <c r="F218" i="38"/>
  <c r="F217" i="38"/>
  <c r="F210" i="38"/>
  <c r="F209" i="38"/>
  <c r="F207" i="38"/>
  <c r="F205" i="38"/>
  <c r="F203" i="38"/>
  <c r="F201" i="38"/>
  <c r="F199" i="38"/>
  <c r="F197" i="38"/>
  <c r="F195" i="38"/>
  <c r="F193" i="38"/>
  <c r="F191" i="38"/>
  <c r="F189" i="38"/>
  <c r="F187" i="38"/>
  <c r="F185" i="38"/>
  <c r="F183" i="38"/>
  <c r="F181" i="38"/>
  <c r="F179" i="38"/>
  <c r="F177" i="38"/>
  <c r="F175" i="38"/>
  <c r="F173" i="38"/>
  <c r="F171" i="38"/>
  <c r="F169" i="38"/>
  <c r="F167" i="38"/>
  <c r="F165" i="38"/>
  <c r="F163" i="38"/>
  <c r="F161" i="38"/>
  <c r="F159" i="38"/>
  <c r="F157" i="38"/>
  <c r="F155" i="38"/>
  <c r="F153" i="38"/>
  <c r="F151" i="38"/>
  <c r="F149" i="38"/>
  <c r="F147" i="38"/>
  <c r="F145" i="38"/>
  <c r="F143" i="38"/>
  <c r="F141" i="38"/>
  <c r="F139" i="38"/>
  <c r="F262" i="38"/>
  <c r="F259" i="38"/>
  <c r="F251" i="38"/>
  <c r="F234" i="38"/>
  <c r="F232" i="38"/>
  <c r="F231" i="38"/>
  <c r="F224" i="38"/>
  <c r="F223" i="38"/>
  <c r="F216" i="38"/>
  <c r="F215" i="38"/>
  <c r="F277" i="38"/>
  <c r="F276" i="38"/>
  <c r="F261" i="38"/>
  <c r="F249" i="38"/>
  <c r="F235" i="38"/>
  <c r="F230" i="38"/>
  <c r="F229" i="38"/>
  <c r="F222" i="38"/>
  <c r="F221" i="38"/>
  <c r="F214" i="38"/>
  <c r="F213" i="38"/>
  <c r="F208" i="38"/>
  <c r="F206" i="38"/>
  <c r="F204" i="38"/>
  <c r="F202" i="38"/>
  <c r="F200" i="38"/>
  <c r="F198" i="38"/>
  <c r="F196" i="38"/>
  <c r="F194" i="38"/>
  <c r="F192" i="38"/>
  <c r="F190" i="38"/>
  <c r="F188" i="38"/>
  <c r="F186" i="38"/>
  <c r="F184" i="38"/>
  <c r="F182" i="38"/>
  <c r="F180" i="38"/>
  <c r="F178" i="38"/>
  <c r="F176" i="38"/>
  <c r="F174" i="38"/>
  <c r="F172" i="38"/>
  <c r="F170" i="38"/>
  <c r="F168" i="38"/>
  <c r="F166" i="38"/>
  <c r="F164" i="38"/>
  <c r="F162" i="38"/>
  <c r="F160" i="38"/>
  <c r="F158" i="38"/>
  <c r="F156" i="38"/>
  <c r="F154" i="38"/>
  <c r="F152" i="38"/>
  <c r="F150" i="38"/>
  <c r="F148" i="38"/>
  <c r="F146" i="38"/>
  <c r="F144" i="38"/>
  <c r="F142" i="38"/>
  <c r="F140" i="38"/>
  <c r="F138" i="38"/>
  <c r="F136" i="38"/>
  <c r="F265" i="38"/>
  <c r="F241" i="38"/>
  <c r="F324" i="38"/>
  <c r="F284" i="38"/>
  <c r="F244" i="38"/>
  <c r="F252" i="38"/>
  <c r="F248" i="38"/>
  <c r="F269" i="38"/>
  <c r="F257" i="38"/>
  <c r="F131" i="38"/>
  <c r="F123" i="38"/>
  <c r="F115" i="38"/>
  <c r="F107" i="38"/>
  <c r="F99" i="38"/>
  <c r="F91" i="38"/>
  <c r="F83" i="38"/>
  <c r="F77" i="38"/>
  <c r="F76" i="38"/>
  <c r="F69" i="38"/>
  <c r="F236" i="38"/>
  <c r="F135" i="38"/>
  <c r="F128" i="38"/>
  <c r="F120" i="38"/>
  <c r="F137" i="38"/>
  <c r="F134" i="38"/>
  <c r="F133" i="38"/>
  <c r="F125" i="38"/>
  <c r="F117" i="38"/>
  <c r="F109" i="38"/>
  <c r="F101" i="38"/>
  <c r="F93" i="38"/>
  <c r="F85" i="38"/>
  <c r="F75" i="38"/>
  <c r="F74" i="38"/>
  <c r="F250" i="38"/>
  <c r="F130" i="38"/>
  <c r="F122" i="38"/>
  <c r="F114" i="38"/>
  <c r="F106" i="38"/>
  <c r="F98" i="38"/>
  <c r="F90" i="38"/>
  <c r="F82" i="38"/>
  <c r="F127" i="38"/>
  <c r="F111" i="38"/>
  <c r="F108" i="38"/>
  <c r="F102" i="38"/>
  <c r="F97" i="38"/>
  <c r="F80" i="38"/>
  <c r="F72" i="38"/>
  <c r="F66" i="38"/>
  <c r="F132" i="38"/>
  <c r="F103" i="38"/>
  <c r="F100" i="38"/>
  <c r="F94" i="38"/>
  <c r="F89" i="38"/>
  <c r="F70" i="38"/>
  <c r="F68" i="38"/>
  <c r="F65" i="38"/>
  <c r="F63" i="38"/>
  <c r="F61" i="38"/>
  <c r="F59" i="38"/>
  <c r="F57" i="38"/>
  <c r="F55" i="38"/>
  <c r="F53" i="38"/>
  <c r="F129" i="38"/>
  <c r="F124" i="38"/>
  <c r="F87" i="38"/>
  <c r="F84" i="38"/>
  <c r="F78" i="38"/>
  <c r="F95" i="38"/>
  <c r="F58" i="38"/>
  <c r="F51" i="38"/>
  <c r="F48" i="38"/>
  <c r="F46" i="38"/>
  <c r="F44" i="38"/>
  <c r="F42" i="38"/>
  <c r="F40" i="38"/>
  <c r="F38" i="38"/>
  <c r="F36" i="38"/>
  <c r="F34" i="38"/>
  <c r="F32" i="38"/>
  <c r="F118" i="38"/>
  <c r="F110" i="38"/>
  <c r="F104" i="38"/>
  <c r="F64" i="38"/>
  <c r="F50" i="38"/>
  <c r="F329" i="38"/>
  <c r="F126" i="38"/>
  <c r="F54" i="38"/>
  <c r="F116" i="38"/>
  <c r="F113" i="38"/>
  <c r="F88" i="38"/>
  <c r="F60" i="38"/>
  <c r="F121" i="38"/>
  <c r="F119" i="38"/>
  <c r="F105" i="38"/>
  <c r="F96" i="38"/>
  <c r="F79" i="38"/>
  <c r="F73" i="38"/>
  <c r="F67" i="38"/>
  <c r="F52" i="38"/>
  <c r="R15" i="38"/>
  <c r="F16" i="38"/>
  <c r="R17" i="38"/>
  <c r="F18" i="38"/>
  <c r="R19" i="38"/>
  <c r="F20" i="38"/>
  <c r="R21" i="38"/>
  <c r="F22" i="38"/>
  <c r="R23" i="38"/>
  <c r="F24" i="38"/>
  <c r="R25" i="38"/>
  <c r="F26" i="38"/>
  <c r="S28" i="38"/>
  <c r="L28" i="38"/>
  <c r="F30" i="38"/>
  <c r="S61" i="38"/>
  <c r="R61" i="38"/>
  <c r="S15" i="38"/>
  <c r="F35" i="38"/>
  <c r="F37" i="38"/>
  <c r="L51" i="38"/>
  <c r="S27" i="38"/>
  <c r="L27" i="38"/>
  <c r="F29" i="38"/>
  <c r="L38" i="38"/>
  <c r="F39" i="38"/>
  <c r="R74" i="38"/>
  <c r="L74" i="38"/>
  <c r="S87" i="38"/>
  <c r="L87" i="38"/>
  <c r="R87" i="38"/>
  <c r="F92" i="38"/>
  <c r="R98" i="38"/>
  <c r="L98" i="38"/>
  <c r="F4" i="38"/>
  <c r="F8" i="38"/>
  <c r="F12" i="38"/>
  <c r="L32" i="38"/>
  <c r="F33" i="38"/>
  <c r="L40" i="38"/>
  <c r="S40" i="38"/>
  <c r="F41" i="38"/>
  <c r="R42" i="38"/>
  <c r="S57" i="38"/>
  <c r="S109" i="38"/>
  <c r="R109" i="38"/>
  <c r="S31" i="38"/>
  <c r="S33" i="38"/>
  <c r="S35" i="38"/>
  <c r="S37" i="38"/>
  <c r="S39" i="38"/>
  <c r="S41" i="38"/>
  <c r="S43" i="38"/>
  <c r="S45" i="38"/>
  <c r="S47" i="38"/>
  <c r="S49" i="38"/>
  <c r="L63" i="38"/>
  <c r="S81" i="38"/>
  <c r="L112" i="38"/>
  <c r="L55" i="38"/>
  <c r="S89" i="38"/>
  <c r="S104" i="38"/>
  <c r="S112" i="38"/>
  <c r="S117" i="38"/>
  <c r="R117" i="38"/>
  <c r="S65" i="38"/>
  <c r="L66" i="38"/>
  <c r="S68" i="38"/>
  <c r="S79" i="38"/>
  <c r="L79" i="38"/>
  <c r="R81" i="38"/>
  <c r="R90" i="38"/>
  <c r="L90" i="38"/>
  <c r="S95" i="38"/>
  <c r="L95" i="38"/>
  <c r="L122" i="38"/>
  <c r="S332" i="38"/>
  <c r="L332" i="38"/>
  <c r="L59" i="38"/>
  <c r="R65" i="38"/>
  <c r="R66" i="38"/>
  <c r="S105" i="38"/>
  <c r="S119" i="38"/>
  <c r="L119" i="38"/>
  <c r="S120" i="38"/>
  <c r="R75" i="38"/>
  <c r="L75" i="38"/>
  <c r="S80" i="38"/>
  <c r="S101" i="38"/>
  <c r="R101" i="38"/>
  <c r="L106" i="38"/>
  <c r="L214" i="38"/>
  <c r="R214" i="38"/>
  <c r="S67" i="38"/>
  <c r="S97" i="38"/>
  <c r="R97" i="38"/>
  <c r="S111" i="38"/>
  <c r="L111" i="38"/>
  <c r="R111" i="38"/>
  <c r="S127" i="38"/>
  <c r="L127" i="38"/>
  <c r="L138" i="38"/>
  <c r="R138" i="38"/>
  <c r="R234" i="38"/>
  <c r="L234" i="38"/>
  <c r="L330" i="38"/>
  <c r="R330" i="38"/>
  <c r="S125" i="38"/>
  <c r="R125" i="38"/>
  <c r="L238" i="38"/>
  <c r="R238" i="38"/>
  <c r="R54" i="38"/>
  <c r="R58" i="38"/>
  <c r="R62" i="38"/>
  <c r="S85" i="38"/>
  <c r="R85" i="38"/>
  <c r="L71" i="38"/>
  <c r="S71" i="38"/>
  <c r="S73" i="38"/>
  <c r="L76" i="38"/>
  <c r="S93" i="38"/>
  <c r="R93" i="38"/>
  <c r="S128" i="38"/>
  <c r="S133" i="38"/>
  <c r="R133" i="38"/>
  <c r="S83" i="38"/>
  <c r="S91" i="38"/>
  <c r="S99" i="38"/>
  <c r="S107" i="38"/>
  <c r="S115" i="38"/>
  <c r="S123" i="38"/>
  <c r="S131" i="38"/>
  <c r="S224" i="38"/>
  <c r="L224" i="38"/>
  <c r="L222" i="38"/>
  <c r="S113" i="38"/>
  <c r="S121" i="38"/>
  <c r="S129" i="38"/>
  <c r="L240" i="38"/>
  <c r="S240" i="38"/>
  <c r="R289" i="38"/>
  <c r="S289" i="38"/>
  <c r="R78" i="38"/>
  <c r="R83" i="38"/>
  <c r="R86" i="38"/>
  <c r="R91" i="38"/>
  <c r="R94" i="38"/>
  <c r="R99" i="38"/>
  <c r="R102" i="38"/>
  <c r="R107" i="38"/>
  <c r="R110" i="38"/>
  <c r="R115" i="38"/>
  <c r="R118" i="38"/>
  <c r="R123" i="38"/>
  <c r="R126" i="38"/>
  <c r="R131" i="38"/>
  <c r="S232" i="38"/>
  <c r="L232" i="38"/>
  <c r="R257" i="38"/>
  <c r="S257" i="38"/>
  <c r="L230" i="38"/>
  <c r="S216" i="38"/>
  <c r="L216" i="38"/>
  <c r="S273" i="38"/>
  <c r="R273" i="38"/>
  <c r="L210" i="38"/>
  <c r="R210" i="38"/>
  <c r="L228" i="38"/>
  <c r="S228" i="38"/>
  <c r="R237" i="38"/>
  <c r="L284" i="38"/>
  <c r="S284" i="38"/>
  <c r="L218" i="38"/>
  <c r="R218" i="38"/>
  <c r="R235" i="38"/>
  <c r="L266" i="38"/>
  <c r="R266" i="38"/>
  <c r="R134" i="38"/>
  <c r="L212" i="38"/>
  <c r="S212" i="38"/>
  <c r="L226" i="38"/>
  <c r="R226" i="38"/>
  <c r="S265" i="38"/>
  <c r="L136" i="38"/>
  <c r="L220" i="38"/>
  <c r="S220" i="38"/>
  <c r="R137" i="38"/>
  <c r="R139" i="38"/>
  <c r="R141" i="38"/>
  <c r="R143" i="38"/>
  <c r="R145" i="38"/>
  <c r="R147" i="38"/>
  <c r="R149" i="38"/>
  <c r="R151" i="38"/>
  <c r="L236" i="38"/>
  <c r="L248" i="38"/>
  <c r="S248" i="38"/>
  <c r="S253" i="38"/>
  <c r="L272" i="38"/>
  <c r="S272" i="38"/>
  <c r="R142" i="38"/>
  <c r="R146" i="38"/>
  <c r="R150" i="38"/>
  <c r="R154" i="38"/>
  <c r="R158" i="38"/>
  <c r="R239" i="38"/>
  <c r="L242" i="38"/>
  <c r="R242" i="38"/>
  <c r="L260" i="38"/>
  <c r="S260" i="38"/>
  <c r="R267" i="38"/>
  <c r="S267" i="38"/>
  <c r="L267" i="38"/>
  <c r="R295" i="38"/>
  <c r="S295" i="38"/>
  <c r="L295" i="38"/>
  <c r="S301" i="38"/>
  <c r="R277" i="38"/>
  <c r="S277" i="38"/>
  <c r="S305" i="38"/>
  <c r="R305" i="38"/>
  <c r="L252" i="38"/>
  <c r="S313" i="38"/>
  <c r="R313" i="38"/>
  <c r="R269" i="38"/>
  <c r="L290" i="38"/>
  <c r="R290" i="38"/>
  <c r="L298" i="38"/>
  <c r="R298" i="38"/>
  <c r="R255" i="38"/>
  <c r="L256" i="38"/>
  <c r="S331" i="38"/>
  <c r="L331" i="38"/>
  <c r="R331" i="38"/>
  <c r="S335" i="38"/>
  <c r="R335" i="38"/>
  <c r="L335" i="38"/>
  <c r="L250" i="38"/>
  <c r="R250" i="38"/>
  <c r="R251" i="38"/>
  <c r="S251" i="38"/>
  <c r="L258" i="38"/>
  <c r="R258" i="38"/>
  <c r="L264" i="38"/>
  <c r="S264" i="38"/>
  <c r="L274" i="38"/>
  <c r="R279" i="38"/>
  <c r="S297" i="38"/>
  <c r="R261" i="38"/>
  <c r="R310" i="38"/>
  <c r="L310" i="38"/>
  <c r="R318" i="38"/>
  <c r="L318" i="38"/>
  <c r="L379" i="38"/>
  <c r="S379" i="38"/>
  <c r="R379" i="38"/>
  <c r="S393" i="38"/>
  <c r="R393" i="38"/>
  <c r="L254" i="38"/>
  <c r="R254" i="38"/>
  <c r="L259" i="38"/>
  <c r="L282" i="38"/>
  <c r="S315" i="38"/>
  <c r="R315" i="38"/>
  <c r="L315" i="38"/>
  <c r="R353" i="38"/>
  <c r="R390" i="38"/>
  <c r="L390" i="38"/>
  <c r="L342" i="38"/>
  <c r="R342" i="38"/>
  <c r="L244" i="38"/>
  <c r="S249" i="38"/>
  <c r="L268" i="38"/>
  <c r="R287" i="38"/>
  <c r="L287" i="38"/>
  <c r="S287" i="38"/>
  <c r="R302" i="38"/>
  <c r="L302" i="38"/>
  <c r="S304" i="38"/>
  <c r="S327" i="38"/>
  <c r="R327" i="38"/>
  <c r="L327" i="38"/>
  <c r="S312" i="38"/>
  <c r="L312" i="38"/>
  <c r="R307" i="38"/>
  <c r="L307" i="38"/>
  <c r="S309" i="38"/>
  <c r="R322" i="38"/>
  <c r="L322" i="38"/>
  <c r="S329" i="38"/>
  <c r="R329" i="38"/>
  <c r="S339" i="38"/>
  <c r="L339" i="38"/>
  <c r="L340" i="38"/>
  <c r="L292" i="38"/>
  <c r="S292" i="38"/>
  <c r="S343" i="38"/>
  <c r="L343" i="38"/>
  <c r="S347" i="38"/>
  <c r="L347" i="38"/>
  <c r="S276" i="38"/>
  <c r="L276" i="38"/>
  <c r="L280" i="38"/>
  <c r="S300" i="38"/>
  <c r="R306" i="38"/>
  <c r="S316" i="38"/>
  <c r="S325" i="38"/>
  <c r="R325" i="38"/>
  <c r="R355" i="38"/>
  <c r="S381" i="38"/>
  <c r="R381" i="38"/>
  <c r="S317" i="38"/>
  <c r="S323" i="38"/>
  <c r="L323" i="38"/>
  <c r="S333" i="38"/>
  <c r="R333" i="38"/>
  <c r="L278" i="38"/>
  <c r="S308" i="38"/>
  <c r="R314" i="38"/>
  <c r="R319" i="38"/>
  <c r="L319" i="38"/>
  <c r="S324" i="38"/>
  <c r="S337" i="38"/>
  <c r="R337" i="38"/>
  <c r="L355" i="38"/>
  <c r="R369" i="38"/>
  <c r="S359" i="38"/>
  <c r="S367" i="38"/>
  <c r="S385" i="38"/>
  <c r="R385" i="38"/>
  <c r="S320" i="38"/>
  <c r="L320" i="38"/>
  <c r="S363" i="38"/>
  <c r="R363" i="38"/>
  <c r="L376" i="38"/>
  <c r="S328" i="38"/>
  <c r="S336" i="38"/>
  <c r="S351" i="38"/>
  <c r="R371" i="38"/>
  <c r="S384" i="38"/>
  <c r="R373" i="38"/>
  <c r="S389" i="38"/>
  <c r="L375" i="38"/>
  <c r="S375" i="38"/>
  <c r="R378" i="38"/>
  <c r="L382" i="38"/>
  <c r="L346" i="38"/>
  <c r="L348" i="38"/>
  <c r="L350" i="38"/>
  <c r="L352" i="38"/>
  <c r="L354" i="38"/>
  <c r="L356" i="38"/>
  <c r="L358" i="38"/>
  <c r="L360" i="38"/>
  <c r="L362" i="38"/>
  <c r="L364" i="38"/>
  <c r="L366" i="38"/>
  <c r="L368" i="38"/>
  <c r="L370" i="38"/>
  <c r="L372" i="38"/>
  <c r="S387" i="38"/>
  <c r="L387" i="38"/>
  <c r="R387" i="38"/>
  <c r="S391" i="38"/>
  <c r="R391" i="38"/>
  <c r="R395" i="38"/>
  <c r="R394" i="38"/>
  <c r="R398" i="38"/>
  <c r="R402" i="38"/>
  <c r="R406" i="38"/>
  <c r="R410" i="38"/>
  <c r="R414" i="38"/>
  <c r="L26" i="37" l="1"/>
  <c r="L36" i="37"/>
  <c r="L58" i="37"/>
  <c r="L68" i="37"/>
  <c r="L90" i="37"/>
  <c r="L100" i="37"/>
  <c r="L122" i="37"/>
  <c r="L132" i="37"/>
  <c r="L154" i="37"/>
  <c r="L164" i="37"/>
  <c r="L186" i="37"/>
  <c r="L196" i="37"/>
  <c r="L218" i="37"/>
  <c r="L228" i="37"/>
  <c r="L250" i="37"/>
  <c r="L260" i="37"/>
  <c r="L282" i="37"/>
  <c r="M5" i="2"/>
  <c r="U5" i="2"/>
  <c r="Y5" i="2"/>
  <c r="A5" i="37"/>
  <c r="B5" i="37"/>
  <c r="C5" i="37"/>
  <c r="A6" i="37"/>
  <c r="B6" i="37"/>
  <c r="C6" i="37"/>
  <c r="A7" i="37"/>
  <c r="B7" i="37"/>
  <c r="C7" i="37"/>
  <c r="A8" i="37"/>
  <c r="B8" i="37"/>
  <c r="C8" i="37"/>
  <c r="A9" i="37"/>
  <c r="B9" i="37"/>
  <c r="C9" i="37"/>
  <c r="A10" i="37"/>
  <c r="B10" i="37"/>
  <c r="C10" i="37"/>
  <c r="A11" i="37"/>
  <c r="B11" i="37"/>
  <c r="C11" i="37"/>
  <c r="A12" i="37"/>
  <c r="B12" i="37"/>
  <c r="C12" i="37"/>
  <c r="A13" i="37"/>
  <c r="B13" i="37"/>
  <c r="C13" i="37"/>
  <c r="A14" i="37"/>
  <c r="B14" i="37"/>
  <c r="C14" i="37"/>
  <c r="A15" i="37"/>
  <c r="B15" i="37"/>
  <c r="C15" i="37"/>
  <c r="A16" i="37"/>
  <c r="A3" i="28" s="1"/>
  <c r="B16" i="37"/>
  <c r="S16" i="37" s="1"/>
  <c r="C16" i="37"/>
  <c r="A17" i="37"/>
  <c r="A4" i="28" s="1"/>
  <c r="B17" i="37"/>
  <c r="C17" i="37"/>
  <c r="A18" i="37"/>
  <c r="A5" i="28" s="1"/>
  <c r="B18" i="37"/>
  <c r="R18" i="37" s="1"/>
  <c r="C18" i="37"/>
  <c r="A19" i="37"/>
  <c r="A6" i="28" s="1"/>
  <c r="B19" i="37"/>
  <c r="C19" i="37"/>
  <c r="A20" i="37"/>
  <c r="A7" i="28" s="1"/>
  <c r="B20" i="37"/>
  <c r="S20" i="37" s="1"/>
  <c r="C20" i="37"/>
  <c r="A21" i="37"/>
  <c r="A8" i="28" s="1"/>
  <c r="B21" i="37"/>
  <c r="C21" i="37"/>
  <c r="A22" i="37"/>
  <c r="A9" i="28" s="1"/>
  <c r="B22" i="37"/>
  <c r="R22" i="37" s="1"/>
  <c r="C22" i="37"/>
  <c r="A23" i="37"/>
  <c r="A10" i="28" s="1"/>
  <c r="B23" i="37"/>
  <c r="C23" i="37"/>
  <c r="A24" i="37"/>
  <c r="A11" i="28" s="1"/>
  <c r="B24" i="37"/>
  <c r="S24" i="37" s="1"/>
  <c r="C24" i="37"/>
  <c r="A25" i="37"/>
  <c r="A12" i="28" s="1"/>
  <c r="B25" i="37"/>
  <c r="C25" i="37"/>
  <c r="A26" i="37"/>
  <c r="A13" i="28" s="1"/>
  <c r="B26" i="37"/>
  <c r="R26" i="37" s="1"/>
  <c r="C26" i="37"/>
  <c r="A27" i="37"/>
  <c r="A14" i="28" s="1"/>
  <c r="B27" i="37"/>
  <c r="C27" i="37"/>
  <c r="A28" i="37"/>
  <c r="A15" i="28" s="1"/>
  <c r="B28" i="37"/>
  <c r="S28" i="37" s="1"/>
  <c r="C28" i="37"/>
  <c r="A29" i="37"/>
  <c r="A16" i="28" s="1"/>
  <c r="B29" i="37"/>
  <c r="C29" i="37"/>
  <c r="A30" i="37"/>
  <c r="A17" i="28" s="1"/>
  <c r="B30" i="37"/>
  <c r="R30" i="37" s="1"/>
  <c r="C30" i="37"/>
  <c r="A31" i="37"/>
  <c r="A18" i="28" s="1"/>
  <c r="B31" i="37"/>
  <c r="C31" i="37"/>
  <c r="A32" i="37"/>
  <c r="A19" i="28" s="1"/>
  <c r="B32" i="37"/>
  <c r="S32" i="37" s="1"/>
  <c r="C32" i="37"/>
  <c r="A33" i="37"/>
  <c r="A20" i="28" s="1"/>
  <c r="B33" i="37"/>
  <c r="C33" i="37"/>
  <c r="A34" i="37"/>
  <c r="A21" i="28" s="1"/>
  <c r="B34" i="37"/>
  <c r="R34" i="37" s="1"/>
  <c r="C34" i="37"/>
  <c r="A35" i="37"/>
  <c r="A22" i="28" s="1"/>
  <c r="B35" i="37"/>
  <c r="L35" i="37" s="1"/>
  <c r="C35" i="37"/>
  <c r="A36" i="37"/>
  <c r="A23" i="28" s="1"/>
  <c r="B36" i="37"/>
  <c r="S36" i="37" s="1"/>
  <c r="C36" i="37"/>
  <c r="A37" i="37"/>
  <c r="A24" i="28" s="1"/>
  <c r="B37" i="37"/>
  <c r="C37" i="37"/>
  <c r="A38" i="37"/>
  <c r="A25" i="28" s="1"/>
  <c r="B38" i="37"/>
  <c r="R38" i="37" s="1"/>
  <c r="C38" i="37"/>
  <c r="A39" i="37"/>
  <c r="A26" i="28" s="1"/>
  <c r="B39" i="37"/>
  <c r="C39" i="37"/>
  <c r="A40" i="37"/>
  <c r="A27" i="28" s="1"/>
  <c r="B40" i="37"/>
  <c r="S40" i="37" s="1"/>
  <c r="C40" i="37"/>
  <c r="A41" i="37"/>
  <c r="A28" i="28" s="1"/>
  <c r="B41" i="37"/>
  <c r="C41" i="37"/>
  <c r="A42" i="37"/>
  <c r="A29" i="28" s="1"/>
  <c r="B42" i="37"/>
  <c r="R42" i="37" s="1"/>
  <c r="C42" i="37"/>
  <c r="A43" i="37"/>
  <c r="A30" i="28" s="1"/>
  <c r="B43" i="37"/>
  <c r="L43" i="37" s="1"/>
  <c r="C43" i="37"/>
  <c r="A44" i="37"/>
  <c r="A31" i="28" s="1"/>
  <c r="B44" i="37"/>
  <c r="S44" i="37" s="1"/>
  <c r="C44" i="37"/>
  <c r="A45" i="37"/>
  <c r="A32" i="28" s="1"/>
  <c r="B45" i="37"/>
  <c r="C45" i="37"/>
  <c r="A46" i="37"/>
  <c r="A33" i="28" s="1"/>
  <c r="B46" i="37"/>
  <c r="R46" i="37" s="1"/>
  <c r="C46" i="37"/>
  <c r="A47" i="37"/>
  <c r="A34" i="28" s="1"/>
  <c r="B47" i="37"/>
  <c r="C47" i="37"/>
  <c r="A48" i="37"/>
  <c r="A35" i="28" s="1"/>
  <c r="B48" i="37"/>
  <c r="S48" i="37" s="1"/>
  <c r="C48" i="37"/>
  <c r="A49" i="37"/>
  <c r="A36" i="28" s="1"/>
  <c r="B49" i="37"/>
  <c r="C49" i="37"/>
  <c r="A50" i="37"/>
  <c r="A37" i="28" s="1"/>
  <c r="B50" i="37"/>
  <c r="R50" i="37" s="1"/>
  <c r="C50" i="37"/>
  <c r="A51" i="37"/>
  <c r="A38" i="28" s="1"/>
  <c r="B51" i="37"/>
  <c r="C51" i="37"/>
  <c r="A52" i="37"/>
  <c r="A39" i="28" s="1"/>
  <c r="B52" i="37"/>
  <c r="S52" i="37" s="1"/>
  <c r="C52" i="37"/>
  <c r="A53" i="37"/>
  <c r="A40" i="28" s="1"/>
  <c r="B53" i="37"/>
  <c r="C53" i="37"/>
  <c r="A54" i="37"/>
  <c r="A41" i="28" s="1"/>
  <c r="B54" i="37"/>
  <c r="R54" i="37" s="1"/>
  <c r="C54" i="37"/>
  <c r="A55" i="37"/>
  <c r="A42" i="28" s="1"/>
  <c r="B55" i="37"/>
  <c r="C55" i="37"/>
  <c r="A56" i="37"/>
  <c r="A43" i="28" s="1"/>
  <c r="B56" i="37"/>
  <c r="S56" i="37" s="1"/>
  <c r="C56" i="37"/>
  <c r="A57" i="37"/>
  <c r="A44" i="28" s="1"/>
  <c r="B57" i="37"/>
  <c r="C57" i="37"/>
  <c r="A58" i="37"/>
  <c r="A45" i="28" s="1"/>
  <c r="B58" i="37"/>
  <c r="R58" i="37" s="1"/>
  <c r="C58" i="37"/>
  <c r="A59" i="37"/>
  <c r="A46" i="28" s="1"/>
  <c r="B59" i="37"/>
  <c r="C59" i="37"/>
  <c r="A60" i="37"/>
  <c r="A47" i="28" s="1"/>
  <c r="B60" i="37"/>
  <c r="S60" i="37" s="1"/>
  <c r="C60" i="37"/>
  <c r="A61" i="37"/>
  <c r="A48" i="28" s="1"/>
  <c r="B61" i="37"/>
  <c r="C61" i="37"/>
  <c r="A62" i="37"/>
  <c r="A49" i="28" s="1"/>
  <c r="B62" i="37"/>
  <c r="R62" i="37" s="1"/>
  <c r="C62" i="37"/>
  <c r="A63" i="37"/>
  <c r="A50" i="28" s="1"/>
  <c r="B63" i="37"/>
  <c r="C63" i="37"/>
  <c r="A64" i="37"/>
  <c r="A51" i="28" s="1"/>
  <c r="B64" i="37"/>
  <c r="S64" i="37" s="1"/>
  <c r="C64" i="37"/>
  <c r="A65" i="37"/>
  <c r="A52" i="28" s="1"/>
  <c r="B65" i="37"/>
  <c r="C65" i="37"/>
  <c r="A66" i="37"/>
  <c r="A53" i="28" s="1"/>
  <c r="B66" i="37"/>
  <c r="R66" i="37" s="1"/>
  <c r="C66" i="37"/>
  <c r="A67" i="37"/>
  <c r="A54" i="28" s="1"/>
  <c r="B67" i="37"/>
  <c r="L67" i="37" s="1"/>
  <c r="C67" i="37"/>
  <c r="A68" i="37"/>
  <c r="A55" i="28" s="1"/>
  <c r="B68" i="37"/>
  <c r="S68" i="37" s="1"/>
  <c r="C68" i="37"/>
  <c r="A69" i="37"/>
  <c r="A56" i="28" s="1"/>
  <c r="B69" i="37"/>
  <c r="C69" i="37"/>
  <c r="A70" i="37"/>
  <c r="A57" i="28" s="1"/>
  <c r="B70" i="37"/>
  <c r="R70" i="37" s="1"/>
  <c r="C70" i="37"/>
  <c r="A71" i="37"/>
  <c r="A58" i="28" s="1"/>
  <c r="B71" i="37"/>
  <c r="C71" i="37"/>
  <c r="A72" i="37"/>
  <c r="A59" i="28" s="1"/>
  <c r="B72" i="37"/>
  <c r="S72" i="37" s="1"/>
  <c r="C72" i="37"/>
  <c r="A73" i="37"/>
  <c r="A60" i="28" s="1"/>
  <c r="B73" i="37"/>
  <c r="C73" i="37"/>
  <c r="A74" i="37"/>
  <c r="A61" i="28" s="1"/>
  <c r="B74" i="37"/>
  <c r="R74" i="37" s="1"/>
  <c r="C74" i="37"/>
  <c r="A75" i="37"/>
  <c r="A62" i="28" s="1"/>
  <c r="B75" i="37"/>
  <c r="L75" i="37" s="1"/>
  <c r="C75" i="37"/>
  <c r="A76" i="37"/>
  <c r="A63" i="28" s="1"/>
  <c r="B76" i="37"/>
  <c r="S76" i="37" s="1"/>
  <c r="C76" i="37"/>
  <c r="A77" i="37"/>
  <c r="A64" i="28" s="1"/>
  <c r="B77" i="37"/>
  <c r="C77" i="37"/>
  <c r="A78" i="37"/>
  <c r="A65" i="28" s="1"/>
  <c r="B78" i="37"/>
  <c r="R78" i="37" s="1"/>
  <c r="C78" i="37"/>
  <c r="A79" i="37"/>
  <c r="A66" i="28" s="1"/>
  <c r="B79" i="37"/>
  <c r="C79" i="37"/>
  <c r="A80" i="37"/>
  <c r="A67" i="28" s="1"/>
  <c r="B80" i="37"/>
  <c r="S80" i="37" s="1"/>
  <c r="C80" i="37"/>
  <c r="A81" i="37"/>
  <c r="A68" i="28" s="1"/>
  <c r="B81" i="37"/>
  <c r="C81" i="37"/>
  <c r="A82" i="37"/>
  <c r="A69" i="28" s="1"/>
  <c r="B82" i="37"/>
  <c r="R82" i="37" s="1"/>
  <c r="C82" i="37"/>
  <c r="A83" i="37"/>
  <c r="A70" i="28" s="1"/>
  <c r="B83" i="37"/>
  <c r="C83" i="37"/>
  <c r="A84" i="37"/>
  <c r="A71" i="28" s="1"/>
  <c r="B84" i="37"/>
  <c r="S84" i="37" s="1"/>
  <c r="C84" i="37"/>
  <c r="A85" i="37"/>
  <c r="A72" i="28" s="1"/>
  <c r="B85" i="37"/>
  <c r="C85" i="37"/>
  <c r="A86" i="37"/>
  <c r="A73" i="28" s="1"/>
  <c r="B86" i="37"/>
  <c r="R86" i="37" s="1"/>
  <c r="C86" i="37"/>
  <c r="A87" i="37"/>
  <c r="A74" i="28" s="1"/>
  <c r="B87" i="37"/>
  <c r="C87" i="37"/>
  <c r="A88" i="37"/>
  <c r="A75" i="28" s="1"/>
  <c r="B88" i="37"/>
  <c r="S88" i="37" s="1"/>
  <c r="C88" i="37"/>
  <c r="A89" i="37"/>
  <c r="A76" i="28" s="1"/>
  <c r="B89" i="37"/>
  <c r="C89" i="37"/>
  <c r="A90" i="37"/>
  <c r="A77" i="28" s="1"/>
  <c r="B90" i="37"/>
  <c r="R90" i="37" s="1"/>
  <c r="C90" i="37"/>
  <c r="A91" i="37"/>
  <c r="A78" i="28" s="1"/>
  <c r="B91" i="37"/>
  <c r="C91" i="37"/>
  <c r="A92" i="37"/>
  <c r="A79" i="28" s="1"/>
  <c r="B92" i="37"/>
  <c r="S92" i="37" s="1"/>
  <c r="C92" i="37"/>
  <c r="A93" i="37"/>
  <c r="A80" i="28" s="1"/>
  <c r="B93" i="37"/>
  <c r="C93" i="37"/>
  <c r="A94" i="37"/>
  <c r="A81" i="28" s="1"/>
  <c r="B94" i="37"/>
  <c r="R94" i="37" s="1"/>
  <c r="C94" i="37"/>
  <c r="A95" i="37"/>
  <c r="A82" i="28" s="1"/>
  <c r="B95" i="37"/>
  <c r="C95" i="37"/>
  <c r="A96" i="37"/>
  <c r="A83" i="28" s="1"/>
  <c r="B96" i="37"/>
  <c r="S96" i="37" s="1"/>
  <c r="C96" i="37"/>
  <c r="A97" i="37"/>
  <c r="A84" i="28" s="1"/>
  <c r="B97" i="37"/>
  <c r="C97" i="37"/>
  <c r="A98" i="37"/>
  <c r="A85" i="28" s="1"/>
  <c r="B98" i="37"/>
  <c r="R98" i="37" s="1"/>
  <c r="C98" i="37"/>
  <c r="A99" i="37"/>
  <c r="A86" i="28" s="1"/>
  <c r="B99" i="37"/>
  <c r="L99" i="37" s="1"/>
  <c r="C99" i="37"/>
  <c r="A100" i="37"/>
  <c r="A87" i="28" s="1"/>
  <c r="B100" i="37"/>
  <c r="S100" i="37" s="1"/>
  <c r="C100" i="37"/>
  <c r="A101" i="37"/>
  <c r="A88" i="28" s="1"/>
  <c r="B101" i="37"/>
  <c r="C101" i="37"/>
  <c r="A102" i="37"/>
  <c r="A89" i="28" s="1"/>
  <c r="B102" i="37"/>
  <c r="R102" i="37" s="1"/>
  <c r="C102" i="37"/>
  <c r="A103" i="37"/>
  <c r="A90" i="28" s="1"/>
  <c r="B103" i="37"/>
  <c r="C103" i="37"/>
  <c r="A104" i="37"/>
  <c r="A91" i="28" s="1"/>
  <c r="B104" i="37"/>
  <c r="S104" i="37" s="1"/>
  <c r="C104" i="37"/>
  <c r="A105" i="37"/>
  <c r="A92" i="28" s="1"/>
  <c r="B105" i="37"/>
  <c r="C105" i="37"/>
  <c r="A106" i="37"/>
  <c r="A93" i="28" s="1"/>
  <c r="B106" i="37"/>
  <c r="R106" i="37" s="1"/>
  <c r="C106" i="37"/>
  <c r="A107" i="37"/>
  <c r="A94" i="28" s="1"/>
  <c r="B107" i="37"/>
  <c r="L107" i="37" s="1"/>
  <c r="C107" i="37"/>
  <c r="A108" i="37"/>
  <c r="A95" i="28" s="1"/>
  <c r="B108" i="37"/>
  <c r="S108" i="37" s="1"/>
  <c r="C108" i="37"/>
  <c r="A109" i="37"/>
  <c r="A96" i="28" s="1"/>
  <c r="B109" i="37"/>
  <c r="C109" i="37"/>
  <c r="A110" i="37"/>
  <c r="A97" i="28" s="1"/>
  <c r="B110" i="37"/>
  <c r="R110" i="37" s="1"/>
  <c r="C110" i="37"/>
  <c r="A111" i="37"/>
  <c r="A98" i="28" s="1"/>
  <c r="B111" i="37"/>
  <c r="C111" i="37"/>
  <c r="A112" i="37"/>
  <c r="A99" i="28" s="1"/>
  <c r="B112" i="37"/>
  <c r="S112" i="37" s="1"/>
  <c r="C112" i="37"/>
  <c r="A113" i="37"/>
  <c r="A100" i="28" s="1"/>
  <c r="B113" i="37"/>
  <c r="C113" i="37"/>
  <c r="A114" i="37"/>
  <c r="A101" i="28" s="1"/>
  <c r="B114" i="37"/>
  <c r="R114" i="37" s="1"/>
  <c r="C114" i="37"/>
  <c r="A115" i="37"/>
  <c r="A102" i="28" s="1"/>
  <c r="B115" i="37"/>
  <c r="C115" i="37"/>
  <c r="A116" i="37"/>
  <c r="A103" i="28" s="1"/>
  <c r="B116" i="37"/>
  <c r="S116" i="37" s="1"/>
  <c r="C116" i="37"/>
  <c r="A117" i="37"/>
  <c r="A104" i="28" s="1"/>
  <c r="B117" i="37"/>
  <c r="C117" i="37"/>
  <c r="A118" i="37"/>
  <c r="A105" i="28" s="1"/>
  <c r="B118" i="37"/>
  <c r="R118" i="37" s="1"/>
  <c r="C118" i="37"/>
  <c r="A119" i="37"/>
  <c r="A106" i="28" s="1"/>
  <c r="B119" i="37"/>
  <c r="C119" i="37"/>
  <c r="A120" i="37"/>
  <c r="A107" i="28" s="1"/>
  <c r="B120" i="37"/>
  <c r="S120" i="37" s="1"/>
  <c r="C120" i="37"/>
  <c r="A121" i="37"/>
  <c r="A108" i="28" s="1"/>
  <c r="B121" i="37"/>
  <c r="C121" i="37"/>
  <c r="A122" i="37"/>
  <c r="A109" i="28" s="1"/>
  <c r="B122" i="37"/>
  <c r="R122" i="37" s="1"/>
  <c r="C122" i="37"/>
  <c r="A123" i="37"/>
  <c r="A110" i="28" s="1"/>
  <c r="B123" i="37"/>
  <c r="C123" i="37"/>
  <c r="A124" i="37"/>
  <c r="A111" i="28" s="1"/>
  <c r="B124" i="37"/>
  <c r="S124" i="37" s="1"/>
  <c r="C124" i="37"/>
  <c r="A125" i="37"/>
  <c r="A112" i="28" s="1"/>
  <c r="B125" i="37"/>
  <c r="C125" i="37"/>
  <c r="A126" i="37"/>
  <c r="A113" i="28" s="1"/>
  <c r="B126" i="37"/>
  <c r="R126" i="37" s="1"/>
  <c r="C126" i="37"/>
  <c r="A127" i="37"/>
  <c r="A114" i="28" s="1"/>
  <c r="B127" i="37"/>
  <c r="C127" i="37"/>
  <c r="A128" i="37"/>
  <c r="A115" i="28" s="1"/>
  <c r="B128" i="37"/>
  <c r="S128" i="37" s="1"/>
  <c r="C128" i="37"/>
  <c r="A129" i="37"/>
  <c r="A116" i="28" s="1"/>
  <c r="B129" i="37"/>
  <c r="C129" i="37"/>
  <c r="A130" i="37"/>
  <c r="A117" i="28" s="1"/>
  <c r="B130" i="37"/>
  <c r="R130" i="37" s="1"/>
  <c r="C130" i="37"/>
  <c r="A131" i="37"/>
  <c r="A118" i="28" s="1"/>
  <c r="B131" i="37"/>
  <c r="L131" i="37" s="1"/>
  <c r="C131" i="37"/>
  <c r="A132" i="37"/>
  <c r="A119" i="28" s="1"/>
  <c r="B132" i="37"/>
  <c r="S132" i="37" s="1"/>
  <c r="C132" i="37"/>
  <c r="A133" i="37"/>
  <c r="A120" i="28" s="1"/>
  <c r="B133" i="37"/>
  <c r="C133" i="37"/>
  <c r="A134" i="37"/>
  <c r="A121" i="28" s="1"/>
  <c r="B134" i="37"/>
  <c r="R134" i="37" s="1"/>
  <c r="C134" i="37"/>
  <c r="A135" i="37"/>
  <c r="A122" i="28" s="1"/>
  <c r="B135" i="37"/>
  <c r="C135" i="37"/>
  <c r="A136" i="37"/>
  <c r="A123" i="28" s="1"/>
  <c r="B136" i="37"/>
  <c r="S136" i="37" s="1"/>
  <c r="C136" i="37"/>
  <c r="A137" i="37"/>
  <c r="A124" i="28" s="1"/>
  <c r="B137" i="37"/>
  <c r="C137" i="37"/>
  <c r="A138" i="37"/>
  <c r="A125" i="28" s="1"/>
  <c r="B138" i="37"/>
  <c r="R138" i="37" s="1"/>
  <c r="C138" i="37"/>
  <c r="A139" i="37"/>
  <c r="A126" i="28" s="1"/>
  <c r="B139" i="37"/>
  <c r="L139" i="37" s="1"/>
  <c r="C139" i="37"/>
  <c r="A140" i="37"/>
  <c r="A127" i="28" s="1"/>
  <c r="B140" i="37"/>
  <c r="S140" i="37" s="1"/>
  <c r="C140" i="37"/>
  <c r="A141" i="37"/>
  <c r="A128" i="28" s="1"/>
  <c r="B141" i="37"/>
  <c r="C141" i="37"/>
  <c r="A142" i="37"/>
  <c r="A129" i="28" s="1"/>
  <c r="B142" i="37"/>
  <c r="R142" i="37" s="1"/>
  <c r="C142" i="37"/>
  <c r="A143" i="37"/>
  <c r="A130" i="28" s="1"/>
  <c r="B143" i="37"/>
  <c r="C143" i="37"/>
  <c r="A144" i="37"/>
  <c r="A131" i="28" s="1"/>
  <c r="B144" i="37"/>
  <c r="S144" i="37" s="1"/>
  <c r="C144" i="37"/>
  <c r="A145" i="37"/>
  <c r="A132" i="28" s="1"/>
  <c r="B145" i="37"/>
  <c r="C145" i="37"/>
  <c r="A146" i="37"/>
  <c r="A133" i="28" s="1"/>
  <c r="B146" i="37"/>
  <c r="R146" i="37" s="1"/>
  <c r="C146" i="37"/>
  <c r="A147" i="37"/>
  <c r="A134" i="28" s="1"/>
  <c r="B147" i="37"/>
  <c r="C147" i="37"/>
  <c r="A148" i="37"/>
  <c r="A135" i="28" s="1"/>
  <c r="B148" i="37"/>
  <c r="S148" i="37" s="1"/>
  <c r="C148" i="37"/>
  <c r="A149" i="37"/>
  <c r="A136" i="28" s="1"/>
  <c r="B149" i="37"/>
  <c r="C149" i="37"/>
  <c r="A150" i="37"/>
  <c r="A137" i="28" s="1"/>
  <c r="B150" i="37"/>
  <c r="R150" i="37" s="1"/>
  <c r="C150" i="37"/>
  <c r="A151" i="37"/>
  <c r="A138" i="28" s="1"/>
  <c r="B151" i="37"/>
  <c r="C151" i="37"/>
  <c r="A152" i="37"/>
  <c r="A139" i="28" s="1"/>
  <c r="B152" i="37"/>
  <c r="S152" i="37" s="1"/>
  <c r="C152" i="37"/>
  <c r="A153" i="37"/>
  <c r="A140" i="28" s="1"/>
  <c r="B153" i="37"/>
  <c r="C153" i="37"/>
  <c r="A154" i="37"/>
  <c r="A141" i="28" s="1"/>
  <c r="B154" i="37"/>
  <c r="R154" i="37" s="1"/>
  <c r="C154" i="37"/>
  <c r="A155" i="37"/>
  <c r="A142" i="28" s="1"/>
  <c r="B155" i="37"/>
  <c r="C155" i="37"/>
  <c r="A156" i="37"/>
  <c r="A143" i="28" s="1"/>
  <c r="B156" i="37"/>
  <c r="S156" i="37" s="1"/>
  <c r="C156" i="37"/>
  <c r="A157" i="37"/>
  <c r="A144" i="28" s="1"/>
  <c r="B157" i="37"/>
  <c r="C157" i="37"/>
  <c r="A158" i="37"/>
  <c r="A145" i="28" s="1"/>
  <c r="B158" i="37"/>
  <c r="R158" i="37" s="1"/>
  <c r="C158" i="37"/>
  <c r="A159" i="37"/>
  <c r="A146" i="28" s="1"/>
  <c r="B159" i="37"/>
  <c r="C159" i="37"/>
  <c r="A160" i="37"/>
  <c r="A147" i="28" s="1"/>
  <c r="B160" i="37"/>
  <c r="S160" i="37" s="1"/>
  <c r="C160" i="37"/>
  <c r="A161" i="37"/>
  <c r="A148" i="28" s="1"/>
  <c r="B161" i="37"/>
  <c r="C161" i="37"/>
  <c r="A162" i="37"/>
  <c r="A149" i="28" s="1"/>
  <c r="B162" i="37"/>
  <c r="R162" i="37" s="1"/>
  <c r="C162" i="37"/>
  <c r="A163" i="37"/>
  <c r="A150" i="28" s="1"/>
  <c r="B163" i="37"/>
  <c r="L163" i="37" s="1"/>
  <c r="C163" i="37"/>
  <c r="A164" i="37"/>
  <c r="A151" i="28" s="1"/>
  <c r="B164" i="37"/>
  <c r="S164" i="37" s="1"/>
  <c r="C164" i="37"/>
  <c r="A165" i="37"/>
  <c r="A152" i="28" s="1"/>
  <c r="B165" i="37"/>
  <c r="C165" i="37"/>
  <c r="A166" i="37"/>
  <c r="A153" i="28" s="1"/>
  <c r="B166" i="37"/>
  <c r="R166" i="37" s="1"/>
  <c r="C166" i="37"/>
  <c r="A167" i="37"/>
  <c r="A154" i="28" s="1"/>
  <c r="B167" i="37"/>
  <c r="C167" i="37"/>
  <c r="A168" i="37"/>
  <c r="A155" i="28" s="1"/>
  <c r="B168" i="37"/>
  <c r="S168" i="37" s="1"/>
  <c r="C168" i="37"/>
  <c r="A169" i="37"/>
  <c r="A156" i="28" s="1"/>
  <c r="B169" i="37"/>
  <c r="C169" i="37"/>
  <c r="A170" i="37"/>
  <c r="A157" i="28" s="1"/>
  <c r="B170" i="37"/>
  <c r="R170" i="37" s="1"/>
  <c r="C170" i="37"/>
  <c r="A171" i="37"/>
  <c r="A158" i="28" s="1"/>
  <c r="B171" i="37"/>
  <c r="L171" i="37" s="1"/>
  <c r="C171" i="37"/>
  <c r="A172" i="37"/>
  <c r="A159" i="28" s="1"/>
  <c r="B172" i="37"/>
  <c r="S172" i="37" s="1"/>
  <c r="C172" i="37"/>
  <c r="A173" i="37"/>
  <c r="A160" i="28" s="1"/>
  <c r="B173" i="37"/>
  <c r="C173" i="37"/>
  <c r="A174" i="37"/>
  <c r="A161" i="28" s="1"/>
  <c r="B174" i="37"/>
  <c r="R174" i="37" s="1"/>
  <c r="C174" i="37"/>
  <c r="A175" i="37"/>
  <c r="A162" i="28" s="1"/>
  <c r="B175" i="37"/>
  <c r="C175" i="37"/>
  <c r="A176" i="37"/>
  <c r="A163" i="28" s="1"/>
  <c r="B176" i="37"/>
  <c r="S176" i="37" s="1"/>
  <c r="C176" i="37"/>
  <c r="A177" i="37"/>
  <c r="A164" i="28" s="1"/>
  <c r="B177" i="37"/>
  <c r="C177" i="37"/>
  <c r="A178" i="37"/>
  <c r="A165" i="28" s="1"/>
  <c r="B178" i="37"/>
  <c r="R178" i="37" s="1"/>
  <c r="C178" i="37"/>
  <c r="A179" i="37"/>
  <c r="A166" i="28" s="1"/>
  <c r="B179" i="37"/>
  <c r="C179" i="37"/>
  <c r="A180" i="37"/>
  <c r="A167" i="28" s="1"/>
  <c r="B180" i="37"/>
  <c r="S180" i="37" s="1"/>
  <c r="C180" i="37"/>
  <c r="A181" i="37"/>
  <c r="A168" i="28" s="1"/>
  <c r="B181" i="37"/>
  <c r="C181" i="37"/>
  <c r="A182" i="37"/>
  <c r="A169" i="28" s="1"/>
  <c r="B182" i="37"/>
  <c r="R182" i="37" s="1"/>
  <c r="C182" i="37"/>
  <c r="A183" i="37"/>
  <c r="A170" i="28" s="1"/>
  <c r="B183" i="37"/>
  <c r="C183" i="37"/>
  <c r="A184" i="37"/>
  <c r="A171" i="28" s="1"/>
  <c r="B184" i="37"/>
  <c r="S184" i="37" s="1"/>
  <c r="C184" i="37"/>
  <c r="A185" i="37"/>
  <c r="A172" i="28" s="1"/>
  <c r="B185" i="37"/>
  <c r="C185" i="37"/>
  <c r="A186" i="37"/>
  <c r="A173" i="28" s="1"/>
  <c r="B186" i="37"/>
  <c r="R186" i="37" s="1"/>
  <c r="C186" i="37"/>
  <c r="A187" i="37"/>
  <c r="A174" i="28" s="1"/>
  <c r="B187" i="37"/>
  <c r="C187" i="37"/>
  <c r="A188" i="37"/>
  <c r="A175" i="28" s="1"/>
  <c r="B188" i="37"/>
  <c r="S188" i="37" s="1"/>
  <c r="C188" i="37"/>
  <c r="A189" i="37"/>
  <c r="A176" i="28" s="1"/>
  <c r="B189" i="37"/>
  <c r="C189" i="37"/>
  <c r="A190" i="37"/>
  <c r="A177" i="28" s="1"/>
  <c r="B190" i="37"/>
  <c r="R190" i="37" s="1"/>
  <c r="C190" i="37"/>
  <c r="A191" i="37"/>
  <c r="A178" i="28" s="1"/>
  <c r="B191" i="37"/>
  <c r="C191" i="37"/>
  <c r="A192" i="37"/>
  <c r="A179" i="28" s="1"/>
  <c r="B192" i="37"/>
  <c r="S192" i="37" s="1"/>
  <c r="C192" i="37"/>
  <c r="A193" i="37"/>
  <c r="A180" i="28" s="1"/>
  <c r="B193" i="37"/>
  <c r="C193" i="37"/>
  <c r="A194" i="37"/>
  <c r="A181" i="28" s="1"/>
  <c r="B194" i="37"/>
  <c r="R194" i="37" s="1"/>
  <c r="C194" i="37"/>
  <c r="A195" i="37"/>
  <c r="A182" i="28" s="1"/>
  <c r="B195" i="37"/>
  <c r="L195" i="37" s="1"/>
  <c r="C195" i="37"/>
  <c r="A196" i="37"/>
  <c r="A183" i="28" s="1"/>
  <c r="B196" i="37"/>
  <c r="S196" i="37" s="1"/>
  <c r="C196" i="37"/>
  <c r="A197" i="37"/>
  <c r="A184" i="28" s="1"/>
  <c r="B197" i="37"/>
  <c r="C197" i="37"/>
  <c r="A198" i="37"/>
  <c r="A185" i="28" s="1"/>
  <c r="B198" i="37"/>
  <c r="R198" i="37" s="1"/>
  <c r="C198" i="37"/>
  <c r="A199" i="37"/>
  <c r="A186" i="28" s="1"/>
  <c r="B199" i="37"/>
  <c r="C199" i="37"/>
  <c r="A200" i="37"/>
  <c r="A187" i="28" s="1"/>
  <c r="B200" i="37"/>
  <c r="S200" i="37" s="1"/>
  <c r="C200" i="37"/>
  <c r="A201" i="37"/>
  <c r="A188" i="28" s="1"/>
  <c r="B201" i="37"/>
  <c r="C201" i="37"/>
  <c r="A202" i="37"/>
  <c r="A189" i="28" s="1"/>
  <c r="B202" i="37"/>
  <c r="R202" i="37" s="1"/>
  <c r="C202" i="37"/>
  <c r="A203" i="37"/>
  <c r="A190" i="28" s="1"/>
  <c r="B203" i="37"/>
  <c r="L203" i="37" s="1"/>
  <c r="C203" i="37"/>
  <c r="A204" i="37"/>
  <c r="A191" i="28" s="1"/>
  <c r="B204" i="37"/>
  <c r="S204" i="37" s="1"/>
  <c r="C204" i="37"/>
  <c r="A205" i="37"/>
  <c r="A192" i="28" s="1"/>
  <c r="B205" i="37"/>
  <c r="C205" i="37"/>
  <c r="A206" i="37"/>
  <c r="A193" i="28" s="1"/>
  <c r="B206" i="37"/>
  <c r="R206" i="37" s="1"/>
  <c r="C206" i="37"/>
  <c r="A207" i="37"/>
  <c r="A194" i="28" s="1"/>
  <c r="B207" i="37"/>
  <c r="C207" i="37"/>
  <c r="A208" i="37"/>
  <c r="A195" i="28" s="1"/>
  <c r="B208" i="37"/>
  <c r="S208" i="37" s="1"/>
  <c r="C208" i="37"/>
  <c r="A209" i="37"/>
  <c r="A196" i="28" s="1"/>
  <c r="B209" i="37"/>
  <c r="C209" i="37"/>
  <c r="A210" i="37"/>
  <c r="A197" i="28" s="1"/>
  <c r="B210" i="37"/>
  <c r="R210" i="37" s="1"/>
  <c r="C210" i="37"/>
  <c r="A211" i="37"/>
  <c r="A198" i="28" s="1"/>
  <c r="B211" i="37"/>
  <c r="C211" i="37"/>
  <c r="A212" i="37"/>
  <c r="A199" i="28" s="1"/>
  <c r="B212" i="37"/>
  <c r="S212" i="37" s="1"/>
  <c r="C212" i="37"/>
  <c r="A213" i="37"/>
  <c r="A200" i="28" s="1"/>
  <c r="B213" i="37"/>
  <c r="C213" i="37"/>
  <c r="A214" i="37"/>
  <c r="A201" i="28" s="1"/>
  <c r="B214" i="37"/>
  <c r="R214" i="37" s="1"/>
  <c r="C214" i="37"/>
  <c r="A215" i="37"/>
  <c r="A202" i="28" s="1"/>
  <c r="B215" i="37"/>
  <c r="C215" i="37"/>
  <c r="A216" i="37"/>
  <c r="A203" i="28" s="1"/>
  <c r="B216" i="37"/>
  <c r="S216" i="37" s="1"/>
  <c r="C216" i="37"/>
  <c r="A217" i="37"/>
  <c r="A204" i="28" s="1"/>
  <c r="B217" i="37"/>
  <c r="C217" i="37"/>
  <c r="A218" i="37"/>
  <c r="A205" i="28" s="1"/>
  <c r="B218" i="37"/>
  <c r="R218" i="37" s="1"/>
  <c r="C218" i="37"/>
  <c r="A219" i="37"/>
  <c r="A206" i="28" s="1"/>
  <c r="B219" i="37"/>
  <c r="C219" i="37"/>
  <c r="A220" i="37"/>
  <c r="A207" i="28" s="1"/>
  <c r="B220" i="37"/>
  <c r="S220" i="37" s="1"/>
  <c r="C220" i="37"/>
  <c r="A221" i="37"/>
  <c r="A208" i="28" s="1"/>
  <c r="B221" i="37"/>
  <c r="C221" i="37"/>
  <c r="A222" i="37"/>
  <c r="A209" i="28" s="1"/>
  <c r="B222" i="37"/>
  <c r="R222" i="37" s="1"/>
  <c r="C222" i="37"/>
  <c r="A223" i="37"/>
  <c r="A210" i="28" s="1"/>
  <c r="B223" i="37"/>
  <c r="C223" i="37"/>
  <c r="A224" i="37"/>
  <c r="A211" i="28" s="1"/>
  <c r="B224" i="37"/>
  <c r="S224" i="37" s="1"/>
  <c r="C224" i="37"/>
  <c r="A225" i="37"/>
  <c r="A212" i="28" s="1"/>
  <c r="B225" i="37"/>
  <c r="C225" i="37"/>
  <c r="A226" i="37"/>
  <c r="A213" i="28" s="1"/>
  <c r="B226" i="37"/>
  <c r="R226" i="37" s="1"/>
  <c r="C226" i="37"/>
  <c r="A227" i="37"/>
  <c r="A214" i="28" s="1"/>
  <c r="B227" i="37"/>
  <c r="L227" i="37" s="1"/>
  <c r="C227" i="37"/>
  <c r="A228" i="37"/>
  <c r="A215" i="28" s="1"/>
  <c r="B228" i="37"/>
  <c r="S228" i="37" s="1"/>
  <c r="C228" i="37"/>
  <c r="A229" i="37"/>
  <c r="A216" i="28" s="1"/>
  <c r="B229" i="37"/>
  <c r="C229" i="37"/>
  <c r="A230" i="37"/>
  <c r="A217" i="28" s="1"/>
  <c r="B230" i="37"/>
  <c r="R230" i="37" s="1"/>
  <c r="C230" i="37"/>
  <c r="A231" i="37"/>
  <c r="A218" i="28" s="1"/>
  <c r="B231" i="37"/>
  <c r="C231" i="37"/>
  <c r="A232" i="37"/>
  <c r="A219" i="28" s="1"/>
  <c r="B232" i="37"/>
  <c r="S232" i="37" s="1"/>
  <c r="C232" i="37"/>
  <c r="A233" i="37"/>
  <c r="A220" i="28" s="1"/>
  <c r="B233" i="37"/>
  <c r="C233" i="37"/>
  <c r="A234" i="37"/>
  <c r="A221" i="28" s="1"/>
  <c r="B234" i="37"/>
  <c r="R234" i="37" s="1"/>
  <c r="C234" i="37"/>
  <c r="A235" i="37"/>
  <c r="A222" i="28" s="1"/>
  <c r="B235" i="37"/>
  <c r="L235" i="37" s="1"/>
  <c r="C235" i="37"/>
  <c r="A236" i="37"/>
  <c r="A223" i="28" s="1"/>
  <c r="B236" i="37"/>
  <c r="S236" i="37" s="1"/>
  <c r="C236" i="37"/>
  <c r="A237" i="37"/>
  <c r="A224" i="28" s="1"/>
  <c r="B237" i="37"/>
  <c r="C237" i="37"/>
  <c r="A238" i="37"/>
  <c r="A225" i="28" s="1"/>
  <c r="B238" i="37"/>
  <c r="R238" i="37" s="1"/>
  <c r="C238" i="37"/>
  <c r="A239" i="37"/>
  <c r="A226" i="28" s="1"/>
  <c r="B239" i="37"/>
  <c r="C239" i="37"/>
  <c r="A240" i="37"/>
  <c r="A227" i="28" s="1"/>
  <c r="B240" i="37"/>
  <c r="S240" i="37" s="1"/>
  <c r="C240" i="37"/>
  <c r="A241" i="37"/>
  <c r="A228" i="28" s="1"/>
  <c r="B241" i="37"/>
  <c r="C241" i="37"/>
  <c r="A242" i="37"/>
  <c r="A229" i="28" s="1"/>
  <c r="B242" i="37"/>
  <c r="R242" i="37" s="1"/>
  <c r="C242" i="37"/>
  <c r="A243" i="37"/>
  <c r="A230" i="28" s="1"/>
  <c r="B243" i="37"/>
  <c r="C243" i="37"/>
  <c r="A244" i="37"/>
  <c r="A231" i="28" s="1"/>
  <c r="B244" i="37"/>
  <c r="S244" i="37" s="1"/>
  <c r="C244" i="37"/>
  <c r="A245" i="37"/>
  <c r="A232" i="28" s="1"/>
  <c r="B245" i="37"/>
  <c r="C245" i="37"/>
  <c r="A246" i="37"/>
  <c r="A233" i="28" s="1"/>
  <c r="B246" i="37"/>
  <c r="R246" i="37" s="1"/>
  <c r="C246" i="37"/>
  <c r="A247" i="37"/>
  <c r="A234" i="28" s="1"/>
  <c r="B247" i="37"/>
  <c r="C247" i="37"/>
  <c r="A248" i="37"/>
  <c r="A235" i="28" s="1"/>
  <c r="B248" i="37"/>
  <c r="S248" i="37" s="1"/>
  <c r="C248" i="37"/>
  <c r="A249" i="37"/>
  <c r="A236" i="28" s="1"/>
  <c r="B249" i="37"/>
  <c r="C249" i="37"/>
  <c r="A250" i="37"/>
  <c r="A237" i="28" s="1"/>
  <c r="B250" i="37"/>
  <c r="R250" i="37" s="1"/>
  <c r="C250" i="37"/>
  <c r="A251" i="37"/>
  <c r="A238" i="28" s="1"/>
  <c r="B251" i="37"/>
  <c r="C251" i="37"/>
  <c r="A252" i="37"/>
  <c r="A239" i="28" s="1"/>
  <c r="B252" i="37"/>
  <c r="S252" i="37" s="1"/>
  <c r="C252" i="37"/>
  <c r="A253" i="37"/>
  <c r="A240" i="28" s="1"/>
  <c r="B253" i="37"/>
  <c r="C253" i="37"/>
  <c r="A254" i="37"/>
  <c r="A241" i="28" s="1"/>
  <c r="B254" i="37"/>
  <c r="R254" i="37" s="1"/>
  <c r="C254" i="37"/>
  <c r="A255" i="37"/>
  <c r="A242" i="28" s="1"/>
  <c r="B255" i="37"/>
  <c r="C255" i="37"/>
  <c r="A256" i="37"/>
  <c r="A243" i="28" s="1"/>
  <c r="B256" i="37"/>
  <c r="S256" i="37" s="1"/>
  <c r="C256" i="37"/>
  <c r="A257" i="37"/>
  <c r="A244" i="28" s="1"/>
  <c r="B257" i="37"/>
  <c r="C257" i="37"/>
  <c r="A258" i="37"/>
  <c r="A245" i="28" s="1"/>
  <c r="B258" i="37"/>
  <c r="R258" i="37" s="1"/>
  <c r="C258" i="37"/>
  <c r="A259" i="37"/>
  <c r="A246" i="28" s="1"/>
  <c r="B259" i="37"/>
  <c r="L259" i="37" s="1"/>
  <c r="C259" i="37"/>
  <c r="A260" i="37"/>
  <c r="A247" i="28" s="1"/>
  <c r="B260" i="37"/>
  <c r="S260" i="37" s="1"/>
  <c r="C260" i="37"/>
  <c r="A261" i="37"/>
  <c r="A248" i="28" s="1"/>
  <c r="B261" i="37"/>
  <c r="C261" i="37"/>
  <c r="A262" i="37"/>
  <c r="A249" i="28" s="1"/>
  <c r="B262" i="37"/>
  <c r="R262" i="37" s="1"/>
  <c r="C262" i="37"/>
  <c r="A263" i="37"/>
  <c r="A250" i="28" s="1"/>
  <c r="B263" i="37"/>
  <c r="C263" i="37"/>
  <c r="A264" i="37"/>
  <c r="A251" i="28" s="1"/>
  <c r="B264" i="37"/>
  <c r="S264" i="37" s="1"/>
  <c r="C264" i="37"/>
  <c r="A265" i="37"/>
  <c r="A252" i="28" s="1"/>
  <c r="B265" i="37"/>
  <c r="C265" i="37"/>
  <c r="A266" i="37"/>
  <c r="A253" i="28" s="1"/>
  <c r="B266" i="37"/>
  <c r="R266" i="37" s="1"/>
  <c r="C266" i="37"/>
  <c r="A267" i="37"/>
  <c r="A254" i="28" s="1"/>
  <c r="B267" i="37"/>
  <c r="L267" i="37" s="1"/>
  <c r="C267" i="37"/>
  <c r="A268" i="37"/>
  <c r="A255" i="28" s="1"/>
  <c r="B268" i="37"/>
  <c r="S268" i="37" s="1"/>
  <c r="C268" i="37"/>
  <c r="A269" i="37"/>
  <c r="A256" i="28" s="1"/>
  <c r="B269" i="37"/>
  <c r="C269" i="37"/>
  <c r="A270" i="37"/>
  <c r="A257" i="28" s="1"/>
  <c r="B270" i="37"/>
  <c r="R270" i="37" s="1"/>
  <c r="C270" i="37"/>
  <c r="A271" i="37"/>
  <c r="A258" i="28" s="1"/>
  <c r="B271" i="37"/>
  <c r="C271" i="37"/>
  <c r="A272" i="37"/>
  <c r="A259" i="28" s="1"/>
  <c r="B272" i="37"/>
  <c r="S272" i="37" s="1"/>
  <c r="C272" i="37"/>
  <c r="A273" i="37"/>
  <c r="A260" i="28" s="1"/>
  <c r="B273" i="37"/>
  <c r="C273" i="37"/>
  <c r="A274" i="37"/>
  <c r="A261" i="28" s="1"/>
  <c r="B274" i="37"/>
  <c r="R274" i="37" s="1"/>
  <c r="C274" i="37"/>
  <c r="A275" i="37"/>
  <c r="A262" i="28" s="1"/>
  <c r="B275" i="37"/>
  <c r="C275" i="37"/>
  <c r="A276" i="37"/>
  <c r="A263" i="28" s="1"/>
  <c r="B276" i="37"/>
  <c r="S276" i="37" s="1"/>
  <c r="C276" i="37"/>
  <c r="A277" i="37"/>
  <c r="A264" i="28" s="1"/>
  <c r="B277" i="37"/>
  <c r="C277" i="37"/>
  <c r="A278" i="37"/>
  <c r="A265" i="28" s="1"/>
  <c r="B278" i="37"/>
  <c r="R278" i="37" s="1"/>
  <c r="C278" i="37"/>
  <c r="A279" i="37"/>
  <c r="A266" i="28" s="1"/>
  <c r="B279" i="37"/>
  <c r="C279" i="37"/>
  <c r="A280" i="37"/>
  <c r="A267" i="28" s="1"/>
  <c r="B280" i="37"/>
  <c r="S280" i="37" s="1"/>
  <c r="C280" i="37"/>
  <c r="A281" i="37"/>
  <c r="A268" i="28" s="1"/>
  <c r="B281" i="37"/>
  <c r="C281" i="37"/>
  <c r="A282" i="37"/>
  <c r="A269" i="28" s="1"/>
  <c r="B282" i="37"/>
  <c r="R282" i="37" s="1"/>
  <c r="C282" i="37"/>
  <c r="A283" i="37"/>
  <c r="A270" i="28" s="1"/>
  <c r="B283" i="37"/>
  <c r="C283" i="37"/>
  <c r="A284" i="37"/>
  <c r="A271" i="28" s="1"/>
  <c r="B284" i="37"/>
  <c r="S284" i="37" s="1"/>
  <c r="C284" i="37"/>
  <c r="A285" i="37"/>
  <c r="A272" i="28" s="1"/>
  <c r="B285" i="37"/>
  <c r="C285" i="37"/>
  <c r="A286" i="37"/>
  <c r="A273" i="28" s="1"/>
  <c r="B286" i="37"/>
  <c r="R286" i="37" s="1"/>
  <c r="C286" i="37"/>
  <c r="A287" i="37"/>
  <c r="A274" i="28" s="1"/>
  <c r="B287" i="37"/>
  <c r="C287" i="37"/>
  <c r="A288" i="37"/>
  <c r="A275" i="28" s="1"/>
  <c r="B288" i="37"/>
  <c r="S288" i="37" s="1"/>
  <c r="C288" i="37"/>
  <c r="A289" i="37"/>
  <c r="A276" i="28" s="1"/>
  <c r="B289" i="37"/>
  <c r="C289" i="37"/>
  <c r="A290" i="37"/>
  <c r="A277" i="28" s="1"/>
  <c r="B290" i="37"/>
  <c r="R290" i="37" s="1"/>
  <c r="C290" i="37"/>
  <c r="A291" i="37"/>
  <c r="A278" i="28" s="1"/>
  <c r="B291" i="37"/>
  <c r="L291" i="37" s="1"/>
  <c r="C291" i="37"/>
  <c r="A292" i="37"/>
  <c r="A279" i="28" s="1"/>
  <c r="B292" i="37"/>
  <c r="S292" i="37" s="1"/>
  <c r="C292" i="37"/>
  <c r="A293" i="37"/>
  <c r="A280" i="28" s="1"/>
  <c r="B293" i="37"/>
  <c r="C293" i="37"/>
  <c r="A294" i="37"/>
  <c r="A281" i="28" s="1"/>
  <c r="B294" i="37"/>
  <c r="R294" i="37" s="1"/>
  <c r="C294" i="37"/>
  <c r="A295" i="37"/>
  <c r="A282" i="28" s="1"/>
  <c r="B295" i="37"/>
  <c r="C295" i="37"/>
  <c r="A296" i="37"/>
  <c r="A283" i="28" s="1"/>
  <c r="B296" i="37"/>
  <c r="S296" i="37" s="1"/>
  <c r="C296" i="37"/>
  <c r="A297" i="37"/>
  <c r="A284" i="28" s="1"/>
  <c r="B297" i="37"/>
  <c r="C297" i="37"/>
  <c r="A298" i="37"/>
  <c r="A285" i="28" s="1"/>
  <c r="B298" i="37"/>
  <c r="R298" i="37" s="1"/>
  <c r="C298" i="37"/>
  <c r="A299" i="37"/>
  <c r="A286" i="28" s="1"/>
  <c r="B299" i="37"/>
  <c r="L299" i="37" s="1"/>
  <c r="C299" i="37"/>
  <c r="A300" i="37"/>
  <c r="A287" i="28" s="1"/>
  <c r="B300" i="37"/>
  <c r="S300" i="37" s="1"/>
  <c r="C300" i="37"/>
  <c r="A301" i="37"/>
  <c r="A288" i="28" s="1"/>
  <c r="B301" i="37"/>
  <c r="C301" i="37"/>
  <c r="A302" i="37"/>
  <c r="A289" i="28" s="1"/>
  <c r="B302" i="37"/>
  <c r="R302" i="37" s="1"/>
  <c r="C302" i="37"/>
  <c r="A303" i="37"/>
  <c r="A290" i="28" s="1"/>
  <c r="B303" i="37"/>
  <c r="C303" i="37"/>
  <c r="A304" i="37"/>
  <c r="A291" i="28" s="1"/>
  <c r="B304" i="37"/>
  <c r="S304" i="37" s="1"/>
  <c r="C304" i="37"/>
  <c r="A305" i="37"/>
  <c r="A292" i="28" s="1"/>
  <c r="B305" i="37"/>
  <c r="C305" i="37"/>
  <c r="A306" i="37"/>
  <c r="A293" i="28" s="1"/>
  <c r="B306" i="37"/>
  <c r="R306" i="37" s="1"/>
  <c r="C306" i="37"/>
  <c r="A307" i="37"/>
  <c r="A294" i="28" s="1"/>
  <c r="B307" i="37"/>
  <c r="C307" i="37"/>
  <c r="A308" i="37"/>
  <c r="A295" i="28" s="1"/>
  <c r="B308" i="37"/>
  <c r="S308" i="37" s="1"/>
  <c r="C308" i="37"/>
  <c r="A309" i="37"/>
  <c r="A296" i="28" s="1"/>
  <c r="B309" i="37"/>
  <c r="C309" i="37"/>
  <c r="A310" i="37"/>
  <c r="A297" i="28" s="1"/>
  <c r="B310" i="37"/>
  <c r="R310" i="37" s="1"/>
  <c r="C310" i="37"/>
  <c r="A311" i="37"/>
  <c r="A298" i="28" s="1"/>
  <c r="B311" i="37"/>
  <c r="C311" i="37"/>
  <c r="A312" i="37"/>
  <c r="A299" i="28" s="1"/>
  <c r="B312" i="37"/>
  <c r="S312" i="37" s="1"/>
  <c r="C312" i="37"/>
  <c r="A313" i="37"/>
  <c r="A300" i="28" s="1"/>
  <c r="B313" i="37"/>
  <c r="C313" i="37"/>
  <c r="A314" i="37"/>
  <c r="A301" i="28" s="1"/>
  <c r="B314" i="37"/>
  <c r="R314" i="37" s="1"/>
  <c r="C314" i="37"/>
  <c r="A315" i="37"/>
  <c r="A302" i="28" s="1"/>
  <c r="B315" i="37"/>
  <c r="C315" i="37"/>
  <c r="A316" i="37"/>
  <c r="A303" i="28" s="1"/>
  <c r="B316" i="37"/>
  <c r="S316" i="37" s="1"/>
  <c r="C316" i="37"/>
  <c r="A317" i="37"/>
  <c r="A304" i="28" s="1"/>
  <c r="B317" i="37"/>
  <c r="C317" i="37"/>
  <c r="A318" i="37"/>
  <c r="A305" i="28" s="1"/>
  <c r="B318" i="37"/>
  <c r="R318" i="37" s="1"/>
  <c r="C318" i="37"/>
  <c r="A319" i="37"/>
  <c r="A306" i="28" s="1"/>
  <c r="B319" i="37"/>
  <c r="C319" i="37"/>
  <c r="A320" i="37"/>
  <c r="A307" i="28" s="1"/>
  <c r="B320" i="37"/>
  <c r="S320" i="37" s="1"/>
  <c r="C320" i="37"/>
  <c r="A321" i="37"/>
  <c r="A308" i="28" s="1"/>
  <c r="B321" i="37"/>
  <c r="C321" i="37"/>
  <c r="A322" i="37"/>
  <c r="A309" i="28" s="1"/>
  <c r="B322" i="37"/>
  <c r="R322" i="37" s="1"/>
  <c r="C322" i="37"/>
  <c r="A323" i="37"/>
  <c r="A310" i="28" s="1"/>
  <c r="B323" i="37"/>
  <c r="L323" i="37" s="1"/>
  <c r="C323" i="37"/>
  <c r="A324" i="37"/>
  <c r="A311" i="28" s="1"/>
  <c r="B324" i="37"/>
  <c r="S324" i="37" s="1"/>
  <c r="C324" i="37"/>
  <c r="A325" i="37"/>
  <c r="A312" i="28" s="1"/>
  <c r="B325" i="37"/>
  <c r="C325" i="37"/>
  <c r="A326" i="37"/>
  <c r="A313" i="28" s="1"/>
  <c r="B326" i="37"/>
  <c r="R326" i="37" s="1"/>
  <c r="C326" i="37"/>
  <c r="A327" i="37"/>
  <c r="A314" i="28" s="1"/>
  <c r="B327" i="37"/>
  <c r="C327" i="37"/>
  <c r="A328" i="37"/>
  <c r="A315" i="28" s="1"/>
  <c r="B328" i="37"/>
  <c r="S328" i="37" s="1"/>
  <c r="C328" i="37"/>
  <c r="A329" i="37"/>
  <c r="A316" i="28" s="1"/>
  <c r="B329" i="37"/>
  <c r="C329" i="37"/>
  <c r="A330" i="37"/>
  <c r="A317" i="28" s="1"/>
  <c r="B330" i="37"/>
  <c r="R330" i="37" s="1"/>
  <c r="C330" i="37"/>
  <c r="A331" i="37"/>
  <c r="A318" i="28" s="1"/>
  <c r="B331" i="37"/>
  <c r="L331" i="37" s="1"/>
  <c r="C331" i="37"/>
  <c r="A332" i="37"/>
  <c r="A319" i="28" s="1"/>
  <c r="B332" i="37"/>
  <c r="S332" i="37" s="1"/>
  <c r="C332" i="37"/>
  <c r="A333" i="37"/>
  <c r="A320" i="28" s="1"/>
  <c r="B333" i="37"/>
  <c r="C333" i="37"/>
  <c r="A334" i="37"/>
  <c r="A321" i="28" s="1"/>
  <c r="B334" i="37"/>
  <c r="R334" i="37" s="1"/>
  <c r="C334" i="37"/>
  <c r="A335" i="37"/>
  <c r="A322" i="28" s="1"/>
  <c r="B335" i="37"/>
  <c r="C335" i="37"/>
  <c r="A336" i="37"/>
  <c r="A323" i="28" s="1"/>
  <c r="B336" i="37"/>
  <c r="S336" i="37" s="1"/>
  <c r="C336" i="37"/>
  <c r="A337" i="37"/>
  <c r="A324" i="28" s="1"/>
  <c r="B337" i="37"/>
  <c r="C337" i="37"/>
  <c r="A338" i="37"/>
  <c r="A325" i="28" s="1"/>
  <c r="B338" i="37"/>
  <c r="R338" i="37" s="1"/>
  <c r="C338" i="37"/>
  <c r="A339" i="37"/>
  <c r="A326" i="28" s="1"/>
  <c r="B339" i="37"/>
  <c r="C339" i="37"/>
  <c r="A340" i="37"/>
  <c r="A327" i="28" s="1"/>
  <c r="B340" i="37"/>
  <c r="S340" i="37" s="1"/>
  <c r="C340" i="37"/>
  <c r="A341" i="37"/>
  <c r="A328" i="28" s="1"/>
  <c r="B341" i="37"/>
  <c r="C341" i="37"/>
  <c r="A342" i="37"/>
  <c r="A329" i="28" s="1"/>
  <c r="B342" i="37"/>
  <c r="R342" i="37" s="1"/>
  <c r="C342" i="37"/>
  <c r="A343" i="37"/>
  <c r="A330" i="28" s="1"/>
  <c r="B343" i="37"/>
  <c r="C343" i="37"/>
  <c r="A344" i="37"/>
  <c r="A331" i="28" s="1"/>
  <c r="B344" i="37"/>
  <c r="S344" i="37" s="1"/>
  <c r="C344" i="37"/>
  <c r="A345" i="37"/>
  <c r="A332" i="28" s="1"/>
  <c r="B345" i="37"/>
  <c r="C345" i="37"/>
  <c r="A346" i="37"/>
  <c r="A333" i="28" s="1"/>
  <c r="B346" i="37"/>
  <c r="R346" i="37" s="1"/>
  <c r="C346" i="37"/>
  <c r="A347" i="37"/>
  <c r="A334" i="28" s="1"/>
  <c r="B347" i="37"/>
  <c r="C347" i="37"/>
  <c r="A348" i="37"/>
  <c r="A335" i="28" s="1"/>
  <c r="B348" i="37"/>
  <c r="S348" i="37" s="1"/>
  <c r="C348" i="37"/>
  <c r="A349" i="37"/>
  <c r="A336" i="28" s="1"/>
  <c r="B349" i="37"/>
  <c r="C349" i="37"/>
  <c r="A350" i="37"/>
  <c r="A337" i="28" s="1"/>
  <c r="B350" i="37"/>
  <c r="R350" i="37" s="1"/>
  <c r="C350" i="37"/>
  <c r="A351" i="37"/>
  <c r="A338" i="28" s="1"/>
  <c r="B351" i="37"/>
  <c r="C351" i="37"/>
  <c r="A352" i="37"/>
  <c r="A339" i="28" s="1"/>
  <c r="B352" i="37"/>
  <c r="S352" i="37" s="1"/>
  <c r="C352" i="37"/>
  <c r="A353" i="37"/>
  <c r="A340" i="28" s="1"/>
  <c r="B353" i="37"/>
  <c r="C353" i="37"/>
  <c r="A354" i="37"/>
  <c r="A341" i="28" s="1"/>
  <c r="B354" i="37"/>
  <c r="R354" i="37" s="1"/>
  <c r="C354" i="37"/>
  <c r="A355" i="37"/>
  <c r="A342" i="28" s="1"/>
  <c r="B355" i="37"/>
  <c r="L355" i="37" s="1"/>
  <c r="C355" i="37"/>
  <c r="A356" i="37"/>
  <c r="A343" i="28" s="1"/>
  <c r="B356" i="37"/>
  <c r="S356" i="37" s="1"/>
  <c r="C356" i="37"/>
  <c r="A357" i="37"/>
  <c r="A344" i="28" s="1"/>
  <c r="B357" i="37"/>
  <c r="C357" i="37"/>
  <c r="A358" i="37"/>
  <c r="A345" i="28" s="1"/>
  <c r="B358" i="37"/>
  <c r="R358" i="37" s="1"/>
  <c r="C358" i="37"/>
  <c r="A359" i="37"/>
  <c r="A346" i="28" s="1"/>
  <c r="B359" i="37"/>
  <c r="C359" i="37"/>
  <c r="A360" i="37"/>
  <c r="A347" i="28" s="1"/>
  <c r="B360" i="37"/>
  <c r="S360" i="37" s="1"/>
  <c r="C360" i="37"/>
  <c r="A361" i="37"/>
  <c r="A348" i="28" s="1"/>
  <c r="B361" i="37"/>
  <c r="C361" i="37"/>
  <c r="A362" i="37"/>
  <c r="A349" i="28" s="1"/>
  <c r="B362" i="37"/>
  <c r="R362" i="37" s="1"/>
  <c r="C362" i="37"/>
  <c r="A363" i="37"/>
  <c r="A350" i="28" s="1"/>
  <c r="B363" i="37"/>
  <c r="L363" i="37" s="1"/>
  <c r="C363" i="37"/>
  <c r="A364" i="37"/>
  <c r="A351" i="28" s="1"/>
  <c r="B364" i="37"/>
  <c r="S364" i="37" s="1"/>
  <c r="C364" i="37"/>
  <c r="A365" i="37"/>
  <c r="A352" i="28" s="1"/>
  <c r="B365" i="37"/>
  <c r="C365" i="37"/>
  <c r="A366" i="37"/>
  <c r="A353" i="28" s="1"/>
  <c r="B366" i="37"/>
  <c r="R366" i="37" s="1"/>
  <c r="C366" i="37"/>
  <c r="A367" i="37"/>
  <c r="A354" i="28" s="1"/>
  <c r="B367" i="37"/>
  <c r="C367" i="37"/>
  <c r="A368" i="37"/>
  <c r="A355" i="28" s="1"/>
  <c r="B368" i="37"/>
  <c r="S368" i="37" s="1"/>
  <c r="C368" i="37"/>
  <c r="A369" i="37"/>
  <c r="A356" i="28" s="1"/>
  <c r="B369" i="37"/>
  <c r="C369" i="37"/>
  <c r="A370" i="37"/>
  <c r="A357" i="28" s="1"/>
  <c r="B370" i="37"/>
  <c r="R370" i="37" s="1"/>
  <c r="C370" i="37"/>
  <c r="A371" i="37"/>
  <c r="A358" i="28" s="1"/>
  <c r="B371" i="37"/>
  <c r="C371" i="37"/>
  <c r="A372" i="37"/>
  <c r="A359" i="28" s="1"/>
  <c r="B372" i="37"/>
  <c r="S372" i="37" s="1"/>
  <c r="C372" i="37"/>
  <c r="A373" i="37"/>
  <c r="A360" i="28" s="1"/>
  <c r="B373" i="37"/>
  <c r="C373" i="37"/>
  <c r="A374" i="37"/>
  <c r="A361" i="28" s="1"/>
  <c r="B374" i="37"/>
  <c r="R374" i="37" s="1"/>
  <c r="C374" i="37"/>
  <c r="A375" i="37"/>
  <c r="A362" i="28" s="1"/>
  <c r="B375" i="37"/>
  <c r="C375" i="37"/>
  <c r="A376" i="37"/>
  <c r="A363" i="28" s="1"/>
  <c r="B376" i="37"/>
  <c r="S376" i="37" s="1"/>
  <c r="C376" i="37"/>
  <c r="A377" i="37"/>
  <c r="A364" i="28" s="1"/>
  <c r="B377" i="37"/>
  <c r="C377" i="37"/>
  <c r="A378" i="37"/>
  <c r="A365" i="28" s="1"/>
  <c r="B378" i="37"/>
  <c r="R378" i="37" s="1"/>
  <c r="C378" i="37"/>
  <c r="A379" i="37"/>
  <c r="A366" i="28" s="1"/>
  <c r="B379" i="37"/>
  <c r="C379" i="37"/>
  <c r="A380" i="37"/>
  <c r="A367" i="28" s="1"/>
  <c r="B380" i="37"/>
  <c r="S380" i="37" s="1"/>
  <c r="C380" i="37"/>
  <c r="A381" i="37"/>
  <c r="A368" i="28" s="1"/>
  <c r="B381" i="37"/>
  <c r="C381" i="37"/>
  <c r="A382" i="37"/>
  <c r="A369" i="28" s="1"/>
  <c r="B382" i="37"/>
  <c r="R382" i="37" s="1"/>
  <c r="C382" i="37"/>
  <c r="A383" i="37"/>
  <c r="A370" i="28" s="1"/>
  <c r="B383" i="37"/>
  <c r="C383" i="37"/>
  <c r="A384" i="37"/>
  <c r="A371" i="28" s="1"/>
  <c r="B384" i="37"/>
  <c r="S384" i="37" s="1"/>
  <c r="C384" i="37"/>
  <c r="A385" i="37"/>
  <c r="A372" i="28" s="1"/>
  <c r="B385" i="37"/>
  <c r="C385" i="37"/>
  <c r="A386" i="37"/>
  <c r="A373" i="28" s="1"/>
  <c r="B386" i="37"/>
  <c r="R386" i="37" s="1"/>
  <c r="C386" i="37"/>
  <c r="A387" i="37"/>
  <c r="A374" i="28" s="1"/>
  <c r="B387" i="37"/>
  <c r="L387" i="37" s="1"/>
  <c r="C387" i="37"/>
  <c r="A388" i="37"/>
  <c r="A375" i="28" s="1"/>
  <c r="B388" i="37"/>
  <c r="S388" i="37" s="1"/>
  <c r="C388" i="37"/>
  <c r="A389" i="37"/>
  <c r="A376" i="28" s="1"/>
  <c r="B389" i="37"/>
  <c r="C389" i="37"/>
  <c r="A390" i="37"/>
  <c r="A377" i="28" s="1"/>
  <c r="B390" i="37"/>
  <c r="R390" i="37" s="1"/>
  <c r="C390" i="37"/>
  <c r="A391" i="37"/>
  <c r="A378" i="28" s="1"/>
  <c r="B391" i="37"/>
  <c r="C391" i="37"/>
  <c r="A392" i="37"/>
  <c r="A379" i="28" s="1"/>
  <c r="B392" i="37"/>
  <c r="S392" i="37" s="1"/>
  <c r="C392" i="37"/>
  <c r="A393" i="37"/>
  <c r="A380" i="28" s="1"/>
  <c r="B393" i="37"/>
  <c r="C393" i="37"/>
  <c r="A394" i="37"/>
  <c r="A381" i="28" s="1"/>
  <c r="B394" i="37"/>
  <c r="R394" i="37" s="1"/>
  <c r="C394" i="37"/>
  <c r="A395" i="37"/>
  <c r="A382" i="28" s="1"/>
  <c r="B395" i="37"/>
  <c r="L395" i="37" s="1"/>
  <c r="C395" i="37"/>
  <c r="A396" i="37"/>
  <c r="A383" i="28" s="1"/>
  <c r="B396" i="37"/>
  <c r="S396" i="37" s="1"/>
  <c r="C396" i="37"/>
  <c r="A397" i="37"/>
  <c r="A384" i="28" s="1"/>
  <c r="B397" i="37"/>
  <c r="C397" i="37"/>
  <c r="A398" i="37"/>
  <c r="A385" i="28" s="1"/>
  <c r="B398" i="37"/>
  <c r="R398" i="37" s="1"/>
  <c r="C398" i="37"/>
  <c r="A399" i="37"/>
  <c r="A386" i="28" s="1"/>
  <c r="B399" i="37"/>
  <c r="C399" i="37"/>
  <c r="A400" i="37"/>
  <c r="A387" i="28" s="1"/>
  <c r="B400" i="37"/>
  <c r="S400" i="37" s="1"/>
  <c r="C400" i="37"/>
  <c r="A401" i="37"/>
  <c r="A388" i="28" s="1"/>
  <c r="B401" i="37"/>
  <c r="C401" i="37"/>
  <c r="A402" i="37"/>
  <c r="A389" i="28" s="1"/>
  <c r="B402" i="37"/>
  <c r="R402" i="37" s="1"/>
  <c r="C402" i="37"/>
  <c r="A403" i="37"/>
  <c r="A390" i="28" s="1"/>
  <c r="B403" i="37"/>
  <c r="C403" i="37"/>
  <c r="A404" i="37"/>
  <c r="A391" i="28" s="1"/>
  <c r="B404" i="37"/>
  <c r="S404" i="37" s="1"/>
  <c r="C404" i="37"/>
  <c r="A405" i="37"/>
  <c r="A392" i="28" s="1"/>
  <c r="B405" i="37"/>
  <c r="C405" i="37"/>
  <c r="A406" i="37"/>
  <c r="A393" i="28" s="1"/>
  <c r="B406" i="37"/>
  <c r="R406" i="37" s="1"/>
  <c r="C406" i="37"/>
  <c r="A407" i="37"/>
  <c r="A394" i="28" s="1"/>
  <c r="B407" i="37"/>
  <c r="C407" i="37"/>
  <c r="A408" i="37"/>
  <c r="A395" i="28" s="1"/>
  <c r="B408" i="37"/>
  <c r="S408" i="37" s="1"/>
  <c r="C408" i="37"/>
  <c r="A409" i="37"/>
  <c r="A396" i="28" s="1"/>
  <c r="B409" i="37"/>
  <c r="C409" i="37"/>
  <c r="A410" i="37"/>
  <c r="A397" i="28" s="1"/>
  <c r="B410" i="37"/>
  <c r="R410" i="37" s="1"/>
  <c r="C410" i="37"/>
  <c r="A411" i="37"/>
  <c r="A398" i="28" s="1"/>
  <c r="B411" i="37"/>
  <c r="C411" i="37"/>
  <c r="A412" i="37"/>
  <c r="A399" i="28" s="1"/>
  <c r="B412" i="37"/>
  <c r="S412" i="37" s="1"/>
  <c r="C412" i="37"/>
  <c r="A413" i="37"/>
  <c r="A400" i="28" s="1"/>
  <c r="B413" i="37"/>
  <c r="C413" i="37"/>
  <c r="A414" i="37"/>
  <c r="A401" i="28" s="1"/>
  <c r="B414" i="37"/>
  <c r="R414" i="37" s="1"/>
  <c r="C414" i="37"/>
  <c r="A415" i="37"/>
  <c r="A402" i="28" s="1"/>
  <c r="B415" i="37"/>
  <c r="C415" i="37"/>
  <c r="A416" i="37"/>
  <c r="A403" i="28" s="1"/>
  <c r="B416" i="37"/>
  <c r="S416" i="37" s="1"/>
  <c r="C416" i="37"/>
  <c r="A417" i="37"/>
  <c r="A404" i="28" s="1"/>
  <c r="B417" i="37"/>
  <c r="C417" i="37"/>
  <c r="C4" i="37"/>
  <c r="A4" i="37"/>
  <c r="B4" i="37"/>
  <c r="J1" i="37"/>
  <c r="I1" i="37"/>
  <c r="H1" i="37"/>
  <c r="G1" i="37"/>
  <c r="F1" i="37"/>
  <c r="B1" i="37"/>
  <c r="CF423" i="36"/>
  <c r="CE423" i="36"/>
  <c r="BF424" i="36"/>
  <c r="BE424" i="36"/>
  <c r="BD424" i="36"/>
  <c r="BC424" i="36"/>
  <c r="CC423" i="36"/>
  <c r="CA423" i="36"/>
  <c r="BZ423" i="36"/>
  <c r="BY423" i="36"/>
  <c r="BX423" i="36"/>
  <c r="BW423" i="36"/>
  <c r="BV423" i="36"/>
  <c r="BU423" i="36"/>
  <c r="D417" i="39" s="1"/>
  <c r="BT423" i="36"/>
  <c r="CB423" i="36"/>
  <c r="CE422" i="36"/>
  <c r="BF423" i="36"/>
  <c r="BE423" i="36"/>
  <c r="BD423" i="36"/>
  <c r="BC423" i="36"/>
  <c r="CC422" i="36"/>
  <c r="CB422" i="36"/>
  <c r="CA422" i="36"/>
  <c r="BZ422" i="36"/>
  <c r="BY422" i="36"/>
  <c r="BX422" i="36"/>
  <c r="BW422" i="36"/>
  <c r="BV422" i="36"/>
  <c r="BU422" i="36"/>
  <c r="D416" i="39" s="1"/>
  <c r="BT422" i="36"/>
  <c r="CF422" i="36"/>
  <c r="CF421" i="36"/>
  <c r="CE421" i="36"/>
  <c r="BF422" i="36"/>
  <c r="BE422" i="36"/>
  <c r="BD422" i="36"/>
  <c r="BC422" i="36"/>
  <c r="CC421" i="36"/>
  <c r="CB421" i="36"/>
  <c r="CA421" i="36"/>
  <c r="BZ421" i="36"/>
  <c r="BY421" i="36"/>
  <c r="BW421" i="36"/>
  <c r="BV421" i="36"/>
  <c r="BU421" i="36"/>
  <c r="D415" i="39" s="1"/>
  <c r="BT421" i="36"/>
  <c r="BX421" i="36"/>
  <c r="CE420" i="36"/>
  <c r="BF421" i="36"/>
  <c r="BE421" i="36"/>
  <c r="BD421" i="36"/>
  <c r="BC421" i="36"/>
  <c r="CC420" i="36"/>
  <c r="CB420" i="36"/>
  <c r="CA420" i="36"/>
  <c r="BZ420" i="36"/>
  <c r="BY420" i="36"/>
  <c r="BX420" i="36"/>
  <c r="BW420" i="36"/>
  <c r="BV420" i="36"/>
  <c r="BU420" i="36"/>
  <c r="D414" i="39" s="1"/>
  <c r="BT420" i="36"/>
  <c r="CF420" i="36"/>
  <c r="CE419" i="36"/>
  <c r="BF420" i="36"/>
  <c r="BE420" i="36"/>
  <c r="BD420" i="36"/>
  <c r="BC420" i="36"/>
  <c r="CC419" i="36"/>
  <c r="CB419" i="36"/>
  <c r="CA419" i="36"/>
  <c r="BZ419" i="36"/>
  <c r="BY419" i="36"/>
  <c r="BX419" i="36"/>
  <c r="BW419" i="36"/>
  <c r="BV419" i="36"/>
  <c r="BU419" i="36"/>
  <c r="D413" i="39" s="1"/>
  <c r="BT419" i="36"/>
  <c r="CF419" i="36"/>
  <c r="CE418" i="36"/>
  <c r="BF419" i="36"/>
  <c r="BE419" i="36"/>
  <c r="BD419" i="36"/>
  <c r="BC419" i="36"/>
  <c r="CC418" i="36"/>
  <c r="CA418" i="36"/>
  <c r="BZ418" i="36"/>
  <c r="BW418" i="36"/>
  <c r="BV418" i="36"/>
  <c r="BU418" i="36"/>
  <c r="D412" i="39" s="1"/>
  <c r="BT418" i="36"/>
  <c r="CF418" i="36"/>
  <c r="CB418" i="36"/>
  <c r="BY418" i="36"/>
  <c r="BX418" i="36"/>
  <c r="CF417" i="36"/>
  <c r="CE417" i="36"/>
  <c r="BF418" i="36"/>
  <c r="BE418" i="36"/>
  <c r="BD418" i="36"/>
  <c r="BC418" i="36"/>
  <c r="CC417" i="36"/>
  <c r="CB417" i="36"/>
  <c r="CA417" i="36"/>
  <c r="BZ417" i="36"/>
  <c r="BY417" i="36"/>
  <c r="BX417" i="36"/>
  <c r="BW417" i="36"/>
  <c r="BV417" i="36"/>
  <c r="BU417" i="36"/>
  <c r="D411" i="39" s="1"/>
  <c r="BT417" i="36"/>
  <c r="CE416" i="36"/>
  <c r="BF417" i="36"/>
  <c r="BE417" i="36"/>
  <c r="BD417" i="36"/>
  <c r="BC417" i="36"/>
  <c r="CC416" i="36"/>
  <c r="CB416" i="36"/>
  <c r="CA416" i="36"/>
  <c r="BZ416" i="36"/>
  <c r="BY416" i="36"/>
  <c r="BX416" i="36"/>
  <c r="BW416" i="36"/>
  <c r="BV416" i="36"/>
  <c r="BU416" i="36"/>
  <c r="D410" i="39" s="1"/>
  <c r="BT416" i="36"/>
  <c r="CF416" i="36"/>
  <c r="CF415" i="36"/>
  <c r="CE415" i="36"/>
  <c r="BF416" i="36"/>
  <c r="BE416" i="36"/>
  <c r="BD416" i="36"/>
  <c r="BC416" i="36"/>
  <c r="CC415" i="36"/>
  <c r="CB415" i="36"/>
  <c r="CA415" i="36"/>
  <c r="BZ415" i="36"/>
  <c r="BY415" i="36"/>
  <c r="BX415" i="36"/>
  <c r="BW415" i="36"/>
  <c r="BV415" i="36"/>
  <c r="BU415" i="36"/>
  <c r="D409" i="39" s="1"/>
  <c r="BT415" i="36"/>
  <c r="CE414" i="36"/>
  <c r="BF415" i="36"/>
  <c r="BE415" i="36"/>
  <c r="BD415" i="36"/>
  <c r="BC415" i="36"/>
  <c r="CC414" i="36"/>
  <c r="CB414" i="36"/>
  <c r="CA414" i="36"/>
  <c r="BZ414" i="36"/>
  <c r="BY414" i="36"/>
  <c r="BX414" i="36"/>
  <c r="BW414" i="36"/>
  <c r="BV414" i="36"/>
  <c r="BU414" i="36"/>
  <c r="D408" i="39" s="1"/>
  <c r="BT414" i="36"/>
  <c r="CF414" i="36"/>
  <c r="CF413" i="36"/>
  <c r="CE413" i="36"/>
  <c r="BF414" i="36"/>
  <c r="BE414" i="36"/>
  <c r="BD414" i="36"/>
  <c r="BC414" i="36"/>
  <c r="CC413" i="36"/>
  <c r="CB413" i="36"/>
  <c r="CA413" i="36"/>
  <c r="BZ413" i="36"/>
  <c r="BY413" i="36"/>
  <c r="BX413" i="36"/>
  <c r="BW413" i="36"/>
  <c r="BV413" i="36"/>
  <c r="BU413" i="36"/>
  <c r="D407" i="39" s="1"/>
  <c r="BT413" i="36"/>
  <c r="CE412" i="36"/>
  <c r="BF413" i="36"/>
  <c r="BE413" i="36"/>
  <c r="BD413" i="36"/>
  <c r="BC413" i="36"/>
  <c r="CC412" i="36"/>
  <c r="CB412" i="36"/>
  <c r="CA412" i="36"/>
  <c r="BZ412" i="36"/>
  <c r="BY412" i="36"/>
  <c r="BX412" i="36"/>
  <c r="BW412" i="36"/>
  <c r="BV412" i="36"/>
  <c r="BU412" i="36"/>
  <c r="D406" i="39" s="1"/>
  <c r="BT412" i="36"/>
  <c r="CF412" i="36"/>
  <c r="CE411" i="36"/>
  <c r="BF412" i="36"/>
  <c r="BE412" i="36"/>
  <c r="BD412" i="36"/>
  <c r="BC412" i="36"/>
  <c r="CC411" i="36"/>
  <c r="CB411" i="36"/>
  <c r="BZ411" i="36"/>
  <c r="BY411" i="36"/>
  <c r="BX411" i="36"/>
  <c r="BW411" i="36"/>
  <c r="BV411" i="36"/>
  <c r="BU411" i="36"/>
  <c r="D405" i="39" s="1"/>
  <c r="BT411" i="36"/>
  <c r="CF411" i="36"/>
  <c r="CA411" i="36"/>
  <c r="CE410" i="36"/>
  <c r="BF411" i="36"/>
  <c r="BE411" i="36"/>
  <c r="BD411" i="36"/>
  <c r="BC411" i="36"/>
  <c r="CC410" i="36"/>
  <c r="CB410" i="36"/>
  <c r="CA410" i="36"/>
  <c r="BZ410" i="36"/>
  <c r="BX410" i="36"/>
  <c r="BW410" i="36"/>
  <c r="BV410" i="36"/>
  <c r="BU410" i="36"/>
  <c r="D404" i="39" s="1"/>
  <c r="BT410" i="36"/>
  <c r="CF410" i="36"/>
  <c r="BY410" i="36"/>
  <c r="CF409" i="36"/>
  <c r="CE409" i="36"/>
  <c r="BF410" i="36"/>
  <c r="BE410" i="36"/>
  <c r="BD410" i="36"/>
  <c r="BC410" i="36"/>
  <c r="BG410" i="36" s="1"/>
  <c r="CC409" i="36"/>
  <c r="CB409" i="36"/>
  <c r="CA409" i="36"/>
  <c r="BZ409" i="36"/>
  <c r="BY409" i="36"/>
  <c r="BX409" i="36"/>
  <c r="BW409" i="36"/>
  <c r="BV409" i="36"/>
  <c r="BU409" i="36"/>
  <c r="D403" i="39" s="1"/>
  <c r="BT409" i="36"/>
  <c r="CE408" i="36"/>
  <c r="BF409" i="36"/>
  <c r="BE409" i="36"/>
  <c r="BD409" i="36"/>
  <c r="BC409" i="36"/>
  <c r="CC408" i="36"/>
  <c r="CB408" i="36"/>
  <c r="CA408" i="36"/>
  <c r="BZ408" i="36"/>
  <c r="BY408" i="36"/>
  <c r="BX408" i="36"/>
  <c r="BW408" i="36"/>
  <c r="BV408" i="36"/>
  <c r="BU408" i="36"/>
  <c r="D402" i="39" s="1"/>
  <c r="BT408" i="36"/>
  <c r="CF408" i="36"/>
  <c r="CE407" i="36"/>
  <c r="BF408" i="36"/>
  <c r="BE408" i="36"/>
  <c r="BD408" i="36"/>
  <c r="BC408" i="36"/>
  <c r="CC407" i="36"/>
  <c r="CB407" i="36"/>
  <c r="BZ407" i="36"/>
  <c r="BY407" i="36"/>
  <c r="BX407" i="36"/>
  <c r="BW407" i="36"/>
  <c r="BV407" i="36"/>
  <c r="BU407" i="36"/>
  <c r="D401" i="39" s="1"/>
  <c r="BT407" i="36"/>
  <c r="CF407" i="36"/>
  <c r="CA407" i="36"/>
  <c r="CE406" i="36"/>
  <c r="BF407" i="36"/>
  <c r="BE407" i="36"/>
  <c r="BD407" i="36"/>
  <c r="BC407" i="36"/>
  <c r="CC406" i="36"/>
  <c r="CA406" i="36"/>
  <c r="BZ406" i="36"/>
  <c r="BX406" i="36"/>
  <c r="BW406" i="36"/>
  <c r="BV406" i="36"/>
  <c r="BU406" i="36"/>
  <c r="D400" i="39" s="1"/>
  <c r="BT406" i="36"/>
  <c r="CF406" i="36"/>
  <c r="CB406" i="36"/>
  <c r="BY406" i="36"/>
  <c r="CF405" i="36"/>
  <c r="CE405" i="36"/>
  <c r="BF406" i="36"/>
  <c r="BE406" i="36"/>
  <c r="BD406" i="36"/>
  <c r="BC406" i="36"/>
  <c r="CC405" i="36"/>
  <c r="CB405" i="36"/>
  <c r="CA405" i="36"/>
  <c r="BZ405" i="36"/>
  <c r="BY405" i="36"/>
  <c r="BX405" i="36"/>
  <c r="BW405" i="36"/>
  <c r="BV405" i="36"/>
  <c r="BU405" i="36"/>
  <c r="D399" i="39" s="1"/>
  <c r="BT405" i="36"/>
  <c r="CE404" i="36"/>
  <c r="BF405" i="36"/>
  <c r="BE405" i="36"/>
  <c r="BD405" i="36"/>
  <c r="BC405" i="36"/>
  <c r="CC404" i="36"/>
  <c r="CB404" i="36"/>
  <c r="CA404" i="36"/>
  <c r="BZ404" i="36"/>
  <c r="BY404" i="36"/>
  <c r="BX404" i="36"/>
  <c r="BW404" i="36"/>
  <c r="BV404" i="36"/>
  <c r="BU404" i="36"/>
  <c r="D398" i="39" s="1"/>
  <c r="BT404" i="36"/>
  <c r="CF404" i="36"/>
  <c r="CE403" i="36"/>
  <c r="BF404" i="36"/>
  <c r="BE404" i="36"/>
  <c r="BD404" i="36"/>
  <c r="BC404" i="36"/>
  <c r="CB403" i="36"/>
  <c r="CA403" i="36"/>
  <c r="BZ403" i="36"/>
  <c r="BY403" i="36"/>
  <c r="BX403" i="36"/>
  <c r="BW403" i="36"/>
  <c r="BV403" i="36"/>
  <c r="BU403" i="36"/>
  <c r="D397" i="39" s="1"/>
  <c r="BT403" i="36"/>
  <c r="CF403" i="36"/>
  <c r="CC403" i="36"/>
  <c r="CE402" i="36"/>
  <c r="BF403" i="36"/>
  <c r="BE403" i="36"/>
  <c r="BD403" i="36"/>
  <c r="BC403" i="36"/>
  <c r="CC402" i="36"/>
  <c r="CB402" i="36"/>
  <c r="CA402" i="36"/>
  <c r="BX402" i="36"/>
  <c r="BW402" i="36"/>
  <c r="BV402" i="36"/>
  <c r="BU402" i="36"/>
  <c r="D396" i="39" s="1"/>
  <c r="BT402" i="36"/>
  <c r="CF402" i="36"/>
  <c r="BZ402" i="36"/>
  <c r="BY402" i="36"/>
  <c r="CF401" i="36"/>
  <c r="BF402" i="36"/>
  <c r="BE402" i="36"/>
  <c r="BD402" i="36"/>
  <c r="BC402" i="36"/>
  <c r="CC401" i="36"/>
  <c r="CB401" i="36"/>
  <c r="CA401" i="36"/>
  <c r="BY401" i="36"/>
  <c r="BX401" i="36"/>
  <c r="BW401" i="36"/>
  <c r="BV401" i="36"/>
  <c r="BU401" i="36"/>
  <c r="D395" i="39" s="1"/>
  <c r="BT401" i="36"/>
  <c r="CE401" i="36"/>
  <c r="BZ401" i="36"/>
  <c r="CE400" i="36"/>
  <c r="BF401" i="36"/>
  <c r="BE401" i="36"/>
  <c r="BD401" i="36"/>
  <c r="BC401" i="36"/>
  <c r="CC400" i="36"/>
  <c r="CB400" i="36"/>
  <c r="CA400" i="36"/>
  <c r="BZ400" i="36"/>
  <c r="BY400" i="36"/>
  <c r="BX400" i="36"/>
  <c r="BW400" i="36"/>
  <c r="BV400" i="36"/>
  <c r="BU400" i="36"/>
  <c r="D394" i="39" s="1"/>
  <c r="BT400" i="36"/>
  <c r="CF400" i="36"/>
  <c r="CF399" i="36"/>
  <c r="CE399" i="36"/>
  <c r="BF400" i="36"/>
  <c r="BE400" i="36"/>
  <c r="BD400" i="36"/>
  <c r="BC400" i="36"/>
  <c r="BG400" i="36" s="1"/>
  <c r="CC399" i="36"/>
  <c r="CB399" i="36"/>
  <c r="CA399" i="36"/>
  <c r="BZ399" i="36"/>
  <c r="BY399" i="36"/>
  <c r="BX399" i="36"/>
  <c r="BW399" i="36"/>
  <c r="BV399" i="36"/>
  <c r="BU399" i="36"/>
  <c r="D393" i="39" s="1"/>
  <c r="BT399" i="36"/>
  <c r="CF398" i="36"/>
  <c r="CE398" i="36"/>
  <c r="BF399" i="36"/>
  <c r="BE399" i="36"/>
  <c r="BD399" i="36"/>
  <c r="BC399" i="36"/>
  <c r="BG399" i="36" s="1"/>
  <c r="CC398" i="36"/>
  <c r="CB398" i="36"/>
  <c r="CA398" i="36"/>
  <c r="BZ398" i="36"/>
  <c r="BY398" i="36"/>
  <c r="BX398" i="36"/>
  <c r="BW398" i="36"/>
  <c r="BV398" i="36"/>
  <c r="BU398" i="36"/>
  <c r="D392" i="39" s="1"/>
  <c r="BT398" i="36"/>
  <c r="CF397" i="36"/>
  <c r="CE397" i="36"/>
  <c r="BF398" i="36"/>
  <c r="BE398" i="36"/>
  <c r="BD398" i="36"/>
  <c r="BC398" i="36"/>
  <c r="BG398" i="36" s="1"/>
  <c r="CC397" i="36"/>
  <c r="CB397" i="36"/>
  <c r="CA397" i="36"/>
  <c r="BZ397" i="36"/>
  <c r="BY397" i="36"/>
  <c r="BX397" i="36"/>
  <c r="BW397" i="36"/>
  <c r="BV397" i="36"/>
  <c r="BU397" i="36"/>
  <c r="D391" i="39" s="1"/>
  <c r="BT397" i="36"/>
  <c r="CE396" i="36"/>
  <c r="BF397" i="36"/>
  <c r="BE397" i="36"/>
  <c r="BD397" i="36"/>
  <c r="BC397" i="36"/>
  <c r="CC396" i="36"/>
  <c r="CB396" i="36"/>
  <c r="CA396" i="36"/>
  <c r="BZ396" i="36"/>
  <c r="BY396" i="36"/>
  <c r="BX396" i="36"/>
  <c r="BV396" i="36"/>
  <c r="BU396" i="36"/>
  <c r="D390" i="39" s="1"/>
  <c r="BT396" i="36"/>
  <c r="CF396" i="36"/>
  <c r="BW396" i="36"/>
  <c r="CE395" i="36"/>
  <c r="BF396" i="36"/>
  <c r="BE396" i="36"/>
  <c r="BD396" i="36"/>
  <c r="BC396" i="36"/>
  <c r="CC395" i="36"/>
  <c r="CB395" i="36"/>
  <c r="CA395" i="36"/>
  <c r="BZ395" i="36"/>
  <c r="BY395" i="36"/>
  <c r="BX395" i="36"/>
  <c r="BW395" i="36"/>
  <c r="BV395" i="36"/>
  <c r="BU395" i="36"/>
  <c r="D389" i="39" s="1"/>
  <c r="BT395" i="36"/>
  <c r="CF395" i="36"/>
  <c r="CE394" i="36"/>
  <c r="BF395" i="36"/>
  <c r="BE395" i="36"/>
  <c r="BD395" i="36"/>
  <c r="BC395" i="36"/>
  <c r="CC394" i="36"/>
  <c r="CB394" i="36"/>
  <c r="CA394" i="36"/>
  <c r="BY394" i="36"/>
  <c r="BX394" i="36"/>
  <c r="BW394" i="36"/>
  <c r="BV394" i="36"/>
  <c r="BU394" i="36"/>
  <c r="D388" i="39" s="1"/>
  <c r="BT394" i="36"/>
  <c r="CF394" i="36"/>
  <c r="BZ394" i="36"/>
  <c r="CF393" i="36"/>
  <c r="BF394" i="36"/>
  <c r="BE394" i="36"/>
  <c r="BD394" i="36"/>
  <c r="BC394" i="36"/>
  <c r="CC393" i="36"/>
  <c r="CB393" i="36"/>
  <c r="CA393" i="36"/>
  <c r="BY393" i="36"/>
  <c r="BX393" i="36"/>
  <c r="BW393" i="36"/>
  <c r="BV393" i="36"/>
  <c r="BU393" i="36"/>
  <c r="D387" i="39" s="1"/>
  <c r="BT393" i="36"/>
  <c r="CE393" i="36"/>
  <c r="BZ393" i="36"/>
  <c r="CE392" i="36"/>
  <c r="BF393" i="36"/>
  <c r="BE393" i="36"/>
  <c r="BD393" i="36"/>
  <c r="BC393" i="36"/>
  <c r="CC392" i="36"/>
  <c r="CB392" i="36"/>
  <c r="CA392" i="36"/>
  <c r="BZ392" i="36"/>
  <c r="BY392" i="36"/>
  <c r="BX392" i="36"/>
  <c r="BV392" i="36"/>
  <c r="BU392" i="36"/>
  <c r="D386" i="39" s="1"/>
  <c r="BT392" i="36"/>
  <c r="CF392" i="36"/>
  <c r="BW392" i="36"/>
  <c r="CE391" i="36"/>
  <c r="BF392" i="36"/>
  <c r="BE392" i="36"/>
  <c r="BD392" i="36"/>
  <c r="BC392" i="36"/>
  <c r="CC391" i="36"/>
  <c r="CB391" i="36"/>
  <c r="CA391" i="36"/>
  <c r="BZ391" i="36"/>
  <c r="BY391" i="36"/>
  <c r="BX391" i="36"/>
  <c r="BW391" i="36"/>
  <c r="BV391" i="36"/>
  <c r="BU391" i="36"/>
  <c r="D385" i="39" s="1"/>
  <c r="BT391" i="36"/>
  <c r="CF391" i="36"/>
  <c r="CE390" i="36"/>
  <c r="BF391" i="36"/>
  <c r="BE391" i="36"/>
  <c r="BD391" i="36"/>
  <c r="BC391" i="36"/>
  <c r="CC390" i="36"/>
  <c r="CB390" i="36"/>
  <c r="CA390" i="36"/>
  <c r="BZ390" i="36"/>
  <c r="BY390" i="36"/>
  <c r="BX390" i="36"/>
  <c r="BW390" i="36"/>
  <c r="BV390" i="36"/>
  <c r="BU390" i="36"/>
  <c r="D384" i="39" s="1"/>
  <c r="BT390" i="36"/>
  <c r="CF390" i="36"/>
  <c r="CF389" i="36"/>
  <c r="CE389" i="36"/>
  <c r="BF390" i="36"/>
  <c r="BE390" i="36"/>
  <c r="BD390" i="36"/>
  <c r="BC390" i="36"/>
  <c r="BG390" i="36" s="1"/>
  <c r="CC389" i="36"/>
  <c r="CB389" i="36"/>
  <c r="CA389" i="36"/>
  <c r="BZ389" i="36"/>
  <c r="BY389" i="36"/>
  <c r="BW389" i="36"/>
  <c r="BV389" i="36"/>
  <c r="BU389" i="36"/>
  <c r="D383" i="39" s="1"/>
  <c r="BT389" i="36"/>
  <c r="BX389" i="36"/>
  <c r="CE388" i="36"/>
  <c r="BF389" i="36"/>
  <c r="BE389" i="36"/>
  <c r="BD389" i="36"/>
  <c r="BC389" i="36"/>
  <c r="BG389" i="36" s="1"/>
  <c r="CC388" i="36"/>
  <c r="CB388" i="36"/>
  <c r="CA388" i="36"/>
  <c r="BZ388" i="36"/>
  <c r="BY388" i="36"/>
  <c r="BX388" i="36"/>
  <c r="BW388" i="36"/>
  <c r="BV388" i="36"/>
  <c r="BU388" i="36"/>
  <c r="D382" i="39" s="1"/>
  <c r="BT388" i="36"/>
  <c r="CF388" i="36"/>
  <c r="CE387" i="36"/>
  <c r="BF388" i="36"/>
  <c r="BE388" i="36"/>
  <c r="BD388" i="36"/>
  <c r="BC388" i="36"/>
  <c r="BG388" i="36" s="1"/>
  <c r="CC387" i="36"/>
  <c r="CB387" i="36"/>
  <c r="CA387" i="36"/>
  <c r="BZ387" i="36"/>
  <c r="BY387" i="36"/>
  <c r="BX387" i="36"/>
  <c r="BW387" i="36"/>
  <c r="BV387" i="36"/>
  <c r="BU387" i="36"/>
  <c r="D381" i="39" s="1"/>
  <c r="BT387" i="36"/>
  <c r="CF387" i="36"/>
  <c r="CE386" i="36"/>
  <c r="BF387" i="36"/>
  <c r="BE387" i="36"/>
  <c r="BD387" i="36"/>
  <c r="BC387" i="36"/>
  <c r="BG387" i="36" s="1"/>
  <c r="CC386" i="36"/>
  <c r="CB386" i="36"/>
  <c r="CA386" i="36"/>
  <c r="BZ386" i="36"/>
  <c r="BY386" i="36"/>
  <c r="BX386" i="36"/>
  <c r="BW386" i="36"/>
  <c r="BV386" i="36"/>
  <c r="BU386" i="36"/>
  <c r="D380" i="39" s="1"/>
  <c r="BT386" i="36"/>
  <c r="CF386" i="36"/>
  <c r="CF385" i="36"/>
  <c r="CE385" i="36"/>
  <c r="BF386" i="36"/>
  <c r="BE386" i="36"/>
  <c r="BD386" i="36"/>
  <c r="BC386" i="36"/>
  <c r="BG386" i="36" s="1"/>
  <c r="CC385" i="36"/>
  <c r="CB385" i="36"/>
  <c r="CA385" i="36"/>
  <c r="BZ385" i="36"/>
  <c r="BY385" i="36"/>
  <c r="BX385" i="36"/>
  <c r="BW385" i="36"/>
  <c r="BV385" i="36"/>
  <c r="BU385" i="36"/>
  <c r="D379" i="39" s="1"/>
  <c r="BT385" i="36"/>
  <c r="CE384" i="36"/>
  <c r="BF385" i="36"/>
  <c r="BE385" i="36"/>
  <c r="BD385" i="36"/>
  <c r="BC385" i="36"/>
  <c r="BG385" i="36" s="1"/>
  <c r="CC384" i="36"/>
  <c r="CB384" i="36"/>
  <c r="CA384" i="36"/>
  <c r="BZ384" i="36"/>
  <c r="BY384" i="36"/>
  <c r="BX384" i="36"/>
  <c r="BW384" i="36"/>
  <c r="BV384" i="36"/>
  <c r="BU384" i="36"/>
  <c r="D378" i="39" s="1"/>
  <c r="BT384" i="36"/>
  <c r="CF384" i="36"/>
  <c r="CE383" i="36"/>
  <c r="BF384" i="36"/>
  <c r="BE384" i="36"/>
  <c r="BD384" i="36"/>
  <c r="BC384" i="36"/>
  <c r="BG384" i="36" s="1"/>
  <c r="CC383" i="36"/>
  <c r="CA383" i="36"/>
  <c r="BZ383" i="36"/>
  <c r="BY383" i="36"/>
  <c r="BX383" i="36"/>
  <c r="BW383" i="36"/>
  <c r="BV383" i="36"/>
  <c r="BU383" i="36"/>
  <c r="D377" i="39" s="1"/>
  <c r="BT383" i="36"/>
  <c r="CF383" i="36"/>
  <c r="CB383" i="36"/>
  <c r="CE382" i="36"/>
  <c r="BF383" i="36"/>
  <c r="BE383" i="36"/>
  <c r="BD383" i="36"/>
  <c r="BC383" i="36"/>
  <c r="BG383" i="36" s="1"/>
  <c r="CC382" i="36"/>
  <c r="CB382" i="36"/>
  <c r="CA382" i="36"/>
  <c r="BY382" i="36"/>
  <c r="BX382" i="36"/>
  <c r="BW382" i="36"/>
  <c r="BV382" i="36"/>
  <c r="BU382" i="36"/>
  <c r="D376" i="39" s="1"/>
  <c r="BT382" i="36"/>
  <c r="CF382" i="36"/>
  <c r="BZ382" i="36"/>
  <c r="CF381" i="36"/>
  <c r="CE381" i="36"/>
  <c r="BF382" i="36"/>
  <c r="BE382" i="36"/>
  <c r="BD382" i="36"/>
  <c r="BC382" i="36"/>
  <c r="BG382" i="36" s="1"/>
  <c r="CC381" i="36"/>
  <c r="CB381" i="36"/>
  <c r="CA381" i="36"/>
  <c r="BZ381" i="36"/>
  <c r="BY381" i="36"/>
  <c r="BX381" i="36"/>
  <c r="BW381" i="36"/>
  <c r="BV381" i="36"/>
  <c r="BU381" i="36"/>
  <c r="D375" i="39" s="1"/>
  <c r="BT381" i="36"/>
  <c r="CE380" i="36"/>
  <c r="BF381" i="36"/>
  <c r="BE381" i="36"/>
  <c r="BD381" i="36"/>
  <c r="BC381" i="36"/>
  <c r="BG381" i="36" s="1"/>
  <c r="CC380" i="36"/>
  <c r="CB380" i="36"/>
  <c r="CA380" i="36"/>
  <c r="BZ380" i="36"/>
  <c r="BY380" i="36"/>
  <c r="BX380" i="36"/>
  <c r="BW380" i="36"/>
  <c r="BV380" i="36"/>
  <c r="BU380" i="36"/>
  <c r="D374" i="39" s="1"/>
  <c r="BT380" i="36"/>
  <c r="CF380" i="36"/>
  <c r="CE379" i="36"/>
  <c r="BF380" i="36"/>
  <c r="BE380" i="36"/>
  <c r="BD380" i="36"/>
  <c r="BC380" i="36"/>
  <c r="CC379" i="36"/>
  <c r="CB379" i="36"/>
  <c r="CA379" i="36"/>
  <c r="BZ379" i="36"/>
  <c r="BY379" i="36"/>
  <c r="BX379" i="36"/>
  <c r="BW379" i="36"/>
  <c r="BV379" i="36"/>
  <c r="BU379" i="36"/>
  <c r="D373" i="39" s="1"/>
  <c r="BT379" i="36"/>
  <c r="CF379" i="36"/>
  <c r="CE378" i="36"/>
  <c r="BF379" i="36"/>
  <c r="BE379" i="36"/>
  <c r="BD379" i="36"/>
  <c r="BC379" i="36"/>
  <c r="BG379" i="36" s="1"/>
  <c r="CC378" i="36"/>
  <c r="CB378" i="36"/>
  <c r="CA378" i="36"/>
  <c r="BY378" i="36"/>
  <c r="BX378" i="36"/>
  <c r="BW378" i="36"/>
  <c r="BU378" i="36"/>
  <c r="D372" i="39" s="1"/>
  <c r="BT378" i="36"/>
  <c r="CF378" i="36"/>
  <c r="BZ378" i="36"/>
  <c r="BV378" i="36"/>
  <c r="CE377" i="36"/>
  <c r="BF378" i="36"/>
  <c r="BE378" i="36"/>
  <c r="BD378" i="36"/>
  <c r="BC378" i="36"/>
  <c r="BG378" i="36" s="1"/>
  <c r="CC377" i="36"/>
  <c r="CB377" i="36"/>
  <c r="CA377" i="36"/>
  <c r="BW377" i="36"/>
  <c r="BV377" i="36"/>
  <c r="BU377" i="36"/>
  <c r="D371" i="39" s="1"/>
  <c r="BT377" i="36"/>
  <c r="CF377" i="36"/>
  <c r="BZ377" i="36"/>
  <c r="BY377" i="36"/>
  <c r="BX377" i="36"/>
  <c r="BF377" i="36"/>
  <c r="BE377" i="36"/>
  <c r="BD377" i="36"/>
  <c r="BC377" i="36"/>
  <c r="BG377" i="36" s="1"/>
  <c r="CC376" i="36"/>
  <c r="CB376" i="36"/>
  <c r="CA376" i="36"/>
  <c r="BZ376" i="36"/>
  <c r="BY376" i="36"/>
  <c r="BX376" i="36"/>
  <c r="BW376" i="36"/>
  <c r="BV376" i="36"/>
  <c r="BU376" i="36"/>
  <c r="D370" i="39" s="1"/>
  <c r="BT376" i="36"/>
  <c r="CF376" i="36"/>
  <c r="CE376" i="36"/>
  <c r="BF376" i="36"/>
  <c r="BE376" i="36"/>
  <c r="BD376" i="36"/>
  <c r="BC376" i="36"/>
  <c r="BG376" i="36" s="1"/>
  <c r="CC375" i="36"/>
  <c r="CB375" i="36"/>
  <c r="CA375" i="36"/>
  <c r="BZ375" i="36"/>
  <c r="BY375" i="36"/>
  <c r="BW375" i="36"/>
  <c r="BV375" i="36"/>
  <c r="BU375" i="36"/>
  <c r="D369" i="39" s="1"/>
  <c r="BT375" i="36"/>
  <c r="CF375" i="36"/>
  <c r="CE375" i="36"/>
  <c r="BX375" i="36"/>
  <c r="CE374" i="36"/>
  <c r="BF375" i="36"/>
  <c r="BE375" i="36"/>
  <c r="BD375" i="36"/>
  <c r="BC375" i="36"/>
  <c r="BG375" i="36" s="1"/>
  <c r="CC374" i="36"/>
  <c r="CB374" i="36"/>
  <c r="CA374" i="36"/>
  <c r="BZ374" i="36"/>
  <c r="BY374" i="36"/>
  <c r="BX374" i="36"/>
  <c r="BW374" i="36"/>
  <c r="BV374" i="36"/>
  <c r="BU374" i="36"/>
  <c r="D368" i="39" s="1"/>
  <c r="BT374" i="36"/>
  <c r="CF374" i="36"/>
  <c r="CF373" i="36"/>
  <c r="CE373" i="36"/>
  <c r="BF374" i="36"/>
  <c r="BE374" i="36"/>
  <c r="BD374" i="36"/>
  <c r="BC374" i="36"/>
  <c r="BG374" i="36" s="1"/>
  <c r="CC373" i="36"/>
  <c r="CB373" i="36"/>
  <c r="CA373" i="36"/>
  <c r="BZ373" i="36"/>
  <c r="BY373" i="36"/>
  <c r="BX373" i="36"/>
  <c r="BW373" i="36"/>
  <c r="BV373" i="36"/>
  <c r="BU373" i="36"/>
  <c r="D367" i="39" s="1"/>
  <c r="BT373" i="36"/>
  <c r="CE372" i="36"/>
  <c r="BF373" i="36"/>
  <c r="BE373" i="36"/>
  <c r="BD373" i="36"/>
  <c r="BC373" i="36"/>
  <c r="CC372" i="36"/>
  <c r="CB372" i="36"/>
  <c r="CA372" i="36"/>
  <c r="BZ372" i="36"/>
  <c r="BY372" i="36"/>
  <c r="BX372" i="36"/>
  <c r="BW372" i="36"/>
  <c r="BV372" i="36"/>
  <c r="BU372" i="36"/>
  <c r="D366" i="39" s="1"/>
  <c r="BT372" i="36"/>
  <c r="CF372" i="36"/>
  <c r="CE371" i="36"/>
  <c r="BF372" i="36"/>
  <c r="BE372" i="36"/>
  <c r="BD372" i="36"/>
  <c r="BC372" i="36"/>
  <c r="BG372" i="36" s="1"/>
  <c r="CC371" i="36"/>
  <c r="CB371" i="36"/>
  <c r="CA371" i="36"/>
  <c r="BY371" i="36"/>
  <c r="BX371" i="36"/>
  <c r="BW371" i="36"/>
  <c r="BV371" i="36"/>
  <c r="BU371" i="36"/>
  <c r="D365" i="39" s="1"/>
  <c r="BT371" i="36"/>
  <c r="CF371" i="36"/>
  <c r="BZ371" i="36"/>
  <c r="CF370" i="36"/>
  <c r="CE370" i="36"/>
  <c r="BF371" i="36"/>
  <c r="BE371" i="36"/>
  <c r="BD371" i="36"/>
  <c r="BC371" i="36"/>
  <c r="CC370" i="36"/>
  <c r="CB370" i="36"/>
  <c r="CA370" i="36"/>
  <c r="BZ370" i="36"/>
  <c r="BY370" i="36"/>
  <c r="BX370" i="36"/>
  <c r="BW370" i="36"/>
  <c r="BV370" i="36"/>
  <c r="BU370" i="36"/>
  <c r="D364" i="39" s="1"/>
  <c r="BT370" i="36"/>
  <c r="CF369" i="36"/>
  <c r="CE369" i="36"/>
  <c r="BF370" i="36"/>
  <c r="BE370" i="36"/>
  <c r="BD370" i="36"/>
  <c r="BC370" i="36"/>
  <c r="BG370" i="36" s="1"/>
  <c r="CC369" i="36"/>
  <c r="CB369" i="36"/>
  <c r="CA369" i="36"/>
  <c r="BZ369" i="36"/>
  <c r="BX369" i="36"/>
  <c r="BW369" i="36"/>
  <c r="BV369" i="36"/>
  <c r="BU369" i="36"/>
  <c r="D363" i="39" s="1"/>
  <c r="BT369" i="36"/>
  <c r="BY369" i="36"/>
  <c r="CE368" i="36"/>
  <c r="BF369" i="36"/>
  <c r="BE369" i="36"/>
  <c r="BD369" i="36"/>
  <c r="BC369" i="36"/>
  <c r="CC368" i="36"/>
  <c r="CB368" i="36"/>
  <c r="CA368" i="36"/>
  <c r="BZ368" i="36"/>
  <c r="BY368" i="36"/>
  <c r="BX368" i="36"/>
  <c r="BW368" i="36"/>
  <c r="BV368" i="36"/>
  <c r="BU368" i="36"/>
  <c r="D362" i="39" s="1"/>
  <c r="BT368" i="36"/>
  <c r="CF368" i="36"/>
  <c r="CF367" i="36"/>
  <c r="CE367" i="36"/>
  <c r="BF368" i="36"/>
  <c r="BE368" i="36"/>
  <c r="BD368" i="36"/>
  <c r="BC368" i="36"/>
  <c r="BG368" i="36" s="1"/>
  <c r="CC367" i="36"/>
  <c r="CB367" i="36"/>
  <c r="CA367" i="36"/>
  <c r="BZ367" i="36"/>
  <c r="BY367" i="36"/>
  <c r="BX367" i="36"/>
  <c r="BW367" i="36"/>
  <c r="BV367" i="36"/>
  <c r="BU367" i="36"/>
  <c r="D361" i="39" s="1"/>
  <c r="BT367" i="36"/>
  <c r="CF366" i="36"/>
  <c r="CE366" i="36"/>
  <c r="BF367" i="36"/>
  <c r="BE367" i="36"/>
  <c r="BD367" i="36"/>
  <c r="BC367" i="36"/>
  <c r="BG367" i="36" s="1"/>
  <c r="CC366" i="36"/>
  <c r="CB366" i="36"/>
  <c r="CA366" i="36"/>
  <c r="BZ366" i="36"/>
  <c r="BY366" i="36"/>
  <c r="BX366" i="36"/>
  <c r="BW366" i="36"/>
  <c r="BV366" i="36"/>
  <c r="BU366" i="36"/>
  <c r="D360" i="39" s="1"/>
  <c r="BT366" i="36"/>
  <c r="CF365" i="36"/>
  <c r="CE365" i="36"/>
  <c r="BF366" i="36"/>
  <c r="BE366" i="36"/>
  <c r="BD366" i="36"/>
  <c r="BC366" i="36"/>
  <c r="BG366" i="36" s="1"/>
  <c r="CC365" i="36"/>
  <c r="CB365" i="36"/>
  <c r="CA365" i="36"/>
  <c r="BZ365" i="36"/>
  <c r="BY365" i="36"/>
  <c r="BX365" i="36"/>
  <c r="BW365" i="36"/>
  <c r="BV365" i="36"/>
  <c r="BU365" i="36"/>
  <c r="D359" i="39" s="1"/>
  <c r="BT365" i="36"/>
  <c r="CE364" i="36"/>
  <c r="BF365" i="36"/>
  <c r="BE365" i="36"/>
  <c r="BD365" i="36"/>
  <c r="BC365" i="36"/>
  <c r="CC364" i="36"/>
  <c r="CB364" i="36"/>
  <c r="CA364" i="36"/>
  <c r="BZ364" i="36"/>
  <c r="BY364" i="36"/>
  <c r="BX364" i="36"/>
  <c r="BW364" i="36"/>
  <c r="BV364" i="36"/>
  <c r="BU364" i="36"/>
  <c r="D358" i="39" s="1"/>
  <c r="BT364" i="36"/>
  <c r="CF364" i="36"/>
  <c r="CF363" i="36"/>
  <c r="CE363" i="36"/>
  <c r="BF364" i="36"/>
  <c r="BE364" i="36"/>
  <c r="BD364" i="36"/>
  <c r="BC364" i="36"/>
  <c r="BG364" i="36" s="1"/>
  <c r="CC363" i="36"/>
  <c r="CB363" i="36"/>
  <c r="CA363" i="36"/>
  <c r="BZ363" i="36"/>
  <c r="BY363" i="36"/>
  <c r="BX363" i="36"/>
  <c r="BW363" i="36"/>
  <c r="BV363" i="36"/>
  <c r="BT363" i="36"/>
  <c r="BU363" i="36"/>
  <c r="D357" i="39" s="1"/>
  <c r="BF363" i="36"/>
  <c r="BE363" i="36"/>
  <c r="BD363" i="36"/>
  <c r="BC363" i="36"/>
  <c r="BG363" i="36" s="1"/>
  <c r="CC362" i="36"/>
  <c r="CB362" i="36"/>
  <c r="CA362" i="36"/>
  <c r="BZ362" i="36"/>
  <c r="BY362" i="36"/>
  <c r="BU362" i="36"/>
  <c r="D356" i="39" s="1"/>
  <c r="BT362" i="36"/>
  <c r="CF362" i="36"/>
  <c r="CE362" i="36"/>
  <c r="CD362" i="36"/>
  <c r="BX362" i="36"/>
  <c r="BW362" i="36"/>
  <c r="BV362" i="36"/>
  <c r="CF361" i="36"/>
  <c r="CE361" i="36"/>
  <c r="BF362" i="36"/>
  <c r="BE362" i="36"/>
  <c r="BD362" i="36"/>
  <c r="BC362" i="36"/>
  <c r="CB361" i="36"/>
  <c r="CA361" i="36"/>
  <c r="BZ361" i="36"/>
  <c r="BY361" i="36"/>
  <c r="BX361" i="36"/>
  <c r="BW361" i="36"/>
  <c r="BV361" i="36"/>
  <c r="BU361" i="36"/>
  <c r="D355" i="39" s="1"/>
  <c r="BT361" i="36"/>
  <c r="CC361" i="36"/>
  <c r="CE360" i="36"/>
  <c r="BF361" i="36"/>
  <c r="BE361" i="36"/>
  <c r="BD361" i="36"/>
  <c r="BC361" i="36"/>
  <c r="CC360" i="36"/>
  <c r="CB360" i="36"/>
  <c r="CA360" i="36"/>
  <c r="BZ360" i="36"/>
  <c r="BY360" i="36"/>
  <c r="BW360" i="36"/>
  <c r="BV360" i="36"/>
  <c r="BU360" i="36"/>
  <c r="D354" i="39" s="1"/>
  <c r="BT360" i="36"/>
  <c r="CF360" i="36"/>
  <c r="BX360" i="36"/>
  <c r="CF359" i="36"/>
  <c r="CE359" i="36"/>
  <c r="BF360" i="36"/>
  <c r="BE360" i="36"/>
  <c r="BD360" i="36"/>
  <c r="BC360" i="36"/>
  <c r="CC359" i="36"/>
  <c r="CB359" i="36"/>
  <c r="CA359" i="36"/>
  <c r="BZ359" i="36"/>
  <c r="BY359" i="36"/>
  <c r="BX359" i="36"/>
  <c r="BW359" i="36"/>
  <c r="BV359" i="36"/>
  <c r="BU359" i="36"/>
  <c r="D353" i="39" s="1"/>
  <c r="BT359" i="36"/>
  <c r="CF358" i="36"/>
  <c r="CE358" i="36"/>
  <c r="BF359" i="36"/>
  <c r="BE359" i="36"/>
  <c r="BD359" i="36"/>
  <c r="BC359" i="36"/>
  <c r="BG359" i="36" s="1"/>
  <c r="CD358" i="36" s="1"/>
  <c r="CC358" i="36"/>
  <c r="CB358" i="36"/>
  <c r="CA358" i="36"/>
  <c r="BZ358" i="36"/>
  <c r="BY358" i="36"/>
  <c r="BX358" i="36"/>
  <c r="BW358" i="36"/>
  <c r="BV358" i="36"/>
  <c r="D352" i="38" s="1"/>
  <c r="BU358" i="36"/>
  <c r="D352" i="39" s="1"/>
  <c r="BT358" i="36"/>
  <c r="CE357" i="36"/>
  <c r="BF358" i="36"/>
  <c r="BE358" i="36"/>
  <c r="BD358" i="36"/>
  <c r="BC358" i="36"/>
  <c r="CC357" i="36"/>
  <c r="CB357" i="36"/>
  <c r="CA357" i="36"/>
  <c r="BW357" i="36"/>
  <c r="BV357" i="36"/>
  <c r="BU357" i="36"/>
  <c r="D351" i="39" s="1"/>
  <c r="BT357" i="36"/>
  <c r="CF357" i="36"/>
  <c r="BZ357" i="36"/>
  <c r="BY357" i="36"/>
  <c r="BX357" i="36"/>
  <c r="CE356" i="36"/>
  <c r="BF357" i="36"/>
  <c r="BE357" i="36"/>
  <c r="BD357" i="36"/>
  <c r="BC357" i="36"/>
  <c r="CC356" i="36"/>
  <c r="CB356" i="36"/>
  <c r="CA356" i="36"/>
  <c r="BZ356" i="36"/>
  <c r="BY356" i="36"/>
  <c r="BX356" i="36"/>
  <c r="BW356" i="36"/>
  <c r="BV356" i="36"/>
  <c r="BU356" i="36"/>
  <c r="D350" i="39" s="1"/>
  <c r="BT356" i="36"/>
  <c r="CF356" i="36"/>
  <c r="CE355" i="36"/>
  <c r="BF356" i="36"/>
  <c r="BE356" i="36"/>
  <c r="BD356" i="36"/>
  <c r="BC356" i="36"/>
  <c r="CC355" i="36"/>
  <c r="CA355" i="36"/>
  <c r="BZ355" i="36"/>
  <c r="BY355" i="36"/>
  <c r="BX355" i="36"/>
  <c r="BW355" i="36"/>
  <c r="BV355" i="36"/>
  <c r="BU355" i="36"/>
  <c r="D349" i="39" s="1"/>
  <c r="BT355" i="36"/>
  <c r="CF355" i="36"/>
  <c r="CB355" i="36"/>
  <c r="CE354" i="36"/>
  <c r="BF355" i="36"/>
  <c r="BE355" i="36"/>
  <c r="BD355" i="36"/>
  <c r="BC355" i="36"/>
  <c r="CC354" i="36"/>
  <c r="CB354" i="36"/>
  <c r="CA354" i="36"/>
  <c r="BZ354" i="36"/>
  <c r="BY354" i="36"/>
  <c r="BX354" i="36"/>
  <c r="BW354" i="36"/>
  <c r="BV354" i="36"/>
  <c r="BU354" i="36"/>
  <c r="D348" i="39" s="1"/>
  <c r="BT354" i="36"/>
  <c r="CF354" i="36"/>
  <c r="CE353" i="36"/>
  <c r="BF354" i="36"/>
  <c r="BE354" i="36"/>
  <c r="BD354" i="36"/>
  <c r="BC354" i="36"/>
  <c r="CC353" i="36"/>
  <c r="CB353" i="36"/>
  <c r="CA353" i="36"/>
  <c r="BZ353" i="36"/>
  <c r="BY353" i="36"/>
  <c r="BX353" i="36"/>
  <c r="BW353" i="36"/>
  <c r="BV353" i="36"/>
  <c r="BU353" i="36"/>
  <c r="D347" i="39" s="1"/>
  <c r="BT353" i="36"/>
  <c r="CF353" i="36"/>
  <c r="CF352" i="36"/>
  <c r="BF353" i="36"/>
  <c r="BE353" i="36"/>
  <c r="BD353" i="36"/>
  <c r="BC353" i="36"/>
  <c r="BG353" i="36" s="1"/>
  <c r="CD352" i="36" s="1"/>
  <c r="CC352" i="36"/>
  <c r="CB352" i="36"/>
  <c r="CA352" i="36"/>
  <c r="BZ352" i="36"/>
  <c r="BY352" i="36"/>
  <c r="BX352" i="36"/>
  <c r="BW352" i="36"/>
  <c r="BV352" i="36"/>
  <c r="BU352" i="36"/>
  <c r="D346" i="39" s="1"/>
  <c r="BT352" i="36"/>
  <c r="CE352" i="36"/>
  <c r="CE351" i="36"/>
  <c r="BF352" i="36"/>
  <c r="BE352" i="36"/>
  <c r="BD352" i="36"/>
  <c r="BC352" i="36"/>
  <c r="BG352" i="36" s="1"/>
  <c r="CB351" i="36"/>
  <c r="CA351" i="36"/>
  <c r="BZ351" i="36"/>
  <c r="BY351" i="36"/>
  <c r="BX351" i="36"/>
  <c r="BW351" i="36"/>
  <c r="BU351" i="36"/>
  <c r="D345" i="39" s="1"/>
  <c r="BT351" i="36"/>
  <c r="CF351" i="36"/>
  <c r="CC351" i="36"/>
  <c r="BV351" i="36"/>
  <c r="CE350" i="36"/>
  <c r="BF351" i="36"/>
  <c r="BE351" i="36"/>
  <c r="BD351" i="36"/>
  <c r="BC351" i="36"/>
  <c r="BG351" i="36" s="1"/>
  <c r="CB350" i="36"/>
  <c r="CA350" i="36"/>
  <c r="BZ350" i="36"/>
  <c r="BY350" i="36"/>
  <c r="BX350" i="36"/>
  <c r="BW350" i="36"/>
  <c r="BV350" i="36"/>
  <c r="BU350" i="36"/>
  <c r="D344" i="39" s="1"/>
  <c r="BT350" i="36"/>
  <c r="CF350" i="36"/>
  <c r="CC350" i="36"/>
  <c r="CE349" i="36"/>
  <c r="BF350" i="36"/>
  <c r="BE350" i="36"/>
  <c r="BD350" i="36"/>
  <c r="BC350" i="36"/>
  <c r="BG350" i="36" s="1"/>
  <c r="CC349" i="36"/>
  <c r="CB349" i="36"/>
  <c r="CA349" i="36"/>
  <c r="BY349" i="36"/>
  <c r="BX349" i="36"/>
  <c r="BW349" i="36"/>
  <c r="BV349" i="36"/>
  <c r="BU349" i="36"/>
  <c r="BT349" i="36"/>
  <c r="CF349" i="36"/>
  <c r="BZ349" i="36"/>
  <c r="CE348" i="36"/>
  <c r="BF349" i="36"/>
  <c r="BE349" i="36"/>
  <c r="BD349" i="36"/>
  <c r="BC349" i="36"/>
  <c r="CC348" i="36"/>
  <c r="CA348" i="36"/>
  <c r="BZ348" i="36"/>
  <c r="BY348" i="36"/>
  <c r="BX348" i="36"/>
  <c r="BW348" i="36"/>
  <c r="BV348" i="36"/>
  <c r="BU348" i="36"/>
  <c r="D342" i="39" s="1"/>
  <c r="BT348" i="36"/>
  <c r="CF348" i="36"/>
  <c r="CB348" i="36"/>
  <c r="CF347" i="36"/>
  <c r="CE347" i="36"/>
  <c r="BF348" i="36"/>
  <c r="BE348" i="36"/>
  <c r="BD348" i="36"/>
  <c r="BC348" i="36"/>
  <c r="CC347" i="36"/>
  <c r="CB347" i="36"/>
  <c r="CA347" i="36"/>
  <c r="BZ347" i="36"/>
  <c r="BY347" i="36"/>
  <c r="BX347" i="36"/>
  <c r="BW347" i="36"/>
  <c r="BV347" i="36"/>
  <c r="BU347" i="36"/>
  <c r="D341" i="39" s="1"/>
  <c r="BT347" i="36"/>
  <c r="CE346" i="36"/>
  <c r="BF347" i="36"/>
  <c r="BE347" i="36"/>
  <c r="BD347" i="36"/>
  <c r="BC347" i="36"/>
  <c r="BG347" i="36" s="1"/>
  <c r="CC346" i="36"/>
  <c r="CB346" i="36"/>
  <c r="CA346" i="36"/>
  <c r="BZ346" i="36"/>
  <c r="BY346" i="36"/>
  <c r="BX346" i="36"/>
  <c r="BW346" i="36"/>
  <c r="BV346" i="36"/>
  <c r="BU346" i="36"/>
  <c r="D340" i="39" s="1"/>
  <c r="BT346" i="36"/>
  <c r="CF346" i="36"/>
  <c r="CF345" i="36"/>
  <c r="BF346" i="36"/>
  <c r="BE346" i="36"/>
  <c r="BD346" i="36"/>
  <c r="BC346" i="36"/>
  <c r="CC345" i="36"/>
  <c r="CB345" i="36"/>
  <c r="CA345" i="36"/>
  <c r="BZ345" i="36"/>
  <c r="BY345" i="36"/>
  <c r="BX345" i="36"/>
  <c r="BW345" i="36"/>
  <c r="BV345" i="36"/>
  <c r="BU345" i="36"/>
  <c r="D339" i="39" s="1"/>
  <c r="BT345" i="36"/>
  <c r="CE345" i="36"/>
  <c r="CE344" i="36"/>
  <c r="BF345" i="36"/>
  <c r="BE345" i="36"/>
  <c r="BD345" i="36"/>
  <c r="BC345" i="36"/>
  <c r="CC344" i="36"/>
  <c r="CB344" i="36"/>
  <c r="CA344" i="36"/>
  <c r="BZ344" i="36"/>
  <c r="BY344" i="36"/>
  <c r="BX344" i="36"/>
  <c r="BW344" i="36"/>
  <c r="BV344" i="36"/>
  <c r="BU344" i="36"/>
  <c r="D338" i="39" s="1"/>
  <c r="BT344" i="36"/>
  <c r="CF344" i="36"/>
  <c r="CF343" i="36"/>
  <c r="CE343" i="36"/>
  <c r="BF344" i="36"/>
  <c r="BE344" i="36"/>
  <c r="BD344" i="36"/>
  <c r="BC344" i="36"/>
  <c r="CC343" i="36"/>
  <c r="CB343" i="36"/>
  <c r="CA343" i="36"/>
  <c r="BZ343" i="36"/>
  <c r="BY343" i="36"/>
  <c r="BX343" i="36"/>
  <c r="BW343" i="36"/>
  <c r="BV343" i="36"/>
  <c r="BU343" i="36"/>
  <c r="D337" i="39" s="1"/>
  <c r="BT343" i="36"/>
  <c r="CF342" i="36"/>
  <c r="CE342" i="36"/>
  <c r="BF343" i="36"/>
  <c r="BE343" i="36"/>
  <c r="BD343" i="36"/>
  <c r="BC343" i="36"/>
  <c r="CC342" i="36"/>
  <c r="CB342" i="36"/>
  <c r="CA342" i="36"/>
  <c r="BZ342" i="36"/>
  <c r="BY342" i="36"/>
  <c r="BX342" i="36"/>
  <c r="BW342" i="36"/>
  <c r="BV342" i="36"/>
  <c r="BU342" i="36"/>
  <c r="BT342" i="36"/>
  <c r="CF341" i="36"/>
  <c r="CE341" i="36"/>
  <c r="BF342" i="36"/>
  <c r="BE342" i="36"/>
  <c r="BD342" i="36"/>
  <c r="BC342" i="36"/>
  <c r="CC341" i="36"/>
  <c r="CB341" i="36"/>
  <c r="CA341" i="36"/>
  <c r="BZ341" i="36"/>
  <c r="BY341" i="36"/>
  <c r="BX341" i="36"/>
  <c r="BW341" i="36"/>
  <c r="BV341" i="36"/>
  <c r="BU341" i="36"/>
  <c r="D335" i="39" s="1"/>
  <c r="BT341" i="36"/>
  <c r="CE340" i="36"/>
  <c r="BF341" i="36"/>
  <c r="BE341" i="36"/>
  <c r="BD341" i="36"/>
  <c r="BC341" i="36"/>
  <c r="CC340" i="36"/>
  <c r="CB340" i="36"/>
  <c r="CA340" i="36"/>
  <c r="BZ340" i="36"/>
  <c r="BY340" i="36"/>
  <c r="BX340" i="36"/>
  <c r="BW340" i="36"/>
  <c r="BV340" i="36"/>
  <c r="BU340" i="36"/>
  <c r="D334" i="39" s="1"/>
  <c r="BT340" i="36"/>
  <c r="CF340" i="36"/>
  <c r="CE339" i="36"/>
  <c r="BF340" i="36"/>
  <c r="BE340" i="36"/>
  <c r="BD340" i="36"/>
  <c r="BC340" i="36"/>
  <c r="CC339" i="36"/>
  <c r="CB339" i="36"/>
  <c r="CA339" i="36"/>
  <c r="BZ339" i="36"/>
  <c r="BY339" i="36"/>
  <c r="BX339" i="36"/>
  <c r="BW339" i="36"/>
  <c r="BV339" i="36"/>
  <c r="BU339" i="36"/>
  <c r="D333" i="39" s="1"/>
  <c r="BT339" i="36"/>
  <c r="CF339" i="36"/>
  <c r="CF338" i="36"/>
  <c r="CE338" i="36"/>
  <c r="BF339" i="36"/>
  <c r="BE339" i="36"/>
  <c r="BD339" i="36"/>
  <c r="BC339" i="36"/>
  <c r="CC338" i="36"/>
  <c r="CB338" i="36"/>
  <c r="CA338" i="36"/>
  <c r="BZ338" i="36"/>
  <c r="BY338" i="36"/>
  <c r="BX338" i="36"/>
  <c r="BW338" i="36"/>
  <c r="BV338" i="36"/>
  <c r="BU338" i="36"/>
  <c r="D332" i="39" s="1"/>
  <c r="BT338" i="36"/>
  <c r="CF337" i="36"/>
  <c r="CE337" i="36"/>
  <c r="BF338" i="36"/>
  <c r="BE338" i="36"/>
  <c r="BD338" i="36"/>
  <c r="BC338" i="36"/>
  <c r="CC337" i="36"/>
  <c r="CB337" i="36"/>
  <c r="CA337" i="36"/>
  <c r="BZ337" i="36"/>
  <c r="BY337" i="36"/>
  <c r="BX337" i="36"/>
  <c r="BW337" i="36"/>
  <c r="BV337" i="36"/>
  <c r="BU337" i="36"/>
  <c r="D331" i="39" s="1"/>
  <c r="BT337" i="36"/>
  <c r="CE336" i="36"/>
  <c r="BF337" i="36"/>
  <c r="BE337" i="36"/>
  <c r="BD337" i="36"/>
  <c r="BC337" i="36"/>
  <c r="CC336" i="36"/>
  <c r="CB336" i="36"/>
  <c r="CA336" i="36"/>
  <c r="BY336" i="36"/>
  <c r="BX336" i="36"/>
  <c r="BW336" i="36"/>
  <c r="BV336" i="36"/>
  <c r="BU336" i="36"/>
  <c r="D330" i="39" s="1"/>
  <c r="BT336" i="36"/>
  <c r="CF336" i="36"/>
  <c r="BZ336" i="36"/>
  <c r="CE335" i="36"/>
  <c r="BF336" i="36"/>
  <c r="BE336" i="36"/>
  <c r="BD336" i="36"/>
  <c r="BC336" i="36"/>
  <c r="CC335" i="36"/>
  <c r="CB335" i="36"/>
  <c r="BZ335" i="36"/>
  <c r="BY335" i="36"/>
  <c r="BX335" i="36"/>
  <c r="BW335" i="36"/>
  <c r="BV335" i="36"/>
  <c r="BU335" i="36"/>
  <c r="D329" i="39" s="1"/>
  <c r="BT335" i="36"/>
  <c r="CF335" i="36"/>
  <c r="CA335" i="36"/>
  <c r="CF334" i="36"/>
  <c r="CE334" i="36"/>
  <c r="BF335" i="36"/>
  <c r="BE335" i="36"/>
  <c r="BD335" i="36"/>
  <c r="BC335" i="36"/>
  <c r="CC334" i="36"/>
  <c r="CB334" i="36"/>
  <c r="CA334" i="36"/>
  <c r="BZ334" i="36"/>
  <c r="BY334" i="36"/>
  <c r="BX334" i="36"/>
  <c r="BW334" i="36"/>
  <c r="BV334" i="36"/>
  <c r="BU334" i="36"/>
  <c r="BT334" i="36"/>
  <c r="CF333" i="36"/>
  <c r="CE333" i="36"/>
  <c r="BF334" i="36"/>
  <c r="BE334" i="36"/>
  <c r="BD334" i="36"/>
  <c r="BC334" i="36"/>
  <c r="CC333" i="36"/>
  <c r="CB333" i="36"/>
  <c r="CA333" i="36"/>
  <c r="BX333" i="36"/>
  <c r="BW333" i="36"/>
  <c r="BV333" i="36"/>
  <c r="BU333" i="36"/>
  <c r="D327" i="39" s="1"/>
  <c r="BT333" i="36"/>
  <c r="BZ333" i="36"/>
  <c r="BY333" i="36"/>
  <c r="CE332" i="36"/>
  <c r="BF333" i="36"/>
  <c r="BE333" i="36"/>
  <c r="BD333" i="36"/>
  <c r="BC333" i="36"/>
  <c r="CC332" i="36"/>
  <c r="CB332" i="36"/>
  <c r="CA332" i="36"/>
  <c r="BZ332" i="36"/>
  <c r="BY332" i="36"/>
  <c r="BX332" i="36"/>
  <c r="BW332" i="36"/>
  <c r="BV332" i="36"/>
  <c r="BU332" i="36"/>
  <c r="D326" i="39" s="1"/>
  <c r="BT332" i="36"/>
  <c r="CF332" i="36"/>
  <c r="CF331" i="36"/>
  <c r="CE331" i="36"/>
  <c r="BF332" i="36"/>
  <c r="BE332" i="36"/>
  <c r="BD332" i="36"/>
  <c r="BC332" i="36"/>
  <c r="CC331" i="36"/>
  <c r="CB331" i="36"/>
  <c r="CA331" i="36"/>
  <c r="BZ331" i="36"/>
  <c r="BX331" i="36"/>
  <c r="BW331" i="36"/>
  <c r="BV331" i="36"/>
  <c r="BU331" i="36"/>
  <c r="BT331" i="36"/>
  <c r="BY331" i="36"/>
  <c r="CF330" i="36"/>
  <c r="BF331" i="36"/>
  <c r="BE331" i="36"/>
  <c r="BD331" i="36"/>
  <c r="BC331" i="36"/>
  <c r="CC330" i="36"/>
  <c r="CB330" i="36"/>
  <c r="CA330" i="36"/>
  <c r="BZ330" i="36"/>
  <c r="BY330" i="36"/>
  <c r="BX330" i="36"/>
  <c r="BW330" i="36"/>
  <c r="BV330" i="36"/>
  <c r="BU330" i="36"/>
  <c r="BT330" i="36"/>
  <c r="CE330" i="36"/>
  <c r="CF329" i="36"/>
  <c r="CE329" i="36"/>
  <c r="BF330" i="36"/>
  <c r="BE330" i="36"/>
  <c r="BD330" i="36"/>
  <c r="BC330" i="36"/>
  <c r="CC329" i="36"/>
  <c r="CB329" i="36"/>
  <c r="CA329" i="36"/>
  <c r="BZ329" i="36"/>
  <c r="BY329" i="36"/>
  <c r="BX329" i="36"/>
  <c r="BW329" i="36"/>
  <c r="BV329" i="36"/>
  <c r="BU329" i="36"/>
  <c r="D323" i="39" s="1"/>
  <c r="BT329" i="36"/>
  <c r="BF329" i="36"/>
  <c r="BE329" i="36"/>
  <c r="BD329" i="36"/>
  <c r="BC329" i="36"/>
  <c r="CC328" i="36"/>
  <c r="CB328" i="36"/>
  <c r="CA328" i="36"/>
  <c r="BZ328" i="36"/>
  <c r="BY328" i="36"/>
  <c r="BX328" i="36"/>
  <c r="BW328" i="36"/>
  <c r="BV328" i="36"/>
  <c r="BU328" i="36"/>
  <c r="D322" i="39" s="1"/>
  <c r="BT328" i="36"/>
  <c r="CF328" i="36"/>
  <c r="CE328" i="36"/>
  <c r="BF328" i="36"/>
  <c r="BE328" i="36"/>
  <c r="BD328" i="36"/>
  <c r="BC328" i="36"/>
  <c r="CC327" i="36"/>
  <c r="CB327" i="36"/>
  <c r="CA327" i="36"/>
  <c r="BZ327" i="36"/>
  <c r="BY327" i="36"/>
  <c r="BX327" i="36"/>
  <c r="BW327" i="36"/>
  <c r="BV327" i="36"/>
  <c r="BU327" i="36"/>
  <c r="BT327" i="36"/>
  <c r="CF327" i="36"/>
  <c r="CE327" i="36"/>
  <c r="CF326" i="36"/>
  <c r="CE326" i="36"/>
  <c r="BF327" i="36"/>
  <c r="BE327" i="36"/>
  <c r="BD327" i="36"/>
  <c r="BC327" i="36"/>
  <c r="CC326" i="36"/>
  <c r="CB326" i="36"/>
  <c r="CA326" i="36"/>
  <c r="BZ326" i="36"/>
  <c r="BY326" i="36"/>
  <c r="BX326" i="36"/>
  <c r="BW326" i="36"/>
  <c r="BV326" i="36"/>
  <c r="BU326" i="36"/>
  <c r="D320" i="39" s="1"/>
  <c r="BT326" i="36"/>
  <c r="CF325" i="36"/>
  <c r="CE325" i="36"/>
  <c r="BF326" i="36"/>
  <c r="BE326" i="36"/>
  <c r="BD326" i="36"/>
  <c r="BC326" i="36"/>
  <c r="CC325" i="36"/>
  <c r="CB325" i="36"/>
  <c r="CA325" i="36"/>
  <c r="BZ325" i="36"/>
  <c r="BY325" i="36"/>
  <c r="BX325" i="36"/>
  <c r="BW325" i="36"/>
  <c r="BV325" i="36"/>
  <c r="BU325" i="36"/>
  <c r="D319" i="39" s="1"/>
  <c r="BT325" i="36"/>
  <c r="CF324" i="36"/>
  <c r="CE324" i="36"/>
  <c r="BF325" i="36"/>
  <c r="BE325" i="36"/>
  <c r="BD325" i="36"/>
  <c r="BC325" i="36"/>
  <c r="BG325" i="36" s="1"/>
  <c r="CD324" i="36" s="1"/>
  <c r="CC324" i="36"/>
  <c r="CB324" i="36"/>
  <c r="CA324" i="36"/>
  <c r="BZ324" i="36"/>
  <c r="BY324" i="36"/>
  <c r="BX324" i="36"/>
  <c r="BW324" i="36"/>
  <c r="BV324" i="36"/>
  <c r="BU324" i="36"/>
  <c r="D318" i="39" s="1"/>
  <c r="BT324" i="36"/>
  <c r="CF323" i="36"/>
  <c r="BF324" i="36"/>
  <c r="BE324" i="36"/>
  <c r="BD324" i="36"/>
  <c r="BC324" i="36"/>
  <c r="CB323" i="36"/>
  <c r="BZ323" i="36"/>
  <c r="BY323" i="36"/>
  <c r="BX323" i="36"/>
  <c r="BW323" i="36"/>
  <c r="BV323" i="36"/>
  <c r="BU323" i="36"/>
  <c r="D317" i="39" s="1"/>
  <c r="BT323" i="36"/>
  <c r="CE323" i="36"/>
  <c r="CC323" i="36"/>
  <c r="CA323" i="36"/>
  <c r="CF322" i="36"/>
  <c r="BF323" i="36"/>
  <c r="BE323" i="36"/>
  <c r="BD323" i="36"/>
  <c r="BC323" i="36"/>
  <c r="BG323" i="36" s="1"/>
  <c r="CC322" i="36"/>
  <c r="CB322" i="36"/>
  <c r="CA322" i="36"/>
  <c r="BZ322" i="36"/>
  <c r="BY322" i="36"/>
  <c r="BX322" i="36"/>
  <c r="BW322" i="36"/>
  <c r="BV322" i="36"/>
  <c r="CE322" i="36"/>
  <c r="CD322" i="36"/>
  <c r="BU322" i="36"/>
  <c r="D316" i="39" s="1"/>
  <c r="BT322" i="36"/>
  <c r="CE321" i="36"/>
  <c r="BF322" i="36"/>
  <c r="BE322" i="36"/>
  <c r="BD322" i="36"/>
  <c r="BC322" i="36"/>
  <c r="CC321" i="36"/>
  <c r="CB321" i="36"/>
  <c r="CA321" i="36"/>
  <c r="BZ321" i="36"/>
  <c r="BY321" i="36"/>
  <c r="BX321" i="36"/>
  <c r="BW321" i="36"/>
  <c r="BV321" i="36"/>
  <c r="BU321" i="36"/>
  <c r="D315" i="39" s="1"/>
  <c r="BT321" i="36"/>
  <c r="CF321" i="36"/>
  <c r="CE320" i="36"/>
  <c r="BF321" i="36"/>
  <c r="BE321" i="36"/>
  <c r="BD321" i="36"/>
  <c r="BC321" i="36"/>
  <c r="CC320" i="36"/>
  <c r="CB320" i="36"/>
  <c r="CA320" i="36"/>
  <c r="BZ320" i="36"/>
  <c r="BY320" i="36"/>
  <c r="BX320" i="36"/>
  <c r="BW320" i="36"/>
  <c r="BV320" i="36"/>
  <c r="BU320" i="36"/>
  <c r="D314" i="39" s="1"/>
  <c r="BT320" i="36"/>
  <c r="CF320" i="36"/>
  <c r="CF319" i="36"/>
  <c r="BF320" i="36"/>
  <c r="BE320" i="36"/>
  <c r="BD320" i="36"/>
  <c r="BC320" i="36"/>
  <c r="BG320" i="36" s="1"/>
  <c r="CD319" i="36" s="1"/>
  <c r="CC319" i="36"/>
  <c r="CB319" i="36"/>
  <c r="CA319" i="36"/>
  <c r="BZ319" i="36"/>
  <c r="BY319" i="36"/>
  <c r="BX319" i="36"/>
  <c r="BW319" i="36"/>
  <c r="BV319" i="36"/>
  <c r="BU319" i="36"/>
  <c r="BT319" i="36"/>
  <c r="CE319" i="36"/>
  <c r="CF318" i="36"/>
  <c r="CE318" i="36"/>
  <c r="BF319" i="36"/>
  <c r="BE319" i="36"/>
  <c r="BD319" i="36"/>
  <c r="BC319" i="36"/>
  <c r="CC318" i="36"/>
  <c r="CB318" i="36"/>
  <c r="BZ318" i="36"/>
  <c r="BY318" i="36"/>
  <c r="BX318" i="36"/>
  <c r="BW318" i="36"/>
  <c r="BU318" i="36"/>
  <c r="D312" i="39" s="1"/>
  <c r="BT318" i="36"/>
  <c r="CA318" i="36"/>
  <c r="BV318" i="36"/>
  <c r="CF317" i="36"/>
  <c r="BF318" i="36"/>
  <c r="BE318" i="36"/>
  <c r="BD318" i="36"/>
  <c r="BC318" i="36"/>
  <c r="CC317" i="36"/>
  <c r="CB317" i="36"/>
  <c r="BZ317" i="36"/>
  <c r="BY317" i="36"/>
  <c r="BX317" i="36"/>
  <c r="BW317" i="36"/>
  <c r="BV317" i="36"/>
  <c r="BU317" i="36"/>
  <c r="D311" i="39" s="1"/>
  <c r="BT317" i="36"/>
  <c r="CE317" i="36"/>
  <c r="CA317" i="36"/>
  <c r="CF316" i="36"/>
  <c r="BF317" i="36"/>
  <c r="BE317" i="36"/>
  <c r="BD317" i="36"/>
  <c r="BC317" i="36"/>
  <c r="CC316" i="36"/>
  <c r="CB316" i="36"/>
  <c r="CA316" i="36"/>
  <c r="BZ316" i="36"/>
  <c r="BY316" i="36"/>
  <c r="BX316" i="36"/>
  <c r="BV316" i="36"/>
  <c r="BU316" i="36"/>
  <c r="D310" i="39" s="1"/>
  <c r="BT316" i="36"/>
  <c r="CE316" i="36"/>
  <c r="BW316" i="36"/>
  <c r="CF315" i="36"/>
  <c r="CE315" i="36"/>
  <c r="BF316" i="36"/>
  <c r="BE316" i="36"/>
  <c r="BD316" i="36"/>
  <c r="BC316" i="36"/>
  <c r="CC315" i="36"/>
  <c r="CB315" i="36"/>
  <c r="BZ315" i="36"/>
  <c r="BY315" i="36"/>
  <c r="BX315" i="36"/>
  <c r="BW315" i="36"/>
  <c r="BV315" i="36"/>
  <c r="BU315" i="36"/>
  <c r="D309" i="39" s="1"/>
  <c r="BT315" i="36"/>
  <c r="CA315" i="36"/>
  <c r="CF314" i="36"/>
  <c r="CE314" i="36"/>
  <c r="BF315" i="36"/>
  <c r="BE315" i="36"/>
  <c r="BD315" i="36"/>
  <c r="BC315" i="36"/>
  <c r="CC314" i="36"/>
  <c r="CB314" i="36"/>
  <c r="CA314" i="36"/>
  <c r="BZ314" i="36"/>
  <c r="BX314" i="36"/>
  <c r="BW314" i="36"/>
  <c r="BV314" i="36"/>
  <c r="BU314" i="36"/>
  <c r="D308" i="39" s="1"/>
  <c r="BT314" i="36"/>
  <c r="BY314" i="36"/>
  <c r="CE313" i="36"/>
  <c r="BF314" i="36"/>
  <c r="BE314" i="36"/>
  <c r="BD314" i="36"/>
  <c r="BC314" i="36"/>
  <c r="CC313" i="36"/>
  <c r="CB313" i="36"/>
  <c r="CA313" i="36"/>
  <c r="BW313" i="36"/>
  <c r="BV313" i="36"/>
  <c r="BU313" i="36"/>
  <c r="D307" i="39" s="1"/>
  <c r="BT313" i="36"/>
  <c r="CF313" i="36"/>
  <c r="BZ313" i="36"/>
  <c r="BY313" i="36"/>
  <c r="BX313" i="36"/>
  <c r="CF312" i="36"/>
  <c r="BF313" i="36"/>
  <c r="BE313" i="36"/>
  <c r="BD313" i="36"/>
  <c r="BC313" i="36"/>
  <c r="CC312" i="36"/>
  <c r="CB312" i="36"/>
  <c r="CA312" i="36"/>
  <c r="BZ312" i="36"/>
  <c r="BY312" i="36"/>
  <c r="BX312" i="36"/>
  <c r="BW312" i="36"/>
  <c r="BV312" i="36"/>
  <c r="BU312" i="36"/>
  <c r="D306" i="39" s="1"/>
  <c r="BT312" i="36"/>
  <c r="CE312" i="36"/>
  <c r="CF311" i="36"/>
  <c r="CE311" i="36"/>
  <c r="BF312" i="36"/>
  <c r="BE312" i="36"/>
  <c r="BD312" i="36"/>
  <c r="BC312" i="36"/>
  <c r="CC311" i="36"/>
  <c r="CB311" i="36"/>
  <c r="CA311" i="36"/>
  <c r="BZ311" i="36"/>
  <c r="BY311" i="36"/>
  <c r="BX311" i="36"/>
  <c r="BW311" i="36"/>
  <c r="BV311" i="36"/>
  <c r="BU311" i="36"/>
  <c r="D305" i="39" s="1"/>
  <c r="BT311" i="36"/>
  <c r="CF310" i="36"/>
  <c r="CE310" i="36"/>
  <c r="BF311" i="36"/>
  <c r="BE311" i="36"/>
  <c r="BD311" i="36"/>
  <c r="BC311" i="36"/>
  <c r="CC310" i="36"/>
  <c r="CB310" i="36"/>
  <c r="CA310" i="36"/>
  <c r="BZ310" i="36"/>
  <c r="BY310" i="36"/>
  <c r="BX310" i="36"/>
  <c r="BW310" i="36"/>
  <c r="BV310" i="36"/>
  <c r="BU310" i="36"/>
  <c r="D304" i="39" s="1"/>
  <c r="BT310" i="36"/>
  <c r="CE309" i="36"/>
  <c r="BF310" i="36"/>
  <c r="BE310" i="36"/>
  <c r="BD310" i="36"/>
  <c r="BC310" i="36"/>
  <c r="CC309" i="36"/>
  <c r="CB309" i="36"/>
  <c r="CA309" i="36"/>
  <c r="BX309" i="36"/>
  <c r="BW309" i="36"/>
  <c r="BV309" i="36"/>
  <c r="BU309" i="36"/>
  <c r="BT309" i="36"/>
  <c r="CF309" i="36"/>
  <c r="BZ309" i="36"/>
  <c r="BY309" i="36"/>
  <c r="CF308" i="36"/>
  <c r="BF309" i="36"/>
  <c r="BE309" i="36"/>
  <c r="BD309" i="36"/>
  <c r="BC309" i="36"/>
  <c r="CB308" i="36"/>
  <c r="CA308" i="36"/>
  <c r="BZ308" i="36"/>
  <c r="BY308" i="36"/>
  <c r="BX308" i="36"/>
  <c r="BW308" i="36"/>
  <c r="BV308" i="36"/>
  <c r="BU308" i="36"/>
  <c r="D302" i="39" s="1"/>
  <c r="BT308" i="36"/>
  <c r="CE308" i="36"/>
  <c r="CC308" i="36"/>
  <c r="CF307" i="36"/>
  <c r="CE307" i="36"/>
  <c r="BF308" i="36"/>
  <c r="BE308" i="36"/>
  <c r="BD308" i="36"/>
  <c r="BC308" i="36"/>
  <c r="CC307" i="36"/>
  <c r="CB307" i="36"/>
  <c r="CA307" i="36"/>
  <c r="BZ307" i="36"/>
  <c r="BY307" i="36"/>
  <c r="BX307" i="36"/>
  <c r="BW307" i="36"/>
  <c r="BV307" i="36"/>
  <c r="BU307" i="36"/>
  <c r="D301" i="39" s="1"/>
  <c r="BT307" i="36"/>
  <c r="CE306" i="36"/>
  <c r="BF307" i="36"/>
  <c r="BE307" i="36"/>
  <c r="BD307" i="36"/>
  <c r="BC307" i="36"/>
  <c r="CC306" i="36"/>
  <c r="CB306" i="36"/>
  <c r="CA306" i="36"/>
  <c r="BZ306" i="36"/>
  <c r="BY306" i="36"/>
  <c r="BX306" i="36"/>
  <c r="BW306" i="36"/>
  <c r="BV306" i="36"/>
  <c r="BU306" i="36"/>
  <c r="D300" i="39" s="1"/>
  <c r="BT306" i="36"/>
  <c r="CF306" i="36"/>
  <c r="CF305" i="36"/>
  <c r="BF306" i="36"/>
  <c r="BE306" i="36"/>
  <c r="BD306" i="36"/>
  <c r="BC306" i="36"/>
  <c r="CC305" i="36"/>
  <c r="CB305" i="36"/>
  <c r="CA305" i="36"/>
  <c r="BZ305" i="36"/>
  <c r="BY305" i="36"/>
  <c r="BX305" i="36"/>
  <c r="BW305" i="36"/>
  <c r="BV305" i="36"/>
  <c r="BU305" i="36"/>
  <c r="BT305" i="36"/>
  <c r="CE305" i="36"/>
  <c r="CE304" i="36"/>
  <c r="BF305" i="36"/>
  <c r="BE305" i="36"/>
  <c r="BD305" i="36"/>
  <c r="BC305" i="36"/>
  <c r="BG305" i="36" s="1"/>
  <c r="CB304" i="36"/>
  <c r="CA304" i="36"/>
  <c r="BZ304" i="36"/>
  <c r="BY304" i="36"/>
  <c r="BX304" i="36"/>
  <c r="BW304" i="36"/>
  <c r="BV304" i="36"/>
  <c r="BU304" i="36"/>
  <c r="D298" i="39" s="1"/>
  <c r="BT304" i="36"/>
  <c r="CF304" i="36"/>
  <c r="CC304" i="36"/>
  <c r="CF303" i="36"/>
  <c r="CE303" i="36"/>
  <c r="BF304" i="36"/>
  <c r="BE304" i="36"/>
  <c r="BD304" i="36"/>
  <c r="BC304" i="36"/>
  <c r="BG304" i="36" s="1"/>
  <c r="CC303" i="36"/>
  <c r="CB303" i="36"/>
  <c r="CA303" i="36"/>
  <c r="BZ303" i="36"/>
  <c r="BY303" i="36"/>
  <c r="BX303" i="36"/>
  <c r="BW303" i="36"/>
  <c r="BV303" i="36"/>
  <c r="BU303" i="36"/>
  <c r="D297" i="39" s="1"/>
  <c r="BT303" i="36"/>
  <c r="CE302" i="36"/>
  <c r="BF303" i="36"/>
  <c r="BE303" i="36"/>
  <c r="BD303" i="36"/>
  <c r="BC303" i="36"/>
  <c r="BG303" i="36" s="1"/>
  <c r="CC302" i="36"/>
  <c r="CB302" i="36"/>
  <c r="CA302" i="36"/>
  <c r="BZ302" i="36"/>
  <c r="BW302" i="36"/>
  <c r="BV302" i="36"/>
  <c r="BU302" i="36"/>
  <c r="D296" i="39" s="1"/>
  <c r="BT302" i="36"/>
  <c r="CF302" i="36"/>
  <c r="BY302" i="36"/>
  <c r="BX302" i="36"/>
  <c r="CE301" i="36"/>
  <c r="BF302" i="36"/>
  <c r="BE302" i="36"/>
  <c r="BD302" i="36"/>
  <c r="BC302" i="36"/>
  <c r="BG302" i="36" s="1"/>
  <c r="CC301" i="36"/>
  <c r="CB301" i="36"/>
  <c r="CA301" i="36"/>
  <c r="BZ301" i="36"/>
  <c r="BY301" i="36"/>
  <c r="BX301" i="36"/>
  <c r="BW301" i="36"/>
  <c r="BV301" i="36"/>
  <c r="BU301" i="36"/>
  <c r="D295" i="39" s="1"/>
  <c r="BT301" i="36"/>
  <c r="CF301" i="36"/>
  <c r="CF300" i="36"/>
  <c r="CE300" i="36"/>
  <c r="BF301" i="36"/>
  <c r="BE301" i="36"/>
  <c r="BD301" i="36"/>
  <c r="BC301" i="36"/>
  <c r="CB300" i="36"/>
  <c r="CA300" i="36"/>
  <c r="BZ300" i="36"/>
  <c r="BY300" i="36"/>
  <c r="BW300" i="36"/>
  <c r="BV300" i="36"/>
  <c r="BU300" i="36"/>
  <c r="D294" i="39" s="1"/>
  <c r="BT300" i="36"/>
  <c r="CC300" i="36"/>
  <c r="BX300" i="36"/>
  <c r="CF299" i="36"/>
  <c r="CE299" i="36"/>
  <c r="BF300" i="36"/>
  <c r="BE300" i="36"/>
  <c r="BD300" i="36"/>
  <c r="BC300" i="36"/>
  <c r="BG300" i="36" s="1"/>
  <c r="CC299" i="36"/>
  <c r="CB299" i="36"/>
  <c r="CA299" i="36"/>
  <c r="BZ299" i="36"/>
  <c r="BY299" i="36"/>
  <c r="BX299" i="36"/>
  <c r="BW299" i="36"/>
  <c r="BV299" i="36"/>
  <c r="BU299" i="36"/>
  <c r="D293" i="39" s="1"/>
  <c r="BT299" i="36"/>
  <c r="CF298" i="36"/>
  <c r="CE298" i="36"/>
  <c r="BF299" i="36"/>
  <c r="BE299" i="36"/>
  <c r="BD299" i="36"/>
  <c r="BC299" i="36"/>
  <c r="BG299" i="36" s="1"/>
  <c r="CC298" i="36"/>
  <c r="CB298" i="36"/>
  <c r="CA298" i="36"/>
  <c r="BZ298" i="36"/>
  <c r="BY298" i="36"/>
  <c r="BX298" i="36"/>
  <c r="BW298" i="36"/>
  <c r="BV298" i="36"/>
  <c r="BU298" i="36"/>
  <c r="D292" i="39" s="1"/>
  <c r="BT298" i="36"/>
  <c r="CF297" i="36"/>
  <c r="CE297" i="36"/>
  <c r="BF298" i="36"/>
  <c r="BE298" i="36"/>
  <c r="BD298" i="36"/>
  <c r="BC298" i="36"/>
  <c r="BG298" i="36" s="1"/>
  <c r="CC297" i="36"/>
  <c r="CB297" i="36"/>
  <c r="CA297" i="36"/>
  <c r="BZ297" i="36"/>
  <c r="BY297" i="36"/>
  <c r="BX297" i="36"/>
  <c r="BV297" i="36"/>
  <c r="BU297" i="36"/>
  <c r="D291" i="39" s="1"/>
  <c r="BT297" i="36"/>
  <c r="BW297" i="36"/>
  <c r="CF296" i="36"/>
  <c r="BF297" i="36"/>
  <c r="BE297" i="36"/>
  <c r="BD297" i="36"/>
  <c r="BC297" i="36"/>
  <c r="BG297" i="36" s="1"/>
  <c r="CC296" i="36"/>
  <c r="CB296" i="36"/>
  <c r="CA296" i="36"/>
  <c r="BZ296" i="36"/>
  <c r="BY296" i="36"/>
  <c r="BX296" i="36"/>
  <c r="BW296" i="36"/>
  <c r="BV296" i="36"/>
  <c r="BU296" i="36"/>
  <c r="D290" i="39" s="1"/>
  <c r="BT296" i="36"/>
  <c r="CE296" i="36"/>
  <c r="CF295" i="36"/>
  <c r="BF296" i="36"/>
  <c r="BE296" i="36"/>
  <c r="BD296" i="36"/>
  <c r="BC296" i="36"/>
  <c r="BG296" i="36" s="1"/>
  <c r="CC295" i="36"/>
  <c r="CB295" i="36"/>
  <c r="BZ295" i="36"/>
  <c r="BY295" i="36"/>
  <c r="BX295" i="36"/>
  <c r="BW295" i="36"/>
  <c r="BV295" i="36"/>
  <c r="BU295" i="36"/>
  <c r="D289" i="39" s="1"/>
  <c r="BT295" i="36"/>
  <c r="CE295" i="36"/>
  <c r="CD295" i="36"/>
  <c r="CA295" i="36"/>
  <c r="CE294" i="36"/>
  <c r="BF295" i="36"/>
  <c r="BE295" i="36"/>
  <c r="BD295" i="36"/>
  <c r="BC295" i="36"/>
  <c r="BG295" i="36" s="1"/>
  <c r="CC294" i="36"/>
  <c r="CB294" i="36"/>
  <c r="CA294" i="36"/>
  <c r="BZ294" i="36"/>
  <c r="BX294" i="36"/>
  <c r="BW294" i="36"/>
  <c r="BV294" i="36"/>
  <c r="BU294" i="36"/>
  <c r="D288" i="39" s="1"/>
  <c r="BT294" i="36"/>
  <c r="CF294" i="36"/>
  <c r="BY294" i="36"/>
  <c r="CF293" i="36"/>
  <c r="CE293" i="36"/>
  <c r="BF294" i="36"/>
  <c r="BE294" i="36"/>
  <c r="BD294" i="36"/>
  <c r="BC294" i="36"/>
  <c r="BG294" i="36" s="1"/>
  <c r="CD293" i="36" s="1"/>
  <c r="CC293" i="36"/>
  <c r="CB293" i="36"/>
  <c r="CA293" i="36"/>
  <c r="BZ293" i="36"/>
  <c r="BY293" i="36"/>
  <c r="BX293" i="36"/>
  <c r="BV293" i="36"/>
  <c r="BU293" i="36"/>
  <c r="D287" i="39" s="1"/>
  <c r="BT293" i="36"/>
  <c r="BW293" i="36"/>
  <c r="CE292" i="36"/>
  <c r="BF293" i="36"/>
  <c r="BE293" i="36"/>
  <c r="BD293" i="36"/>
  <c r="BC293" i="36"/>
  <c r="BG293" i="36" s="1"/>
  <c r="CC292" i="36"/>
  <c r="CB292" i="36"/>
  <c r="CA292" i="36"/>
  <c r="BZ292" i="36"/>
  <c r="BX292" i="36"/>
  <c r="BW292" i="36"/>
  <c r="BV292" i="36"/>
  <c r="BU292" i="36"/>
  <c r="D286" i="39" s="1"/>
  <c r="BT292" i="36"/>
  <c r="CF292" i="36"/>
  <c r="BY292" i="36"/>
  <c r="CF291" i="36"/>
  <c r="CE291" i="36"/>
  <c r="BF292" i="36"/>
  <c r="BE292" i="36"/>
  <c r="BD292" i="36"/>
  <c r="BC292" i="36"/>
  <c r="CC291" i="36"/>
  <c r="CB291" i="36"/>
  <c r="CA291" i="36"/>
  <c r="BZ291" i="36"/>
  <c r="BY291" i="36"/>
  <c r="BX291" i="36"/>
  <c r="BW291" i="36"/>
  <c r="BV291" i="36"/>
  <c r="BU291" i="36"/>
  <c r="D285" i="39" s="1"/>
  <c r="BT291" i="36"/>
  <c r="CF290" i="36"/>
  <c r="CE290" i="36"/>
  <c r="BF291" i="36"/>
  <c r="BE291" i="36"/>
  <c r="BD291" i="36"/>
  <c r="BC291" i="36"/>
  <c r="BG291" i="36" s="1"/>
  <c r="CC290" i="36"/>
  <c r="CB290" i="36"/>
  <c r="CA290" i="36"/>
  <c r="BZ290" i="36"/>
  <c r="BY290" i="36"/>
  <c r="BX290" i="36"/>
  <c r="BW290" i="36"/>
  <c r="BV290" i="36"/>
  <c r="BU290" i="36"/>
  <c r="D284" i="39" s="1"/>
  <c r="BT290" i="36"/>
  <c r="CE289" i="36"/>
  <c r="BF290" i="36"/>
  <c r="BE290" i="36"/>
  <c r="BD290" i="36"/>
  <c r="BC290" i="36"/>
  <c r="BG290" i="36" s="1"/>
  <c r="CC289" i="36"/>
  <c r="CB289" i="36"/>
  <c r="CA289" i="36"/>
  <c r="BY289" i="36"/>
  <c r="BX289" i="36"/>
  <c r="BW289" i="36"/>
  <c r="BV289" i="36"/>
  <c r="BU289" i="36"/>
  <c r="BT289" i="36"/>
  <c r="CF289" i="36"/>
  <c r="BZ289" i="36"/>
  <c r="CF288" i="36"/>
  <c r="CE288" i="36"/>
  <c r="BF289" i="36"/>
  <c r="BE289" i="36"/>
  <c r="BD289" i="36"/>
  <c r="BC289" i="36"/>
  <c r="BG289" i="36" s="1"/>
  <c r="CC288" i="36"/>
  <c r="CB288" i="36"/>
  <c r="CA288" i="36"/>
  <c r="BZ288" i="36"/>
  <c r="BY288" i="36"/>
  <c r="BX288" i="36"/>
  <c r="BW288" i="36"/>
  <c r="BV288" i="36"/>
  <c r="BU288" i="36"/>
  <c r="D282" i="39" s="1"/>
  <c r="BT288" i="36"/>
  <c r="CF287" i="36"/>
  <c r="CE287" i="36"/>
  <c r="BF288" i="36"/>
  <c r="BE288" i="36"/>
  <c r="BD288" i="36"/>
  <c r="BC288" i="36"/>
  <c r="BG288" i="36" s="1"/>
  <c r="CC287" i="36"/>
  <c r="CB287" i="36"/>
  <c r="CA287" i="36"/>
  <c r="BZ287" i="36"/>
  <c r="BY287" i="36"/>
  <c r="BX287" i="36"/>
  <c r="BW287" i="36"/>
  <c r="BV287" i="36"/>
  <c r="BU287" i="36"/>
  <c r="D281" i="39" s="1"/>
  <c r="BT287" i="36"/>
  <c r="CF286" i="36"/>
  <c r="CE286" i="36"/>
  <c r="BF287" i="36"/>
  <c r="BE287" i="36"/>
  <c r="BD287" i="36"/>
  <c r="BC287" i="36"/>
  <c r="BG287" i="36" s="1"/>
  <c r="CB286" i="36"/>
  <c r="CA286" i="36"/>
  <c r="BZ286" i="36"/>
  <c r="BY286" i="36"/>
  <c r="BX286" i="36"/>
  <c r="BW286" i="36"/>
  <c r="BV286" i="36"/>
  <c r="BU286" i="36"/>
  <c r="D280" i="39" s="1"/>
  <c r="BT286" i="36"/>
  <c r="CC286" i="36"/>
  <c r="CE285" i="36"/>
  <c r="BF286" i="36"/>
  <c r="BE286" i="36"/>
  <c r="BD286" i="36"/>
  <c r="BC286" i="36"/>
  <c r="BG286" i="36" s="1"/>
  <c r="CC285" i="36"/>
  <c r="CB285" i="36"/>
  <c r="CA285" i="36"/>
  <c r="BZ285" i="36"/>
  <c r="BY285" i="36"/>
  <c r="BX285" i="36"/>
  <c r="BW285" i="36"/>
  <c r="BV285" i="36"/>
  <c r="BU285" i="36"/>
  <c r="D279" i="39" s="1"/>
  <c r="BT285" i="36"/>
  <c r="CF285" i="36"/>
  <c r="CF284" i="36"/>
  <c r="CE284" i="36"/>
  <c r="BF285" i="36"/>
  <c r="BE285" i="36"/>
  <c r="BD285" i="36"/>
  <c r="BC285" i="36"/>
  <c r="CC284" i="36"/>
  <c r="CB284" i="36"/>
  <c r="CA284" i="36"/>
  <c r="BZ284" i="36"/>
  <c r="BY284" i="36"/>
  <c r="BW284" i="36"/>
  <c r="BV284" i="36"/>
  <c r="BU284" i="36"/>
  <c r="D278" i="39" s="1"/>
  <c r="BT284" i="36"/>
  <c r="BX284" i="36"/>
  <c r="CF283" i="36"/>
  <c r="CE283" i="36"/>
  <c r="BF284" i="36"/>
  <c r="BE284" i="36"/>
  <c r="BD284" i="36"/>
  <c r="BC284" i="36"/>
  <c r="BG284" i="36" s="1"/>
  <c r="CC283" i="36"/>
  <c r="CB283" i="36"/>
  <c r="CA283" i="36"/>
  <c r="BZ283" i="36"/>
  <c r="BY283" i="36"/>
  <c r="BX283" i="36"/>
  <c r="BW283" i="36"/>
  <c r="BV283" i="36"/>
  <c r="BU283" i="36"/>
  <c r="D277" i="39" s="1"/>
  <c r="BT283" i="36"/>
  <c r="CF282" i="36"/>
  <c r="CE282" i="36"/>
  <c r="BF283" i="36"/>
  <c r="BE283" i="36"/>
  <c r="BD283" i="36"/>
  <c r="BC283" i="36"/>
  <c r="BG283" i="36" s="1"/>
  <c r="CC282" i="36"/>
  <c r="CB282" i="36"/>
  <c r="CA282" i="36"/>
  <c r="BZ282" i="36"/>
  <c r="BY282" i="36"/>
  <c r="BX282" i="36"/>
  <c r="BW282" i="36"/>
  <c r="BV282" i="36"/>
  <c r="BU282" i="36"/>
  <c r="D276" i="39" s="1"/>
  <c r="BT282" i="36"/>
  <c r="CE281" i="36"/>
  <c r="BF282" i="36"/>
  <c r="BE282" i="36"/>
  <c r="BD282" i="36"/>
  <c r="BC282" i="36"/>
  <c r="BG282" i="36" s="1"/>
  <c r="CC281" i="36"/>
  <c r="CB281" i="36"/>
  <c r="CA281" i="36"/>
  <c r="BZ281" i="36"/>
  <c r="BY281" i="36"/>
  <c r="BX281" i="36"/>
  <c r="BW281" i="36"/>
  <c r="BV281" i="36"/>
  <c r="BU281" i="36"/>
  <c r="D275" i="39" s="1"/>
  <c r="BT281" i="36"/>
  <c r="CF281" i="36"/>
  <c r="CE280" i="36"/>
  <c r="BF281" i="36"/>
  <c r="BE281" i="36"/>
  <c r="BD281" i="36"/>
  <c r="BC281" i="36"/>
  <c r="BG281" i="36" s="1"/>
  <c r="CC280" i="36"/>
  <c r="CB280" i="36"/>
  <c r="CA280" i="36"/>
  <c r="BZ280" i="36"/>
  <c r="BY280" i="36"/>
  <c r="BX280" i="36"/>
  <c r="BW280" i="36"/>
  <c r="BV280" i="36"/>
  <c r="BU280" i="36"/>
  <c r="D274" i="39" s="1"/>
  <c r="BT280" i="36"/>
  <c r="CF280" i="36"/>
  <c r="CF279" i="36"/>
  <c r="CE279" i="36"/>
  <c r="BF280" i="36"/>
  <c r="BE280" i="36"/>
  <c r="BD280" i="36"/>
  <c r="BC280" i="36"/>
  <c r="BG280" i="36" s="1"/>
  <c r="CC279" i="36"/>
  <c r="CB279" i="36"/>
  <c r="BZ279" i="36"/>
  <c r="BY279" i="36"/>
  <c r="BX279" i="36"/>
  <c r="BW279" i="36"/>
  <c r="BV279" i="36"/>
  <c r="BU279" i="36"/>
  <c r="D273" i="39" s="1"/>
  <c r="BT279" i="36"/>
  <c r="CA279" i="36"/>
  <c r="CE278" i="36"/>
  <c r="BF279" i="36"/>
  <c r="BE279" i="36"/>
  <c r="BD279" i="36"/>
  <c r="BC279" i="36"/>
  <c r="BG279" i="36" s="1"/>
  <c r="CC278" i="36"/>
  <c r="CB278" i="36"/>
  <c r="CA278" i="36"/>
  <c r="BZ278" i="36"/>
  <c r="BY278" i="36"/>
  <c r="BX278" i="36"/>
  <c r="BW278" i="36"/>
  <c r="BV278" i="36"/>
  <c r="BU278" i="36"/>
  <c r="D272" i="39" s="1"/>
  <c r="BT278" i="36"/>
  <c r="CF278" i="36"/>
  <c r="CE277" i="36"/>
  <c r="BF278" i="36"/>
  <c r="BE278" i="36"/>
  <c r="BD278" i="36"/>
  <c r="BC278" i="36"/>
  <c r="BG278" i="36" s="1"/>
  <c r="CC277" i="36"/>
  <c r="CB277" i="36"/>
  <c r="CA277" i="36"/>
  <c r="BZ277" i="36"/>
  <c r="BY277" i="36"/>
  <c r="BX277" i="36"/>
  <c r="BW277" i="36"/>
  <c r="BV277" i="36"/>
  <c r="BU277" i="36"/>
  <c r="D271" i="39" s="1"/>
  <c r="BT277" i="36"/>
  <c r="CF277" i="36"/>
  <c r="CE276" i="36"/>
  <c r="BF277" i="36"/>
  <c r="BE277" i="36"/>
  <c r="BD277" i="36"/>
  <c r="BC277" i="36"/>
  <c r="CC276" i="36"/>
  <c r="CB276" i="36"/>
  <c r="CA276" i="36"/>
  <c r="BZ276" i="36"/>
  <c r="BY276" i="36"/>
  <c r="BX276" i="36"/>
  <c r="BW276" i="36"/>
  <c r="BV276" i="36"/>
  <c r="CF276" i="36"/>
  <c r="BU276" i="36"/>
  <c r="BT276" i="36"/>
  <c r="CF275" i="36"/>
  <c r="CE275" i="36"/>
  <c r="BF276" i="36"/>
  <c r="BE276" i="36"/>
  <c r="BD276" i="36"/>
  <c r="BC276" i="36"/>
  <c r="BG276" i="36" s="1"/>
  <c r="CC275" i="36"/>
  <c r="CB275" i="36"/>
  <c r="CA275" i="36"/>
  <c r="BY275" i="36"/>
  <c r="BX275" i="36"/>
  <c r="BW275" i="36"/>
  <c r="BV275" i="36"/>
  <c r="BU275" i="36"/>
  <c r="BT275" i="36"/>
  <c r="BZ275" i="36"/>
  <c r="CF274" i="36"/>
  <c r="CE274" i="36"/>
  <c r="BF275" i="36"/>
  <c r="BE275" i="36"/>
  <c r="BD275" i="36"/>
  <c r="BC275" i="36"/>
  <c r="BG275" i="36" s="1"/>
  <c r="CC274" i="36"/>
  <c r="CB274" i="36"/>
  <c r="CA274" i="36"/>
  <c r="BZ274" i="36"/>
  <c r="BX274" i="36"/>
  <c r="BW274" i="36"/>
  <c r="BV274" i="36"/>
  <c r="BU274" i="36"/>
  <c r="D268" i="39" s="1"/>
  <c r="BT274" i="36"/>
  <c r="BY274" i="36"/>
  <c r="CE273" i="36"/>
  <c r="BF274" i="36"/>
  <c r="BE274" i="36"/>
  <c r="BD274" i="36"/>
  <c r="BC274" i="36"/>
  <c r="BG274" i="36" s="1"/>
  <c r="CC273" i="36"/>
  <c r="CB273" i="36"/>
  <c r="CA273" i="36"/>
  <c r="BZ273" i="36"/>
  <c r="BY273" i="36"/>
  <c r="BX273" i="36"/>
  <c r="BW273" i="36"/>
  <c r="BV273" i="36"/>
  <c r="BU273" i="36"/>
  <c r="D267" i="39" s="1"/>
  <c r="BT273" i="36"/>
  <c r="CF273" i="36"/>
  <c r="CF272" i="36"/>
  <c r="CE272" i="36"/>
  <c r="BF273" i="36"/>
  <c r="BE273" i="36"/>
  <c r="BD273" i="36"/>
  <c r="BC273" i="36"/>
  <c r="BG273" i="36" s="1"/>
  <c r="CB272" i="36"/>
  <c r="CA272" i="36"/>
  <c r="BZ272" i="36"/>
  <c r="BY272" i="36"/>
  <c r="BX272" i="36"/>
  <c r="BW272" i="36"/>
  <c r="BV272" i="36"/>
  <c r="BU272" i="36"/>
  <c r="D266" i="39" s="1"/>
  <c r="BT272" i="36"/>
  <c r="CC272" i="36"/>
  <c r="CF271" i="36"/>
  <c r="BF272" i="36"/>
  <c r="BE272" i="36"/>
  <c r="BD272" i="36"/>
  <c r="BC272" i="36"/>
  <c r="BG272" i="36" s="1"/>
  <c r="CD271" i="36" s="1"/>
  <c r="CC271" i="36"/>
  <c r="CB271" i="36"/>
  <c r="CA271" i="36"/>
  <c r="BZ271" i="36"/>
  <c r="BX271" i="36"/>
  <c r="BW271" i="36"/>
  <c r="BV271" i="36"/>
  <c r="BU271" i="36"/>
  <c r="D265" i="39" s="1"/>
  <c r="BT271" i="36"/>
  <c r="CE271" i="36"/>
  <c r="BY271" i="36"/>
  <c r="BF271" i="36"/>
  <c r="BE271" i="36"/>
  <c r="BD271" i="36"/>
  <c r="BC271" i="36"/>
  <c r="BG271" i="36" s="1"/>
  <c r="CC270" i="36"/>
  <c r="CB270" i="36"/>
  <c r="CA270" i="36"/>
  <c r="BZ270" i="36"/>
  <c r="BX270" i="36"/>
  <c r="BW270" i="36"/>
  <c r="BV270" i="36"/>
  <c r="BU270" i="36"/>
  <c r="D264" i="39" s="1"/>
  <c r="BT270" i="36"/>
  <c r="CF270" i="36"/>
  <c r="CE270" i="36"/>
  <c r="BY270" i="36"/>
  <c r="CE269" i="36"/>
  <c r="BF270" i="36"/>
  <c r="BE270" i="36"/>
  <c r="BD270" i="36"/>
  <c r="BC270" i="36"/>
  <c r="BG270" i="36" s="1"/>
  <c r="CC269" i="36"/>
  <c r="CB269" i="36"/>
  <c r="CA269" i="36"/>
  <c r="BY269" i="36"/>
  <c r="BX269" i="36"/>
  <c r="BW269" i="36"/>
  <c r="BV269" i="36"/>
  <c r="BU269" i="36"/>
  <c r="D263" i="39" s="1"/>
  <c r="BT269" i="36"/>
  <c r="CF269" i="36"/>
  <c r="BZ269" i="36"/>
  <c r="CF268" i="36"/>
  <c r="CE268" i="36"/>
  <c r="BF269" i="36"/>
  <c r="BE269" i="36"/>
  <c r="BD269" i="36"/>
  <c r="BC269" i="36"/>
  <c r="CC268" i="36"/>
  <c r="CB268" i="36"/>
  <c r="CA268" i="36"/>
  <c r="BZ268" i="36"/>
  <c r="BY268" i="36"/>
  <c r="BX268" i="36"/>
  <c r="BW268" i="36"/>
  <c r="BV268" i="36"/>
  <c r="BU268" i="36"/>
  <c r="D262" i="39" s="1"/>
  <c r="BT268" i="36"/>
  <c r="CF267" i="36"/>
  <c r="BF268" i="36"/>
  <c r="BE268" i="36"/>
  <c r="BD268" i="36"/>
  <c r="BC268" i="36"/>
  <c r="BG268" i="36" s="1"/>
  <c r="CD267" i="36" s="1"/>
  <c r="CC267" i="36"/>
  <c r="CB267" i="36"/>
  <c r="CA267" i="36"/>
  <c r="BZ267" i="36"/>
  <c r="BX267" i="36"/>
  <c r="BW267" i="36"/>
  <c r="BV267" i="36"/>
  <c r="BU267" i="36"/>
  <c r="D261" i="39" s="1"/>
  <c r="BT267" i="36"/>
  <c r="CE267" i="36"/>
  <c r="BY267" i="36"/>
  <c r="CF266" i="36"/>
  <c r="CE266" i="36"/>
  <c r="BF267" i="36"/>
  <c r="BE267" i="36"/>
  <c r="BD267" i="36"/>
  <c r="BC267" i="36"/>
  <c r="CC266" i="36"/>
  <c r="CB266" i="36"/>
  <c r="CA266" i="36"/>
  <c r="BZ266" i="36"/>
  <c r="BY266" i="36"/>
  <c r="BW266" i="36"/>
  <c r="BV266" i="36"/>
  <c r="BU266" i="36"/>
  <c r="D260" i="39" s="1"/>
  <c r="BT266" i="36"/>
  <c r="BX266" i="36"/>
  <c r="CE265" i="36"/>
  <c r="BF266" i="36"/>
  <c r="BE266" i="36"/>
  <c r="BD266" i="36"/>
  <c r="BC266" i="36"/>
  <c r="CC265" i="36"/>
  <c r="CB265" i="36"/>
  <c r="CA265" i="36"/>
  <c r="BY265" i="36"/>
  <c r="BX265" i="36"/>
  <c r="BW265" i="36"/>
  <c r="BV265" i="36"/>
  <c r="BU265" i="36"/>
  <c r="D259" i="39" s="1"/>
  <c r="BT265" i="36"/>
  <c r="CF265" i="36"/>
  <c r="BZ265" i="36"/>
  <c r="CE264" i="36"/>
  <c r="BF265" i="36"/>
  <c r="BE265" i="36"/>
  <c r="BD265" i="36"/>
  <c r="BC265" i="36"/>
  <c r="CC264" i="36"/>
  <c r="CB264" i="36"/>
  <c r="CA264" i="36"/>
  <c r="BZ264" i="36"/>
  <c r="BY264" i="36"/>
  <c r="BX264" i="36"/>
  <c r="BW264" i="36"/>
  <c r="BV264" i="36"/>
  <c r="BU264" i="36"/>
  <c r="D258" i="39" s="1"/>
  <c r="BT264" i="36"/>
  <c r="CF264" i="36"/>
  <c r="CF263" i="36"/>
  <c r="CE263" i="36"/>
  <c r="BF264" i="36"/>
  <c r="BE264" i="36"/>
  <c r="BD264" i="36"/>
  <c r="BC264" i="36"/>
  <c r="CC263" i="36"/>
  <c r="CB263" i="36"/>
  <c r="CA263" i="36"/>
  <c r="BZ263" i="36"/>
  <c r="BY263" i="36"/>
  <c r="BX263" i="36"/>
  <c r="BW263" i="36"/>
  <c r="BU263" i="36"/>
  <c r="D257" i="39" s="1"/>
  <c r="BT263" i="36"/>
  <c r="BV263" i="36"/>
  <c r="CE262" i="36"/>
  <c r="BF263" i="36"/>
  <c r="BE263" i="36"/>
  <c r="BD263" i="36"/>
  <c r="BC263" i="36"/>
  <c r="CC262" i="36"/>
  <c r="CB262" i="36"/>
  <c r="CA262" i="36"/>
  <c r="BX262" i="36"/>
  <c r="BV262" i="36"/>
  <c r="BU262" i="36"/>
  <c r="D256" i="39" s="1"/>
  <c r="BT262" i="36"/>
  <c r="CF262" i="36"/>
  <c r="BZ262" i="36"/>
  <c r="BY262" i="36"/>
  <c r="BW262" i="36"/>
  <c r="CE261" i="36"/>
  <c r="BF262" i="36"/>
  <c r="BE262" i="36"/>
  <c r="BD262" i="36"/>
  <c r="BC262" i="36"/>
  <c r="CC261" i="36"/>
  <c r="CB261" i="36"/>
  <c r="CA261" i="36"/>
  <c r="BZ261" i="36"/>
  <c r="BY261" i="36"/>
  <c r="BX261" i="36"/>
  <c r="BW261" i="36"/>
  <c r="BV261" i="36"/>
  <c r="BU261" i="36"/>
  <c r="D255" i="39" s="1"/>
  <c r="BT261" i="36"/>
  <c r="CF261" i="36"/>
  <c r="CE260" i="36"/>
  <c r="BF261" i="36"/>
  <c r="BE261" i="36"/>
  <c r="BD261" i="36"/>
  <c r="BC261" i="36"/>
  <c r="CC260" i="36"/>
  <c r="CB260" i="36"/>
  <c r="CA260" i="36"/>
  <c r="BZ260" i="36"/>
  <c r="BY260" i="36"/>
  <c r="BX260" i="36"/>
  <c r="BW260" i="36"/>
  <c r="BV260" i="36"/>
  <c r="BU260" i="36"/>
  <c r="D254" i="39" s="1"/>
  <c r="BT260" i="36"/>
  <c r="CF260" i="36"/>
  <c r="CF259" i="36"/>
  <c r="BF260" i="36"/>
  <c r="BE260" i="36"/>
  <c r="BD260" i="36"/>
  <c r="BC260" i="36"/>
  <c r="CC259" i="36"/>
  <c r="CB259" i="36"/>
  <c r="CA259" i="36"/>
  <c r="BZ259" i="36"/>
  <c r="BY259" i="36"/>
  <c r="BX259" i="36"/>
  <c r="BW259" i="36"/>
  <c r="BU259" i="36"/>
  <c r="D253" i="39" s="1"/>
  <c r="BT259" i="36"/>
  <c r="CE259" i="36"/>
  <c r="BV259" i="36"/>
  <c r="CE258" i="36"/>
  <c r="BF259" i="36"/>
  <c r="BE259" i="36"/>
  <c r="BD259" i="36"/>
  <c r="BC259" i="36"/>
  <c r="CC258" i="36"/>
  <c r="CB258" i="36"/>
  <c r="CA258" i="36"/>
  <c r="BZ258" i="36"/>
  <c r="BY258" i="36"/>
  <c r="BX258" i="36"/>
  <c r="BW258" i="36"/>
  <c r="BV258" i="36"/>
  <c r="BU258" i="36"/>
  <c r="D252" i="39" s="1"/>
  <c r="BT258" i="36"/>
  <c r="CF258" i="36"/>
  <c r="CE257" i="36"/>
  <c r="BF258" i="36"/>
  <c r="BE258" i="36"/>
  <c r="BD258" i="36"/>
  <c r="BC258" i="36"/>
  <c r="CC257" i="36"/>
  <c r="CB257" i="36"/>
  <c r="CA257" i="36"/>
  <c r="BZ257" i="36"/>
  <c r="BY257" i="36"/>
  <c r="BW257" i="36"/>
  <c r="BV257" i="36"/>
  <c r="BU257" i="36"/>
  <c r="BT257" i="36"/>
  <c r="CF257" i="36"/>
  <c r="BX257" i="36"/>
  <c r="CF256" i="36"/>
  <c r="CE256" i="36"/>
  <c r="BF257" i="36"/>
  <c r="BE257" i="36"/>
  <c r="BD257" i="36"/>
  <c r="BC257" i="36"/>
  <c r="CC256" i="36"/>
  <c r="CB256" i="36"/>
  <c r="CA256" i="36"/>
  <c r="BZ256" i="36"/>
  <c r="BY256" i="36"/>
  <c r="BX256" i="36"/>
  <c r="BW256" i="36"/>
  <c r="BV256" i="36"/>
  <c r="BU256" i="36"/>
  <c r="D250" i="39" s="1"/>
  <c r="BT256" i="36"/>
  <c r="CF255" i="36"/>
  <c r="CE255" i="36"/>
  <c r="BF256" i="36"/>
  <c r="BE256" i="36"/>
  <c r="BD256" i="36"/>
  <c r="BC256" i="36"/>
  <c r="CC255" i="36"/>
  <c r="CB255" i="36"/>
  <c r="CA255" i="36"/>
  <c r="BZ255" i="36"/>
  <c r="BY255" i="36"/>
  <c r="BX255" i="36"/>
  <c r="BW255" i="36"/>
  <c r="BV255" i="36"/>
  <c r="BU255" i="36"/>
  <c r="D249" i="39" s="1"/>
  <c r="BT255" i="36"/>
  <c r="CE254" i="36"/>
  <c r="BF255" i="36"/>
  <c r="BE255" i="36"/>
  <c r="BD255" i="36"/>
  <c r="BC255" i="36"/>
  <c r="CC254" i="36"/>
  <c r="CB254" i="36"/>
  <c r="CA254" i="36"/>
  <c r="BZ254" i="36"/>
  <c r="BY254" i="36"/>
  <c r="BX254" i="36"/>
  <c r="BW254" i="36"/>
  <c r="BV254" i="36"/>
  <c r="BU254" i="36"/>
  <c r="D248" i="39" s="1"/>
  <c r="BT254" i="36"/>
  <c r="CF254" i="36"/>
  <c r="CE253" i="36"/>
  <c r="BF254" i="36"/>
  <c r="BE254" i="36"/>
  <c r="BD254" i="36"/>
  <c r="BC254" i="36"/>
  <c r="CC253" i="36"/>
  <c r="CB253" i="36"/>
  <c r="CA253" i="36"/>
  <c r="BZ253" i="36"/>
  <c r="BY253" i="36"/>
  <c r="BX253" i="36"/>
  <c r="BW253" i="36"/>
  <c r="BV253" i="36"/>
  <c r="BU253" i="36"/>
  <c r="D247" i="39" s="1"/>
  <c r="BT253" i="36"/>
  <c r="CF253" i="36"/>
  <c r="CE252" i="36"/>
  <c r="BF253" i="36"/>
  <c r="BE253" i="36"/>
  <c r="BD253" i="36"/>
  <c r="BC253" i="36"/>
  <c r="CB252" i="36"/>
  <c r="CA252" i="36"/>
  <c r="BZ252" i="36"/>
  <c r="BY252" i="36"/>
  <c r="BX252" i="36"/>
  <c r="BW252" i="36"/>
  <c r="BV252" i="36"/>
  <c r="CF252" i="36"/>
  <c r="CC252" i="36"/>
  <c r="BU252" i="36"/>
  <c r="D246" i="39" s="1"/>
  <c r="BT252" i="36"/>
  <c r="CF251" i="36"/>
  <c r="BF252" i="36"/>
  <c r="BE252" i="36"/>
  <c r="BD252" i="36"/>
  <c r="BC252" i="36"/>
  <c r="CC251" i="36"/>
  <c r="CB251" i="36"/>
  <c r="BZ251" i="36"/>
  <c r="BY251" i="36"/>
  <c r="BX251" i="36"/>
  <c r="BW251" i="36"/>
  <c r="BV251" i="36"/>
  <c r="BU251" i="36"/>
  <c r="D245" i="39" s="1"/>
  <c r="BT251" i="36"/>
  <c r="CE251" i="36"/>
  <c r="CA251" i="36"/>
  <c r="CF250" i="36"/>
  <c r="CE250" i="36"/>
  <c r="BF251" i="36"/>
  <c r="BE251" i="36"/>
  <c r="BD251" i="36"/>
  <c r="BC251" i="36"/>
  <c r="BG251" i="36" s="1"/>
  <c r="CC250" i="36"/>
  <c r="CB250" i="36"/>
  <c r="CA250" i="36"/>
  <c r="BZ250" i="36"/>
  <c r="BY250" i="36"/>
  <c r="BX250" i="36"/>
  <c r="BW250" i="36"/>
  <c r="BV250" i="36"/>
  <c r="BU250" i="36"/>
  <c r="D244" i="39" s="1"/>
  <c r="BT250" i="36"/>
  <c r="CF249" i="36"/>
  <c r="CE249" i="36"/>
  <c r="BF250" i="36"/>
  <c r="BE250" i="36"/>
  <c r="BD250" i="36"/>
  <c r="BC250" i="36"/>
  <c r="CC249" i="36"/>
  <c r="CB249" i="36"/>
  <c r="BZ249" i="36"/>
  <c r="BY249" i="36"/>
  <c r="BX249" i="36"/>
  <c r="BV249" i="36"/>
  <c r="BU249" i="36"/>
  <c r="D243" i="39" s="1"/>
  <c r="BT249" i="36"/>
  <c r="CA249" i="36"/>
  <c r="BW249" i="36"/>
  <c r="CE248" i="36"/>
  <c r="BF249" i="36"/>
  <c r="BE249" i="36"/>
  <c r="BD249" i="36"/>
  <c r="BC249" i="36"/>
  <c r="BG249" i="36" s="1"/>
  <c r="CC248" i="36"/>
  <c r="CB248" i="36"/>
  <c r="CA248" i="36"/>
  <c r="BZ248" i="36"/>
  <c r="BY248" i="36"/>
  <c r="BX248" i="36"/>
  <c r="BW248" i="36"/>
  <c r="BV248" i="36"/>
  <c r="BU248" i="36"/>
  <c r="D242" i="39" s="1"/>
  <c r="BT248" i="36"/>
  <c r="CF248" i="36"/>
  <c r="CF247" i="36"/>
  <c r="CE247" i="36"/>
  <c r="BF248" i="36"/>
  <c r="BE248" i="36"/>
  <c r="BD248" i="36"/>
  <c r="BC248" i="36"/>
  <c r="BG248" i="36" s="1"/>
  <c r="CC247" i="36"/>
  <c r="CB247" i="36"/>
  <c r="CA247" i="36"/>
  <c r="BZ247" i="36"/>
  <c r="BY247" i="36"/>
  <c r="BX247" i="36"/>
  <c r="BW247" i="36"/>
  <c r="BV247" i="36"/>
  <c r="BU247" i="36"/>
  <c r="D241" i="39" s="1"/>
  <c r="BT247" i="36"/>
  <c r="CE246" i="36"/>
  <c r="BF247" i="36"/>
  <c r="BE247" i="36"/>
  <c r="BD247" i="36"/>
  <c r="BC247" i="36"/>
  <c r="BG247" i="36" s="1"/>
  <c r="CC246" i="36"/>
  <c r="CA246" i="36"/>
  <c r="BZ246" i="36"/>
  <c r="BY246" i="36"/>
  <c r="BX246" i="36"/>
  <c r="BW246" i="36"/>
  <c r="BV246" i="36"/>
  <c r="BU246" i="36"/>
  <c r="D240" i="39" s="1"/>
  <c r="BT246" i="36"/>
  <c r="CF246" i="36"/>
  <c r="CB246" i="36"/>
  <c r="CE245" i="36"/>
  <c r="BF246" i="36"/>
  <c r="BE246" i="36"/>
  <c r="BD246" i="36"/>
  <c r="BC246" i="36"/>
  <c r="BG246" i="36" s="1"/>
  <c r="CC245" i="36"/>
  <c r="CB245" i="36"/>
  <c r="CA245" i="36"/>
  <c r="BY245" i="36"/>
  <c r="BX245" i="36"/>
  <c r="BW245" i="36"/>
  <c r="BV245" i="36"/>
  <c r="BU245" i="36"/>
  <c r="D239" i="39" s="1"/>
  <c r="BT245" i="36"/>
  <c r="CF245" i="36"/>
  <c r="BZ245" i="36"/>
  <c r="CE244" i="36"/>
  <c r="BF245" i="36"/>
  <c r="BE245" i="36"/>
  <c r="BD245" i="36"/>
  <c r="BC245" i="36"/>
  <c r="CC244" i="36"/>
  <c r="CB244" i="36"/>
  <c r="CA244" i="36"/>
  <c r="BZ244" i="36"/>
  <c r="BY244" i="36"/>
  <c r="BX244" i="36"/>
  <c r="BW244" i="36"/>
  <c r="BV244" i="36"/>
  <c r="BU244" i="36"/>
  <c r="BT244" i="36"/>
  <c r="CF244" i="36"/>
  <c r="CF243" i="36"/>
  <c r="BF244" i="36"/>
  <c r="BE244" i="36"/>
  <c r="BD244" i="36"/>
  <c r="BC244" i="36"/>
  <c r="BG244" i="36" s="1"/>
  <c r="CC243" i="36"/>
  <c r="CB243" i="36"/>
  <c r="CA243" i="36"/>
  <c r="BZ243" i="36"/>
  <c r="BY243" i="36"/>
  <c r="BX243" i="36"/>
  <c r="BW243" i="36"/>
  <c r="BV243" i="36"/>
  <c r="BU243" i="36"/>
  <c r="BT243" i="36"/>
  <c r="CE243" i="36"/>
  <c r="CD243" i="36"/>
  <c r="CF242" i="36"/>
  <c r="CE242" i="36"/>
  <c r="BF243" i="36"/>
  <c r="BE243" i="36"/>
  <c r="BD243" i="36"/>
  <c r="BC243" i="36"/>
  <c r="CC242" i="36"/>
  <c r="CA242" i="36"/>
  <c r="BZ242" i="36"/>
  <c r="BY242" i="36"/>
  <c r="BX242" i="36"/>
  <c r="BV242" i="36"/>
  <c r="BU242" i="36"/>
  <c r="D236" i="39" s="1"/>
  <c r="BT242" i="36"/>
  <c r="CB242" i="36"/>
  <c r="BW242" i="36"/>
  <c r="CE241" i="36"/>
  <c r="BF242" i="36"/>
  <c r="BE242" i="36"/>
  <c r="BD242" i="36"/>
  <c r="BC242" i="36"/>
  <c r="CC241" i="36"/>
  <c r="CB241" i="36"/>
  <c r="CA241" i="36"/>
  <c r="BZ241" i="36"/>
  <c r="BY241" i="36"/>
  <c r="BX241" i="36"/>
  <c r="BW241" i="36"/>
  <c r="BV241" i="36"/>
  <c r="BU241" i="36"/>
  <c r="D235" i="39" s="1"/>
  <c r="BT241" i="36"/>
  <c r="CF241" i="36"/>
  <c r="CE240" i="36"/>
  <c r="BF241" i="36"/>
  <c r="BE241" i="36"/>
  <c r="BD241" i="36"/>
  <c r="BC241" i="36"/>
  <c r="BG241" i="36" s="1"/>
  <c r="CC240" i="36"/>
  <c r="CA240" i="36"/>
  <c r="BZ240" i="36"/>
  <c r="BX240" i="36"/>
  <c r="BW240" i="36"/>
  <c r="BV240" i="36"/>
  <c r="BU240" i="36"/>
  <c r="D234" i="39" s="1"/>
  <c r="BT240" i="36"/>
  <c r="CF240" i="36"/>
  <c r="CB240" i="36"/>
  <c r="BY240" i="36"/>
  <c r="CF239" i="36"/>
  <c r="CE239" i="36"/>
  <c r="BF240" i="36"/>
  <c r="BE240" i="36"/>
  <c r="BD240" i="36"/>
  <c r="BC240" i="36"/>
  <c r="CC239" i="36"/>
  <c r="CB239" i="36"/>
  <c r="CA239" i="36"/>
  <c r="BZ239" i="36"/>
  <c r="BY239" i="36"/>
  <c r="BX239" i="36"/>
  <c r="BW239" i="36"/>
  <c r="BV239" i="36"/>
  <c r="BU239" i="36"/>
  <c r="D233" i="39" s="1"/>
  <c r="BT239" i="36"/>
  <c r="CE238" i="36"/>
  <c r="BF239" i="36"/>
  <c r="BE239" i="36"/>
  <c r="BD239" i="36"/>
  <c r="BC239" i="36"/>
  <c r="BG239" i="36" s="1"/>
  <c r="CC238" i="36"/>
  <c r="CA238" i="36"/>
  <c r="BY238" i="36"/>
  <c r="BX238" i="36"/>
  <c r="BW238" i="36"/>
  <c r="BV238" i="36"/>
  <c r="BU238" i="36"/>
  <c r="D232" i="39" s="1"/>
  <c r="BT238" i="36"/>
  <c r="CF238" i="36"/>
  <c r="CB238" i="36"/>
  <c r="BZ238" i="36"/>
  <c r="CE237" i="36"/>
  <c r="BF238" i="36"/>
  <c r="BE238" i="36"/>
  <c r="BD238" i="36"/>
  <c r="BC238" i="36"/>
  <c r="BG238" i="36" s="1"/>
  <c r="CC237" i="36"/>
  <c r="CB237" i="36"/>
  <c r="CA237" i="36"/>
  <c r="BX237" i="36"/>
  <c r="BW237" i="36"/>
  <c r="BV237" i="36"/>
  <c r="BU237" i="36"/>
  <c r="D231" i="39" s="1"/>
  <c r="BT237" i="36"/>
  <c r="CF237" i="36"/>
  <c r="BZ237" i="36"/>
  <c r="BY237" i="36"/>
  <c r="CF236" i="36"/>
  <c r="BF237" i="36"/>
  <c r="BE237" i="36"/>
  <c r="BD237" i="36"/>
  <c r="BC237" i="36"/>
  <c r="CB236" i="36"/>
  <c r="CA236" i="36"/>
  <c r="BZ236" i="36"/>
  <c r="BY236" i="36"/>
  <c r="BX236" i="36"/>
  <c r="BW236" i="36"/>
  <c r="BV236" i="36"/>
  <c r="BU236" i="36"/>
  <c r="D230" i="39" s="1"/>
  <c r="BT236" i="36"/>
  <c r="CE236" i="36"/>
  <c r="CC236" i="36"/>
  <c r="CF235" i="36"/>
  <c r="CE235" i="36"/>
  <c r="BF236" i="36"/>
  <c r="BE236" i="36"/>
  <c r="BD236" i="36"/>
  <c r="BC236" i="36"/>
  <c r="CC235" i="36"/>
  <c r="CB235" i="36"/>
  <c r="CA235" i="36"/>
  <c r="BZ235" i="36"/>
  <c r="BY235" i="36"/>
  <c r="BX235" i="36"/>
  <c r="BW235" i="36"/>
  <c r="BV235" i="36"/>
  <c r="BU235" i="36"/>
  <c r="D229" i="39" s="1"/>
  <c r="BT235" i="36"/>
  <c r="CE234" i="36"/>
  <c r="BF235" i="36"/>
  <c r="BE235" i="36"/>
  <c r="BD235" i="36"/>
  <c r="BC235" i="36"/>
  <c r="CC234" i="36"/>
  <c r="CB234" i="36"/>
  <c r="CA234" i="36"/>
  <c r="BZ234" i="36"/>
  <c r="BY234" i="36"/>
  <c r="BW234" i="36"/>
  <c r="BV234" i="36"/>
  <c r="BU234" i="36"/>
  <c r="D228" i="39" s="1"/>
  <c r="BT234" i="36"/>
  <c r="CF234" i="36"/>
  <c r="BX234" i="36"/>
  <c r="CE233" i="36"/>
  <c r="BF234" i="36"/>
  <c r="BE234" i="36"/>
  <c r="BD234" i="36"/>
  <c r="BC234" i="36"/>
  <c r="CC233" i="36"/>
  <c r="CB233" i="36"/>
  <c r="CA233" i="36"/>
  <c r="BZ233" i="36"/>
  <c r="BY233" i="36"/>
  <c r="BX233" i="36"/>
  <c r="BW233" i="36"/>
  <c r="BV233" i="36"/>
  <c r="BU233" i="36"/>
  <c r="D227" i="39" s="1"/>
  <c r="BT233" i="36"/>
  <c r="CF233" i="36"/>
  <c r="CE232" i="36"/>
  <c r="BF233" i="36"/>
  <c r="BE233" i="36"/>
  <c r="BD233" i="36"/>
  <c r="BC233" i="36"/>
  <c r="CC232" i="36"/>
  <c r="CB232" i="36"/>
  <c r="CA232" i="36"/>
  <c r="BZ232" i="36"/>
  <c r="BY232" i="36"/>
  <c r="BX232" i="36"/>
  <c r="BW232" i="36"/>
  <c r="BV232" i="36"/>
  <c r="BU232" i="36"/>
  <c r="D226" i="39" s="1"/>
  <c r="BT232" i="36"/>
  <c r="CF232" i="36"/>
  <c r="CF231" i="36"/>
  <c r="BF232" i="36"/>
  <c r="BE232" i="36"/>
  <c r="BD232" i="36"/>
  <c r="BC232" i="36"/>
  <c r="CC231" i="36"/>
  <c r="CB231" i="36"/>
  <c r="CA231" i="36"/>
  <c r="BZ231" i="36"/>
  <c r="BY231" i="36"/>
  <c r="BX231" i="36"/>
  <c r="BW231" i="36"/>
  <c r="BU231" i="36"/>
  <c r="D225" i="39" s="1"/>
  <c r="BT231" i="36"/>
  <c r="CE231" i="36"/>
  <c r="BV231" i="36"/>
  <c r="BF231" i="36"/>
  <c r="BE231" i="36"/>
  <c r="BD231" i="36"/>
  <c r="BC231" i="36"/>
  <c r="CC230" i="36"/>
  <c r="CB230" i="36"/>
  <c r="CA230" i="36"/>
  <c r="BZ230" i="36"/>
  <c r="BY230" i="36"/>
  <c r="BX230" i="36"/>
  <c r="BW230" i="36"/>
  <c r="BV230" i="36"/>
  <c r="BU230" i="36"/>
  <c r="D224" i="39" s="1"/>
  <c r="BT230" i="36"/>
  <c r="CF230" i="36"/>
  <c r="CE230" i="36"/>
  <c r="CE229" i="36"/>
  <c r="BF230" i="36"/>
  <c r="BE230" i="36"/>
  <c r="BD230" i="36"/>
  <c r="BC230" i="36"/>
  <c r="CC229" i="36"/>
  <c r="CB229" i="36"/>
  <c r="CA229" i="36"/>
  <c r="BY229" i="36"/>
  <c r="BX229" i="36"/>
  <c r="BW229" i="36"/>
  <c r="BU229" i="36"/>
  <c r="D223" i="39" s="1"/>
  <c r="BT229" i="36"/>
  <c r="CF229" i="36"/>
  <c r="BZ229" i="36"/>
  <c r="BV229" i="36"/>
  <c r="CF228" i="36"/>
  <c r="CE228" i="36"/>
  <c r="BF229" i="36"/>
  <c r="BE229" i="36"/>
  <c r="BD229" i="36"/>
  <c r="BC229" i="36"/>
  <c r="CC228" i="36"/>
  <c r="CB228" i="36"/>
  <c r="BZ228" i="36"/>
  <c r="BY228" i="36"/>
  <c r="BX228" i="36"/>
  <c r="BW228" i="36"/>
  <c r="BV228" i="36"/>
  <c r="BU228" i="36"/>
  <c r="D222" i="39" s="1"/>
  <c r="BT228" i="36"/>
  <c r="CA228" i="36"/>
  <c r="CF227" i="36"/>
  <c r="CE227" i="36"/>
  <c r="BF228" i="36"/>
  <c r="BE228" i="36"/>
  <c r="BD228" i="36"/>
  <c r="BC228" i="36"/>
  <c r="CC227" i="36"/>
  <c r="CB227" i="36"/>
  <c r="BZ227" i="36"/>
  <c r="BY227" i="36"/>
  <c r="BX227" i="36"/>
  <c r="BW227" i="36"/>
  <c r="BV227" i="36"/>
  <c r="BU227" i="36"/>
  <c r="D221" i="39" s="1"/>
  <c r="BT227" i="36"/>
  <c r="CA227" i="36"/>
  <c r="CE226" i="36"/>
  <c r="BF227" i="36"/>
  <c r="BE227" i="36"/>
  <c r="BD227" i="36"/>
  <c r="BC227" i="36"/>
  <c r="CC226" i="36"/>
  <c r="CB226" i="36"/>
  <c r="CA226" i="36"/>
  <c r="BZ226" i="36"/>
  <c r="BY226" i="36"/>
  <c r="BX226" i="36"/>
  <c r="BW226" i="36"/>
  <c r="BV226" i="36"/>
  <c r="BU226" i="36"/>
  <c r="D220" i="39" s="1"/>
  <c r="BT226" i="36"/>
  <c r="CF226" i="36"/>
  <c r="CF225" i="36"/>
  <c r="CE225" i="36"/>
  <c r="BF226" i="36"/>
  <c r="BE226" i="36"/>
  <c r="BD226" i="36"/>
  <c r="BC226" i="36"/>
  <c r="CC225" i="36"/>
  <c r="CB225" i="36"/>
  <c r="CA225" i="36"/>
  <c r="BZ225" i="36"/>
  <c r="BY225" i="36"/>
  <c r="BX225" i="36"/>
  <c r="BW225" i="36"/>
  <c r="BV225" i="36"/>
  <c r="BU225" i="36"/>
  <c r="D219" i="39" s="1"/>
  <c r="BT225" i="36"/>
  <c r="CE224" i="36"/>
  <c r="BF225" i="36"/>
  <c r="BE225" i="36"/>
  <c r="BD225" i="36"/>
  <c r="BC225" i="36"/>
  <c r="CC224" i="36"/>
  <c r="CB224" i="36"/>
  <c r="CA224" i="36"/>
  <c r="BZ224" i="36"/>
  <c r="BY224" i="36"/>
  <c r="BW224" i="36"/>
  <c r="BV224" i="36"/>
  <c r="BU224" i="36"/>
  <c r="D218" i="39" s="1"/>
  <c r="BT224" i="36"/>
  <c r="CF224" i="36"/>
  <c r="BX224" i="36"/>
  <c r="CE223" i="36"/>
  <c r="BF224" i="36"/>
  <c r="BE224" i="36"/>
  <c r="BD224" i="36"/>
  <c r="BC224" i="36"/>
  <c r="CC223" i="36"/>
  <c r="CB223" i="36"/>
  <c r="CA223" i="36"/>
  <c r="BZ223" i="36"/>
  <c r="BY223" i="36"/>
  <c r="BX223" i="36"/>
  <c r="BW223" i="36"/>
  <c r="BV223" i="36"/>
  <c r="BU223" i="36"/>
  <c r="D217" i="39" s="1"/>
  <c r="BT223" i="36"/>
  <c r="CF223" i="36"/>
  <c r="BF223" i="36"/>
  <c r="BE223" i="36"/>
  <c r="BD223" i="36"/>
  <c r="BC223" i="36"/>
  <c r="CC222" i="36"/>
  <c r="CB222" i="36"/>
  <c r="CA222" i="36"/>
  <c r="BZ222" i="36"/>
  <c r="BY222" i="36"/>
  <c r="BX222" i="36"/>
  <c r="BW222" i="36"/>
  <c r="BV222" i="36"/>
  <c r="BU222" i="36"/>
  <c r="D216" i="39" s="1"/>
  <c r="BT222" i="36"/>
  <c r="CF222" i="36"/>
  <c r="CE222" i="36"/>
  <c r="CE221" i="36"/>
  <c r="BF222" i="36"/>
  <c r="BE222" i="36"/>
  <c r="BD222" i="36"/>
  <c r="BC222" i="36"/>
  <c r="CC221" i="36"/>
  <c r="CB221" i="36"/>
  <c r="CA221" i="36"/>
  <c r="BY221" i="36"/>
  <c r="BX221" i="36"/>
  <c r="BW221" i="36"/>
  <c r="BV221" i="36"/>
  <c r="BU221" i="36"/>
  <c r="D215" i="39" s="1"/>
  <c r="BT221" i="36"/>
  <c r="CF221" i="36"/>
  <c r="BZ221" i="36"/>
  <c r="CE220" i="36"/>
  <c r="BF221" i="36"/>
  <c r="BE221" i="36"/>
  <c r="BD221" i="36"/>
  <c r="BC221" i="36"/>
  <c r="CC220" i="36"/>
  <c r="CB220" i="36"/>
  <c r="CA220" i="36"/>
  <c r="BZ220" i="36"/>
  <c r="BY220" i="36"/>
  <c r="BX220" i="36"/>
  <c r="BW220" i="36"/>
  <c r="BV220" i="36"/>
  <c r="BU220" i="36"/>
  <c r="D214" i="39" s="1"/>
  <c r="BT220" i="36"/>
  <c r="CF220" i="36"/>
  <c r="CE219" i="36"/>
  <c r="BF220" i="36"/>
  <c r="BE220" i="36"/>
  <c r="BD220" i="36"/>
  <c r="BC220" i="36"/>
  <c r="CC219" i="36"/>
  <c r="CB219" i="36"/>
  <c r="CA219" i="36"/>
  <c r="BZ219" i="36"/>
  <c r="BY219" i="36"/>
  <c r="BX219" i="36"/>
  <c r="BW219" i="36"/>
  <c r="BV219" i="36"/>
  <c r="BU219" i="36"/>
  <c r="D213" i="39" s="1"/>
  <c r="BT219" i="36"/>
  <c r="CF219" i="36"/>
  <c r="CF218" i="36"/>
  <c r="BF219" i="36"/>
  <c r="BE219" i="36"/>
  <c r="BD219" i="36"/>
  <c r="BC219" i="36"/>
  <c r="CC218" i="36"/>
  <c r="CB218" i="36"/>
  <c r="CA218" i="36"/>
  <c r="BZ218" i="36"/>
  <c r="BY218" i="36"/>
  <c r="BX218" i="36"/>
  <c r="BW218" i="36"/>
  <c r="BV218" i="36"/>
  <c r="BU218" i="36"/>
  <c r="BT218" i="36"/>
  <c r="CE218" i="36"/>
  <c r="CE217" i="36"/>
  <c r="BF218" i="36"/>
  <c r="BE218" i="36"/>
  <c r="BD218" i="36"/>
  <c r="BC218" i="36"/>
  <c r="CC217" i="36"/>
  <c r="CB217" i="36"/>
  <c r="CA217" i="36"/>
  <c r="BY217" i="36"/>
  <c r="BX217" i="36"/>
  <c r="BW217" i="36"/>
  <c r="BV217" i="36"/>
  <c r="BU217" i="36"/>
  <c r="D211" i="39" s="1"/>
  <c r="BT217" i="36"/>
  <c r="CF217" i="36"/>
  <c r="BZ217" i="36"/>
  <c r="CF216" i="36"/>
  <c r="CE216" i="36"/>
  <c r="BF217" i="36"/>
  <c r="BE217" i="36"/>
  <c r="BD217" i="36"/>
  <c r="BC217" i="36"/>
  <c r="CC216" i="36"/>
  <c r="CB216" i="36"/>
  <c r="CA216" i="36"/>
  <c r="BZ216" i="36"/>
  <c r="BY216" i="36"/>
  <c r="BX216" i="36"/>
  <c r="BW216" i="36"/>
  <c r="BV216" i="36"/>
  <c r="BU216" i="36"/>
  <c r="D210" i="39" s="1"/>
  <c r="BT216" i="36"/>
  <c r="CE215" i="36"/>
  <c r="BF216" i="36"/>
  <c r="BE216" i="36"/>
  <c r="BD216" i="36"/>
  <c r="BC216" i="36"/>
  <c r="CC215" i="36"/>
  <c r="CB215" i="36"/>
  <c r="CA215" i="36"/>
  <c r="BZ215" i="36"/>
  <c r="BY215" i="36"/>
  <c r="BX215" i="36"/>
  <c r="BW215" i="36"/>
  <c r="BV215" i="36"/>
  <c r="BU215" i="36"/>
  <c r="D209" i="39" s="1"/>
  <c r="BT215" i="36"/>
  <c r="CF215" i="36"/>
  <c r="CE214" i="36"/>
  <c r="BF215" i="36"/>
  <c r="BE215" i="36"/>
  <c r="BD215" i="36"/>
  <c r="BC215" i="36"/>
  <c r="CC214" i="36"/>
  <c r="CB214" i="36"/>
  <c r="CA214" i="36"/>
  <c r="BZ214" i="36"/>
  <c r="BY214" i="36"/>
  <c r="BX214" i="36"/>
  <c r="BW214" i="36"/>
  <c r="BV214" i="36"/>
  <c r="BU214" i="36"/>
  <c r="D208" i="39" s="1"/>
  <c r="BT214" i="36"/>
  <c r="CF214" i="36"/>
  <c r="CE213" i="36"/>
  <c r="BF214" i="36"/>
  <c r="BE214" i="36"/>
  <c r="BD214" i="36"/>
  <c r="BC214" i="36"/>
  <c r="CC213" i="36"/>
  <c r="CB213" i="36"/>
  <c r="CA213" i="36"/>
  <c r="BZ213" i="36"/>
  <c r="BY213" i="36"/>
  <c r="BX213" i="36"/>
  <c r="BW213" i="36"/>
  <c r="BV213" i="36"/>
  <c r="BU213" i="36"/>
  <c r="D207" i="39" s="1"/>
  <c r="BT213" i="36"/>
  <c r="CF213" i="36"/>
  <c r="CE212" i="36"/>
  <c r="BF213" i="36"/>
  <c r="BE213" i="36"/>
  <c r="BD213" i="36"/>
  <c r="BC213" i="36"/>
  <c r="CC212" i="36"/>
  <c r="CB212" i="36"/>
  <c r="CA212" i="36"/>
  <c r="BZ212" i="36"/>
  <c r="BY212" i="36"/>
  <c r="BX212" i="36"/>
  <c r="BW212" i="36"/>
  <c r="BV212" i="36"/>
  <c r="BU212" i="36"/>
  <c r="D206" i="39" s="1"/>
  <c r="BT212" i="36"/>
  <c r="CF212" i="36"/>
  <c r="CE211" i="36"/>
  <c r="BF212" i="36"/>
  <c r="BE212" i="36"/>
  <c r="BD212" i="36"/>
  <c r="BC212" i="36"/>
  <c r="CC211" i="36"/>
  <c r="CB211" i="36"/>
  <c r="CA211" i="36"/>
  <c r="BZ211" i="36"/>
  <c r="BY211" i="36"/>
  <c r="BX211" i="36"/>
  <c r="BW211" i="36"/>
  <c r="BV211" i="36"/>
  <c r="BU211" i="36"/>
  <c r="D205" i="39" s="1"/>
  <c r="BT211" i="36"/>
  <c r="CF211" i="36"/>
  <c r="CF210" i="36"/>
  <c r="CE210" i="36"/>
  <c r="BF211" i="36"/>
  <c r="BE211" i="36"/>
  <c r="BD211" i="36"/>
  <c r="BC211" i="36"/>
  <c r="BG211" i="36" s="1"/>
  <c r="CC210" i="36"/>
  <c r="CB210" i="36"/>
  <c r="CA210" i="36"/>
  <c r="BZ210" i="36"/>
  <c r="BY210" i="36"/>
  <c r="BX210" i="36"/>
  <c r="BW210" i="36"/>
  <c r="BV210" i="36"/>
  <c r="BU210" i="36"/>
  <c r="D204" i="39" s="1"/>
  <c r="BT210" i="36"/>
  <c r="CE209" i="36"/>
  <c r="BF210" i="36"/>
  <c r="BE210" i="36"/>
  <c r="BD210" i="36"/>
  <c r="BC210" i="36"/>
  <c r="CC209" i="36"/>
  <c r="CA209" i="36"/>
  <c r="BZ209" i="36"/>
  <c r="BY209" i="36"/>
  <c r="BX209" i="36"/>
  <c r="BW209" i="36"/>
  <c r="BV209" i="36"/>
  <c r="BU209" i="36"/>
  <c r="D203" i="39" s="1"/>
  <c r="BT209" i="36"/>
  <c r="CF209" i="36"/>
  <c r="CB209" i="36"/>
  <c r="CF208" i="36"/>
  <c r="CD208" i="36"/>
  <c r="BF209" i="36"/>
  <c r="BE209" i="36"/>
  <c r="BD209" i="36"/>
  <c r="BC209" i="36"/>
  <c r="BG209" i="36" s="1"/>
  <c r="CC208" i="36"/>
  <c r="CB208" i="36"/>
  <c r="CA208" i="36"/>
  <c r="BZ208" i="36"/>
  <c r="BY208" i="36"/>
  <c r="BX208" i="36"/>
  <c r="BW208" i="36"/>
  <c r="BV208" i="36"/>
  <c r="BU208" i="36"/>
  <c r="D202" i="39" s="1"/>
  <c r="BT208" i="36"/>
  <c r="CE208" i="36"/>
  <c r="CE207" i="36"/>
  <c r="BF208" i="36"/>
  <c r="BE208" i="36"/>
  <c r="BD208" i="36"/>
  <c r="BC208" i="36"/>
  <c r="BG208" i="36" s="1"/>
  <c r="CC207" i="36"/>
  <c r="CB207" i="36"/>
  <c r="CA207" i="36"/>
  <c r="BY207" i="36"/>
  <c r="BX207" i="36"/>
  <c r="BW207" i="36"/>
  <c r="BV207" i="36"/>
  <c r="BU207" i="36"/>
  <c r="D201" i="39" s="1"/>
  <c r="BT207" i="36"/>
  <c r="CF207" i="36"/>
  <c r="BZ207" i="36"/>
  <c r="CF206" i="36"/>
  <c r="BF207" i="36"/>
  <c r="BE207" i="36"/>
  <c r="BD207" i="36"/>
  <c r="BC207" i="36"/>
  <c r="CC206" i="36"/>
  <c r="CB206" i="36"/>
  <c r="CA206" i="36"/>
  <c r="BZ206" i="36"/>
  <c r="BY206" i="36"/>
  <c r="BX206" i="36"/>
  <c r="BW206" i="36"/>
  <c r="BV206" i="36"/>
  <c r="BU206" i="36"/>
  <c r="D200" i="39" s="1"/>
  <c r="BT206" i="36"/>
  <c r="CE206" i="36"/>
  <c r="CF205" i="36"/>
  <c r="BF206" i="36"/>
  <c r="BE206" i="36"/>
  <c r="BD206" i="36"/>
  <c r="BC206" i="36"/>
  <c r="CB205" i="36"/>
  <c r="CA205" i="36"/>
  <c r="BZ205" i="36"/>
  <c r="BY205" i="36"/>
  <c r="BW205" i="36"/>
  <c r="BV205" i="36"/>
  <c r="BU205" i="36"/>
  <c r="D199" i="39" s="1"/>
  <c r="BT205" i="36"/>
  <c r="CE205" i="36"/>
  <c r="CC205" i="36"/>
  <c r="BX205" i="36"/>
  <c r="CE204" i="36"/>
  <c r="BF205" i="36"/>
  <c r="BE205" i="36"/>
  <c r="BD205" i="36"/>
  <c r="BC205" i="36"/>
  <c r="CC204" i="36"/>
  <c r="CB204" i="36"/>
  <c r="BZ204" i="36"/>
  <c r="BY204" i="36"/>
  <c r="BX204" i="36"/>
  <c r="BW204" i="36"/>
  <c r="BV204" i="36"/>
  <c r="BU204" i="36"/>
  <c r="D198" i="39" s="1"/>
  <c r="BT204" i="36"/>
  <c r="CF204" i="36"/>
  <c r="CA204" i="36"/>
  <c r="CF203" i="36"/>
  <c r="CE203" i="36"/>
  <c r="BF204" i="36"/>
  <c r="BE204" i="36"/>
  <c r="BD204" i="36"/>
  <c r="BC204" i="36"/>
  <c r="CC203" i="36"/>
  <c r="CB203" i="36"/>
  <c r="CA203" i="36"/>
  <c r="BZ203" i="36"/>
  <c r="BY203" i="36"/>
  <c r="BX203" i="36"/>
  <c r="BW203" i="36"/>
  <c r="BU203" i="36"/>
  <c r="D197" i="39" s="1"/>
  <c r="BT203" i="36"/>
  <c r="BV203" i="36"/>
  <c r="CF202" i="36"/>
  <c r="CE202" i="36"/>
  <c r="BF203" i="36"/>
  <c r="BE203" i="36"/>
  <c r="BD203" i="36"/>
  <c r="BC203" i="36"/>
  <c r="BG203" i="36" s="1"/>
  <c r="CD202" i="36" s="1"/>
  <c r="CC202" i="36"/>
  <c r="CB202" i="36"/>
  <c r="CA202" i="36"/>
  <c r="BZ202" i="36"/>
  <c r="BY202" i="36"/>
  <c r="BX202" i="36"/>
  <c r="BW202" i="36"/>
  <c r="BV202" i="36"/>
  <c r="BU202" i="36"/>
  <c r="D196" i="39" s="1"/>
  <c r="BT202" i="36"/>
  <c r="CE201" i="36"/>
  <c r="BF202" i="36"/>
  <c r="BE202" i="36"/>
  <c r="BD202" i="36"/>
  <c r="BC202" i="36"/>
  <c r="CC201" i="36"/>
  <c r="CB201" i="36"/>
  <c r="CA201" i="36"/>
  <c r="BZ201" i="36"/>
  <c r="BY201" i="36"/>
  <c r="BW201" i="36"/>
  <c r="BV201" i="36"/>
  <c r="BU201" i="36"/>
  <c r="D195" i="39" s="1"/>
  <c r="BT201" i="36"/>
  <c r="CF201" i="36"/>
  <c r="BX201" i="36"/>
  <c r="CE200" i="36"/>
  <c r="BF201" i="36"/>
  <c r="BE201" i="36"/>
  <c r="BD201" i="36"/>
  <c r="BC201" i="36"/>
  <c r="CC200" i="36"/>
  <c r="CB200" i="36"/>
  <c r="CA200" i="36"/>
  <c r="BZ200" i="36"/>
  <c r="BY200" i="36"/>
  <c r="BX200" i="36"/>
  <c r="BW200" i="36"/>
  <c r="BV200" i="36"/>
  <c r="BU200" i="36"/>
  <c r="D194" i="39" s="1"/>
  <c r="BT200" i="36"/>
  <c r="CF200" i="36"/>
  <c r="CF199" i="36"/>
  <c r="CE199" i="36"/>
  <c r="BF200" i="36"/>
  <c r="BE200" i="36"/>
  <c r="BD200" i="36"/>
  <c r="BC200" i="36"/>
  <c r="BG200" i="36" s="1"/>
  <c r="CC199" i="36"/>
  <c r="CB199" i="36"/>
  <c r="CA199" i="36"/>
  <c r="BZ199" i="36"/>
  <c r="BY199" i="36"/>
  <c r="BX199" i="36"/>
  <c r="BW199" i="36"/>
  <c r="BV199" i="36"/>
  <c r="BU199" i="36"/>
  <c r="D193" i="39" s="1"/>
  <c r="BT199" i="36"/>
  <c r="BF199" i="36"/>
  <c r="BE199" i="36"/>
  <c r="BD199" i="36"/>
  <c r="BC199" i="36"/>
  <c r="CC198" i="36"/>
  <c r="CB198" i="36"/>
  <c r="CA198" i="36"/>
  <c r="BZ198" i="36"/>
  <c r="BY198" i="36"/>
  <c r="BX198" i="36"/>
  <c r="BW198" i="36"/>
  <c r="BV198" i="36"/>
  <c r="BU198" i="36"/>
  <c r="BT198" i="36"/>
  <c r="CF198" i="36"/>
  <c r="CE198" i="36"/>
  <c r="CF197" i="36"/>
  <c r="CE197" i="36"/>
  <c r="BF198" i="36"/>
  <c r="BE198" i="36"/>
  <c r="BD198" i="36"/>
  <c r="BC198" i="36"/>
  <c r="BG198" i="36" s="1"/>
  <c r="CC197" i="36"/>
  <c r="CA197" i="36"/>
  <c r="BZ197" i="36"/>
  <c r="BY197" i="36"/>
  <c r="BX197" i="36"/>
  <c r="BW197" i="36"/>
  <c r="BV197" i="36"/>
  <c r="BU197" i="36"/>
  <c r="D191" i="39" s="1"/>
  <c r="BT197" i="36"/>
  <c r="CB197" i="36"/>
  <c r="CF196" i="36"/>
  <c r="CE196" i="36"/>
  <c r="BF197" i="36"/>
  <c r="BE197" i="36"/>
  <c r="BD197" i="36"/>
  <c r="BC197" i="36"/>
  <c r="BG197" i="36" s="1"/>
  <c r="CC196" i="36"/>
  <c r="CB196" i="36"/>
  <c r="CA196" i="36"/>
  <c r="BZ196" i="36"/>
  <c r="BY196" i="36"/>
  <c r="BW196" i="36"/>
  <c r="BV196" i="36"/>
  <c r="BU196" i="36"/>
  <c r="D190" i="39" s="1"/>
  <c r="BT196" i="36"/>
  <c r="BX196" i="36"/>
  <c r="CF195" i="36"/>
  <c r="CE195" i="36"/>
  <c r="BF196" i="36"/>
  <c r="BE196" i="36"/>
  <c r="BD196" i="36"/>
  <c r="BC196" i="36"/>
  <c r="BG196" i="36" s="1"/>
  <c r="CC195" i="36"/>
  <c r="CB195" i="36"/>
  <c r="CA195" i="36"/>
  <c r="BZ195" i="36"/>
  <c r="BY195" i="36"/>
  <c r="BX195" i="36"/>
  <c r="BW195" i="36"/>
  <c r="BV195" i="36"/>
  <c r="BU195" i="36"/>
  <c r="D189" i="39" s="1"/>
  <c r="BT195" i="36"/>
  <c r="CF194" i="36"/>
  <c r="BF195" i="36"/>
  <c r="BE195" i="36"/>
  <c r="BD195" i="36"/>
  <c r="BC195" i="36"/>
  <c r="BG195" i="36" s="1"/>
  <c r="CD194" i="36" s="1"/>
  <c r="CC194" i="36"/>
  <c r="CB194" i="36"/>
  <c r="CA194" i="36"/>
  <c r="BZ194" i="36"/>
  <c r="BY194" i="36"/>
  <c r="BX194" i="36"/>
  <c r="BW194" i="36"/>
  <c r="BV194" i="36"/>
  <c r="BU194" i="36"/>
  <c r="BT194" i="36"/>
  <c r="CE194" i="36"/>
  <c r="CE193" i="36"/>
  <c r="BF194" i="36"/>
  <c r="BE194" i="36"/>
  <c r="BD194" i="36"/>
  <c r="BC194" i="36"/>
  <c r="BG194" i="36" s="1"/>
  <c r="CC193" i="36"/>
  <c r="CB193" i="36"/>
  <c r="CA193" i="36"/>
  <c r="BZ193" i="36"/>
  <c r="BY193" i="36"/>
  <c r="BX193" i="36"/>
  <c r="BW193" i="36"/>
  <c r="BV193" i="36"/>
  <c r="BU193" i="36"/>
  <c r="D187" i="39" s="1"/>
  <c r="BT193" i="36"/>
  <c r="CF193" i="36"/>
  <c r="CE192" i="36"/>
  <c r="BF193" i="36"/>
  <c r="BE193" i="36"/>
  <c r="BD193" i="36"/>
  <c r="BC193" i="36"/>
  <c r="BG193" i="36" s="1"/>
  <c r="CC192" i="36"/>
  <c r="CB192" i="36"/>
  <c r="CA192" i="36"/>
  <c r="BZ192" i="36"/>
  <c r="BY192" i="36"/>
  <c r="BX192" i="36"/>
  <c r="BW192" i="36"/>
  <c r="BV192" i="36"/>
  <c r="BU192" i="36"/>
  <c r="D186" i="39" s="1"/>
  <c r="BT192" i="36"/>
  <c r="CF192" i="36"/>
  <c r="CF191" i="36"/>
  <c r="CE191" i="36"/>
  <c r="BF192" i="36"/>
  <c r="BE192" i="36"/>
  <c r="BD192" i="36"/>
  <c r="BC192" i="36"/>
  <c r="CC191" i="36"/>
  <c r="CA191" i="36"/>
  <c r="BZ191" i="36"/>
  <c r="BY191" i="36"/>
  <c r="BX191" i="36"/>
  <c r="BW191" i="36"/>
  <c r="BV191" i="36"/>
  <c r="BU191" i="36"/>
  <c r="D185" i="39" s="1"/>
  <c r="CB191" i="36"/>
  <c r="BT191" i="36"/>
  <c r="CE190" i="36"/>
  <c r="BF191" i="36"/>
  <c r="BE191" i="36"/>
  <c r="BD191" i="36"/>
  <c r="BC191" i="36"/>
  <c r="BG191" i="36" s="1"/>
  <c r="CC190" i="36"/>
  <c r="CB190" i="36"/>
  <c r="CA190" i="36"/>
  <c r="BZ190" i="36"/>
  <c r="BY190" i="36"/>
  <c r="BX190" i="36"/>
  <c r="BW190" i="36"/>
  <c r="BV190" i="36"/>
  <c r="BU190" i="36"/>
  <c r="D184" i="39" s="1"/>
  <c r="BT190" i="36"/>
  <c r="CF190" i="36"/>
  <c r="CE189" i="36"/>
  <c r="BF190" i="36"/>
  <c r="BE190" i="36"/>
  <c r="BD190" i="36"/>
  <c r="BC190" i="36"/>
  <c r="BG190" i="36" s="1"/>
  <c r="CC189" i="36"/>
  <c r="CB189" i="36"/>
  <c r="CA189" i="36"/>
  <c r="BZ189" i="36"/>
  <c r="BY189" i="36"/>
  <c r="BX189" i="36"/>
  <c r="BW189" i="36"/>
  <c r="BV189" i="36"/>
  <c r="BU189" i="36"/>
  <c r="D183" i="39" s="1"/>
  <c r="BT189" i="36"/>
  <c r="CF189" i="36"/>
  <c r="CE188" i="36"/>
  <c r="BF189" i="36"/>
  <c r="BE189" i="36"/>
  <c r="BD189" i="36"/>
  <c r="BC189" i="36"/>
  <c r="BG189" i="36" s="1"/>
  <c r="CC188" i="36"/>
  <c r="CB188" i="36"/>
  <c r="CA188" i="36"/>
  <c r="BZ188" i="36"/>
  <c r="BY188" i="36"/>
  <c r="BX188" i="36"/>
  <c r="BW188" i="36"/>
  <c r="BV188" i="36"/>
  <c r="BU188" i="36"/>
  <c r="D182" i="39" s="1"/>
  <c r="BT188" i="36"/>
  <c r="CF188" i="36"/>
  <c r="CF187" i="36"/>
  <c r="CE187" i="36"/>
  <c r="BF188" i="36"/>
  <c r="BE188" i="36"/>
  <c r="BD188" i="36"/>
  <c r="BC188" i="36"/>
  <c r="CC187" i="36"/>
  <c r="CB187" i="36"/>
  <c r="CA187" i="36"/>
  <c r="BZ187" i="36"/>
  <c r="BY187" i="36"/>
  <c r="BX187" i="36"/>
  <c r="BW187" i="36"/>
  <c r="BV187" i="36"/>
  <c r="BU187" i="36"/>
  <c r="BT187" i="36"/>
  <c r="CF186" i="36"/>
  <c r="CE186" i="36"/>
  <c r="BF187" i="36"/>
  <c r="BE187" i="36"/>
  <c r="BD187" i="36"/>
  <c r="BC187" i="36"/>
  <c r="CC186" i="36"/>
  <c r="CB186" i="36"/>
  <c r="CA186" i="36"/>
  <c r="BZ186" i="36"/>
  <c r="BY186" i="36"/>
  <c r="BX186" i="36"/>
  <c r="BW186" i="36"/>
  <c r="BV186" i="36"/>
  <c r="BU186" i="36"/>
  <c r="D180" i="39" s="1"/>
  <c r="BT186" i="36"/>
  <c r="CE185" i="36"/>
  <c r="BF186" i="36"/>
  <c r="BE186" i="36"/>
  <c r="BD186" i="36"/>
  <c r="BC186" i="36"/>
  <c r="CC185" i="36"/>
  <c r="CB185" i="36"/>
  <c r="CA185" i="36"/>
  <c r="BZ185" i="36"/>
  <c r="BY185" i="36"/>
  <c r="BX185" i="36"/>
  <c r="BW185" i="36"/>
  <c r="BV185" i="36"/>
  <c r="D179" i="38" s="1"/>
  <c r="BU185" i="36"/>
  <c r="D179" i="39" s="1"/>
  <c r="BT185" i="36"/>
  <c r="CF185" i="36"/>
  <c r="CE184" i="36"/>
  <c r="BF185" i="36"/>
  <c r="BE185" i="36"/>
  <c r="BD185" i="36"/>
  <c r="BC185" i="36"/>
  <c r="CC184" i="36"/>
  <c r="CB184" i="36"/>
  <c r="CA184" i="36"/>
  <c r="BY184" i="36"/>
  <c r="BX184" i="36"/>
  <c r="BW184" i="36"/>
  <c r="BV184" i="36"/>
  <c r="BU184" i="36"/>
  <c r="D178" i="39" s="1"/>
  <c r="BT184" i="36"/>
  <c r="CF184" i="36"/>
  <c r="BZ184" i="36"/>
  <c r="CF183" i="36"/>
  <c r="CE183" i="36"/>
  <c r="BF184" i="36"/>
  <c r="BE184" i="36"/>
  <c r="BD184" i="36"/>
  <c r="BC184" i="36"/>
  <c r="CC183" i="36"/>
  <c r="CB183" i="36"/>
  <c r="CA183" i="36"/>
  <c r="BZ183" i="36"/>
  <c r="BY183" i="36"/>
  <c r="BW183" i="36"/>
  <c r="BV183" i="36"/>
  <c r="BU183" i="36"/>
  <c r="D177" i="39" s="1"/>
  <c r="BT183" i="36"/>
  <c r="BX183" i="36"/>
  <c r="BF183" i="36"/>
  <c r="BE183" i="36"/>
  <c r="BD183" i="36"/>
  <c r="BC183" i="36"/>
  <c r="BG183" i="36" s="1"/>
  <c r="CC182" i="36"/>
  <c r="CB182" i="36"/>
  <c r="CA182" i="36"/>
  <c r="BY182" i="36"/>
  <c r="BX182" i="36"/>
  <c r="BW182" i="36"/>
  <c r="BV182" i="36"/>
  <c r="BU182" i="36"/>
  <c r="D176" i="39" s="1"/>
  <c r="BT182" i="36"/>
  <c r="CF182" i="36"/>
  <c r="CE182" i="36"/>
  <c r="BZ182" i="36"/>
  <c r="CE181" i="36"/>
  <c r="BF182" i="36"/>
  <c r="BE182" i="36"/>
  <c r="BD182" i="36"/>
  <c r="BC182" i="36"/>
  <c r="CC181" i="36"/>
  <c r="CB181" i="36"/>
  <c r="CA181" i="36"/>
  <c r="BZ181" i="36"/>
  <c r="BY181" i="36"/>
  <c r="BX181" i="36"/>
  <c r="BW181" i="36"/>
  <c r="BV181" i="36"/>
  <c r="BU181" i="36"/>
  <c r="D175" i="39" s="1"/>
  <c r="BT181" i="36"/>
  <c r="CF181" i="36"/>
  <c r="CE180" i="36"/>
  <c r="BF181" i="36"/>
  <c r="BE181" i="36"/>
  <c r="BD181" i="36"/>
  <c r="BC181" i="36"/>
  <c r="CC180" i="36"/>
  <c r="CB180" i="36"/>
  <c r="CA180" i="36"/>
  <c r="BZ180" i="36"/>
  <c r="BY180" i="36"/>
  <c r="BX180" i="36"/>
  <c r="BW180" i="36"/>
  <c r="BV180" i="36"/>
  <c r="BU180" i="36"/>
  <c r="BT180" i="36"/>
  <c r="CF180" i="36"/>
  <c r="CF179" i="36"/>
  <c r="CE179" i="36"/>
  <c r="BF180" i="36"/>
  <c r="BE180" i="36"/>
  <c r="BD180" i="36"/>
  <c r="BC180" i="36"/>
  <c r="CC179" i="36"/>
  <c r="CB179" i="36"/>
  <c r="CA179" i="36"/>
  <c r="BZ179" i="36"/>
  <c r="BY179" i="36"/>
  <c r="BX179" i="36"/>
  <c r="BW179" i="36"/>
  <c r="BU179" i="36"/>
  <c r="D173" i="39" s="1"/>
  <c r="BT179" i="36"/>
  <c r="BV179" i="36"/>
  <c r="BF179" i="36"/>
  <c r="BE179" i="36"/>
  <c r="BD179" i="36"/>
  <c r="BC179" i="36"/>
  <c r="BG179" i="36" s="1"/>
  <c r="CC178" i="36"/>
  <c r="CB178" i="36"/>
  <c r="CA178" i="36"/>
  <c r="BZ178" i="36"/>
  <c r="BY178" i="36"/>
  <c r="BX178" i="36"/>
  <c r="BW178" i="36"/>
  <c r="BV178" i="36"/>
  <c r="BU178" i="36"/>
  <c r="D172" i="39" s="1"/>
  <c r="BT178" i="36"/>
  <c r="CF178" i="36"/>
  <c r="CE178" i="36"/>
  <c r="CE177" i="36"/>
  <c r="BF178" i="36"/>
  <c r="BE178" i="36"/>
  <c r="BD178" i="36"/>
  <c r="BC178" i="36"/>
  <c r="CC177" i="36"/>
  <c r="CB177" i="36"/>
  <c r="CA177" i="36"/>
  <c r="BY177" i="36"/>
  <c r="BX177" i="36"/>
  <c r="BW177" i="36"/>
  <c r="BV177" i="36"/>
  <c r="BU177" i="36"/>
  <c r="D171" i="39" s="1"/>
  <c r="BT177" i="36"/>
  <c r="CF177" i="36"/>
  <c r="BZ177" i="36"/>
  <c r="CF176" i="36"/>
  <c r="CE176" i="36"/>
  <c r="BF177" i="36"/>
  <c r="BE177" i="36"/>
  <c r="BD177" i="36"/>
  <c r="BC177" i="36"/>
  <c r="CC176" i="36"/>
  <c r="CB176" i="36"/>
  <c r="CA176" i="36"/>
  <c r="BZ176" i="36"/>
  <c r="BY176" i="36"/>
  <c r="BX176" i="36"/>
  <c r="BW176" i="36"/>
  <c r="BU176" i="36"/>
  <c r="D170" i="39" s="1"/>
  <c r="BT176" i="36"/>
  <c r="BV176" i="36"/>
  <c r="CF175" i="36"/>
  <c r="CE175" i="36"/>
  <c r="BF176" i="36"/>
  <c r="BE176" i="36"/>
  <c r="BD176" i="36"/>
  <c r="BC176" i="36"/>
  <c r="CC175" i="36"/>
  <c r="CB175" i="36"/>
  <c r="CA175" i="36"/>
  <c r="BZ175" i="36"/>
  <c r="BY175" i="36"/>
  <c r="BX175" i="36"/>
  <c r="BW175" i="36"/>
  <c r="BV175" i="36"/>
  <c r="BU175" i="36"/>
  <c r="D169" i="39" s="1"/>
  <c r="BT175" i="36"/>
  <c r="CE174" i="36"/>
  <c r="BF175" i="36"/>
  <c r="BE175" i="36"/>
  <c r="BD175" i="36"/>
  <c r="BC175" i="36"/>
  <c r="CC174" i="36"/>
  <c r="CA174" i="36"/>
  <c r="BZ174" i="36"/>
  <c r="BY174" i="36"/>
  <c r="BW174" i="36"/>
  <c r="BV174" i="36"/>
  <c r="BU174" i="36"/>
  <c r="D168" i="39" s="1"/>
  <c r="BT174" i="36"/>
  <c r="CF174" i="36"/>
  <c r="CB174" i="36"/>
  <c r="BX174" i="36"/>
  <c r="CF173" i="36"/>
  <c r="CE173" i="36"/>
  <c r="BF174" i="36"/>
  <c r="BE174" i="36"/>
  <c r="BD174" i="36"/>
  <c r="BC174" i="36"/>
  <c r="CC173" i="36"/>
  <c r="CB173" i="36"/>
  <c r="CA173" i="36"/>
  <c r="BY173" i="36"/>
  <c r="BX173" i="36"/>
  <c r="BW173" i="36"/>
  <c r="BV173" i="36"/>
  <c r="BU173" i="36"/>
  <c r="D167" i="39" s="1"/>
  <c r="BT173" i="36"/>
  <c r="BZ173" i="36"/>
  <c r="CE172" i="36"/>
  <c r="BF173" i="36"/>
  <c r="BE173" i="36"/>
  <c r="BD173" i="36"/>
  <c r="BC173" i="36"/>
  <c r="CC172" i="36"/>
  <c r="CB172" i="36"/>
  <c r="CA172" i="36"/>
  <c r="BZ172" i="36"/>
  <c r="BY172" i="36"/>
  <c r="BX172" i="36"/>
  <c r="BW172" i="36"/>
  <c r="BV172" i="36"/>
  <c r="BU172" i="36"/>
  <c r="D166" i="39" s="1"/>
  <c r="BT172" i="36"/>
  <c r="CF172" i="36"/>
  <c r="CF171" i="36"/>
  <c r="CE171" i="36"/>
  <c r="BF172" i="36"/>
  <c r="BE172" i="36"/>
  <c r="BD172" i="36"/>
  <c r="BC172" i="36"/>
  <c r="CC171" i="36"/>
  <c r="CB171" i="36"/>
  <c r="CA171" i="36"/>
  <c r="BZ171" i="36"/>
  <c r="BY171" i="36"/>
  <c r="BX171" i="36"/>
  <c r="BW171" i="36"/>
  <c r="BV171" i="36"/>
  <c r="BU171" i="36"/>
  <c r="D165" i="39" s="1"/>
  <c r="BT171" i="36"/>
  <c r="CF170" i="36"/>
  <c r="CE170" i="36"/>
  <c r="BF171" i="36"/>
  <c r="BE171" i="36"/>
  <c r="BD171" i="36"/>
  <c r="BC171" i="36"/>
  <c r="CC170" i="36"/>
  <c r="CB170" i="36"/>
  <c r="CA170" i="36"/>
  <c r="BZ170" i="36"/>
  <c r="BY170" i="36"/>
  <c r="BX170" i="36"/>
  <c r="BW170" i="36"/>
  <c r="BV170" i="36"/>
  <c r="BU170" i="36"/>
  <c r="D164" i="39" s="1"/>
  <c r="BT170" i="36"/>
  <c r="CE169" i="36"/>
  <c r="BF170" i="36"/>
  <c r="BE170" i="36"/>
  <c r="BD170" i="36"/>
  <c r="BC170" i="36"/>
  <c r="CC169" i="36"/>
  <c r="CB169" i="36"/>
  <c r="CA169" i="36"/>
  <c r="BY169" i="36"/>
  <c r="BW169" i="36"/>
  <c r="BV169" i="36"/>
  <c r="BU169" i="36"/>
  <c r="BT169" i="36"/>
  <c r="CF169" i="36"/>
  <c r="BZ169" i="36"/>
  <c r="BX169" i="36"/>
  <c r="CE168" i="36"/>
  <c r="BF169" i="36"/>
  <c r="BE169" i="36"/>
  <c r="BD169" i="36"/>
  <c r="BC169" i="36"/>
  <c r="CC168" i="36"/>
  <c r="CB168" i="36"/>
  <c r="CA168" i="36"/>
  <c r="BZ168" i="36"/>
  <c r="BY168" i="36"/>
  <c r="BX168" i="36"/>
  <c r="BW168" i="36"/>
  <c r="BV168" i="36"/>
  <c r="BU168" i="36"/>
  <c r="D162" i="39" s="1"/>
  <c r="BT168" i="36"/>
  <c r="CF168" i="36"/>
  <c r="CF167" i="36"/>
  <c r="CE167" i="36"/>
  <c r="BF168" i="36"/>
  <c r="BE168" i="36"/>
  <c r="BD168" i="36"/>
  <c r="BC168" i="36"/>
  <c r="CC167" i="36"/>
  <c r="CB167" i="36"/>
  <c r="CA167" i="36"/>
  <c r="BZ167" i="36"/>
  <c r="BY167" i="36"/>
  <c r="BX167" i="36"/>
  <c r="BW167" i="36"/>
  <c r="BV167" i="36"/>
  <c r="BU167" i="36"/>
  <c r="D161" i="39" s="1"/>
  <c r="BT167" i="36"/>
  <c r="CF166" i="36"/>
  <c r="CE166" i="36"/>
  <c r="BF167" i="36"/>
  <c r="BE167" i="36"/>
  <c r="BD167" i="36"/>
  <c r="BC167" i="36"/>
  <c r="CC166" i="36"/>
  <c r="CB166" i="36"/>
  <c r="CA166" i="36"/>
  <c r="BZ166" i="36"/>
  <c r="BY166" i="36"/>
  <c r="BX166" i="36"/>
  <c r="BW166" i="36"/>
  <c r="BV166" i="36"/>
  <c r="BU166" i="36"/>
  <c r="BT166" i="36"/>
  <c r="CF165" i="36"/>
  <c r="CE165" i="36"/>
  <c r="BF166" i="36"/>
  <c r="BE166" i="36"/>
  <c r="BD166" i="36"/>
  <c r="BC166" i="36"/>
  <c r="CC165" i="36"/>
  <c r="CB165" i="36"/>
  <c r="CA165" i="36"/>
  <c r="BZ165" i="36"/>
  <c r="BY165" i="36"/>
  <c r="BX165" i="36"/>
  <c r="BW165" i="36"/>
  <c r="BV165" i="36"/>
  <c r="BU165" i="36"/>
  <c r="D159" i="39" s="1"/>
  <c r="BT165" i="36"/>
  <c r="CE164" i="36"/>
  <c r="BF165" i="36"/>
  <c r="BE165" i="36"/>
  <c r="BD165" i="36"/>
  <c r="BC165" i="36"/>
  <c r="CC164" i="36"/>
  <c r="CB164" i="36"/>
  <c r="CA164" i="36"/>
  <c r="BZ164" i="36"/>
  <c r="BY164" i="36"/>
  <c r="BX164" i="36"/>
  <c r="BW164" i="36"/>
  <c r="BV164" i="36"/>
  <c r="BU164" i="36"/>
  <c r="D158" i="39" s="1"/>
  <c r="BT164" i="36"/>
  <c r="CF164" i="36"/>
  <c r="CF163" i="36"/>
  <c r="CE163" i="36"/>
  <c r="BF164" i="36"/>
  <c r="BE164" i="36"/>
  <c r="BD164" i="36"/>
  <c r="BC164" i="36"/>
  <c r="CC163" i="36"/>
  <c r="CB163" i="36"/>
  <c r="CA163" i="36"/>
  <c r="BZ163" i="36"/>
  <c r="BY163" i="36"/>
  <c r="BX163" i="36"/>
  <c r="BW163" i="36"/>
  <c r="BU163" i="36"/>
  <c r="D157" i="39" s="1"/>
  <c r="BT163" i="36"/>
  <c r="BV163" i="36"/>
  <c r="CF162" i="36"/>
  <c r="BF163" i="36"/>
  <c r="BE163" i="36"/>
  <c r="BD163" i="36"/>
  <c r="BC163" i="36"/>
  <c r="CC162" i="36"/>
  <c r="CB162" i="36"/>
  <c r="CA162" i="36"/>
  <c r="BZ162" i="36"/>
  <c r="BY162" i="36"/>
  <c r="BX162" i="36"/>
  <c r="BW162" i="36"/>
  <c r="BV162" i="36"/>
  <c r="BU162" i="36"/>
  <c r="D156" i="39" s="1"/>
  <c r="BT162" i="36"/>
  <c r="CE162" i="36"/>
  <c r="CE161" i="36"/>
  <c r="BF162" i="36"/>
  <c r="BE162" i="36"/>
  <c r="BD162" i="36"/>
  <c r="BC162" i="36"/>
  <c r="CC161" i="36"/>
  <c r="CB161" i="36"/>
  <c r="CA161" i="36"/>
  <c r="BZ161" i="36"/>
  <c r="BY161" i="36"/>
  <c r="BX161" i="36"/>
  <c r="BW161" i="36"/>
  <c r="BV161" i="36"/>
  <c r="BU161" i="36"/>
  <c r="D155" i="39" s="1"/>
  <c r="BT161" i="36"/>
  <c r="CF161" i="36"/>
  <c r="CE160" i="36"/>
  <c r="BF161" i="36"/>
  <c r="BE161" i="36"/>
  <c r="BD161" i="36"/>
  <c r="BC161" i="36"/>
  <c r="CC160" i="36"/>
  <c r="CB160" i="36"/>
  <c r="CA160" i="36"/>
  <c r="BZ160" i="36"/>
  <c r="BY160" i="36"/>
  <c r="BX160" i="36"/>
  <c r="BW160" i="36"/>
  <c r="BV160" i="36"/>
  <c r="BU160" i="36"/>
  <c r="D154" i="39" s="1"/>
  <c r="BT160" i="36"/>
  <c r="CF160" i="36"/>
  <c r="CF159" i="36"/>
  <c r="CE159" i="36"/>
  <c r="BF160" i="36"/>
  <c r="BE160" i="36"/>
  <c r="BD160" i="36"/>
  <c r="BC160" i="36"/>
  <c r="BG160" i="36" s="1"/>
  <c r="CC159" i="36"/>
  <c r="CB159" i="36"/>
  <c r="CA159" i="36"/>
  <c r="BZ159" i="36"/>
  <c r="BY159" i="36"/>
  <c r="BX159" i="36"/>
  <c r="BW159" i="36"/>
  <c r="BV159" i="36"/>
  <c r="BU159" i="36"/>
  <c r="D153" i="39" s="1"/>
  <c r="BT159" i="36"/>
  <c r="CE158" i="36"/>
  <c r="BF159" i="36"/>
  <c r="BE159" i="36"/>
  <c r="BD159" i="36"/>
  <c r="BC159" i="36"/>
  <c r="CC158" i="36"/>
  <c r="CB158" i="36"/>
  <c r="CA158" i="36"/>
  <c r="BZ158" i="36"/>
  <c r="BY158" i="36"/>
  <c r="BX158" i="36"/>
  <c r="BV158" i="36"/>
  <c r="BU158" i="36"/>
  <c r="BT158" i="36"/>
  <c r="CF158" i="36"/>
  <c r="BW158" i="36"/>
  <c r="CE157" i="36"/>
  <c r="BF158" i="36"/>
  <c r="BE158" i="36"/>
  <c r="BD158" i="36"/>
  <c r="BC158" i="36"/>
  <c r="CC157" i="36"/>
  <c r="CB157" i="36"/>
  <c r="CA157" i="36"/>
  <c r="BY157" i="36"/>
  <c r="BX157" i="36"/>
  <c r="BW157" i="36"/>
  <c r="BV157" i="36"/>
  <c r="BU157" i="36"/>
  <c r="BT157" i="36"/>
  <c r="CF157" i="36"/>
  <c r="BZ157" i="36"/>
  <c r="CE156" i="36"/>
  <c r="BF157" i="36"/>
  <c r="BE157" i="36"/>
  <c r="BD157" i="36"/>
  <c r="BC157" i="36"/>
  <c r="CC156" i="36"/>
  <c r="CB156" i="36"/>
  <c r="CA156" i="36"/>
  <c r="BZ156" i="36"/>
  <c r="BY156" i="36"/>
  <c r="BX156" i="36"/>
  <c r="BW156" i="36"/>
  <c r="BV156" i="36"/>
  <c r="BU156" i="36"/>
  <c r="BT156" i="36"/>
  <c r="CF156" i="36"/>
  <c r="CF155" i="36"/>
  <c r="CE155" i="36"/>
  <c r="BF156" i="36"/>
  <c r="BE156" i="36"/>
  <c r="BD156" i="36"/>
  <c r="BC156" i="36"/>
  <c r="CC155" i="36"/>
  <c r="CB155" i="36"/>
  <c r="CA155" i="36"/>
  <c r="BZ155" i="36"/>
  <c r="BY155" i="36"/>
  <c r="BX155" i="36"/>
  <c r="BW155" i="36"/>
  <c r="BV155" i="36"/>
  <c r="BU155" i="36"/>
  <c r="D149" i="39" s="1"/>
  <c r="BT155" i="36"/>
  <c r="CE154" i="36"/>
  <c r="BF155" i="36"/>
  <c r="BE155" i="36"/>
  <c r="BD155" i="36"/>
  <c r="BC155" i="36"/>
  <c r="CC154" i="36"/>
  <c r="CB154" i="36"/>
  <c r="CA154" i="36"/>
  <c r="BZ154" i="36"/>
  <c r="BY154" i="36"/>
  <c r="BW154" i="36"/>
  <c r="BV154" i="36"/>
  <c r="BU154" i="36"/>
  <c r="BT154" i="36"/>
  <c r="CF154" i="36"/>
  <c r="BX154" i="36"/>
  <c r="CE153" i="36"/>
  <c r="BF154" i="36"/>
  <c r="BE154" i="36"/>
  <c r="BD154" i="36"/>
  <c r="BC154" i="36"/>
  <c r="CC153" i="36"/>
  <c r="CB153" i="36"/>
  <c r="CA153" i="36"/>
  <c r="BZ153" i="36"/>
  <c r="BY153" i="36"/>
  <c r="BX153" i="36"/>
  <c r="BW153" i="36"/>
  <c r="BV153" i="36"/>
  <c r="BU153" i="36"/>
  <c r="D147" i="39" s="1"/>
  <c r="BT153" i="36"/>
  <c r="CF153" i="36"/>
  <c r="CE152" i="36"/>
  <c r="BF153" i="36"/>
  <c r="BE153" i="36"/>
  <c r="BD153" i="36"/>
  <c r="BC153" i="36"/>
  <c r="CC152" i="36"/>
  <c r="CB152" i="36"/>
  <c r="BZ152" i="36"/>
  <c r="BY152" i="36"/>
  <c r="BX152" i="36"/>
  <c r="BW152" i="36"/>
  <c r="BV152" i="36"/>
  <c r="BU152" i="36"/>
  <c r="D146" i="39" s="1"/>
  <c r="BT152" i="36"/>
  <c r="CF152" i="36"/>
  <c r="CA152" i="36"/>
  <c r="CF151" i="36"/>
  <c r="CE151" i="36"/>
  <c r="BF152" i="36"/>
  <c r="BE152" i="36"/>
  <c r="BD152" i="36"/>
  <c r="BC152" i="36"/>
  <c r="CC151" i="36"/>
  <c r="CB151" i="36"/>
  <c r="CA151" i="36"/>
  <c r="BZ151" i="36"/>
  <c r="BY151" i="36"/>
  <c r="BX151" i="36"/>
  <c r="BW151" i="36"/>
  <c r="BV151" i="36"/>
  <c r="BU151" i="36"/>
  <c r="D145" i="39" s="1"/>
  <c r="BT151" i="36"/>
  <c r="BF151" i="36"/>
  <c r="BE151" i="36"/>
  <c r="BD151" i="36"/>
  <c r="BC151" i="36"/>
  <c r="BG151" i="36" s="1"/>
  <c r="CC150" i="36"/>
  <c r="CB150" i="36"/>
  <c r="CA150" i="36"/>
  <c r="BZ150" i="36"/>
  <c r="BY150" i="36"/>
  <c r="BX150" i="36"/>
  <c r="BW150" i="36"/>
  <c r="BU150" i="36"/>
  <c r="D144" i="39" s="1"/>
  <c r="BT150" i="36"/>
  <c r="CF150" i="36"/>
  <c r="CE150" i="36"/>
  <c r="BV150" i="36"/>
  <c r="D144" i="38" s="1"/>
  <c r="CE149" i="36"/>
  <c r="BF150" i="36"/>
  <c r="BE150" i="36"/>
  <c r="BD150" i="36"/>
  <c r="BC150" i="36"/>
  <c r="CC149" i="36"/>
  <c r="CB149" i="36"/>
  <c r="CA149" i="36"/>
  <c r="BZ149" i="36"/>
  <c r="BY149" i="36"/>
  <c r="BX149" i="36"/>
  <c r="BW149" i="36"/>
  <c r="BV149" i="36"/>
  <c r="BU149" i="36"/>
  <c r="D143" i="39" s="1"/>
  <c r="BT149" i="36"/>
  <c r="CF149" i="36"/>
  <c r="CE148" i="36"/>
  <c r="BF149" i="36"/>
  <c r="BE149" i="36"/>
  <c r="BD149" i="36"/>
  <c r="BC149" i="36"/>
  <c r="CC148" i="36"/>
  <c r="CB148" i="36"/>
  <c r="CA148" i="36"/>
  <c r="BZ148" i="36"/>
  <c r="BY148" i="36"/>
  <c r="BX148" i="36"/>
  <c r="BW148" i="36"/>
  <c r="BV148" i="36"/>
  <c r="BU148" i="36"/>
  <c r="D142" i="39" s="1"/>
  <c r="BT148" i="36"/>
  <c r="CF148" i="36"/>
  <c r="CE147" i="36"/>
  <c r="BF148" i="36"/>
  <c r="BE148" i="36"/>
  <c r="BD148" i="36"/>
  <c r="BC148" i="36"/>
  <c r="CC147" i="36"/>
  <c r="CB147" i="36"/>
  <c r="CA147" i="36"/>
  <c r="BZ147" i="36"/>
  <c r="BY147" i="36"/>
  <c r="BX147" i="36"/>
  <c r="BW147" i="36"/>
  <c r="BV147" i="36"/>
  <c r="BU147" i="36"/>
  <c r="D141" i="39" s="1"/>
  <c r="BT147" i="36"/>
  <c r="CF147" i="36"/>
  <c r="CE146" i="36"/>
  <c r="BF147" i="36"/>
  <c r="BE147" i="36"/>
  <c r="BD147" i="36"/>
  <c r="BC147" i="36"/>
  <c r="CC146" i="36"/>
  <c r="CB146" i="36"/>
  <c r="CA146" i="36"/>
  <c r="BZ146" i="36"/>
  <c r="BY146" i="36"/>
  <c r="BX146" i="36"/>
  <c r="BW146" i="36"/>
  <c r="BV146" i="36"/>
  <c r="BU146" i="36"/>
  <c r="D140" i="39" s="1"/>
  <c r="BT146" i="36"/>
  <c r="CF146" i="36"/>
  <c r="CF145" i="36"/>
  <c r="BF146" i="36"/>
  <c r="BE146" i="36"/>
  <c r="BD146" i="36"/>
  <c r="BC146" i="36"/>
  <c r="CC145" i="36"/>
  <c r="CB145" i="36"/>
  <c r="CA145" i="36"/>
  <c r="BY145" i="36"/>
  <c r="BX145" i="36"/>
  <c r="BW145" i="36"/>
  <c r="BV145" i="36"/>
  <c r="BU145" i="36"/>
  <c r="D139" i="39" s="1"/>
  <c r="BT145" i="36"/>
  <c r="CE145" i="36"/>
  <c r="BZ145" i="36"/>
  <c r="CE144" i="36"/>
  <c r="BF145" i="36"/>
  <c r="BE145" i="36"/>
  <c r="BD145" i="36"/>
  <c r="BC145" i="36"/>
  <c r="CC144" i="36"/>
  <c r="CB144" i="36"/>
  <c r="CA144" i="36"/>
  <c r="BZ144" i="36"/>
  <c r="BY144" i="36"/>
  <c r="BX144" i="36"/>
  <c r="BW144" i="36"/>
  <c r="BV144" i="36"/>
  <c r="BU144" i="36"/>
  <c r="D138" i="39" s="1"/>
  <c r="BT144" i="36"/>
  <c r="CF144" i="36"/>
  <c r="CF143" i="36"/>
  <c r="BF144" i="36"/>
  <c r="BE144" i="36"/>
  <c r="BD144" i="36"/>
  <c r="BC144" i="36"/>
  <c r="CC143" i="36"/>
  <c r="CB143" i="36"/>
  <c r="CA143" i="36"/>
  <c r="BZ143" i="36"/>
  <c r="BY143" i="36"/>
  <c r="BX143" i="36"/>
  <c r="BW143" i="36"/>
  <c r="BV143" i="36"/>
  <c r="BU143" i="36"/>
  <c r="D137" i="39" s="1"/>
  <c r="BT143" i="36"/>
  <c r="CE143" i="36"/>
  <c r="CE142" i="36"/>
  <c r="BF143" i="36"/>
  <c r="BE143" i="36"/>
  <c r="BD143" i="36"/>
  <c r="BC143" i="36"/>
  <c r="CC142" i="36"/>
  <c r="CB142" i="36"/>
  <c r="CA142" i="36"/>
  <c r="BY142" i="36"/>
  <c r="BV142" i="36"/>
  <c r="BU142" i="36"/>
  <c r="D136" i="39" s="1"/>
  <c r="BT142" i="36"/>
  <c r="CF142" i="36"/>
  <c r="BZ142" i="36"/>
  <c r="BX142" i="36"/>
  <c r="BW142" i="36"/>
  <c r="CE141" i="36"/>
  <c r="BF142" i="36"/>
  <c r="BE142" i="36"/>
  <c r="BD142" i="36"/>
  <c r="BC142" i="36"/>
  <c r="CC141" i="36"/>
  <c r="CB141" i="36"/>
  <c r="CA141" i="36"/>
  <c r="BY141" i="36"/>
  <c r="BX141" i="36"/>
  <c r="BW141" i="36"/>
  <c r="BV141" i="36"/>
  <c r="BU141" i="36"/>
  <c r="D135" i="39" s="1"/>
  <c r="BT141" i="36"/>
  <c r="CF141" i="36"/>
  <c r="BZ141" i="36"/>
  <c r="CE140" i="36"/>
  <c r="BF141" i="36"/>
  <c r="BE141" i="36"/>
  <c r="BD141" i="36"/>
  <c r="BC141" i="36"/>
  <c r="CC140" i="36"/>
  <c r="CB140" i="36"/>
  <c r="CA140" i="36"/>
  <c r="BZ140" i="36"/>
  <c r="BY140" i="36"/>
  <c r="BX140" i="36"/>
  <c r="BW140" i="36"/>
  <c r="BV140" i="36"/>
  <c r="BU140" i="36"/>
  <c r="D134" i="39" s="1"/>
  <c r="BT140" i="36"/>
  <c r="CF140" i="36"/>
  <c r="CE139" i="36"/>
  <c r="BF140" i="36"/>
  <c r="BE140" i="36"/>
  <c r="BD140" i="36"/>
  <c r="BC140" i="36"/>
  <c r="CC139" i="36"/>
  <c r="CB139" i="36"/>
  <c r="CA139" i="36"/>
  <c r="BZ139" i="36"/>
  <c r="BY139" i="36"/>
  <c r="BX139" i="36"/>
  <c r="BV139" i="36"/>
  <c r="BU139" i="36"/>
  <c r="D133" i="39" s="1"/>
  <c r="BT139" i="36"/>
  <c r="CF139" i="36"/>
  <c r="BW139" i="36"/>
  <c r="CF138" i="36"/>
  <c r="BF139" i="36"/>
  <c r="BE139" i="36"/>
  <c r="BD139" i="36"/>
  <c r="BC139" i="36"/>
  <c r="CC138" i="36"/>
  <c r="CB138" i="36"/>
  <c r="CA138" i="36"/>
  <c r="BZ138" i="36"/>
  <c r="BY138" i="36"/>
  <c r="BX138" i="36"/>
  <c r="BW138" i="36"/>
  <c r="BU138" i="36"/>
  <c r="D132" i="39" s="1"/>
  <c r="BT138" i="36"/>
  <c r="CE138" i="36"/>
  <c r="BV138" i="36"/>
  <c r="CE137" i="36"/>
  <c r="BF138" i="36"/>
  <c r="BE138" i="36"/>
  <c r="BD138" i="36"/>
  <c r="BC138" i="36"/>
  <c r="CC137" i="36"/>
  <c r="CB137" i="36"/>
  <c r="CA137" i="36"/>
  <c r="BZ137" i="36"/>
  <c r="BY137" i="36"/>
  <c r="BX137" i="36"/>
  <c r="BW137" i="36"/>
  <c r="BV137" i="36"/>
  <c r="BU137" i="36"/>
  <c r="D131" i="39" s="1"/>
  <c r="BT137" i="36"/>
  <c r="CF137" i="36"/>
  <c r="CF136" i="36"/>
  <c r="CE136" i="36"/>
  <c r="BF137" i="36"/>
  <c r="BE137" i="36"/>
  <c r="BD137" i="36"/>
  <c r="BC137" i="36"/>
  <c r="CC136" i="36"/>
  <c r="CB136" i="36"/>
  <c r="CA136" i="36"/>
  <c r="BY136" i="36"/>
  <c r="BX136" i="36"/>
  <c r="BW136" i="36"/>
  <c r="BV136" i="36"/>
  <c r="BU136" i="36"/>
  <c r="D130" i="39" s="1"/>
  <c r="BT136" i="36"/>
  <c r="BZ136" i="36"/>
  <c r="CF135" i="36"/>
  <c r="CE135" i="36"/>
  <c r="BF136" i="36"/>
  <c r="BE136" i="36"/>
  <c r="BD136" i="36"/>
  <c r="BC136" i="36"/>
  <c r="CC135" i="36"/>
  <c r="CB135" i="36"/>
  <c r="CA135" i="36"/>
  <c r="BZ135" i="36"/>
  <c r="BY135" i="36"/>
  <c r="BX135" i="36"/>
  <c r="BW135" i="36"/>
  <c r="BV135" i="36"/>
  <c r="BU135" i="36"/>
  <c r="D129" i="39" s="1"/>
  <c r="BT135" i="36"/>
  <c r="CF134" i="36"/>
  <c r="CE134" i="36"/>
  <c r="BF135" i="36"/>
  <c r="BE135" i="36"/>
  <c r="BD135" i="36"/>
  <c r="BC135" i="36"/>
  <c r="BG135" i="36" s="1"/>
  <c r="CD134" i="36" s="1"/>
  <c r="CC134" i="36"/>
  <c r="CB134" i="36"/>
  <c r="CA134" i="36"/>
  <c r="BZ134" i="36"/>
  <c r="BY134" i="36"/>
  <c r="BX134" i="36"/>
  <c r="BW134" i="36"/>
  <c r="BV134" i="36"/>
  <c r="BU134" i="36"/>
  <c r="D128" i="39" s="1"/>
  <c r="BT134" i="36"/>
  <c r="BF134" i="36"/>
  <c r="BE134" i="36"/>
  <c r="BD134" i="36"/>
  <c r="BC134" i="36"/>
  <c r="CC133" i="36"/>
  <c r="CB133" i="36"/>
  <c r="CA133" i="36"/>
  <c r="BZ133" i="36"/>
  <c r="BY133" i="36"/>
  <c r="BX133" i="36"/>
  <c r="BW133" i="36"/>
  <c r="BV133" i="36"/>
  <c r="BU133" i="36"/>
  <c r="D127" i="39" s="1"/>
  <c r="BT133" i="36"/>
  <c r="CF133" i="36"/>
  <c r="CE133" i="36"/>
  <c r="CE132" i="36"/>
  <c r="BF133" i="36"/>
  <c r="BE133" i="36"/>
  <c r="BD133" i="36"/>
  <c r="BC133" i="36"/>
  <c r="CC132" i="36"/>
  <c r="CB132" i="36"/>
  <c r="CA132" i="36"/>
  <c r="BZ132" i="36"/>
  <c r="BY132" i="36"/>
  <c r="BX132" i="36"/>
  <c r="BW132" i="36"/>
  <c r="BV132" i="36"/>
  <c r="BU132" i="36"/>
  <c r="D126" i="39" s="1"/>
  <c r="BT132" i="36"/>
  <c r="CF132" i="36"/>
  <c r="CE131" i="36"/>
  <c r="BF132" i="36"/>
  <c r="BE132" i="36"/>
  <c r="BD132" i="36"/>
  <c r="BC132" i="36"/>
  <c r="CC131" i="36"/>
  <c r="BZ131" i="36"/>
  <c r="BY131" i="36"/>
  <c r="BX131" i="36"/>
  <c r="BW131" i="36"/>
  <c r="BV131" i="36"/>
  <c r="BU131" i="36"/>
  <c r="D125" i="39" s="1"/>
  <c r="BT131" i="36"/>
  <c r="CF131" i="36"/>
  <c r="CB131" i="36"/>
  <c r="CA131" i="36"/>
  <c r="CE130" i="36"/>
  <c r="BF131" i="36"/>
  <c r="BE131" i="36"/>
  <c r="BD131" i="36"/>
  <c r="BC131" i="36"/>
  <c r="CC130" i="36"/>
  <c r="CB130" i="36"/>
  <c r="CA130" i="36"/>
  <c r="BZ130" i="36"/>
  <c r="BY130" i="36"/>
  <c r="BX130" i="36"/>
  <c r="BW130" i="36"/>
  <c r="BV130" i="36"/>
  <c r="BU130" i="36"/>
  <c r="BT130" i="36"/>
  <c r="CF130" i="36"/>
  <c r="CE129" i="36"/>
  <c r="BF130" i="36"/>
  <c r="BE130" i="36"/>
  <c r="BD130" i="36"/>
  <c r="BC130" i="36"/>
  <c r="CC129" i="36"/>
  <c r="CB129" i="36"/>
  <c r="CA129" i="36"/>
  <c r="BZ129" i="36"/>
  <c r="BY129" i="36"/>
  <c r="BX129" i="36"/>
  <c r="BW129" i="36"/>
  <c r="BV129" i="36"/>
  <c r="BU129" i="36"/>
  <c r="D123" i="39" s="1"/>
  <c r="BT129" i="36"/>
  <c r="CF129" i="36"/>
  <c r="BF129" i="36"/>
  <c r="BE129" i="36"/>
  <c r="BD129" i="36"/>
  <c r="BC129" i="36"/>
  <c r="CC128" i="36"/>
  <c r="CB128" i="36"/>
  <c r="CA128" i="36"/>
  <c r="BZ128" i="36"/>
  <c r="BY128" i="36"/>
  <c r="BX128" i="36"/>
  <c r="BW128" i="36"/>
  <c r="BV128" i="36"/>
  <c r="BU128" i="36"/>
  <c r="BT128" i="36"/>
  <c r="CF128" i="36"/>
  <c r="CE128" i="36"/>
  <c r="CF127" i="36"/>
  <c r="BF128" i="36"/>
  <c r="BE128" i="36"/>
  <c r="BD128" i="36"/>
  <c r="BC128" i="36"/>
  <c r="BG128" i="36" s="1"/>
  <c r="CD127" i="36" s="1"/>
  <c r="CC127" i="36"/>
  <c r="CB127" i="36"/>
  <c r="CA127" i="36"/>
  <c r="BY127" i="36"/>
  <c r="BX127" i="36"/>
  <c r="BW127" i="36"/>
  <c r="BV127" i="36"/>
  <c r="BU127" i="36"/>
  <c r="D121" i="39" s="1"/>
  <c r="BT127" i="36"/>
  <c r="CE127" i="36"/>
  <c r="BZ127" i="36"/>
  <c r="CE126" i="36"/>
  <c r="BF127" i="36"/>
  <c r="BE127" i="36"/>
  <c r="BD127" i="36"/>
  <c r="BC127" i="36"/>
  <c r="BG127" i="36" s="1"/>
  <c r="CC126" i="36"/>
  <c r="CB126" i="36"/>
  <c r="CA126" i="36"/>
  <c r="BZ126" i="36"/>
  <c r="BX126" i="36"/>
  <c r="BW126" i="36"/>
  <c r="BV126" i="36"/>
  <c r="BU126" i="36"/>
  <c r="D120" i="39" s="1"/>
  <c r="BT126" i="36"/>
  <c r="CF126" i="36"/>
  <c r="BY126" i="36"/>
  <c r="CF125" i="36"/>
  <c r="CE125" i="36"/>
  <c r="BF126" i="36"/>
  <c r="BE126" i="36"/>
  <c r="BD126" i="36"/>
  <c r="BC126" i="36"/>
  <c r="CC125" i="36"/>
  <c r="CB125" i="36"/>
  <c r="BZ125" i="36"/>
  <c r="BY125" i="36"/>
  <c r="BX125" i="36"/>
  <c r="BW125" i="36"/>
  <c r="BV125" i="36"/>
  <c r="BU125" i="36"/>
  <c r="D119" i="39" s="1"/>
  <c r="BT125" i="36"/>
  <c r="CA125" i="36"/>
  <c r="CF124" i="36"/>
  <c r="CE124" i="36"/>
  <c r="BF125" i="36"/>
  <c r="BE125" i="36"/>
  <c r="BD125" i="36"/>
  <c r="BC125" i="36"/>
  <c r="CC124" i="36"/>
  <c r="CB124" i="36"/>
  <c r="CA124" i="36"/>
  <c r="BZ124" i="36"/>
  <c r="BY124" i="36"/>
  <c r="BX124" i="36"/>
  <c r="BW124" i="36"/>
  <c r="BV124" i="36"/>
  <c r="D118" i="38" s="1"/>
  <c r="BU124" i="36"/>
  <c r="D118" i="39" s="1"/>
  <c r="BT124" i="36"/>
  <c r="BF124" i="36"/>
  <c r="BE124" i="36"/>
  <c r="BD124" i="36"/>
  <c r="BC124" i="36"/>
  <c r="CC123" i="36"/>
  <c r="CB123" i="36"/>
  <c r="CA123" i="36"/>
  <c r="BZ123" i="36"/>
  <c r="BY123" i="36"/>
  <c r="BX123" i="36"/>
  <c r="BW123" i="36"/>
  <c r="BV123" i="36"/>
  <c r="BU123" i="36"/>
  <c r="D117" i="39" s="1"/>
  <c r="CF123" i="36"/>
  <c r="CE123" i="36"/>
  <c r="BT123" i="36"/>
  <c r="CE122" i="36"/>
  <c r="BF123" i="36"/>
  <c r="BE123" i="36"/>
  <c r="BD123" i="36"/>
  <c r="BC123" i="36"/>
  <c r="BG123" i="36" s="1"/>
  <c r="CC122" i="36"/>
  <c r="CB122" i="36"/>
  <c r="CA122" i="36"/>
  <c r="BZ122" i="36"/>
  <c r="BY122" i="36"/>
  <c r="BX122" i="36"/>
  <c r="BW122" i="36"/>
  <c r="BV122" i="36"/>
  <c r="BU122" i="36"/>
  <c r="BT122" i="36"/>
  <c r="CF122" i="36"/>
  <c r="CF121" i="36"/>
  <c r="CE121" i="36"/>
  <c r="BF122" i="36"/>
  <c r="BE122" i="36"/>
  <c r="BD122" i="36"/>
  <c r="BC122" i="36"/>
  <c r="CC121" i="36"/>
  <c r="CB121" i="36"/>
  <c r="CA121" i="36"/>
  <c r="BZ121" i="36"/>
  <c r="BY121" i="36"/>
  <c r="BV121" i="36"/>
  <c r="BU121" i="36"/>
  <c r="D115" i="39" s="1"/>
  <c r="BT121" i="36"/>
  <c r="BX121" i="36"/>
  <c r="BW121" i="36"/>
  <c r="CF120" i="36"/>
  <c r="CE120" i="36"/>
  <c r="BF121" i="36"/>
  <c r="BE121" i="36"/>
  <c r="BD121" i="36"/>
  <c r="BC121" i="36"/>
  <c r="CC120" i="36"/>
  <c r="CB120" i="36"/>
  <c r="CA120" i="36"/>
  <c r="BZ120" i="36"/>
  <c r="BY120" i="36"/>
  <c r="BX120" i="36"/>
  <c r="BW120" i="36"/>
  <c r="BV120" i="36"/>
  <c r="BU120" i="36"/>
  <c r="D114" i="39" s="1"/>
  <c r="BT120" i="36"/>
  <c r="CE119" i="36"/>
  <c r="BF120" i="36"/>
  <c r="BE120" i="36"/>
  <c r="BD120" i="36"/>
  <c r="BC120" i="36"/>
  <c r="CC119" i="36"/>
  <c r="CB119" i="36"/>
  <c r="BY119" i="36"/>
  <c r="BX119" i="36"/>
  <c r="BW119" i="36"/>
  <c r="BV119" i="36"/>
  <c r="BU119" i="36"/>
  <c r="D113" i="39" s="1"/>
  <c r="CF119" i="36"/>
  <c r="CA119" i="36"/>
  <c r="BZ119" i="36"/>
  <c r="BT119" i="36"/>
  <c r="CE118" i="36"/>
  <c r="BF119" i="36"/>
  <c r="BE119" i="36"/>
  <c r="BD119" i="36"/>
  <c r="BC119" i="36"/>
  <c r="CC118" i="36"/>
  <c r="CB118" i="36"/>
  <c r="CA118" i="36"/>
  <c r="BY118" i="36"/>
  <c r="BX118" i="36"/>
  <c r="BW118" i="36"/>
  <c r="BV118" i="36"/>
  <c r="BT118" i="36"/>
  <c r="CF118" i="36"/>
  <c r="BZ118" i="36"/>
  <c r="BU118" i="36"/>
  <c r="D112" i="39" s="1"/>
  <c r="CF117" i="36"/>
  <c r="BF118" i="36"/>
  <c r="BE118" i="36"/>
  <c r="BD118" i="36"/>
  <c r="BC118" i="36"/>
  <c r="CC117" i="36"/>
  <c r="CB117" i="36"/>
  <c r="CA117" i="36"/>
  <c r="BZ117" i="36"/>
  <c r="BY117" i="36"/>
  <c r="BX117" i="36"/>
  <c r="BW117" i="36"/>
  <c r="BV117" i="36"/>
  <c r="BU117" i="36"/>
  <c r="BT117" i="36"/>
  <c r="CE117" i="36"/>
  <c r="CF116" i="36"/>
  <c r="CE116" i="36"/>
  <c r="BF117" i="36"/>
  <c r="BE117" i="36"/>
  <c r="BD117" i="36"/>
  <c r="BC117" i="36"/>
  <c r="CC116" i="36"/>
  <c r="CB116" i="36"/>
  <c r="CA116" i="36"/>
  <c r="BZ116" i="36"/>
  <c r="BY116" i="36"/>
  <c r="BX116" i="36"/>
  <c r="BW116" i="36"/>
  <c r="BV116" i="36"/>
  <c r="BU116" i="36"/>
  <c r="D110" i="39" s="1"/>
  <c r="BT116" i="36"/>
  <c r="CF115" i="36"/>
  <c r="CE115" i="36"/>
  <c r="BF116" i="36"/>
  <c r="BE116" i="36"/>
  <c r="BD116" i="36"/>
  <c r="BC116" i="36"/>
  <c r="CC115" i="36"/>
  <c r="CA115" i="36"/>
  <c r="BZ115" i="36"/>
  <c r="BY115" i="36"/>
  <c r="BX115" i="36"/>
  <c r="BW115" i="36"/>
  <c r="BV115" i="36"/>
  <c r="BU115" i="36"/>
  <c r="D109" i="39" s="1"/>
  <c r="BT115" i="36"/>
  <c r="CB115" i="36"/>
  <c r="CE114" i="36"/>
  <c r="BF115" i="36"/>
  <c r="BE115" i="36"/>
  <c r="BD115" i="36"/>
  <c r="BC115" i="36"/>
  <c r="BG115" i="36" s="1"/>
  <c r="CC114" i="36"/>
  <c r="CB114" i="36"/>
  <c r="CA114" i="36"/>
  <c r="BZ114" i="36"/>
  <c r="BY114" i="36"/>
  <c r="BX114" i="36"/>
  <c r="BW114" i="36"/>
  <c r="BV114" i="36"/>
  <c r="BU114" i="36"/>
  <c r="D108" i="39" s="1"/>
  <c r="BT114" i="36"/>
  <c r="CF114" i="36"/>
  <c r="CF113" i="36"/>
  <c r="CE113" i="36"/>
  <c r="BF114" i="36"/>
  <c r="BE114" i="36"/>
  <c r="BD114" i="36"/>
  <c r="BC114" i="36"/>
  <c r="CC113" i="36"/>
  <c r="CB113" i="36"/>
  <c r="CA113" i="36"/>
  <c r="BZ113" i="36"/>
  <c r="BY113" i="36"/>
  <c r="BX113" i="36"/>
  <c r="BW113" i="36"/>
  <c r="BV113" i="36"/>
  <c r="BU113" i="36"/>
  <c r="D107" i="39" s="1"/>
  <c r="BT113" i="36"/>
  <c r="CF112" i="36"/>
  <c r="CE112" i="36"/>
  <c r="BF113" i="36"/>
  <c r="BE113" i="36"/>
  <c r="BD113" i="36"/>
  <c r="BC113" i="36"/>
  <c r="CC112" i="36"/>
  <c r="CB112" i="36"/>
  <c r="CA112" i="36"/>
  <c r="BZ112" i="36"/>
  <c r="BX112" i="36"/>
  <c r="BW112" i="36"/>
  <c r="BV112" i="36"/>
  <c r="BU112" i="36"/>
  <c r="D106" i="39" s="1"/>
  <c r="BT112" i="36"/>
  <c r="BY112" i="36"/>
  <c r="CF111" i="36"/>
  <c r="CE111" i="36"/>
  <c r="BF112" i="36"/>
  <c r="BE112" i="36"/>
  <c r="BD112" i="36"/>
  <c r="BC112" i="36"/>
  <c r="CC111" i="36"/>
  <c r="CB111" i="36"/>
  <c r="CA111" i="36"/>
  <c r="BY111" i="36"/>
  <c r="BX111" i="36"/>
  <c r="BW111" i="36"/>
  <c r="BV111" i="36"/>
  <c r="BU111" i="36"/>
  <c r="D105" i="39" s="1"/>
  <c r="BT111" i="36"/>
  <c r="BZ111" i="36"/>
  <c r="CE110" i="36"/>
  <c r="BF111" i="36"/>
  <c r="BE111" i="36"/>
  <c r="BD111" i="36"/>
  <c r="BC111" i="36"/>
  <c r="CC110" i="36"/>
  <c r="CB110" i="36"/>
  <c r="CA110" i="36"/>
  <c r="BY110" i="36"/>
  <c r="BX110" i="36"/>
  <c r="BW110" i="36"/>
  <c r="BV110" i="36"/>
  <c r="BU110" i="36"/>
  <c r="D104" i="39" s="1"/>
  <c r="BT110" i="36"/>
  <c r="CF110" i="36"/>
  <c r="BZ110" i="36"/>
  <c r="CF109" i="36"/>
  <c r="CE109" i="36"/>
  <c r="BF110" i="36"/>
  <c r="BE110" i="36"/>
  <c r="BD110" i="36"/>
  <c r="BC110" i="36"/>
  <c r="CC109" i="36"/>
  <c r="CA109" i="36"/>
  <c r="BZ109" i="36"/>
  <c r="BY109" i="36"/>
  <c r="BX109" i="36"/>
  <c r="BW109" i="36"/>
  <c r="BV109" i="36"/>
  <c r="BU109" i="36"/>
  <c r="D103" i="39" s="1"/>
  <c r="BT109" i="36"/>
  <c r="CB109" i="36"/>
  <c r="CF108" i="36"/>
  <c r="CE108" i="36"/>
  <c r="BF109" i="36"/>
  <c r="BE109" i="36"/>
  <c r="BD109" i="36"/>
  <c r="BC109" i="36"/>
  <c r="CC108" i="36"/>
  <c r="CB108" i="36"/>
  <c r="CA108" i="36"/>
  <c r="BZ108" i="36"/>
  <c r="BY108" i="36"/>
  <c r="BX108" i="36"/>
  <c r="BW108" i="36"/>
  <c r="BV108" i="36"/>
  <c r="BU108" i="36"/>
  <c r="D102" i="39" s="1"/>
  <c r="BT108" i="36"/>
  <c r="CF107" i="36"/>
  <c r="CE107" i="36"/>
  <c r="BF108" i="36"/>
  <c r="BE108" i="36"/>
  <c r="BD108" i="36"/>
  <c r="BC108" i="36"/>
  <c r="CC107" i="36"/>
  <c r="CB107" i="36"/>
  <c r="CA107" i="36"/>
  <c r="BZ107" i="36"/>
  <c r="BY107" i="36"/>
  <c r="BX107" i="36"/>
  <c r="BW107" i="36"/>
  <c r="BV107" i="36"/>
  <c r="BU107" i="36"/>
  <c r="D101" i="39" s="1"/>
  <c r="BT107" i="36"/>
  <c r="CF106" i="36"/>
  <c r="CE106" i="36"/>
  <c r="BF107" i="36"/>
  <c r="BE107" i="36"/>
  <c r="BD107" i="36"/>
  <c r="BC107" i="36"/>
  <c r="CB106" i="36"/>
  <c r="CA106" i="36"/>
  <c r="BZ106" i="36"/>
  <c r="BY106" i="36"/>
  <c r="BX106" i="36"/>
  <c r="BW106" i="36"/>
  <c r="BV106" i="36"/>
  <c r="BU106" i="36"/>
  <c r="D100" i="39" s="1"/>
  <c r="BT106" i="36"/>
  <c r="CC106" i="36"/>
  <c r="CF105" i="36"/>
  <c r="CE105" i="36"/>
  <c r="BF106" i="36"/>
  <c r="BE106" i="36"/>
  <c r="BD106" i="36"/>
  <c r="BC106" i="36"/>
  <c r="CC105" i="36"/>
  <c r="CB105" i="36"/>
  <c r="CA105" i="36"/>
  <c r="BZ105" i="36"/>
  <c r="BY105" i="36"/>
  <c r="BX105" i="36"/>
  <c r="BW105" i="36"/>
  <c r="BU105" i="36"/>
  <c r="D99" i="39" s="1"/>
  <c r="BT105" i="36"/>
  <c r="BV105" i="36"/>
  <c r="CF104" i="36"/>
  <c r="CE104" i="36"/>
  <c r="BF105" i="36"/>
  <c r="BE105" i="36"/>
  <c r="BD105" i="36"/>
  <c r="BC105" i="36"/>
  <c r="CC104" i="36"/>
  <c r="CB104" i="36"/>
  <c r="CA104" i="36"/>
  <c r="BZ104" i="36"/>
  <c r="BY104" i="36"/>
  <c r="BX104" i="36"/>
  <c r="BW104" i="36"/>
  <c r="BV104" i="36"/>
  <c r="BU104" i="36"/>
  <c r="D98" i="39" s="1"/>
  <c r="BT104" i="36"/>
  <c r="CF103" i="36"/>
  <c r="CE103" i="36"/>
  <c r="BF104" i="36"/>
  <c r="BE104" i="36"/>
  <c r="BD104" i="36"/>
  <c r="BC104" i="36"/>
  <c r="CC103" i="36"/>
  <c r="CA103" i="36"/>
  <c r="BZ103" i="36"/>
  <c r="BY103" i="36"/>
  <c r="BX103" i="36"/>
  <c r="BW103" i="36"/>
  <c r="BV103" i="36"/>
  <c r="BU103" i="36"/>
  <c r="D97" i="39" s="1"/>
  <c r="BT103" i="36"/>
  <c r="CB103" i="36"/>
  <c r="CE102" i="36"/>
  <c r="BF103" i="36"/>
  <c r="BE103" i="36"/>
  <c r="BD103" i="36"/>
  <c r="BC103" i="36"/>
  <c r="CC102" i="36"/>
  <c r="CB102" i="36"/>
  <c r="CA102" i="36"/>
  <c r="BY102" i="36"/>
  <c r="BX102" i="36"/>
  <c r="BW102" i="36"/>
  <c r="BV102" i="36"/>
  <c r="BU102" i="36"/>
  <c r="BT102" i="36"/>
  <c r="CF102" i="36"/>
  <c r="BZ102" i="36"/>
  <c r="CF101" i="36"/>
  <c r="CE101" i="36"/>
  <c r="BF102" i="36"/>
  <c r="BE102" i="36"/>
  <c r="BD102" i="36"/>
  <c r="BC102" i="36"/>
  <c r="CC101" i="36"/>
  <c r="CA101" i="36"/>
  <c r="BZ101" i="36"/>
  <c r="BY101" i="36"/>
  <c r="BX101" i="36"/>
  <c r="BW101" i="36"/>
  <c r="BV101" i="36"/>
  <c r="BU101" i="36"/>
  <c r="D95" i="39" s="1"/>
  <c r="BT101" i="36"/>
  <c r="CB101" i="36"/>
  <c r="CF100" i="36"/>
  <c r="CE100" i="36"/>
  <c r="BF101" i="36"/>
  <c r="BE101" i="36"/>
  <c r="BD101" i="36"/>
  <c r="BC101" i="36"/>
  <c r="CC100" i="36"/>
  <c r="CB100" i="36"/>
  <c r="CA100" i="36"/>
  <c r="BZ100" i="36"/>
  <c r="BY100" i="36"/>
  <c r="BX100" i="36"/>
  <c r="BW100" i="36"/>
  <c r="BV100" i="36"/>
  <c r="BU100" i="36"/>
  <c r="D94" i="39" s="1"/>
  <c r="BT100" i="36"/>
  <c r="CF99" i="36"/>
  <c r="CE99" i="36"/>
  <c r="BF100" i="36"/>
  <c r="BE100" i="36"/>
  <c r="BD100" i="36"/>
  <c r="BC100" i="36"/>
  <c r="CC99" i="36"/>
  <c r="CB99" i="36"/>
  <c r="CA99" i="36"/>
  <c r="BZ99" i="36"/>
  <c r="BY99" i="36"/>
  <c r="BX99" i="36"/>
  <c r="BW99" i="36"/>
  <c r="BV99" i="36"/>
  <c r="BU99" i="36"/>
  <c r="D93" i="39" s="1"/>
  <c r="BT99" i="36"/>
  <c r="CE98" i="36"/>
  <c r="BF99" i="36"/>
  <c r="BE99" i="36"/>
  <c r="BD99" i="36"/>
  <c r="BC99" i="36"/>
  <c r="CC98" i="36"/>
  <c r="CB98" i="36"/>
  <c r="CA98" i="36"/>
  <c r="BY98" i="36"/>
  <c r="BX98" i="36"/>
  <c r="BW98" i="36"/>
  <c r="BV98" i="36"/>
  <c r="BU98" i="36"/>
  <c r="D92" i="39" s="1"/>
  <c r="BT98" i="36"/>
  <c r="CF98" i="36"/>
  <c r="BZ98" i="36"/>
  <c r="CF97" i="36"/>
  <c r="CE97" i="36"/>
  <c r="BF98" i="36"/>
  <c r="BE98" i="36"/>
  <c r="BD98" i="36"/>
  <c r="BC98" i="36"/>
  <c r="CC97" i="36"/>
  <c r="CB97" i="36"/>
  <c r="CA97" i="36"/>
  <c r="BZ97" i="36"/>
  <c r="BY97" i="36"/>
  <c r="BW97" i="36"/>
  <c r="BV97" i="36"/>
  <c r="BU97" i="36"/>
  <c r="D91" i="39" s="1"/>
  <c r="BT97" i="36"/>
  <c r="BX97" i="36"/>
  <c r="CF96" i="36"/>
  <c r="CE96" i="36"/>
  <c r="BF97" i="36"/>
  <c r="BE97" i="36"/>
  <c r="BD97" i="36"/>
  <c r="BC97" i="36"/>
  <c r="CC96" i="36"/>
  <c r="CB96" i="36"/>
  <c r="CA96" i="36"/>
  <c r="BZ96" i="36"/>
  <c r="BY96" i="36"/>
  <c r="BX96" i="36"/>
  <c r="BW96" i="36"/>
  <c r="BT96" i="36"/>
  <c r="BV96" i="36"/>
  <c r="BU96" i="36"/>
  <c r="CF95" i="36"/>
  <c r="BF96" i="36"/>
  <c r="BE96" i="36"/>
  <c r="BD96" i="36"/>
  <c r="BC96" i="36"/>
  <c r="CC95" i="36"/>
  <c r="CB95" i="36"/>
  <c r="CA95" i="36"/>
  <c r="BZ95" i="36"/>
  <c r="BY95" i="36"/>
  <c r="BX95" i="36"/>
  <c r="BW95" i="36"/>
  <c r="BV95" i="36"/>
  <c r="BU95" i="36"/>
  <c r="D89" i="39" s="1"/>
  <c r="BT95" i="36"/>
  <c r="CE95" i="36"/>
  <c r="CE94" i="36"/>
  <c r="BF95" i="36"/>
  <c r="BE95" i="36"/>
  <c r="BD95" i="36"/>
  <c r="BC95" i="36"/>
  <c r="CC94" i="36"/>
  <c r="CB94" i="36"/>
  <c r="CA94" i="36"/>
  <c r="BZ94" i="36"/>
  <c r="BY94" i="36"/>
  <c r="BX94" i="36"/>
  <c r="BW94" i="36"/>
  <c r="BT94" i="36"/>
  <c r="CF94" i="36"/>
  <c r="BV94" i="36"/>
  <c r="BU94" i="36"/>
  <c r="D88" i="39" s="1"/>
  <c r="CF93" i="36"/>
  <c r="BF94" i="36"/>
  <c r="BE94" i="36"/>
  <c r="BD94" i="36"/>
  <c r="BC94" i="36"/>
  <c r="CC93" i="36"/>
  <c r="CB93" i="36"/>
  <c r="CA93" i="36"/>
  <c r="BZ93" i="36"/>
  <c r="BY93" i="36"/>
  <c r="BX93" i="36"/>
  <c r="BW93" i="36"/>
  <c r="BV93" i="36"/>
  <c r="BU93" i="36"/>
  <c r="D87" i="39" s="1"/>
  <c r="BT93" i="36"/>
  <c r="CE93" i="36"/>
  <c r="CF92" i="36"/>
  <c r="CE92" i="36"/>
  <c r="BF93" i="36"/>
  <c r="BE93" i="36"/>
  <c r="BD93" i="36"/>
  <c r="BC93" i="36"/>
  <c r="CB92" i="36"/>
  <c r="CA92" i="36"/>
  <c r="BZ92" i="36"/>
  <c r="BY92" i="36"/>
  <c r="BX92" i="36"/>
  <c r="BW92" i="36"/>
  <c r="BV92" i="36"/>
  <c r="BU92" i="36"/>
  <c r="BT92" i="36"/>
  <c r="CC92" i="36"/>
  <c r="CF91" i="36"/>
  <c r="CE91" i="36"/>
  <c r="BF92" i="36"/>
  <c r="BE92" i="36"/>
  <c r="BD92" i="36"/>
  <c r="BC92" i="36"/>
  <c r="CC91" i="36"/>
  <c r="CB91" i="36"/>
  <c r="CA91" i="36"/>
  <c r="BZ91" i="36"/>
  <c r="BY91" i="36"/>
  <c r="BX91" i="36"/>
  <c r="BW91" i="36"/>
  <c r="BV91" i="36"/>
  <c r="BU91" i="36"/>
  <c r="D85" i="39" s="1"/>
  <c r="BT91" i="36"/>
  <c r="CE90" i="36"/>
  <c r="BF91" i="36"/>
  <c r="BE91" i="36"/>
  <c r="BD91" i="36"/>
  <c r="BC91" i="36"/>
  <c r="CC90" i="36"/>
  <c r="CB90" i="36"/>
  <c r="CA90" i="36"/>
  <c r="BY90" i="36"/>
  <c r="BX90" i="36"/>
  <c r="BW90" i="36"/>
  <c r="BV90" i="36"/>
  <c r="BU90" i="36"/>
  <c r="D84" i="39" s="1"/>
  <c r="BT90" i="36"/>
  <c r="CF90" i="36"/>
  <c r="BZ90" i="36"/>
  <c r="CF89" i="36"/>
  <c r="CE89" i="36"/>
  <c r="BF90" i="36"/>
  <c r="BE90" i="36"/>
  <c r="BD90" i="36"/>
  <c r="BC90" i="36"/>
  <c r="CC89" i="36"/>
  <c r="CB89" i="36"/>
  <c r="CA89" i="36"/>
  <c r="BZ89" i="36"/>
  <c r="BY89" i="36"/>
  <c r="BX89" i="36"/>
  <c r="BW89" i="36"/>
  <c r="BV89" i="36"/>
  <c r="BU89" i="36"/>
  <c r="D83" i="39" s="1"/>
  <c r="BT89" i="36"/>
  <c r="CF88" i="36"/>
  <c r="CE88" i="36"/>
  <c r="BF89" i="36"/>
  <c r="BE89" i="36"/>
  <c r="BD89" i="36"/>
  <c r="BC89" i="36"/>
  <c r="CC88" i="36"/>
  <c r="CB88" i="36"/>
  <c r="CA88" i="36"/>
  <c r="BZ88" i="36"/>
  <c r="BY88" i="36"/>
  <c r="BX88" i="36"/>
  <c r="BW88" i="36"/>
  <c r="BV88" i="36"/>
  <c r="BU88" i="36"/>
  <c r="D82" i="39" s="1"/>
  <c r="BT88" i="36"/>
  <c r="CF87" i="36"/>
  <c r="CE87" i="36"/>
  <c r="BF88" i="36"/>
  <c r="BE88" i="36"/>
  <c r="BD88" i="36"/>
  <c r="BC88" i="36"/>
  <c r="CC87" i="36"/>
  <c r="CB87" i="36"/>
  <c r="CA87" i="36"/>
  <c r="BZ87" i="36"/>
  <c r="BY87" i="36"/>
  <c r="BX87" i="36"/>
  <c r="BV87" i="36"/>
  <c r="BU87" i="36"/>
  <c r="D81" i="39" s="1"/>
  <c r="BT87" i="36"/>
  <c r="BW87" i="36"/>
  <c r="CE86" i="36"/>
  <c r="BF87" i="36"/>
  <c r="BE87" i="36"/>
  <c r="BD87" i="36"/>
  <c r="BC87" i="36"/>
  <c r="CC86" i="36"/>
  <c r="CB86" i="36"/>
  <c r="CA86" i="36"/>
  <c r="BW86" i="36"/>
  <c r="BV86" i="36"/>
  <c r="BU86" i="36"/>
  <c r="D80" i="39" s="1"/>
  <c r="BT86" i="36"/>
  <c r="CF86" i="36"/>
  <c r="BZ86" i="36"/>
  <c r="BY86" i="36"/>
  <c r="BX86" i="36"/>
  <c r="CF85" i="36"/>
  <c r="CE85" i="36"/>
  <c r="BF86" i="36"/>
  <c r="BE86" i="36"/>
  <c r="BD86" i="36"/>
  <c r="BC86" i="36"/>
  <c r="CC85" i="36"/>
  <c r="CB85" i="36"/>
  <c r="CA85" i="36"/>
  <c r="BZ85" i="36"/>
  <c r="BY85" i="36"/>
  <c r="BX85" i="36"/>
  <c r="BW85" i="36"/>
  <c r="BV85" i="36"/>
  <c r="BU85" i="36"/>
  <c r="D79" i="39" s="1"/>
  <c r="BT85" i="36"/>
  <c r="CF84" i="36"/>
  <c r="CE84" i="36"/>
  <c r="BF85" i="36"/>
  <c r="BE85" i="36"/>
  <c r="BD85" i="36"/>
  <c r="BC85" i="36"/>
  <c r="CC84" i="36"/>
  <c r="CB84" i="36"/>
  <c r="CA84" i="36"/>
  <c r="BZ84" i="36"/>
  <c r="BY84" i="36"/>
  <c r="BX84" i="36"/>
  <c r="BW84" i="36"/>
  <c r="BV84" i="36"/>
  <c r="BU84" i="36"/>
  <c r="D78" i="39" s="1"/>
  <c r="BT84" i="36"/>
  <c r="CE83" i="36"/>
  <c r="BF84" i="36"/>
  <c r="BE84" i="36"/>
  <c r="BD84" i="36"/>
  <c r="BC84" i="36"/>
  <c r="CC83" i="36"/>
  <c r="CB83" i="36"/>
  <c r="CA83" i="36"/>
  <c r="BZ83" i="36"/>
  <c r="BY83" i="36"/>
  <c r="BX83" i="36"/>
  <c r="BW83" i="36"/>
  <c r="BV83" i="36"/>
  <c r="BU83" i="36"/>
  <c r="D77" i="39" s="1"/>
  <c r="CF83" i="36"/>
  <c r="BT83" i="36"/>
  <c r="CE82" i="36"/>
  <c r="BF83" i="36"/>
  <c r="BE83" i="36"/>
  <c r="BD83" i="36"/>
  <c r="BC83" i="36"/>
  <c r="CC82" i="36"/>
  <c r="CB82" i="36"/>
  <c r="CA82" i="36"/>
  <c r="BZ82" i="36"/>
  <c r="BY82" i="36"/>
  <c r="BX82" i="36"/>
  <c r="BW82" i="36"/>
  <c r="BV82" i="36"/>
  <c r="BU82" i="36"/>
  <c r="D76" i="39" s="1"/>
  <c r="BT82" i="36"/>
  <c r="CF82" i="36"/>
  <c r="CF81" i="36"/>
  <c r="BF82" i="36"/>
  <c r="BE82" i="36"/>
  <c r="BD82" i="36"/>
  <c r="BC82" i="36"/>
  <c r="CC81" i="36"/>
  <c r="CB81" i="36"/>
  <c r="CA81" i="36"/>
  <c r="BZ81" i="36"/>
  <c r="BY81" i="36"/>
  <c r="BX81" i="36"/>
  <c r="BW81" i="36"/>
  <c r="BV81" i="36"/>
  <c r="BU81" i="36"/>
  <c r="D75" i="39" s="1"/>
  <c r="BT81" i="36"/>
  <c r="CE81" i="36"/>
  <c r="CF80" i="36"/>
  <c r="CE80" i="36"/>
  <c r="BF81" i="36"/>
  <c r="BE81" i="36"/>
  <c r="BD81" i="36"/>
  <c r="BC81" i="36"/>
  <c r="CC80" i="36"/>
  <c r="CA80" i="36"/>
  <c r="BZ80" i="36"/>
  <c r="BY80" i="36"/>
  <c r="BX80" i="36"/>
  <c r="BW80" i="36"/>
  <c r="BV80" i="36"/>
  <c r="BU80" i="36"/>
  <c r="D74" i="39" s="1"/>
  <c r="CB80" i="36"/>
  <c r="BT80" i="36"/>
  <c r="CE79" i="36"/>
  <c r="BF80" i="36"/>
  <c r="BE80" i="36"/>
  <c r="BD80" i="36"/>
  <c r="BC80" i="36"/>
  <c r="CC79" i="36"/>
  <c r="CB79" i="36"/>
  <c r="CA79" i="36"/>
  <c r="BZ79" i="36"/>
  <c r="BY79" i="36"/>
  <c r="BX79" i="36"/>
  <c r="BW79" i="36"/>
  <c r="BV79" i="36"/>
  <c r="BU79" i="36"/>
  <c r="D73" i="39" s="1"/>
  <c r="BT79" i="36"/>
  <c r="CF79" i="36"/>
  <c r="CE78" i="36"/>
  <c r="BF79" i="36"/>
  <c r="BE79" i="36"/>
  <c r="BD79" i="36"/>
  <c r="BC79" i="36"/>
  <c r="CC78" i="36"/>
  <c r="CB78" i="36"/>
  <c r="CA78" i="36"/>
  <c r="BZ78" i="36"/>
  <c r="BY78" i="36"/>
  <c r="BX78" i="36"/>
  <c r="BW78" i="36"/>
  <c r="BV78" i="36"/>
  <c r="BU78" i="36"/>
  <c r="D72" i="39" s="1"/>
  <c r="BT78" i="36"/>
  <c r="CF78" i="36"/>
  <c r="CF77" i="36"/>
  <c r="BF78" i="36"/>
  <c r="BE78" i="36"/>
  <c r="BD78" i="36"/>
  <c r="BC78" i="36"/>
  <c r="BG78" i="36" s="1"/>
  <c r="CC77" i="36"/>
  <c r="CB77" i="36"/>
  <c r="CA77" i="36"/>
  <c r="BZ77" i="36"/>
  <c r="BY77" i="36"/>
  <c r="BX77" i="36"/>
  <c r="BW77" i="36"/>
  <c r="BV77" i="36"/>
  <c r="BU77" i="36"/>
  <c r="BT77" i="36"/>
  <c r="CE77" i="36"/>
  <c r="CF76" i="36"/>
  <c r="CE76" i="36"/>
  <c r="BF77" i="36"/>
  <c r="BE77" i="36"/>
  <c r="BD77" i="36"/>
  <c r="BC77" i="36"/>
  <c r="CC76" i="36"/>
  <c r="CB76" i="36"/>
  <c r="CA76" i="36"/>
  <c r="BZ76" i="36"/>
  <c r="BY76" i="36"/>
  <c r="BX76" i="36"/>
  <c r="BW76" i="36"/>
  <c r="BV76" i="36"/>
  <c r="BU76" i="36"/>
  <c r="D70" i="39" s="1"/>
  <c r="BT76" i="36"/>
  <c r="CF75" i="36"/>
  <c r="CE75" i="36"/>
  <c r="BF76" i="36"/>
  <c r="BE76" i="36"/>
  <c r="BD76" i="36"/>
  <c r="BC76" i="36"/>
  <c r="CC75" i="36"/>
  <c r="CB75" i="36"/>
  <c r="CA75" i="36"/>
  <c r="BZ75" i="36"/>
  <c r="BY75" i="36"/>
  <c r="BX75" i="36"/>
  <c r="BW75" i="36"/>
  <c r="BV75" i="36"/>
  <c r="D69" i="38" s="1"/>
  <c r="BU75" i="36"/>
  <c r="D69" i="39" s="1"/>
  <c r="BT75" i="36"/>
  <c r="CF74" i="36"/>
  <c r="CE74" i="36"/>
  <c r="BF75" i="36"/>
  <c r="BE75" i="36"/>
  <c r="BD75" i="36"/>
  <c r="BC75" i="36"/>
  <c r="CC74" i="36"/>
  <c r="CB74" i="36"/>
  <c r="CA74" i="36"/>
  <c r="BZ74" i="36"/>
  <c r="BY74" i="36"/>
  <c r="BX74" i="36"/>
  <c r="BW74" i="36"/>
  <c r="BV74" i="36"/>
  <c r="BU74" i="36"/>
  <c r="D68" i="39" s="1"/>
  <c r="BT74" i="36"/>
  <c r="CF73" i="36"/>
  <c r="CE73" i="36"/>
  <c r="BF74" i="36"/>
  <c r="BE74" i="36"/>
  <c r="BD74" i="36"/>
  <c r="BC74" i="36"/>
  <c r="CC73" i="36"/>
  <c r="CB73" i="36"/>
  <c r="CA73" i="36"/>
  <c r="BZ73" i="36"/>
  <c r="BY73" i="36"/>
  <c r="BX73" i="36"/>
  <c r="BW73" i="36"/>
  <c r="BV73" i="36"/>
  <c r="BU73" i="36"/>
  <c r="D67" i="39" s="1"/>
  <c r="BT73" i="36"/>
  <c r="CF72" i="36"/>
  <c r="CE72" i="36"/>
  <c r="BF73" i="36"/>
  <c r="BE73" i="36"/>
  <c r="BD73" i="36"/>
  <c r="BC73" i="36"/>
  <c r="CC72" i="36"/>
  <c r="CB72" i="36"/>
  <c r="CA72" i="36"/>
  <c r="BZ72" i="36"/>
  <c r="BX72" i="36"/>
  <c r="BW72" i="36"/>
  <c r="BV72" i="36"/>
  <c r="BU72" i="36"/>
  <c r="D66" i="39" s="1"/>
  <c r="BT72" i="36"/>
  <c r="BY72" i="36"/>
  <c r="CF71" i="36"/>
  <c r="CE71" i="36"/>
  <c r="BF72" i="36"/>
  <c r="BE72" i="36"/>
  <c r="BD72" i="36"/>
  <c r="BC72" i="36"/>
  <c r="CC71" i="36"/>
  <c r="CB71" i="36"/>
  <c r="BZ71" i="36"/>
  <c r="BY71" i="36"/>
  <c r="BX71" i="36"/>
  <c r="BW71" i="36"/>
  <c r="BV71" i="36"/>
  <c r="BU71" i="36"/>
  <c r="D65" i="39" s="1"/>
  <c r="BT71" i="36"/>
  <c r="CA71" i="36"/>
  <c r="CE70" i="36"/>
  <c r="BF71" i="36"/>
  <c r="BE71" i="36"/>
  <c r="BD71" i="36"/>
  <c r="BC71" i="36"/>
  <c r="CC70" i="36"/>
  <c r="CB70" i="36"/>
  <c r="CA70" i="36"/>
  <c r="BZ70" i="36"/>
  <c r="BX70" i="36"/>
  <c r="BW70" i="36"/>
  <c r="BV70" i="36"/>
  <c r="BU70" i="36"/>
  <c r="D64" i="39" s="1"/>
  <c r="BT70" i="36"/>
  <c r="CF70" i="36"/>
  <c r="BY70" i="36"/>
  <c r="CF69" i="36"/>
  <c r="CE69" i="36"/>
  <c r="BF70" i="36"/>
  <c r="BE70" i="36"/>
  <c r="BD70" i="36"/>
  <c r="BC70" i="36"/>
  <c r="CC69" i="36"/>
  <c r="CB69" i="36"/>
  <c r="BZ69" i="36"/>
  <c r="BY69" i="36"/>
  <c r="BX69" i="36"/>
  <c r="BW69" i="36"/>
  <c r="BV69" i="36"/>
  <c r="BU69" i="36"/>
  <c r="D63" i="39" s="1"/>
  <c r="BT69" i="36"/>
  <c r="CA69" i="36"/>
  <c r="CF68" i="36"/>
  <c r="CE68" i="36"/>
  <c r="BF69" i="36"/>
  <c r="BE69" i="36"/>
  <c r="BD69" i="36"/>
  <c r="BC69" i="36"/>
  <c r="CC68" i="36"/>
  <c r="CB68" i="36"/>
  <c r="CA68" i="36"/>
  <c r="BZ68" i="36"/>
  <c r="BY68" i="36"/>
  <c r="BX68" i="36"/>
  <c r="BW68" i="36"/>
  <c r="BV68" i="36"/>
  <c r="BU68" i="36"/>
  <c r="D62" i="39" s="1"/>
  <c r="BT68" i="36"/>
  <c r="BF68" i="36"/>
  <c r="BE68" i="36"/>
  <c r="BD68" i="36"/>
  <c r="BC68" i="36"/>
  <c r="CC67" i="36"/>
  <c r="CB67" i="36"/>
  <c r="BY67" i="36"/>
  <c r="BX67" i="36"/>
  <c r="BW67" i="36"/>
  <c r="BV67" i="36"/>
  <c r="BU67" i="36"/>
  <c r="D61" i="39" s="1"/>
  <c r="BT67" i="36"/>
  <c r="CF67" i="36"/>
  <c r="CE67" i="36"/>
  <c r="CA67" i="36"/>
  <c r="BZ67" i="36"/>
  <c r="CE66" i="36"/>
  <c r="BF67" i="36"/>
  <c r="BE67" i="36"/>
  <c r="BD67" i="36"/>
  <c r="BC67" i="36"/>
  <c r="CC66" i="36"/>
  <c r="CB66" i="36"/>
  <c r="CA66" i="36"/>
  <c r="BY66" i="36"/>
  <c r="BX66" i="36"/>
  <c r="BW66" i="36"/>
  <c r="BV66" i="36"/>
  <c r="BU66" i="36"/>
  <c r="D60" i="39" s="1"/>
  <c r="BT66" i="36"/>
  <c r="CF66" i="36"/>
  <c r="BZ66" i="36"/>
  <c r="CF65" i="36"/>
  <c r="CE65" i="36"/>
  <c r="BF66" i="36"/>
  <c r="BE66" i="36"/>
  <c r="BD66" i="36"/>
  <c r="BC66" i="36"/>
  <c r="CC65" i="36"/>
  <c r="CB65" i="36"/>
  <c r="CA65" i="36"/>
  <c r="BZ65" i="36"/>
  <c r="BY65" i="36"/>
  <c r="BX65" i="36"/>
  <c r="BW65" i="36"/>
  <c r="BV65" i="36"/>
  <c r="BU65" i="36"/>
  <c r="D59" i="39" s="1"/>
  <c r="BT65" i="36"/>
  <c r="CF64" i="36"/>
  <c r="CE64" i="36"/>
  <c r="BF65" i="36"/>
  <c r="BE65" i="36"/>
  <c r="BD65" i="36"/>
  <c r="BC65" i="36"/>
  <c r="CC64" i="36"/>
  <c r="CB64" i="36"/>
  <c r="CA64" i="36"/>
  <c r="BZ64" i="36"/>
  <c r="BY64" i="36"/>
  <c r="BX64" i="36"/>
  <c r="BW64" i="36"/>
  <c r="BV64" i="36"/>
  <c r="BU64" i="36"/>
  <c r="D58" i="39" s="1"/>
  <c r="BT64" i="36"/>
  <c r="CF63" i="36"/>
  <c r="CE63" i="36"/>
  <c r="BF64" i="36"/>
  <c r="BE64" i="36"/>
  <c r="BD64" i="36"/>
  <c r="BC64" i="36"/>
  <c r="CC63" i="36"/>
  <c r="CA63" i="36"/>
  <c r="BZ63" i="36"/>
  <c r="BY63" i="36"/>
  <c r="BX63" i="36"/>
  <c r="BW63" i="36"/>
  <c r="BV63" i="36"/>
  <c r="D57" i="38" s="1"/>
  <c r="BU63" i="36"/>
  <c r="D57" i="39" s="1"/>
  <c r="BT63" i="36"/>
  <c r="CB63" i="36"/>
  <c r="CF62" i="36"/>
  <c r="CE62" i="36"/>
  <c r="BF63" i="36"/>
  <c r="BE63" i="36"/>
  <c r="BD63" i="36"/>
  <c r="BC63" i="36"/>
  <c r="CC62" i="36"/>
  <c r="CB62" i="36"/>
  <c r="BY62" i="36"/>
  <c r="BX62" i="36"/>
  <c r="BW62" i="36"/>
  <c r="BV62" i="36"/>
  <c r="BU62" i="36"/>
  <c r="BT62" i="36"/>
  <c r="CA62" i="36"/>
  <c r="BZ62" i="36"/>
  <c r="CF61" i="36"/>
  <c r="BF62" i="36"/>
  <c r="BE62" i="36"/>
  <c r="BD62" i="36"/>
  <c r="BC62" i="36"/>
  <c r="CC61" i="36"/>
  <c r="CB61" i="36"/>
  <c r="CA61" i="36"/>
  <c r="BZ61" i="36"/>
  <c r="BY61" i="36"/>
  <c r="BX61" i="36"/>
  <c r="BW61" i="36"/>
  <c r="BU61" i="36"/>
  <c r="D55" i="39" s="1"/>
  <c r="BT61" i="36"/>
  <c r="CE61" i="36"/>
  <c r="BV61" i="36"/>
  <c r="CF60" i="36"/>
  <c r="CD60" i="36"/>
  <c r="BF61" i="36"/>
  <c r="BE61" i="36"/>
  <c r="BD61" i="36"/>
  <c r="BC61" i="36"/>
  <c r="BG61" i="36" s="1"/>
  <c r="CC60" i="36"/>
  <c r="CB60" i="36"/>
  <c r="CA60" i="36"/>
  <c r="BZ60" i="36"/>
  <c r="BY60" i="36"/>
  <c r="BX60" i="36"/>
  <c r="BW60" i="36"/>
  <c r="BV60" i="36"/>
  <c r="BU60" i="36"/>
  <c r="D54" i="39" s="1"/>
  <c r="BT60" i="36"/>
  <c r="CE60" i="36"/>
  <c r="CE59" i="36"/>
  <c r="BF60" i="36"/>
  <c r="BE60" i="36"/>
  <c r="BD60" i="36"/>
  <c r="BC60" i="36"/>
  <c r="CC59" i="36"/>
  <c r="CB59" i="36"/>
  <c r="CA59" i="36"/>
  <c r="BZ59" i="36"/>
  <c r="BY59" i="36"/>
  <c r="BX59" i="36"/>
  <c r="BW59" i="36"/>
  <c r="BV59" i="36"/>
  <c r="BU59" i="36"/>
  <c r="D53" i="39" s="1"/>
  <c r="BT59" i="36"/>
  <c r="CF59" i="36"/>
  <c r="CE58" i="36"/>
  <c r="BF59" i="36"/>
  <c r="BE59" i="36"/>
  <c r="BD59" i="36"/>
  <c r="BC59" i="36"/>
  <c r="BG59" i="36" s="1"/>
  <c r="CC58" i="36"/>
  <c r="CB58" i="36"/>
  <c r="CA58" i="36"/>
  <c r="BY58" i="36"/>
  <c r="BX58" i="36"/>
  <c r="BW58" i="36"/>
  <c r="BV58" i="36"/>
  <c r="BU58" i="36"/>
  <c r="BT58" i="36"/>
  <c r="CF58" i="36"/>
  <c r="BZ58" i="36"/>
  <c r="CF57" i="36"/>
  <c r="CE57" i="36"/>
  <c r="BF58" i="36"/>
  <c r="BE58" i="36"/>
  <c r="BD58" i="36"/>
  <c r="BC58" i="36"/>
  <c r="CC57" i="36"/>
  <c r="CB57" i="36"/>
  <c r="CA57" i="36"/>
  <c r="BZ57" i="36"/>
  <c r="BY57" i="36"/>
  <c r="BX57" i="36"/>
  <c r="BW57" i="36"/>
  <c r="BV57" i="36"/>
  <c r="BU57" i="36"/>
  <c r="D51" i="39" s="1"/>
  <c r="BT57" i="36"/>
  <c r="CF56" i="36"/>
  <c r="BF57" i="36"/>
  <c r="BE57" i="36"/>
  <c r="BD57" i="36"/>
  <c r="BC57" i="36"/>
  <c r="BG57" i="36" s="1"/>
  <c r="CC56" i="36"/>
  <c r="CB56" i="36"/>
  <c r="CA56" i="36"/>
  <c r="BZ56" i="36"/>
  <c r="BY56" i="36"/>
  <c r="BX56" i="36"/>
  <c r="BW56" i="36"/>
  <c r="BV56" i="36"/>
  <c r="BU56" i="36"/>
  <c r="D50" i="39" s="1"/>
  <c r="BT56" i="36"/>
  <c r="CE56" i="36"/>
  <c r="CD55" i="36"/>
  <c r="BF56" i="36"/>
  <c r="BE56" i="36"/>
  <c r="BD56" i="36"/>
  <c r="BC56" i="36"/>
  <c r="BG56" i="36" s="1"/>
  <c r="CC55" i="36"/>
  <c r="CB55" i="36"/>
  <c r="CA55" i="36"/>
  <c r="BZ55" i="36"/>
  <c r="BY55" i="36"/>
  <c r="BW55" i="36"/>
  <c r="BV55" i="36"/>
  <c r="BU55" i="36"/>
  <c r="D49" i="39" s="1"/>
  <c r="BT55" i="36"/>
  <c r="CF55" i="36"/>
  <c r="CE55" i="36"/>
  <c r="BX55" i="36"/>
  <c r="CE54" i="36"/>
  <c r="BF55" i="36"/>
  <c r="BE55" i="36"/>
  <c r="BD55" i="36"/>
  <c r="BC55" i="36"/>
  <c r="CC54" i="36"/>
  <c r="CB54" i="36"/>
  <c r="BZ54" i="36"/>
  <c r="BY54" i="36"/>
  <c r="BX54" i="36"/>
  <c r="BW54" i="36"/>
  <c r="BV54" i="36"/>
  <c r="BU54" i="36"/>
  <c r="D48" i="39" s="1"/>
  <c r="BT54" i="36"/>
  <c r="CF54" i="36"/>
  <c r="CA54" i="36"/>
  <c r="CF53" i="36"/>
  <c r="CE53" i="36"/>
  <c r="BF54" i="36"/>
  <c r="BE54" i="36"/>
  <c r="BD54" i="36"/>
  <c r="BC54" i="36"/>
  <c r="CC53" i="36"/>
  <c r="CB53" i="36"/>
  <c r="CA53" i="36"/>
  <c r="BZ53" i="36"/>
  <c r="BY53" i="36"/>
  <c r="BX53" i="36"/>
  <c r="BW53" i="36"/>
  <c r="BV53" i="36"/>
  <c r="BU53" i="36"/>
  <c r="D47" i="39" s="1"/>
  <c r="BT53" i="36"/>
  <c r="CF52" i="36"/>
  <c r="BF53" i="36"/>
  <c r="BE53" i="36"/>
  <c r="BD53" i="36"/>
  <c r="BC53" i="36"/>
  <c r="CC52" i="36"/>
  <c r="CB52" i="36"/>
  <c r="CA52" i="36"/>
  <c r="BZ52" i="36"/>
  <c r="BY52" i="36"/>
  <c r="BX52" i="36"/>
  <c r="BW52" i="36"/>
  <c r="BV52" i="36"/>
  <c r="BU52" i="36"/>
  <c r="D46" i="39" s="1"/>
  <c r="BT52" i="36"/>
  <c r="CE52" i="36"/>
  <c r="CF51" i="36"/>
  <c r="CE51" i="36"/>
  <c r="BF52" i="36"/>
  <c r="BE52" i="36"/>
  <c r="BD52" i="36"/>
  <c r="BC52" i="36"/>
  <c r="BG52" i="36" s="1"/>
  <c r="CD51" i="36" s="1"/>
  <c r="CC51" i="36"/>
  <c r="CB51" i="36"/>
  <c r="CA51" i="36"/>
  <c r="BZ51" i="36"/>
  <c r="BY51" i="36"/>
  <c r="BX51" i="36"/>
  <c r="BW51" i="36"/>
  <c r="BV51" i="36"/>
  <c r="BU51" i="36"/>
  <c r="D45" i="39" s="1"/>
  <c r="BT51" i="36"/>
  <c r="CF50" i="36"/>
  <c r="CE50" i="36"/>
  <c r="BF51" i="36"/>
  <c r="BE51" i="36"/>
  <c r="BD51" i="36"/>
  <c r="BC51" i="36"/>
  <c r="BG51" i="36" s="1"/>
  <c r="CC50" i="36"/>
  <c r="CB50" i="36"/>
  <c r="CA50" i="36"/>
  <c r="BZ50" i="36"/>
  <c r="BY50" i="36"/>
  <c r="BX50" i="36"/>
  <c r="BW50" i="36"/>
  <c r="BV50" i="36"/>
  <c r="BT50" i="36"/>
  <c r="BU50" i="36"/>
  <c r="D44" i="39" s="1"/>
  <c r="CF49" i="36"/>
  <c r="BF50" i="36"/>
  <c r="BE50" i="36"/>
  <c r="BD50" i="36"/>
  <c r="BC50" i="36"/>
  <c r="BG50" i="36" s="1"/>
  <c r="CD49" i="36" s="1"/>
  <c r="CC49" i="36"/>
  <c r="CB49" i="36"/>
  <c r="BZ49" i="36"/>
  <c r="BY49" i="36"/>
  <c r="BX49" i="36"/>
  <c r="BW49" i="36"/>
  <c r="BV49" i="36"/>
  <c r="BU49" i="36"/>
  <c r="D43" i="39" s="1"/>
  <c r="BT49" i="36"/>
  <c r="CE49" i="36"/>
  <c r="CA49" i="36"/>
  <c r="CF48" i="36"/>
  <c r="CE48" i="36"/>
  <c r="BF49" i="36"/>
  <c r="BE49" i="36"/>
  <c r="BD49" i="36"/>
  <c r="BC49" i="36"/>
  <c r="CC48" i="36"/>
  <c r="CB48" i="36"/>
  <c r="CA48" i="36"/>
  <c r="BZ48" i="36"/>
  <c r="BY48" i="36"/>
  <c r="BX48" i="36"/>
  <c r="BW48" i="36"/>
  <c r="BV48" i="36"/>
  <c r="BU48" i="36"/>
  <c r="D42" i="39" s="1"/>
  <c r="BT48" i="36"/>
  <c r="CE47" i="36"/>
  <c r="BF48" i="36"/>
  <c r="BE48" i="36"/>
  <c r="BD48" i="36"/>
  <c r="BC48" i="36"/>
  <c r="CC47" i="36"/>
  <c r="CB47" i="36"/>
  <c r="CA47" i="36"/>
  <c r="BZ47" i="36"/>
  <c r="BY47" i="36"/>
  <c r="BX47" i="36"/>
  <c r="BW47" i="36"/>
  <c r="BV47" i="36"/>
  <c r="BU47" i="36"/>
  <c r="D41" i="39" s="1"/>
  <c r="BT47" i="36"/>
  <c r="CF47" i="36"/>
  <c r="CE46" i="36"/>
  <c r="BF47" i="36"/>
  <c r="BE47" i="36"/>
  <c r="BD47" i="36"/>
  <c r="BC47" i="36"/>
  <c r="BG47" i="36" s="1"/>
  <c r="CC46" i="36"/>
  <c r="CB46" i="36"/>
  <c r="CA46" i="36"/>
  <c r="BZ46" i="36"/>
  <c r="BY46" i="36"/>
  <c r="BX46" i="36"/>
  <c r="BW46" i="36"/>
  <c r="BV46" i="36"/>
  <c r="BU46" i="36"/>
  <c r="D40" i="39" s="1"/>
  <c r="BT46" i="36"/>
  <c r="CF46" i="36"/>
  <c r="CF45" i="36"/>
  <c r="BF46" i="36"/>
  <c r="BE46" i="36"/>
  <c r="BD46" i="36"/>
  <c r="BC46" i="36"/>
  <c r="BG46" i="36" s="1"/>
  <c r="CD45" i="36" s="1"/>
  <c r="CC45" i="36"/>
  <c r="CB45" i="36"/>
  <c r="CA45" i="36"/>
  <c r="BZ45" i="36"/>
  <c r="BY45" i="36"/>
  <c r="BX45" i="36"/>
  <c r="BW45" i="36"/>
  <c r="BV45" i="36"/>
  <c r="BU45" i="36"/>
  <c r="D39" i="39" s="1"/>
  <c r="BT45" i="36"/>
  <c r="CE45" i="36"/>
  <c r="CF44" i="36"/>
  <c r="CE44" i="36"/>
  <c r="BF45" i="36"/>
  <c r="BE45" i="36"/>
  <c r="BD45" i="36"/>
  <c r="BC45" i="36"/>
  <c r="CB44" i="36"/>
  <c r="CA44" i="36"/>
  <c r="BZ44" i="36"/>
  <c r="BY44" i="36"/>
  <c r="BX44" i="36"/>
  <c r="BW44" i="36"/>
  <c r="BV44" i="36"/>
  <c r="BU44" i="36"/>
  <c r="D38" i="39" s="1"/>
  <c r="BT44" i="36"/>
  <c r="CC44" i="36"/>
  <c r="CF43" i="36"/>
  <c r="CE43" i="36"/>
  <c r="BF44" i="36"/>
  <c r="BE44" i="36"/>
  <c r="BD44" i="36"/>
  <c r="BC44" i="36"/>
  <c r="CC43" i="36"/>
  <c r="CB43" i="36"/>
  <c r="CA43" i="36"/>
  <c r="BZ43" i="36"/>
  <c r="BY43" i="36"/>
  <c r="BX43" i="36"/>
  <c r="BW43" i="36"/>
  <c r="BV43" i="36"/>
  <c r="BU43" i="36"/>
  <c r="BT43" i="36"/>
  <c r="CF42" i="36"/>
  <c r="CE42" i="36"/>
  <c r="BF43" i="36"/>
  <c r="BE43" i="36"/>
  <c r="BD43" i="36"/>
  <c r="BC43" i="36"/>
  <c r="CC42" i="36"/>
  <c r="CB42" i="36"/>
  <c r="CA42" i="36"/>
  <c r="BZ42" i="36"/>
  <c r="BY42" i="36"/>
  <c r="BX42" i="36"/>
  <c r="BW42" i="36"/>
  <c r="BV42" i="36"/>
  <c r="BU42" i="36"/>
  <c r="BT42" i="36"/>
  <c r="CF41" i="36"/>
  <c r="CE41" i="36"/>
  <c r="BF42" i="36"/>
  <c r="BE42" i="36"/>
  <c r="BD42" i="36"/>
  <c r="BC42" i="36"/>
  <c r="CC41" i="36"/>
  <c r="CB41" i="36"/>
  <c r="BZ41" i="36"/>
  <c r="BY41" i="36"/>
  <c r="BV41" i="36"/>
  <c r="BU41" i="36"/>
  <c r="D35" i="39" s="1"/>
  <c r="BT41" i="36"/>
  <c r="CA41" i="36"/>
  <c r="BX41" i="36"/>
  <c r="BW41" i="36"/>
  <c r="CF40" i="36"/>
  <c r="BF41" i="36"/>
  <c r="BE41" i="36"/>
  <c r="BD41" i="36"/>
  <c r="BC41" i="36"/>
  <c r="CC40" i="36"/>
  <c r="CB40" i="36"/>
  <c r="CA40" i="36"/>
  <c r="BZ40" i="36"/>
  <c r="BY40" i="36"/>
  <c r="BX40" i="36"/>
  <c r="BW40" i="36"/>
  <c r="BV40" i="36"/>
  <c r="BU40" i="36"/>
  <c r="BT40" i="36"/>
  <c r="CE40" i="36"/>
  <c r="CE39" i="36"/>
  <c r="BF40" i="36"/>
  <c r="BE40" i="36"/>
  <c r="BD40" i="36"/>
  <c r="BC40" i="36"/>
  <c r="CC39" i="36"/>
  <c r="CB39" i="36"/>
  <c r="CA39" i="36"/>
  <c r="BZ39" i="36"/>
  <c r="BY39" i="36"/>
  <c r="BX39" i="36"/>
  <c r="BW39" i="36"/>
  <c r="BV39" i="36"/>
  <c r="BU39" i="36"/>
  <c r="D33" i="39" s="1"/>
  <c r="BT39" i="36"/>
  <c r="CF39" i="36"/>
  <c r="CE38" i="36"/>
  <c r="BF39" i="36"/>
  <c r="BE39" i="36"/>
  <c r="BD39" i="36"/>
  <c r="BC39" i="36"/>
  <c r="CC38" i="36"/>
  <c r="CB38" i="36"/>
  <c r="CA38" i="36"/>
  <c r="BZ38" i="36"/>
  <c r="BY38" i="36"/>
  <c r="BX38" i="36"/>
  <c r="BW38" i="36"/>
  <c r="BV38" i="36"/>
  <c r="BU38" i="36"/>
  <c r="D32" i="39" s="1"/>
  <c r="BT38" i="36"/>
  <c r="CF38" i="36"/>
  <c r="CF37" i="36"/>
  <c r="CE37" i="36"/>
  <c r="BF38" i="36"/>
  <c r="BE38" i="36"/>
  <c r="BD38" i="36"/>
  <c r="BC38" i="36"/>
  <c r="CC37" i="36"/>
  <c r="CB37" i="36"/>
  <c r="BZ37" i="36"/>
  <c r="BY37" i="36"/>
  <c r="BX37" i="36"/>
  <c r="BW37" i="36"/>
  <c r="BV37" i="36"/>
  <c r="BU37" i="36"/>
  <c r="D31" i="39" s="1"/>
  <c r="BT37" i="36"/>
  <c r="CA37" i="36"/>
  <c r="CE36" i="36"/>
  <c r="BF37" i="36"/>
  <c r="BE37" i="36"/>
  <c r="BD37" i="36"/>
  <c r="BC37" i="36"/>
  <c r="BG37" i="36" s="1"/>
  <c r="CC36" i="36"/>
  <c r="CB36" i="36"/>
  <c r="CA36" i="36"/>
  <c r="BZ36" i="36"/>
  <c r="BY36" i="36"/>
  <c r="BX36" i="36"/>
  <c r="BW36" i="36"/>
  <c r="BV36" i="36"/>
  <c r="BU36" i="36"/>
  <c r="D30" i="39" s="1"/>
  <c r="BT36" i="36"/>
  <c r="CF36" i="36"/>
  <c r="CE35" i="36"/>
  <c r="BF36" i="36"/>
  <c r="BE36" i="36"/>
  <c r="BD36" i="36"/>
  <c r="BC36" i="36"/>
  <c r="CC35" i="36"/>
  <c r="CB35" i="36"/>
  <c r="CA35" i="36"/>
  <c r="BZ35" i="36"/>
  <c r="BY35" i="36"/>
  <c r="BX35" i="36"/>
  <c r="BW35" i="36"/>
  <c r="BV35" i="36"/>
  <c r="BU35" i="36"/>
  <c r="D29" i="39" s="1"/>
  <c r="BT35" i="36"/>
  <c r="CF35" i="36"/>
  <c r="CE34" i="36"/>
  <c r="BF35" i="36"/>
  <c r="BE35" i="36"/>
  <c r="BD35" i="36"/>
  <c r="BC35" i="36"/>
  <c r="CC34" i="36"/>
  <c r="CB34" i="36"/>
  <c r="CA34" i="36"/>
  <c r="BZ34" i="36"/>
  <c r="BY34" i="36"/>
  <c r="BX34" i="36"/>
  <c r="BW34" i="36"/>
  <c r="BV34" i="36"/>
  <c r="BT34" i="36"/>
  <c r="CF34" i="36"/>
  <c r="BU34" i="36"/>
  <c r="CF33" i="36"/>
  <c r="CE33" i="36"/>
  <c r="BF34" i="36"/>
  <c r="BE34" i="36"/>
  <c r="BD34" i="36"/>
  <c r="BC34" i="36"/>
  <c r="CC33" i="36"/>
  <c r="CA33" i="36"/>
  <c r="BZ33" i="36"/>
  <c r="BY33" i="36"/>
  <c r="BX33" i="36"/>
  <c r="BW33" i="36"/>
  <c r="BV33" i="36"/>
  <c r="BU33" i="36"/>
  <c r="D27" i="39" s="1"/>
  <c r="BT33" i="36"/>
  <c r="CB33" i="36"/>
  <c r="CE32" i="36"/>
  <c r="BF33" i="36"/>
  <c r="BE33" i="36"/>
  <c r="BD33" i="36"/>
  <c r="BC33" i="36"/>
  <c r="BG33" i="36" s="1"/>
  <c r="CC32" i="36"/>
  <c r="CB32" i="36"/>
  <c r="CA32" i="36"/>
  <c r="BZ32" i="36"/>
  <c r="BY32" i="36"/>
  <c r="BX32" i="36"/>
  <c r="BW32" i="36"/>
  <c r="BV32" i="36"/>
  <c r="BU32" i="36"/>
  <c r="D26" i="39" s="1"/>
  <c r="BT32" i="36"/>
  <c r="CF32" i="36"/>
  <c r="BF32" i="36"/>
  <c r="BE32" i="36"/>
  <c r="BD32" i="36"/>
  <c r="BC32" i="36"/>
  <c r="CC31" i="36"/>
  <c r="CB31" i="36"/>
  <c r="CA31" i="36"/>
  <c r="BZ31" i="36"/>
  <c r="BY31" i="36"/>
  <c r="BX31" i="36"/>
  <c r="BW31" i="36"/>
  <c r="BV31" i="36"/>
  <c r="BU31" i="36"/>
  <c r="D25" i="39" s="1"/>
  <c r="BT31" i="36"/>
  <c r="CF31" i="36"/>
  <c r="CE31" i="36"/>
  <c r="CE30" i="36"/>
  <c r="BF31" i="36"/>
  <c r="BE31" i="36"/>
  <c r="BD31" i="36"/>
  <c r="BC31" i="36"/>
  <c r="BG31" i="36" s="1"/>
  <c r="CC30" i="36"/>
  <c r="CB30" i="36"/>
  <c r="CA30" i="36"/>
  <c r="BY30" i="36"/>
  <c r="BX30" i="36"/>
  <c r="BW30" i="36"/>
  <c r="BV30" i="36"/>
  <c r="BU30" i="36"/>
  <c r="D24" i="39" s="1"/>
  <c r="BT30" i="36"/>
  <c r="CF30" i="36"/>
  <c r="BZ30" i="36"/>
  <c r="CF29" i="36"/>
  <c r="BF30" i="36"/>
  <c r="BE30" i="36"/>
  <c r="BD30" i="36"/>
  <c r="BC30" i="36"/>
  <c r="CC29" i="36"/>
  <c r="CB29" i="36"/>
  <c r="CA29" i="36"/>
  <c r="BZ29" i="36"/>
  <c r="BY29" i="36"/>
  <c r="BX29" i="36"/>
  <c r="BW29" i="36"/>
  <c r="BV29" i="36"/>
  <c r="BU29" i="36"/>
  <c r="D23" i="39" s="1"/>
  <c r="BT29" i="36"/>
  <c r="CE29" i="36"/>
  <c r="CF28" i="36"/>
  <c r="CE28" i="36"/>
  <c r="BF29" i="36"/>
  <c r="BE29" i="36"/>
  <c r="BD29" i="36"/>
  <c r="BC29" i="36"/>
  <c r="CC28" i="36"/>
  <c r="CB28" i="36"/>
  <c r="CA28" i="36"/>
  <c r="BZ28" i="36"/>
  <c r="BY28" i="36"/>
  <c r="BX28" i="36"/>
  <c r="BW28" i="36"/>
  <c r="BU28" i="36"/>
  <c r="D22" i="39" s="1"/>
  <c r="BT28" i="36"/>
  <c r="BV28" i="36"/>
  <c r="CE27" i="36"/>
  <c r="BF28" i="36"/>
  <c r="BE28" i="36"/>
  <c r="BD28" i="36"/>
  <c r="BC28" i="36"/>
  <c r="CC27" i="36"/>
  <c r="CB27" i="36"/>
  <c r="CA27" i="36"/>
  <c r="BZ27" i="36"/>
  <c r="BY27" i="36"/>
  <c r="BX27" i="36"/>
  <c r="BV27" i="36"/>
  <c r="BU27" i="36"/>
  <c r="D21" i="39" s="1"/>
  <c r="BT27" i="36"/>
  <c r="CF27" i="36"/>
  <c r="BW27" i="36"/>
  <c r="CE26" i="36"/>
  <c r="BF27" i="36"/>
  <c r="BE27" i="36"/>
  <c r="BD27" i="36"/>
  <c r="BC27" i="36"/>
  <c r="CC26" i="36"/>
  <c r="CB26" i="36"/>
  <c r="CA26" i="36"/>
  <c r="BZ26" i="36"/>
  <c r="BY26" i="36"/>
  <c r="BX26" i="36"/>
  <c r="BW26" i="36"/>
  <c r="BV26" i="36"/>
  <c r="BU26" i="36"/>
  <c r="D20" i="39" s="1"/>
  <c r="BT26" i="36"/>
  <c r="CF26" i="36"/>
  <c r="CF25" i="36"/>
  <c r="CE25" i="36"/>
  <c r="BF26" i="36"/>
  <c r="BE26" i="36"/>
  <c r="BD26" i="36"/>
  <c r="BC26" i="36"/>
  <c r="CC25" i="36"/>
  <c r="CB25" i="36"/>
  <c r="BZ25" i="36"/>
  <c r="BY25" i="36"/>
  <c r="BX25" i="36"/>
  <c r="BW25" i="36"/>
  <c r="BV25" i="36"/>
  <c r="BU25" i="36"/>
  <c r="D19" i="39" s="1"/>
  <c r="BT25" i="36"/>
  <c r="CA25" i="36"/>
  <c r="CE24" i="36"/>
  <c r="BF25" i="36"/>
  <c r="BE25" i="36"/>
  <c r="BD25" i="36"/>
  <c r="BC25" i="36"/>
  <c r="CC24" i="36"/>
  <c r="CB24" i="36"/>
  <c r="CA24" i="36"/>
  <c r="BY24" i="36"/>
  <c r="BX24" i="36"/>
  <c r="BW24" i="36"/>
  <c r="BV24" i="36"/>
  <c r="BU24" i="36"/>
  <c r="D18" i="39" s="1"/>
  <c r="BT24" i="36"/>
  <c r="CF24" i="36"/>
  <c r="BZ24" i="36"/>
  <c r="CE23" i="36"/>
  <c r="BF24" i="36"/>
  <c r="BE24" i="36"/>
  <c r="BD24" i="36"/>
  <c r="BC24" i="36"/>
  <c r="CC23" i="36"/>
  <c r="CB23" i="36"/>
  <c r="CA23" i="36"/>
  <c r="BZ23" i="36"/>
  <c r="BY23" i="36"/>
  <c r="BX23" i="36"/>
  <c r="BW23" i="36"/>
  <c r="BV23" i="36"/>
  <c r="BT23" i="36"/>
  <c r="CF23" i="36"/>
  <c r="BU23" i="36"/>
  <c r="D17" i="39" s="1"/>
  <c r="CE22" i="36"/>
  <c r="BF23" i="36"/>
  <c r="BE23" i="36"/>
  <c r="BD23" i="36"/>
  <c r="BC23" i="36"/>
  <c r="CC22" i="36"/>
  <c r="CB22" i="36"/>
  <c r="CA22" i="36"/>
  <c r="BZ22" i="36"/>
  <c r="BY22" i="36"/>
  <c r="BX22" i="36"/>
  <c r="BW22" i="36"/>
  <c r="BV22" i="36"/>
  <c r="BU22" i="36"/>
  <c r="D16" i="39" s="1"/>
  <c r="BT22" i="36"/>
  <c r="CF22" i="36"/>
  <c r="CE21" i="36"/>
  <c r="BF22" i="36"/>
  <c r="BE22" i="36"/>
  <c r="BD22" i="36"/>
  <c r="BC22" i="36"/>
  <c r="CC21" i="36"/>
  <c r="CB21" i="36"/>
  <c r="CA21" i="36"/>
  <c r="BZ21" i="36"/>
  <c r="BY21" i="36"/>
  <c r="BX21" i="36"/>
  <c r="BW21" i="36"/>
  <c r="BV21" i="36"/>
  <c r="BU21" i="36"/>
  <c r="D15" i="39" s="1"/>
  <c r="BT21" i="36"/>
  <c r="CF21" i="36"/>
  <c r="CF20" i="36"/>
  <c r="CE20" i="36"/>
  <c r="BF21" i="36"/>
  <c r="BE21" i="36"/>
  <c r="BD21" i="36"/>
  <c r="BC21" i="36"/>
  <c r="CC20" i="36"/>
  <c r="CB20" i="36"/>
  <c r="CA20" i="36"/>
  <c r="BZ20" i="36"/>
  <c r="BX20" i="36"/>
  <c r="BW20" i="36"/>
  <c r="BV20" i="36"/>
  <c r="BU20" i="36"/>
  <c r="D14" i="39" s="1"/>
  <c r="BT20" i="36"/>
  <c r="BY20" i="36"/>
  <c r="CE19" i="36"/>
  <c r="BF20" i="36"/>
  <c r="BE20" i="36"/>
  <c r="BD20" i="36"/>
  <c r="BC20" i="36"/>
  <c r="CC19" i="36"/>
  <c r="CB19" i="36"/>
  <c r="CA19" i="36"/>
  <c r="BZ19" i="36"/>
  <c r="BY19" i="36"/>
  <c r="BX19" i="36"/>
  <c r="BW19" i="36"/>
  <c r="BV19" i="36"/>
  <c r="BU19" i="36"/>
  <c r="BT19" i="36"/>
  <c r="CF19" i="36"/>
  <c r="CF18" i="36"/>
  <c r="CE18" i="36"/>
  <c r="BF19" i="36"/>
  <c r="BE19" i="36"/>
  <c r="BD19" i="36"/>
  <c r="BC19" i="36"/>
  <c r="CC18" i="36"/>
  <c r="CB18" i="36"/>
  <c r="CA18" i="36"/>
  <c r="BZ18" i="36"/>
  <c r="BY18" i="36"/>
  <c r="BX18" i="36"/>
  <c r="BW18" i="36"/>
  <c r="BV18" i="36"/>
  <c r="BU18" i="36"/>
  <c r="D12" i="39" s="1"/>
  <c r="BT18" i="36"/>
  <c r="CF17" i="36"/>
  <c r="CE17" i="36"/>
  <c r="BF18" i="36"/>
  <c r="BE18" i="36"/>
  <c r="BD18" i="36"/>
  <c r="BC18" i="36"/>
  <c r="CC17" i="36"/>
  <c r="CB17" i="36"/>
  <c r="BZ17" i="36"/>
  <c r="BY17" i="36"/>
  <c r="BX17" i="36"/>
  <c r="BW17" i="36"/>
  <c r="BV17" i="36"/>
  <c r="BU17" i="36"/>
  <c r="D11" i="39" s="1"/>
  <c r="BT17" i="36"/>
  <c r="CA17" i="36"/>
  <c r="CF16" i="36"/>
  <c r="CE16" i="36"/>
  <c r="BF17" i="36"/>
  <c r="BE17" i="36"/>
  <c r="BD17" i="36"/>
  <c r="BC17" i="36"/>
  <c r="CC16" i="36"/>
  <c r="CB16" i="36"/>
  <c r="CA16" i="36"/>
  <c r="BZ16" i="36"/>
  <c r="BY16" i="36"/>
  <c r="BX16" i="36"/>
  <c r="BW16" i="36"/>
  <c r="BV16" i="36"/>
  <c r="BU16" i="36"/>
  <c r="D10" i="39" s="1"/>
  <c r="BT16" i="36"/>
  <c r="CF15" i="36"/>
  <c r="CE15" i="36"/>
  <c r="BF16" i="36"/>
  <c r="BE16" i="36"/>
  <c r="BD16" i="36"/>
  <c r="BC16" i="36"/>
  <c r="CC15" i="36"/>
  <c r="CB15" i="36"/>
  <c r="CA15" i="36"/>
  <c r="BZ15" i="36"/>
  <c r="BY15" i="36"/>
  <c r="BX15" i="36"/>
  <c r="BW15" i="36"/>
  <c r="BV15" i="36"/>
  <c r="BU15" i="36"/>
  <c r="D9" i="39" s="1"/>
  <c r="BT15" i="36"/>
  <c r="CE14" i="36"/>
  <c r="BF15" i="36"/>
  <c r="BE15" i="36"/>
  <c r="BD15" i="36"/>
  <c r="BC15" i="36"/>
  <c r="CC14" i="36"/>
  <c r="CB14" i="36"/>
  <c r="CA14" i="36"/>
  <c r="BZ14" i="36"/>
  <c r="BY14" i="36"/>
  <c r="BX14" i="36"/>
  <c r="BW14" i="36"/>
  <c r="BV14" i="36"/>
  <c r="BU14" i="36"/>
  <c r="D8" i="39" s="1"/>
  <c r="BT14" i="36"/>
  <c r="CF14" i="36"/>
  <c r="CF13" i="36"/>
  <c r="CE13" i="36"/>
  <c r="BF14" i="36"/>
  <c r="BE14" i="36"/>
  <c r="BD14" i="36"/>
  <c r="BC14" i="36"/>
  <c r="CB13" i="36"/>
  <c r="CA13" i="36"/>
  <c r="BZ13" i="36"/>
  <c r="BY13" i="36"/>
  <c r="BX13" i="36"/>
  <c r="BW13" i="36"/>
  <c r="BV13" i="36"/>
  <c r="BU13" i="36"/>
  <c r="D7" i="39" s="1"/>
  <c r="BT13" i="36"/>
  <c r="CC13" i="36"/>
  <c r="CF12" i="36"/>
  <c r="CE12" i="36"/>
  <c r="BF13" i="36"/>
  <c r="BE13" i="36"/>
  <c r="BD13" i="36"/>
  <c r="BC13" i="36"/>
  <c r="CC12" i="36"/>
  <c r="CB12" i="36"/>
  <c r="BZ12" i="36"/>
  <c r="BY12" i="36"/>
  <c r="BX12" i="36"/>
  <c r="BW12" i="36"/>
  <c r="BV12" i="36"/>
  <c r="BU12" i="36"/>
  <c r="D6" i="39" s="1"/>
  <c r="BT12" i="36"/>
  <c r="CA12" i="36"/>
  <c r="CF11" i="36"/>
  <c r="BF12" i="36"/>
  <c r="BE12" i="36"/>
  <c r="BD12" i="36"/>
  <c r="BC12" i="36"/>
  <c r="CC11" i="36"/>
  <c r="CB11" i="36"/>
  <c r="CA11" i="36"/>
  <c r="BZ11" i="36"/>
  <c r="BY11" i="36"/>
  <c r="BW11" i="36"/>
  <c r="BV11" i="36"/>
  <c r="BU11" i="36"/>
  <c r="D5" i="39" s="1"/>
  <c r="BT11" i="36"/>
  <c r="CE11" i="36"/>
  <c r="BX11" i="36"/>
  <c r="CF10" i="36"/>
  <c r="CE10" i="36"/>
  <c r="BF11" i="36"/>
  <c r="BE11" i="36"/>
  <c r="BD11" i="36"/>
  <c r="BC11" i="36"/>
  <c r="CC10" i="36"/>
  <c r="CB10" i="36"/>
  <c r="CA10" i="36"/>
  <c r="BZ10" i="36"/>
  <c r="BY10" i="36"/>
  <c r="BX10" i="36"/>
  <c r="BW10" i="36"/>
  <c r="BV10" i="36"/>
  <c r="BU10" i="36"/>
  <c r="D4" i="39" s="1"/>
  <c r="BT10" i="36"/>
  <c r="CF9" i="36"/>
  <c r="CE9" i="36"/>
  <c r="BF10" i="36"/>
  <c r="BE10" i="36"/>
  <c r="BD10" i="36"/>
  <c r="BC10" i="36"/>
  <c r="CC9" i="36"/>
  <c r="CB9" i="36"/>
  <c r="BZ9" i="36"/>
  <c r="BY9" i="36"/>
  <c r="BX9" i="36"/>
  <c r="BW9" i="36"/>
  <c r="BV9" i="36"/>
  <c r="BU9" i="36"/>
  <c r="CA9" i="36"/>
  <c r="BT9" i="36"/>
  <c r="CF8" i="36"/>
  <c r="CE8" i="36"/>
  <c r="BF9" i="36"/>
  <c r="BE9" i="36"/>
  <c r="BD9" i="36"/>
  <c r="BC9" i="36"/>
  <c r="BG9" i="36" s="1"/>
  <c r="CC8" i="36"/>
  <c r="CB8" i="36"/>
  <c r="CA8" i="36"/>
  <c r="BY8" i="36"/>
  <c r="BX8" i="36"/>
  <c r="BW8" i="36"/>
  <c r="BV8" i="36"/>
  <c r="BU8" i="36"/>
  <c r="BT8" i="36"/>
  <c r="BZ8" i="36"/>
  <c r="CF7" i="36"/>
  <c r="CE7" i="36"/>
  <c r="BF8" i="36"/>
  <c r="BE8" i="36"/>
  <c r="BD8" i="36"/>
  <c r="BC8" i="36"/>
  <c r="CC7" i="36"/>
  <c r="CB7" i="36"/>
  <c r="CA7" i="36"/>
  <c r="BZ7" i="36"/>
  <c r="BY7" i="36"/>
  <c r="BX7" i="36"/>
  <c r="BW7" i="36"/>
  <c r="BV7" i="36"/>
  <c r="BU7" i="36"/>
  <c r="BT7" i="36"/>
  <c r="CF6" i="36"/>
  <c r="CE6" i="36"/>
  <c r="BF7" i="36"/>
  <c r="BE7" i="36"/>
  <c r="BD7" i="36"/>
  <c r="BC7" i="36"/>
  <c r="CC6" i="36"/>
  <c r="CB6" i="36"/>
  <c r="CA6" i="36"/>
  <c r="BZ6" i="36"/>
  <c r="BY6" i="36"/>
  <c r="BX6" i="36"/>
  <c r="BW6" i="36"/>
  <c r="BV6" i="36"/>
  <c r="BU6" i="36"/>
  <c r="BT6" i="36"/>
  <c r="CF5" i="36"/>
  <c r="CE5" i="36"/>
  <c r="BF6" i="36"/>
  <c r="BE6" i="36"/>
  <c r="BD6" i="36"/>
  <c r="BC6" i="36"/>
  <c r="CC5" i="36"/>
  <c r="CB5" i="36"/>
  <c r="CA5" i="36"/>
  <c r="BZ5" i="36"/>
  <c r="BY5" i="36"/>
  <c r="BX5" i="36"/>
  <c r="BW5" i="36"/>
  <c r="BV5" i="36"/>
  <c r="BU5" i="36"/>
  <c r="BT5" i="36"/>
  <c r="CF4" i="36"/>
  <c r="CE4" i="36"/>
  <c r="BF5" i="36"/>
  <c r="BE5" i="36"/>
  <c r="BD5" i="36"/>
  <c r="BC5" i="36"/>
  <c r="CC4" i="36"/>
  <c r="CB4" i="36"/>
  <c r="BZ4" i="36"/>
  <c r="BY4" i="36"/>
  <c r="BX4" i="36"/>
  <c r="BW4" i="36"/>
  <c r="BV4" i="36"/>
  <c r="BU4" i="36"/>
  <c r="BT4" i="36"/>
  <c r="CA4" i="36"/>
  <c r="CF3" i="36"/>
  <c r="CE3" i="36"/>
  <c r="BF4" i="36"/>
  <c r="BE4" i="36"/>
  <c r="BD4" i="36"/>
  <c r="BC4" i="36"/>
  <c r="CC3" i="36"/>
  <c r="CB3" i="36"/>
  <c r="CA3" i="36"/>
  <c r="BZ3" i="36"/>
  <c r="BY3" i="36"/>
  <c r="BX3" i="36"/>
  <c r="BW3" i="36"/>
  <c r="BV3" i="36"/>
  <c r="BU3" i="36"/>
  <c r="BT3" i="36"/>
  <c r="CF2" i="36"/>
  <c r="CU2" i="36" s="1"/>
  <c r="CE2" i="36"/>
  <c r="CT2" i="36" s="1"/>
  <c r="CD2" i="36"/>
  <c r="CS2" i="36" s="1"/>
  <c r="CC2" i="36"/>
  <c r="CR2" i="36" s="1"/>
  <c r="CB2" i="36"/>
  <c r="CQ2" i="36" s="1"/>
  <c r="CA2" i="36"/>
  <c r="CP2" i="36" s="1"/>
  <c r="BZ2" i="36"/>
  <c r="CO2" i="36" s="1"/>
  <c r="BY2" i="36"/>
  <c r="CN2" i="36" s="1"/>
  <c r="BX2" i="36"/>
  <c r="CM2" i="36" s="1"/>
  <c r="BW2" i="36"/>
  <c r="CL2" i="36" s="1"/>
  <c r="BV2" i="36"/>
  <c r="CK2" i="36" s="1"/>
  <c r="BU2" i="36"/>
  <c r="CJ2" i="36" s="1"/>
  <c r="BT2" i="36"/>
  <c r="CI2" i="36" s="1"/>
  <c r="CD48" i="36" l="1"/>
  <c r="BG79" i="36"/>
  <c r="CD78" i="36" s="1"/>
  <c r="BG20" i="36"/>
  <c r="BG22" i="36"/>
  <c r="CD21" i="36" s="1"/>
  <c r="BG23" i="36"/>
  <c r="BG24" i="36"/>
  <c r="CD23" i="36" s="1"/>
  <c r="BG25" i="36"/>
  <c r="CD24" i="36" s="1"/>
  <c r="BG27" i="36"/>
  <c r="BG28" i="36"/>
  <c r="BG30" i="36"/>
  <c r="CD29" i="36" s="1"/>
  <c r="BG34" i="36"/>
  <c r="CD33" i="36" s="1"/>
  <c r="BG38" i="36"/>
  <c r="CD37" i="36" s="1"/>
  <c r="CD53" i="36"/>
  <c r="BG55" i="36"/>
  <c r="CD57" i="36"/>
  <c r="BG58" i="36"/>
  <c r="CD88" i="36"/>
  <c r="BG91" i="36"/>
  <c r="BG93" i="36"/>
  <c r="CD92" i="36" s="1"/>
  <c r="BG139" i="36"/>
  <c r="CD138" i="36" s="1"/>
  <c r="CD139" i="36"/>
  <c r="BG140" i="36"/>
  <c r="BG141" i="36"/>
  <c r="BG142" i="36"/>
  <c r="BG143" i="36"/>
  <c r="BG144" i="36"/>
  <c r="CD143" i="36" s="1"/>
  <c r="BG145" i="36"/>
  <c r="BG146" i="36"/>
  <c r="CD145" i="36" s="1"/>
  <c r="BG147" i="36"/>
  <c r="BG148" i="36"/>
  <c r="BG149" i="36"/>
  <c r="BG150" i="36"/>
  <c r="BG153" i="36"/>
  <c r="BG154" i="36"/>
  <c r="CD153" i="36" s="1"/>
  <c r="BG155" i="36"/>
  <c r="CD154" i="36" s="1"/>
  <c r="BG156" i="36"/>
  <c r="CD155" i="36" s="1"/>
  <c r="BG206" i="36"/>
  <c r="CD205" i="36" s="1"/>
  <c r="BG207" i="36"/>
  <c r="CD206" i="36" s="1"/>
  <c r="CD246" i="36"/>
  <c r="CD247" i="36"/>
  <c r="BG35" i="36"/>
  <c r="CD34" i="36" s="1"/>
  <c r="CD146" i="36"/>
  <c r="CD147" i="36"/>
  <c r="CD216" i="36"/>
  <c r="BG217" i="36"/>
  <c r="CD284" i="36"/>
  <c r="BG285" i="36"/>
  <c r="BG292" i="36"/>
  <c r="CD291" i="36" s="1"/>
  <c r="CD120" i="36"/>
  <c r="CD35" i="36"/>
  <c r="BG36" i="36"/>
  <c r="BG60" i="36"/>
  <c r="CD59" i="36" s="1"/>
  <c r="BG32" i="36"/>
  <c r="CD31" i="36" s="1"/>
  <c r="CD36" i="36"/>
  <c r="BG39" i="36"/>
  <c r="BG40" i="36"/>
  <c r="BG41" i="36"/>
  <c r="CD40" i="36" s="1"/>
  <c r="BG42" i="36"/>
  <c r="CD41" i="36" s="1"/>
  <c r="BG43" i="36"/>
  <c r="BG44" i="36"/>
  <c r="CD43" i="36" s="1"/>
  <c r="CD56" i="36"/>
  <c r="BG62" i="36"/>
  <c r="CD61" i="36" s="1"/>
  <c r="BG63" i="36"/>
  <c r="CD63" i="36"/>
  <c r="BG64" i="36"/>
  <c r="BG65" i="36"/>
  <c r="CD64" i="36" s="1"/>
  <c r="BG66" i="36"/>
  <c r="BG69" i="36"/>
  <c r="BG70" i="36"/>
  <c r="BG72" i="36"/>
  <c r="CD71" i="36" s="1"/>
  <c r="BG94" i="36"/>
  <c r="CD93" i="36" s="1"/>
  <c r="BG95" i="36"/>
  <c r="BG96" i="36"/>
  <c r="CD95" i="36" s="1"/>
  <c r="BG97" i="36"/>
  <c r="BG98" i="36"/>
  <c r="CD97" i="36" s="1"/>
  <c r="BG100" i="36"/>
  <c r="CD99" i="36" s="1"/>
  <c r="CD150" i="36"/>
  <c r="BG157" i="36"/>
  <c r="BG158" i="36"/>
  <c r="BG159" i="36"/>
  <c r="CD159" i="36"/>
  <c r="BG161" i="36"/>
  <c r="BG162" i="36"/>
  <c r="BG163" i="36"/>
  <c r="CD162" i="36" s="1"/>
  <c r="BG164" i="36"/>
  <c r="BG166" i="36"/>
  <c r="BG167" i="36"/>
  <c r="CD166" i="36" s="1"/>
  <c r="BG168" i="36"/>
  <c r="BG171" i="36"/>
  <c r="CD170" i="36" s="1"/>
  <c r="BG210" i="36"/>
  <c r="BG212" i="36"/>
  <c r="BG213" i="36"/>
  <c r="BG214" i="36"/>
  <c r="BG215" i="36"/>
  <c r="BG216" i="36"/>
  <c r="BG218" i="36"/>
  <c r="BG219" i="36"/>
  <c r="CD218" i="36" s="1"/>
  <c r="BG226" i="36"/>
  <c r="BG228" i="36"/>
  <c r="BG229" i="36"/>
  <c r="CD275" i="36"/>
  <c r="BG277" i="36"/>
  <c r="CD276" i="36" s="1"/>
  <c r="CD279" i="36"/>
  <c r="CD282" i="36"/>
  <c r="CD283" i="36"/>
  <c r="D278" i="38"/>
  <c r="CD286" i="36"/>
  <c r="CD290" i="36"/>
  <c r="BG11" i="36"/>
  <c r="CD10" i="36" s="1"/>
  <c r="CD32" i="36"/>
  <c r="BG45" i="36"/>
  <c r="CD65" i="36"/>
  <c r="BG73" i="36"/>
  <c r="CD72" i="36" s="1"/>
  <c r="CD73" i="36"/>
  <c r="BG74" i="36"/>
  <c r="BG76" i="36"/>
  <c r="CD75" i="36" s="1"/>
  <c r="BG99" i="36"/>
  <c r="BG101" i="36"/>
  <c r="BG102" i="36"/>
  <c r="CD103" i="36"/>
  <c r="BG104" i="36"/>
  <c r="D98" i="38"/>
  <c r="BG105" i="36"/>
  <c r="BG106" i="36"/>
  <c r="BG107" i="36"/>
  <c r="BG108" i="36"/>
  <c r="CD107" i="36" s="1"/>
  <c r="BG109" i="36"/>
  <c r="CD108" i="36" s="1"/>
  <c r="BG110" i="36"/>
  <c r="BG112" i="36"/>
  <c r="CD111" i="36" s="1"/>
  <c r="BG165" i="36"/>
  <c r="CD164" i="36" s="1"/>
  <c r="CD167" i="36"/>
  <c r="BG169" i="36"/>
  <c r="CD169" i="36"/>
  <c r="BG170" i="36"/>
  <c r="BG172" i="36"/>
  <c r="BG174" i="36"/>
  <c r="BG176" i="36"/>
  <c r="CD175" i="36" s="1"/>
  <c r="BG177" i="36"/>
  <c r="BG180" i="36"/>
  <c r="BG184" i="36"/>
  <c r="D180" i="38"/>
  <c r="BG187" i="36"/>
  <c r="CD186" i="36" s="1"/>
  <c r="CD209" i="36"/>
  <c r="CD214" i="36"/>
  <c r="BG220" i="36"/>
  <c r="BG221" i="36"/>
  <c r="BG222" i="36"/>
  <c r="BG224" i="36"/>
  <c r="CD223" i="36" s="1"/>
  <c r="BG225" i="36"/>
  <c r="CD224" i="36" s="1"/>
  <c r="BG227" i="36"/>
  <c r="CD228" i="36"/>
  <c r="BG230" i="36"/>
  <c r="BG236" i="36"/>
  <c r="CD274" i="36"/>
  <c r="CD278" i="36"/>
  <c r="BG120" i="36"/>
  <c r="CD119" i="36" s="1"/>
  <c r="BG4" i="36"/>
  <c r="CD3" i="36" s="1"/>
  <c r="CD19" i="36"/>
  <c r="BG67" i="36"/>
  <c r="CD66" i="36" s="1"/>
  <c r="CD68" i="36"/>
  <c r="BG71" i="36"/>
  <c r="CD74" i="36"/>
  <c r="BG75" i="36"/>
  <c r="BG5" i="36"/>
  <c r="CD4" i="36" s="1"/>
  <c r="BG6" i="36"/>
  <c r="CD5" i="36" s="1"/>
  <c r="BG7" i="36"/>
  <c r="CD6" i="36" s="1"/>
  <c r="BG8" i="36"/>
  <c r="CD7" i="36" s="1"/>
  <c r="CD39" i="36"/>
  <c r="BG49" i="36"/>
  <c r="CD67" i="36"/>
  <c r="BG68" i="36"/>
  <c r="BG77" i="36"/>
  <c r="CD76" i="36" s="1"/>
  <c r="BG81" i="36"/>
  <c r="CD100" i="36"/>
  <c r="BG103" i="36"/>
  <c r="CD104" i="36"/>
  <c r="CD105" i="36"/>
  <c r="BG111" i="36"/>
  <c r="BG113" i="36"/>
  <c r="CD113" i="36"/>
  <c r="BG114" i="36"/>
  <c r="CD115" i="36"/>
  <c r="BG116" i="36"/>
  <c r="BG117" i="36"/>
  <c r="BG121" i="36"/>
  <c r="BG122" i="36"/>
  <c r="CD121" i="36" s="1"/>
  <c r="BG125" i="36"/>
  <c r="BG126" i="36"/>
  <c r="CD125" i="36" s="1"/>
  <c r="BG173" i="36"/>
  <c r="BG175" i="36"/>
  <c r="CD177" i="36"/>
  <c r="BG178" i="36"/>
  <c r="BG181" i="36"/>
  <c r="CD180" i="36" s="1"/>
  <c r="BG182" i="36"/>
  <c r="CD183" i="36"/>
  <c r="CD184" i="36"/>
  <c r="BG185" i="36"/>
  <c r="CD185" i="36"/>
  <c r="BG186" i="36"/>
  <c r="BG188" i="36"/>
  <c r="BG192" i="36"/>
  <c r="BG223" i="36"/>
  <c r="CD222" i="36" s="1"/>
  <c r="CD226" i="36"/>
  <c r="BG231" i="36"/>
  <c r="BG232" i="36"/>
  <c r="CD231" i="36" s="1"/>
  <c r="BG233" i="36"/>
  <c r="CD232" i="36" s="1"/>
  <c r="BG234" i="36"/>
  <c r="CD233" i="36" s="1"/>
  <c r="BG235" i="36"/>
  <c r="BG237" i="36"/>
  <c r="CD236" i="36" s="1"/>
  <c r="BG240" i="36"/>
  <c r="CD239" i="36" s="1"/>
  <c r="BG243" i="36"/>
  <c r="BG48" i="36"/>
  <c r="CD47" i="36" s="1"/>
  <c r="BG80" i="36"/>
  <c r="CD79" i="36" s="1"/>
  <c r="CD249" i="36"/>
  <c r="BG250" i="36"/>
  <c r="CD9" i="36"/>
  <c r="BG10" i="36"/>
  <c r="CD112" i="36"/>
  <c r="BG119" i="36"/>
  <c r="CD118" i="36" s="1"/>
  <c r="CD241" i="36"/>
  <c r="BG242" i="36"/>
  <c r="CD8" i="36"/>
  <c r="BG14" i="36"/>
  <c r="CD13" i="36" s="1"/>
  <c r="BG16" i="36"/>
  <c r="CD15" i="36" s="1"/>
  <c r="CD77" i="36"/>
  <c r="BG82" i="36"/>
  <c r="CD81" i="36" s="1"/>
  <c r="BG83" i="36"/>
  <c r="BG84" i="36"/>
  <c r="CD83" i="36" s="1"/>
  <c r="BG85" i="36"/>
  <c r="CD84" i="36" s="1"/>
  <c r="BG86" i="36"/>
  <c r="CD85" i="36" s="1"/>
  <c r="BG88" i="36"/>
  <c r="CD87" i="36" s="1"/>
  <c r="CD109" i="36"/>
  <c r="BG124" i="36"/>
  <c r="CD123" i="36" s="1"/>
  <c r="BG130" i="36"/>
  <c r="BG131" i="36"/>
  <c r="CD130" i="36" s="1"/>
  <c r="BG132" i="36"/>
  <c r="CD132" i="36"/>
  <c r="BG133" i="36"/>
  <c r="BG136" i="36"/>
  <c r="CD135" i="36" s="1"/>
  <c r="CD136" i="36"/>
  <c r="BG137" i="36"/>
  <c r="CD178" i="36"/>
  <c r="CD182" i="36"/>
  <c r="CD190" i="36"/>
  <c r="CD199" i="36"/>
  <c r="BG201" i="36"/>
  <c r="BG202" i="36"/>
  <c r="CD201" i="36" s="1"/>
  <c r="BG204" i="36"/>
  <c r="CD242" i="36"/>
  <c r="BG245" i="36"/>
  <c r="CD244" i="36" s="1"/>
  <c r="BG256" i="36"/>
  <c r="BG257" i="36"/>
  <c r="CD348" i="36"/>
  <c r="BG349" i="36"/>
  <c r="CD117" i="36"/>
  <c r="BG118" i="36"/>
  <c r="CD174" i="36"/>
  <c r="CD191" i="36"/>
  <c r="CD234" i="36"/>
  <c r="BG12" i="36"/>
  <c r="CD11" i="36" s="1"/>
  <c r="BG13" i="36"/>
  <c r="CD12" i="36" s="1"/>
  <c r="CD14" i="36"/>
  <c r="BG15" i="36"/>
  <c r="BG17" i="36"/>
  <c r="CD16" i="36" s="1"/>
  <c r="BG18" i="36"/>
  <c r="CD17" i="36" s="1"/>
  <c r="BG19" i="36"/>
  <c r="BG21" i="36"/>
  <c r="CD20" i="36" s="1"/>
  <c r="BG26" i="36"/>
  <c r="BG29" i="36"/>
  <c r="CD28" i="36" s="1"/>
  <c r="BG53" i="36"/>
  <c r="CD52" i="36" s="1"/>
  <c r="BG54" i="36"/>
  <c r="D55" i="38"/>
  <c r="CD86" i="36"/>
  <c r="BG87" i="36"/>
  <c r="BG89" i="36"/>
  <c r="BG90" i="36"/>
  <c r="CD89" i="36" s="1"/>
  <c r="BG92" i="36"/>
  <c r="CD91" i="36" s="1"/>
  <c r="BG129" i="36"/>
  <c r="CD131" i="36"/>
  <c r="BG134" i="36"/>
  <c r="CD133" i="36" s="1"/>
  <c r="BG138" i="36"/>
  <c r="CD137" i="36" s="1"/>
  <c r="BG152" i="36"/>
  <c r="CD151" i="36" s="1"/>
  <c r="BG199" i="36"/>
  <c r="CD198" i="36" s="1"/>
  <c r="BG205" i="36"/>
  <c r="CD238" i="36"/>
  <c r="CD250" i="36"/>
  <c r="BG252" i="36"/>
  <c r="CD251" i="36" s="1"/>
  <c r="CD341" i="36"/>
  <c r="R415" i="37"/>
  <c r="S415" i="37"/>
  <c r="S407" i="37"/>
  <c r="R407" i="37"/>
  <c r="R399" i="37"/>
  <c r="S399" i="37"/>
  <c r="R391" i="37"/>
  <c r="S391" i="37"/>
  <c r="R383" i="37"/>
  <c r="S383" i="37"/>
  <c r="S375" i="37"/>
  <c r="R375" i="37"/>
  <c r="R367" i="37"/>
  <c r="S367" i="37"/>
  <c r="R359" i="37"/>
  <c r="S359" i="37"/>
  <c r="R351" i="37"/>
  <c r="S351" i="37"/>
  <c r="S343" i="37"/>
  <c r="R343" i="37"/>
  <c r="R335" i="37"/>
  <c r="S335" i="37"/>
  <c r="R327" i="37"/>
  <c r="S327" i="37"/>
  <c r="R319" i="37"/>
  <c r="S319" i="37"/>
  <c r="S311" i="37"/>
  <c r="R311" i="37"/>
  <c r="R303" i="37"/>
  <c r="S303" i="37"/>
  <c r="R295" i="37"/>
  <c r="S295" i="37"/>
  <c r="R287" i="37"/>
  <c r="S287" i="37"/>
  <c r="S279" i="37"/>
  <c r="R279" i="37"/>
  <c r="R271" i="37"/>
  <c r="S271" i="37"/>
  <c r="R263" i="37"/>
  <c r="S263" i="37"/>
  <c r="S255" i="37"/>
  <c r="R255" i="37"/>
  <c r="S247" i="37"/>
  <c r="R247" i="37"/>
  <c r="R239" i="37"/>
  <c r="S239" i="37"/>
  <c r="R231" i="37"/>
  <c r="S231" i="37"/>
  <c r="S223" i="37"/>
  <c r="R223" i="37"/>
  <c r="S215" i="37"/>
  <c r="R215" i="37"/>
  <c r="S207" i="37"/>
  <c r="R207" i="37"/>
  <c r="S199" i="37"/>
  <c r="R199" i="37"/>
  <c r="S191" i="37"/>
  <c r="R191" i="37"/>
  <c r="S183" i="37"/>
  <c r="R183" i="37"/>
  <c r="S175" i="37"/>
  <c r="R175" i="37"/>
  <c r="S167" i="37"/>
  <c r="R167" i="37"/>
  <c r="S159" i="37"/>
  <c r="R159" i="37"/>
  <c r="S151" i="37"/>
  <c r="R151" i="37"/>
  <c r="S143" i="37"/>
  <c r="R143" i="37"/>
  <c r="S135" i="37"/>
  <c r="R135" i="37"/>
  <c r="S127" i="37"/>
  <c r="R127" i="37"/>
  <c r="S119" i="37"/>
  <c r="R119" i="37"/>
  <c r="S111" i="37"/>
  <c r="R111" i="37"/>
  <c r="S103" i="37"/>
  <c r="R103" i="37"/>
  <c r="S95" i="37"/>
  <c r="R95" i="37"/>
  <c r="S87" i="37"/>
  <c r="R87" i="37"/>
  <c r="S79" i="37"/>
  <c r="R79" i="37"/>
  <c r="S71" i="37"/>
  <c r="R71" i="37"/>
  <c r="S63" i="37"/>
  <c r="R63" i="37"/>
  <c r="S55" i="37"/>
  <c r="R55" i="37"/>
  <c r="S47" i="37"/>
  <c r="R47" i="37"/>
  <c r="S39" i="37"/>
  <c r="R39" i="37"/>
  <c r="S31" i="37"/>
  <c r="R31" i="37"/>
  <c r="S23" i="37"/>
  <c r="R23" i="37"/>
  <c r="S15" i="37"/>
  <c r="R15" i="37"/>
  <c r="M15" i="37"/>
  <c r="L15" i="37"/>
  <c r="L410" i="37"/>
  <c r="L399" i="37"/>
  <c r="L388" i="37"/>
  <c r="L378" i="37"/>
  <c r="L367" i="37"/>
  <c r="L356" i="37"/>
  <c r="L346" i="37"/>
  <c r="L335" i="37"/>
  <c r="L324" i="37"/>
  <c r="L314" i="37"/>
  <c r="L303" i="37"/>
  <c r="L292" i="37"/>
  <c r="L271" i="37"/>
  <c r="L239" i="37"/>
  <c r="L207" i="37"/>
  <c r="L175" i="37"/>
  <c r="L143" i="37"/>
  <c r="L111" i="37"/>
  <c r="L79" i="37"/>
  <c r="L47" i="37"/>
  <c r="D307" i="38"/>
  <c r="D314" i="38"/>
  <c r="BG321" i="36"/>
  <c r="CD320" i="36" s="1"/>
  <c r="CD328" i="36"/>
  <c r="D343" i="38"/>
  <c r="CD351" i="36"/>
  <c r="D347" i="38"/>
  <c r="BG354" i="36"/>
  <c r="BG355" i="36"/>
  <c r="BG356" i="36"/>
  <c r="CD356" i="36"/>
  <c r="BG357" i="36"/>
  <c r="CD357" i="36"/>
  <c r="BG358" i="36"/>
  <c r="BG360" i="36"/>
  <c r="BG362" i="36"/>
  <c r="CD361" i="36" s="1"/>
  <c r="L408" i="37"/>
  <c r="L398" i="37"/>
  <c r="L376" i="37"/>
  <c r="L366" i="37"/>
  <c r="L344" i="37"/>
  <c r="L334" i="37"/>
  <c r="L312" i="37"/>
  <c r="L302" i="37"/>
  <c r="L280" i="37"/>
  <c r="L270" i="37"/>
  <c r="L248" i="37"/>
  <c r="L238" i="37"/>
  <c r="L216" i="37"/>
  <c r="L206" i="37"/>
  <c r="L184" i="37"/>
  <c r="L174" i="37"/>
  <c r="L152" i="37"/>
  <c r="L142" i="37"/>
  <c r="L120" i="37"/>
  <c r="L110" i="37"/>
  <c r="L88" i="37"/>
  <c r="L78" i="37"/>
  <c r="L56" i="37"/>
  <c r="L46" i="37"/>
  <c r="L24" i="37"/>
  <c r="CD300" i="36"/>
  <c r="BG301" i="36"/>
  <c r="BG322" i="36"/>
  <c r="CD321" i="36" s="1"/>
  <c r="BG361" i="36"/>
  <c r="CD360" i="36" s="1"/>
  <c r="BG371" i="36"/>
  <c r="CD370" i="36" s="1"/>
  <c r="BG406" i="36"/>
  <c r="BG414" i="36"/>
  <c r="CD413" i="36" s="1"/>
  <c r="BG416" i="36"/>
  <c r="BG418" i="36"/>
  <c r="BG422" i="36"/>
  <c r="BG424" i="36"/>
  <c r="S417" i="37"/>
  <c r="R417" i="37"/>
  <c r="S409" i="37"/>
  <c r="R409" i="37"/>
  <c r="R401" i="37"/>
  <c r="S401" i="37"/>
  <c r="R393" i="37"/>
  <c r="S393" i="37"/>
  <c r="S385" i="37"/>
  <c r="R385" i="37"/>
  <c r="S377" i="37"/>
  <c r="R377" i="37"/>
  <c r="R369" i="37"/>
  <c r="S369" i="37"/>
  <c r="R361" i="37"/>
  <c r="S361" i="37"/>
  <c r="S353" i="37"/>
  <c r="R353" i="37"/>
  <c r="S345" i="37"/>
  <c r="R345" i="37"/>
  <c r="R337" i="37"/>
  <c r="S337" i="37"/>
  <c r="R329" i="37"/>
  <c r="S329" i="37"/>
  <c r="S321" i="37"/>
  <c r="R321" i="37"/>
  <c r="S313" i="37"/>
  <c r="R313" i="37"/>
  <c r="R305" i="37"/>
  <c r="S305" i="37"/>
  <c r="R297" i="37"/>
  <c r="S297" i="37"/>
  <c r="S289" i="37"/>
  <c r="R289" i="37"/>
  <c r="S281" i="37"/>
  <c r="R281" i="37"/>
  <c r="R273" i="37"/>
  <c r="S273" i="37"/>
  <c r="R265" i="37"/>
  <c r="S265" i="37"/>
  <c r="S257" i="37"/>
  <c r="R257" i="37"/>
  <c r="R249" i="37"/>
  <c r="S249" i="37"/>
  <c r="R241" i="37"/>
  <c r="S241" i="37"/>
  <c r="R233" i="37"/>
  <c r="S233" i="37"/>
  <c r="S225" i="37"/>
  <c r="R225" i="37"/>
  <c r="R217" i="37"/>
  <c r="S217" i="37"/>
  <c r="S209" i="37"/>
  <c r="R209" i="37"/>
  <c r="S201" i="37"/>
  <c r="R201" i="37"/>
  <c r="S193" i="37"/>
  <c r="R193" i="37"/>
  <c r="S185" i="37"/>
  <c r="R185" i="37"/>
  <c r="S177" i="37"/>
  <c r="R177" i="37"/>
  <c r="S169" i="37"/>
  <c r="R169" i="37"/>
  <c r="S161" i="37"/>
  <c r="R161" i="37"/>
  <c r="S153" i="37"/>
  <c r="R153" i="37"/>
  <c r="S145" i="37"/>
  <c r="R145" i="37"/>
  <c r="S137" i="37"/>
  <c r="R137" i="37"/>
  <c r="S129" i="37"/>
  <c r="R129" i="37"/>
  <c r="S121" i="37"/>
  <c r="R121" i="37"/>
  <c r="S113" i="37"/>
  <c r="R113" i="37"/>
  <c r="S105" i="37"/>
  <c r="R105" i="37"/>
  <c r="S97" i="37"/>
  <c r="R97" i="37"/>
  <c r="S89" i="37"/>
  <c r="R89" i="37"/>
  <c r="S81" i="37"/>
  <c r="R81" i="37"/>
  <c r="S73" i="37"/>
  <c r="R73" i="37"/>
  <c r="S65" i="37"/>
  <c r="R65" i="37"/>
  <c r="S57" i="37"/>
  <c r="R57" i="37"/>
  <c r="S49" i="37"/>
  <c r="R49" i="37"/>
  <c r="S41" i="37"/>
  <c r="R41" i="37"/>
  <c r="S33" i="37"/>
  <c r="R33" i="37"/>
  <c r="S25" i="37"/>
  <c r="R25" i="37"/>
  <c r="S17" i="37"/>
  <c r="R17" i="37"/>
  <c r="L407" i="37"/>
  <c r="L396" i="37"/>
  <c r="L386" i="37"/>
  <c r="L375" i="37"/>
  <c r="L364" i="37"/>
  <c r="L354" i="37"/>
  <c r="L343" i="37"/>
  <c r="L332" i="37"/>
  <c r="L322" i="37"/>
  <c r="L311" i="37"/>
  <c r="L300" i="37"/>
  <c r="L290" i="37"/>
  <c r="L279" i="37"/>
  <c r="L268" i="37"/>
  <c r="L258" i="37"/>
  <c r="L247" i="37"/>
  <c r="L236" i="37"/>
  <c r="L226" i="37"/>
  <c r="L215" i="37"/>
  <c r="L204" i="37"/>
  <c r="L194" i="37"/>
  <c r="L183" i="37"/>
  <c r="L172" i="37"/>
  <c r="L162" i="37"/>
  <c r="L151" i="37"/>
  <c r="L140" i="37"/>
  <c r="L130" i="37"/>
  <c r="L119" i="37"/>
  <c r="L108" i="37"/>
  <c r="L98" i="37"/>
  <c r="L87" i="37"/>
  <c r="L76" i="37"/>
  <c r="L66" i="37"/>
  <c r="L55" i="37"/>
  <c r="L44" i="37"/>
  <c r="L34" i="37"/>
  <c r="L23" i="37"/>
  <c r="CD270" i="36"/>
  <c r="CD298" i="36"/>
  <c r="CD307" i="36"/>
  <c r="BG308" i="36"/>
  <c r="BG365" i="36"/>
  <c r="CD364" i="36" s="1"/>
  <c r="CD368" i="36"/>
  <c r="BG369" i="36"/>
  <c r="CD372" i="36"/>
  <c r="BG373" i="36"/>
  <c r="CD379" i="36"/>
  <c r="BG380" i="36"/>
  <c r="CD385" i="36"/>
  <c r="CD389" i="36"/>
  <c r="BG391" i="36"/>
  <c r="BG392" i="36"/>
  <c r="BG393" i="36"/>
  <c r="BG394" i="36"/>
  <c r="BG395" i="36"/>
  <c r="BG396" i="36"/>
  <c r="BG397" i="36"/>
  <c r="CD396" i="36" s="1"/>
  <c r="BG401" i="36"/>
  <c r="BG402" i="36"/>
  <c r="CD401" i="36" s="1"/>
  <c r="BG403" i="36"/>
  <c r="BG404" i="36"/>
  <c r="BG405" i="36"/>
  <c r="CD405" i="36"/>
  <c r="BG407" i="36"/>
  <c r="BG408" i="36"/>
  <c r="BG409" i="36"/>
  <c r="BG411" i="36"/>
  <c r="BG412" i="36"/>
  <c r="BG413" i="36"/>
  <c r="BG415" i="36"/>
  <c r="BG417" i="36"/>
  <c r="BG419" i="36"/>
  <c r="BG420" i="36"/>
  <c r="BG421" i="36"/>
  <c r="CD420" i="36" s="1"/>
  <c r="CD421" i="36"/>
  <c r="BG423" i="36"/>
  <c r="L416" i="37"/>
  <c r="L406" i="37"/>
  <c r="L384" i="37"/>
  <c r="L374" i="37"/>
  <c r="L352" i="37"/>
  <c r="L342" i="37"/>
  <c r="L320" i="37"/>
  <c r="L310" i="37"/>
  <c r="L288" i="37"/>
  <c r="L278" i="37"/>
  <c r="L256" i="37"/>
  <c r="L246" i="37"/>
  <c r="L224" i="37"/>
  <c r="L214" i="37"/>
  <c r="L192" i="37"/>
  <c r="L182" i="37"/>
  <c r="L160" i="37"/>
  <c r="L150" i="37"/>
  <c r="L128" i="37"/>
  <c r="L118" i="37"/>
  <c r="L96" i="37"/>
  <c r="L86" i="37"/>
  <c r="L64" i="37"/>
  <c r="L54" i="37"/>
  <c r="L32" i="37"/>
  <c r="L22" i="37"/>
  <c r="BG253" i="36"/>
  <c r="CD252" i="36" s="1"/>
  <c r="BG254" i="36"/>
  <c r="BG255" i="36"/>
  <c r="CD254" i="36" s="1"/>
  <c r="CD255" i="36"/>
  <c r="CD257" i="36"/>
  <c r="BG258" i="36"/>
  <c r="BG259" i="36"/>
  <c r="CD258" i="36" s="1"/>
  <c r="BG264" i="36"/>
  <c r="CD263" i="36" s="1"/>
  <c r="CD296" i="36"/>
  <c r="CD303" i="36"/>
  <c r="BG306" i="36"/>
  <c r="CD305" i="36" s="1"/>
  <c r="BG307" i="36"/>
  <c r="CD306" i="36" s="1"/>
  <c r="BG311" i="36"/>
  <c r="BG312" i="36"/>
  <c r="BG324" i="36"/>
  <c r="CD323" i="36" s="1"/>
  <c r="BG326" i="36"/>
  <c r="CD325" i="36" s="1"/>
  <c r="CD377" i="36"/>
  <c r="CD384" i="36"/>
  <c r="CD388" i="36"/>
  <c r="CD392" i="36"/>
  <c r="CD400" i="36"/>
  <c r="CD404" i="36"/>
  <c r="CD408" i="36"/>
  <c r="CD412" i="36"/>
  <c r="CD416" i="36"/>
  <c r="R411" i="37"/>
  <c r="S411" i="37"/>
  <c r="R403" i="37"/>
  <c r="S403" i="37"/>
  <c r="R395" i="37"/>
  <c r="S395" i="37"/>
  <c r="S387" i="37"/>
  <c r="R387" i="37"/>
  <c r="R379" i="37"/>
  <c r="S379" i="37"/>
  <c r="R371" i="37"/>
  <c r="S371" i="37"/>
  <c r="R363" i="37"/>
  <c r="S363" i="37"/>
  <c r="S355" i="37"/>
  <c r="R355" i="37"/>
  <c r="R347" i="37"/>
  <c r="S347" i="37"/>
  <c r="R339" i="37"/>
  <c r="S339" i="37"/>
  <c r="R331" i="37"/>
  <c r="S331" i="37"/>
  <c r="S323" i="37"/>
  <c r="R323" i="37"/>
  <c r="R315" i="37"/>
  <c r="S315" i="37"/>
  <c r="R307" i="37"/>
  <c r="S307" i="37"/>
  <c r="R299" i="37"/>
  <c r="S299" i="37"/>
  <c r="S291" i="37"/>
  <c r="R291" i="37"/>
  <c r="R283" i="37"/>
  <c r="S283" i="37"/>
  <c r="R275" i="37"/>
  <c r="S275" i="37"/>
  <c r="R267" i="37"/>
  <c r="S267" i="37"/>
  <c r="S259" i="37"/>
  <c r="R259" i="37"/>
  <c r="R251" i="37"/>
  <c r="S251" i="37"/>
  <c r="R243" i="37"/>
  <c r="S243" i="37"/>
  <c r="R235" i="37"/>
  <c r="S235" i="37"/>
  <c r="S227" i="37"/>
  <c r="R227" i="37"/>
  <c r="R219" i="37"/>
  <c r="S219" i="37"/>
  <c r="R211" i="37"/>
  <c r="S211" i="37"/>
  <c r="S203" i="37"/>
  <c r="R203" i="37"/>
  <c r="S195" i="37"/>
  <c r="R195" i="37"/>
  <c r="S187" i="37"/>
  <c r="R187" i="37"/>
  <c r="S179" i="37"/>
  <c r="R179" i="37"/>
  <c r="S171" i="37"/>
  <c r="R171" i="37"/>
  <c r="S163" i="37"/>
  <c r="R163" i="37"/>
  <c r="S155" i="37"/>
  <c r="R155" i="37"/>
  <c r="S147" i="37"/>
  <c r="R147" i="37"/>
  <c r="S139" i="37"/>
  <c r="R139" i="37"/>
  <c r="S131" i="37"/>
  <c r="R131" i="37"/>
  <c r="S123" i="37"/>
  <c r="R123" i="37"/>
  <c r="S115" i="37"/>
  <c r="R115" i="37"/>
  <c r="S107" i="37"/>
  <c r="R107" i="37"/>
  <c r="S99" i="37"/>
  <c r="R99" i="37"/>
  <c r="S91" i="37"/>
  <c r="R91" i="37"/>
  <c r="S83" i="37"/>
  <c r="R83" i="37"/>
  <c r="S75" i="37"/>
  <c r="R75" i="37"/>
  <c r="S67" i="37"/>
  <c r="R67" i="37"/>
  <c r="S59" i="37"/>
  <c r="R59" i="37"/>
  <c r="S51" i="37"/>
  <c r="R51" i="37"/>
  <c r="S43" i="37"/>
  <c r="R43" i="37"/>
  <c r="S35" i="37"/>
  <c r="R35" i="37"/>
  <c r="S27" i="37"/>
  <c r="R27" i="37"/>
  <c r="S19" i="37"/>
  <c r="R19" i="37"/>
  <c r="L415" i="37"/>
  <c r="L404" i="37"/>
  <c r="L394" i="37"/>
  <c r="L383" i="37"/>
  <c r="L372" i="37"/>
  <c r="L362" i="37"/>
  <c r="L351" i="37"/>
  <c r="L340" i="37"/>
  <c r="L330" i="37"/>
  <c r="L319" i="37"/>
  <c r="L308" i="37"/>
  <c r="L298" i="37"/>
  <c r="L287" i="37"/>
  <c r="L276" i="37"/>
  <c r="L266" i="37"/>
  <c r="L255" i="37"/>
  <c r="L244" i="37"/>
  <c r="L234" i="37"/>
  <c r="L223" i="37"/>
  <c r="L212" i="37"/>
  <c r="L202" i="37"/>
  <c r="L191" i="37"/>
  <c r="L180" i="37"/>
  <c r="L170" i="37"/>
  <c r="L159" i="37"/>
  <c r="L148" i="37"/>
  <c r="L138" i="37"/>
  <c r="L127" i="37"/>
  <c r="L116" i="37"/>
  <c r="L106" i="37"/>
  <c r="L95" i="37"/>
  <c r="L84" i="37"/>
  <c r="L74" i="37"/>
  <c r="L63" i="37"/>
  <c r="L52" i="37"/>
  <c r="L42" i="37"/>
  <c r="L31" i="37"/>
  <c r="L20" i="37"/>
  <c r="BG260" i="36"/>
  <c r="CD259" i="36" s="1"/>
  <c r="BG261" i="36"/>
  <c r="BG262" i="36"/>
  <c r="BG263" i="36"/>
  <c r="CD262" i="36" s="1"/>
  <c r="BG267" i="36"/>
  <c r="CD266" i="36" s="1"/>
  <c r="CD301" i="36"/>
  <c r="CD304" i="36"/>
  <c r="BG309" i="36"/>
  <c r="CD308" i="36" s="1"/>
  <c r="BG310" i="36"/>
  <c r="CD310" i="36"/>
  <c r="BG315" i="36"/>
  <c r="BG316" i="36"/>
  <c r="CD315" i="36" s="1"/>
  <c r="BG327" i="36"/>
  <c r="BG330" i="36"/>
  <c r="L414" i="37"/>
  <c r="L403" i="37"/>
  <c r="L392" i="37"/>
  <c r="L382" i="37"/>
  <c r="L371" i="37"/>
  <c r="L360" i="37"/>
  <c r="L350" i="37"/>
  <c r="L339" i="37"/>
  <c r="L328" i="37"/>
  <c r="L318" i="37"/>
  <c r="L307" i="37"/>
  <c r="L296" i="37"/>
  <c r="L286" i="37"/>
  <c r="L275" i="37"/>
  <c r="L264" i="37"/>
  <c r="L254" i="37"/>
  <c r="L243" i="37"/>
  <c r="L232" i="37"/>
  <c r="L222" i="37"/>
  <c r="L211" i="37"/>
  <c r="L200" i="37"/>
  <c r="L190" i="37"/>
  <c r="L179" i="37"/>
  <c r="L168" i="37"/>
  <c r="L158" i="37"/>
  <c r="L147" i="37"/>
  <c r="L136" i="37"/>
  <c r="L126" i="37"/>
  <c r="L115" i="37"/>
  <c r="L104" i="37"/>
  <c r="L94" i="37"/>
  <c r="L83" i="37"/>
  <c r="L72" i="37"/>
  <c r="L62" i="37"/>
  <c r="L51" i="37"/>
  <c r="L40" i="37"/>
  <c r="L30" i="37"/>
  <c r="L19" i="37"/>
  <c r="BG265" i="36"/>
  <c r="BG266" i="36"/>
  <c r="BG313" i="36"/>
  <c r="CD312" i="36" s="1"/>
  <c r="BG314" i="36"/>
  <c r="CD329" i="36"/>
  <c r="BG332" i="36"/>
  <c r="BG334" i="36"/>
  <c r="BG335" i="36"/>
  <c r="CD334" i="36" s="1"/>
  <c r="BG338" i="36"/>
  <c r="BG339" i="36"/>
  <c r="BG342" i="36"/>
  <c r="BG343" i="36"/>
  <c r="CD342" i="36" s="1"/>
  <c r="BG344" i="36"/>
  <c r="R413" i="37"/>
  <c r="S413" i="37"/>
  <c r="R405" i="37"/>
  <c r="S405" i="37"/>
  <c r="S397" i="37"/>
  <c r="R397" i="37"/>
  <c r="R389" i="37"/>
  <c r="S389" i="37"/>
  <c r="R381" i="37"/>
  <c r="S381" i="37"/>
  <c r="R373" i="37"/>
  <c r="S373" i="37"/>
  <c r="S365" i="37"/>
  <c r="R365" i="37"/>
  <c r="R357" i="37"/>
  <c r="S357" i="37"/>
  <c r="S349" i="37"/>
  <c r="R349" i="37"/>
  <c r="R341" i="37"/>
  <c r="S341" i="37"/>
  <c r="S333" i="37"/>
  <c r="R333" i="37"/>
  <c r="R325" i="37"/>
  <c r="S325" i="37"/>
  <c r="S317" i="37"/>
  <c r="R317" i="37"/>
  <c r="R309" i="37"/>
  <c r="S309" i="37"/>
  <c r="S301" i="37"/>
  <c r="R301" i="37"/>
  <c r="R293" i="37"/>
  <c r="S293" i="37"/>
  <c r="R285" i="37"/>
  <c r="S285" i="37"/>
  <c r="R277" i="37"/>
  <c r="S277" i="37"/>
  <c r="S269" i="37"/>
  <c r="R269" i="37"/>
  <c r="R261" i="37"/>
  <c r="S261" i="37"/>
  <c r="R253" i="37"/>
  <c r="S253" i="37"/>
  <c r="R245" i="37"/>
  <c r="S245" i="37"/>
  <c r="S237" i="37"/>
  <c r="R237" i="37"/>
  <c r="R229" i="37"/>
  <c r="S229" i="37"/>
  <c r="R221" i="37"/>
  <c r="S221" i="37"/>
  <c r="R213" i="37"/>
  <c r="S213" i="37"/>
  <c r="S205" i="37"/>
  <c r="R205" i="37"/>
  <c r="S197" i="37"/>
  <c r="R197" i="37"/>
  <c r="S189" i="37"/>
  <c r="R189" i="37"/>
  <c r="S181" i="37"/>
  <c r="R181" i="37"/>
  <c r="S173" i="37"/>
  <c r="R173" i="37"/>
  <c r="S165" i="37"/>
  <c r="R165" i="37"/>
  <c r="S157" i="37"/>
  <c r="R157" i="37"/>
  <c r="S149" i="37"/>
  <c r="R149" i="37"/>
  <c r="S141" i="37"/>
  <c r="R141" i="37"/>
  <c r="S133" i="37"/>
  <c r="R133" i="37"/>
  <c r="S125" i="37"/>
  <c r="R125" i="37"/>
  <c r="S117" i="37"/>
  <c r="R117" i="37"/>
  <c r="S109" i="37"/>
  <c r="R109" i="37"/>
  <c r="S101" i="37"/>
  <c r="R101" i="37"/>
  <c r="S93" i="37"/>
  <c r="R93" i="37"/>
  <c r="S85" i="37"/>
  <c r="R85" i="37"/>
  <c r="S77" i="37"/>
  <c r="R77" i="37"/>
  <c r="S69" i="37"/>
  <c r="R69" i="37"/>
  <c r="S61" i="37"/>
  <c r="R61" i="37"/>
  <c r="S53" i="37"/>
  <c r="R53" i="37"/>
  <c r="S45" i="37"/>
  <c r="R45" i="37"/>
  <c r="S37" i="37"/>
  <c r="R37" i="37"/>
  <c r="S29" i="37"/>
  <c r="R29" i="37"/>
  <c r="S21" i="37"/>
  <c r="R21" i="37"/>
  <c r="L412" i="37"/>
  <c r="L402" i="37"/>
  <c r="L391" i="37"/>
  <c r="L380" i="37"/>
  <c r="L370" i="37"/>
  <c r="L359" i="37"/>
  <c r="L348" i="37"/>
  <c r="L338" i="37"/>
  <c r="L327" i="37"/>
  <c r="L316" i="37"/>
  <c r="L306" i="37"/>
  <c r="L295" i="37"/>
  <c r="L284" i="37"/>
  <c r="L274" i="37"/>
  <c r="L263" i="37"/>
  <c r="L252" i="37"/>
  <c r="L242" i="37"/>
  <c r="L231" i="37"/>
  <c r="L220" i="37"/>
  <c r="L210" i="37"/>
  <c r="L199" i="37"/>
  <c r="L188" i="37"/>
  <c r="L178" i="37"/>
  <c r="L167" i="37"/>
  <c r="L156" i="37"/>
  <c r="L146" i="37"/>
  <c r="L135" i="37"/>
  <c r="L124" i="37"/>
  <c r="L114" i="37"/>
  <c r="L103" i="37"/>
  <c r="L92" i="37"/>
  <c r="L82" i="37"/>
  <c r="L71" i="37"/>
  <c r="L60" i="37"/>
  <c r="L50" i="37"/>
  <c r="L39" i="37"/>
  <c r="L28" i="37"/>
  <c r="L18" i="37"/>
  <c r="BG269" i="36"/>
  <c r="BG317" i="36"/>
  <c r="CD316" i="36" s="1"/>
  <c r="BG318" i="36"/>
  <c r="CD317" i="36" s="1"/>
  <c r="BG319" i="36"/>
  <c r="CD318" i="36" s="1"/>
  <c r="BG328" i="36"/>
  <c r="BG329" i="36"/>
  <c r="BG331" i="36"/>
  <c r="CD330" i="36" s="1"/>
  <c r="BG333" i="36"/>
  <c r="CD332" i="36" s="1"/>
  <c r="CD335" i="36"/>
  <c r="BG336" i="36"/>
  <c r="BG337" i="36"/>
  <c r="CD337" i="36"/>
  <c r="CD338" i="36"/>
  <c r="BG340" i="36"/>
  <c r="CD339" i="36" s="1"/>
  <c r="BG341" i="36"/>
  <c r="CD340" i="36" s="1"/>
  <c r="BG345" i="36"/>
  <c r="CD344" i="36" s="1"/>
  <c r="BG346" i="36"/>
  <c r="CD345" i="36" s="1"/>
  <c r="BG348" i="36"/>
  <c r="CD347" i="36" s="1"/>
  <c r="CD376" i="36"/>
  <c r="L411" i="37"/>
  <c r="L400" i="37"/>
  <c r="L390" i="37"/>
  <c r="L379" i="37"/>
  <c r="L368" i="37"/>
  <c r="L358" i="37"/>
  <c r="L347" i="37"/>
  <c r="L336" i="37"/>
  <c r="L326" i="37"/>
  <c r="L315" i="37"/>
  <c r="L304" i="37"/>
  <c r="L294" i="37"/>
  <c r="L283" i="37"/>
  <c r="L272" i="37"/>
  <c r="L262" i="37"/>
  <c r="L251" i="37"/>
  <c r="L240" i="37"/>
  <c r="L230" i="37"/>
  <c r="L219" i="37"/>
  <c r="L208" i="37"/>
  <c r="L198" i="37"/>
  <c r="L187" i="37"/>
  <c r="L176" i="37"/>
  <c r="L166" i="37"/>
  <c r="L155" i="37"/>
  <c r="L144" i="37"/>
  <c r="L134" i="37"/>
  <c r="L123" i="37"/>
  <c r="L112" i="37"/>
  <c r="L102" i="37"/>
  <c r="L91" i="37"/>
  <c r="L80" i="37"/>
  <c r="L70" i="37"/>
  <c r="L59" i="37"/>
  <c r="L48" i="37"/>
  <c r="L38" i="37"/>
  <c r="L27" i="37"/>
  <c r="L16" i="37"/>
  <c r="D22" i="38"/>
  <c r="D71" i="38"/>
  <c r="D74" i="38"/>
  <c r="D96" i="38"/>
  <c r="D111" i="38"/>
  <c r="D188" i="38"/>
  <c r="D235" i="38"/>
  <c r="D264" i="38"/>
  <c r="D283" i="38"/>
  <c r="D355" i="38"/>
  <c r="D364" i="38"/>
  <c r="D375" i="38"/>
  <c r="D407" i="38"/>
  <c r="D411" i="38"/>
  <c r="D26" i="38"/>
  <c r="D27" i="38"/>
  <c r="D53" i="38"/>
  <c r="D133" i="38"/>
  <c r="D170" i="38"/>
  <c r="D302" i="38"/>
  <c r="D308" i="38"/>
  <c r="D309" i="38"/>
  <c r="D317" i="38"/>
  <c r="D331" i="38"/>
  <c r="D332" i="38"/>
  <c r="D371" i="38"/>
  <c r="D117" i="38"/>
  <c r="D126" i="38"/>
  <c r="D410" i="38"/>
  <c r="D60" i="38"/>
  <c r="D92" i="38"/>
  <c r="D97" i="38"/>
  <c r="D103" i="38"/>
  <c r="D114" i="38"/>
  <c r="D166" i="38"/>
  <c r="D167" i="38"/>
  <c r="D215" i="38"/>
  <c r="D226" i="38"/>
  <c r="D227" i="38"/>
  <c r="D261" i="38"/>
  <c r="D269" i="38"/>
  <c r="D273" i="38"/>
  <c r="D79" i="38"/>
  <c r="D120" i="38"/>
  <c r="D194" i="38"/>
  <c r="D363" i="38"/>
  <c r="D374" i="38"/>
  <c r="D384" i="38"/>
  <c r="D389" i="38"/>
  <c r="D394" i="38"/>
  <c r="D402" i="38"/>
  <c r="D413" i="38"/>
  <c r="D10" i="38"/>
  <c r="D231" i="38"/>
  <c r="D234" i="38"/>
  <c r="D351" i="38"/>
  <c r="D376" i="38"/>
  <c r="D388" i="38"/>
  <c r="D390" i="38"/>
  <c r="D395" i="38"/>
  <c r="D11" i="38"/>
  <c r="D13" i="38"/>
  <c r="D14" i="38"/>
  <c r="D19" i="38"/>
  <c r="D20" i="38"/>
  <c r="D23" i="38"/>
  <c r="D88" i="38"/>
  <c r="D134" i="38"/>
  <c r="D137" i="38"/>
  <c r="D142" i="38"/>
  <c r="D147" i="38"/>
  <c r="D200" i="38"/>
  <c r="D225" i="38"/>
  <c r="D245" i="38"/>
  <c r="D251" i="38"/>
  <c r="D254" i="38"/>
  <c r="D345" i="38"/>
  <c r="D78" i="38"/>
  <c r="D238" i="38"/>
  <c r="D362" i="38"/>
  <c r="D368" i="38"/>
  <c r="D12" i="38"/>
  <c r="D83" i="38"/>
  <c r="D34" i="38"/>
  <c r="D52" i="38"/>
  <c r="D58" i="38"/>
  <c r="D59" i="38"/>
  <c r="D87" i="38"/>
  <c r="D89" i="38"/>
  <c r="D154" i="38"/>
  <c r="D205" i="38"/>
  <c r="D206" i="38"/>
  <c r="D259" i="38"/>
  <c r="D322" i="38"/>
  <c r="D334" i="38"/>
  <c r="D288" i="38"/>
  <c r="D380" i="38"/>
  <c r="D6" i="38"/>
  <c r="D82" i="38"/>
  <c r="D48" i="38"/>
  <c r="D176" i="38"/>
  <c r="D187" i="38"/>
  <c r="D265" i="38"/>
  <c r="D323" i="38"/>
  <c r="D330" i="38"/>
  <c r="D333" i="38"/>
  <c r="D385" i="38"/>
  <c r="D403" i="38"/>
  <c r="D15" i="38"/>
  <c r="D30" i="38"/>
  <c r="D43" i="38"/>
  <c r="D113" i="38"/>
  <c r="D122" i="38"/>
  <c r="D127" i="38"/>
  <c r="D158" i="38"/>
  <c r="D159" i="38"/>
  <c r="D160" i="38"/>
  <c r="D161" i="38"/>
  <c r="D171" i="38"/>
  <c r="D198" i="38"/>
  <c r="D201" i="38"/>
  <c r="D242" i="38"/>
  <c r="D247" i="38"/>
  <c r="D255" i="38"/>
  <c r="D262" i="38"/>
  <c r="D299" i="38"/>
  <c r="D312" i="38"/>
  <c r="D315" i="38"/>
  <c r="D318" i="38"/>
  <c r="D324" i="38"/>
  <c r="D372" i="38"/>
  <c r="D396" i="38"/>
  <c r="D397" i="38"/>
  <c r="D414" i="38"/>
  <c r="D38" i="38"/>
  <c r="D65" i="38"/>
  <c r="D75" i="38"/>
  <c r="D104" i="38"/>
  <c r="D123" i="38"/>
  <c r="D135" i="38"/>
  <c r="D172" i="38"/>
  <c r="D182" i="38"/>
  <c r="D248" i="38"/>
  <c r="D250" i="38"/>
  <c r="D268" i="38"/>
  <c r="D284" i="38"/>
  <c r="D306" i="38"/>
  <c r="D319" i="38"/>
  <c r="D359" i="38"/>
  <c r="D361" i="38"/>
  <c r="D399" i="38"/>
  <c r="D130" i="38"/>
  <c r="D131" i="38"/>
  <c r="D211" i="38"/>
  <c r="D212" i="38"/>
  <c r="D291" i="38"/>
  <c r="D300" i="38"/>
  <c r="D316" i="38"/>
  <c r="D325" i="38"/>
  <c r="D5" i="38"/>
  <c r="D16" i="38"/>
  <c r="D31" i="38"/>
  <c r="D91" i="38"/>
  <c r="D150" i="38"/>
  <c r="D162" i="38"/>
  <c r="D249" i="38"/>
  <c r="D290" i="38"/>
  <c r="D292" i="38"/>
  <c r="D311" i="38"/>
  <c r="D339" i="38"/>
  <c r="D358" i="38"/>
  <c r="D360" i="38"/>
  <c r="D387" i="38"/>
  <c r="D415" i="38"/>
  <c r="D7" i="38"/>
  <c r="D32" i="38"/>
  <c r="D39" i="38"/>
  <c r="D70" i="38"/>
  <c r="D109" i="38"/>
  <c r="D110" i="38"/>
  <c r="D119" i="38"/>
  <c r="D138" i="38"/>
  <c r="D153" i="38"/>
  <c r="D175" i="38"/>
  <c r="D184" i="38"/>
  <c r="D192" i="38"/>
  <c r="D193" i="38"/>
  <c r="D204" i="38"/>
  <c r="D220" i="38"/>
  <c r="D223" i="38"/>
  <c r="D258" i="38"/>
  <c r="D272" i="38"/>
  <c r="D287" i="38"/>
  <c r="D294" i="38"/>
  <c r="D295" i="38"/>
  <c r="D346" i="38"/>
  <c r="D381" i="38"/>
  <c r="D408" i="38"/>
  <c r="D409" i="38"/>
  <c r="D108" i="38"/>
  <c r="D173" i="38"/>
  <c r="D99" i="38"/>
  <c r="D253" i="38"/>
  <c r="D8" i="38"/>
  <c r="D44" i="38"/>
  <c r="D207" i="38"/>
  <c r="D243" i="38"/>
  <c r="D257" i="38"/>
  <c r="D275" i="38"/>
  <c r="D398" i="38"/>
  <c r="D4" i="38"/>
  <c r="D37" i="38"/>
  <c r="D189" i="38"/>
  <c r="D196" i="38"/>
  <c r="D218" i="38"/>
  <c r="D270" i="38"/>
  <c r="D404" i="38"/>
  <c r="D416" i="38"/>
  <c r="D84" i="38"/>
  <c r="D105" i="38"/>
  <c r="D155" i="38"/>
  <c r="D183" i="38"/>
  <c r="D252" i="38"/>
  <c r="D276" i="38"/>
  <c r="D296" i="38"/>
  <c r="D303" i="38"/>
  <c r="D326" i="38"/>
  <c r="D369" i="38"/>
  <c r="D36" i="38"/>
  <c r="D195" i="38"/>
  <c r="D202" i="38"/>
  <c r="D214" i="38"/>
  <c r="D239" i="38"/>
  <c r="D293" i="38"/>
  <c r="D344" i="38"/>
  <c r="D9" i="38"/>
  <c r="D21" i="38"/>
  <c r="D72" i="38"/>
  <c r="D76" i="38"/>
  <c r="D80" i="38"/>
  <c r="D93" i="38"/>
  <c r="D100" i="38"/>
  <c r="D101" i="38"/>
  <c r="D112" i="38"/>
  <c r="D129" i="38"/>
  <c r="D132" i="38"/>
  <c r="D174" i="38"/>
  <c r="D190" i="38"/>
  <c r="D236" i="38"/>
  <c r="D266" i="38"/>
  <c r="D271" i="38"/>
  <c r="D279" i="38"/>
  <c r="D310" i="38"/>
  <c r="D313" i="38"/>
  <c r="D327" i="38"/>
  <c r="D335" i="38"/>
  <c r="D340" i="38"/>
  <c r="D353" i="38"/>
  <c r="D379" i="38"/>
  <c r="D40" i="38"/>
  <c r="D45" i="38"/>
  <c r="D49" i="38"/>
  <c r="D64" i="38"/>
  <c r="D115" i="38"/>
  <c r="D140" i="38"/>
  <c r="D146" i="38"/>
  <c r="D157" i="38"/>
  <c r="D197" i="38"/>
  <c r="D277" i="38"/>
  <c r="D297" i="38"/>
  <c r="D321" i="38"/>
  <c r="D24" i="38"/>
  <c r="D35" i="38"/>
  <c r="D116" i="38"/>
  <c r="D136" i="38"/>
  <c r="D141" i="38"/>
  <c r="D151" i="38"/>
  <c r="D156" i="38"/>
  <c r="D178" i="38"/>
  <c r="D285" i="38"/>
  <c r="D348" i="38"/>
  <c r="D365" i="38"/>
  <c r="D17" i="38"/>
  <c r="D50" i="38"/>
  <c r="D51" i="38"/>
  <c r="D73" i="38"/>
  <c r="D86" i="38"/>
  <c r="D90" i="38"/>
  <c r="D125" i="38"/>
  <c r="D143" i="38"/>
  <c r="D148" i="38"/>
  <c r="D165" i="38"/>
  <c r="D185" i="38"/>
  <c r="D209" i="38"/>
  <c r="D210" i="38"/>
  <c r="D219" i="38"/>
  <c r="D224" i="38"/>
  <c r="D228" i="38"/>
  <c r="D229" i="38"/>
  <c r="D267" i="38"/>
  <c r="D298" i="38"/>
  <c r="D305" i="38"/>
  <c r="D328" i="38"/>
  <c r="D336" i="38"/>
  <c r="D337" i="38"/>
  <c r="D341" i="38"/>
  <c r="D400" i="38"/>
  <c r="D25" i="38"/>
  <c r="D28" i="38"/>
  <c r="D33" i="38"/>
  <c r="D41" i="38"/>
  <c r="D42" i="38"/>
  <c r="D46" i="38"/>
  <c r="D54" i="38"/>
  <c r="D56" i="38"/>
  <c r="D61" i="38"/>
  <c r="D62" i="38"/>
  <c r="D66" i="38"/>
  <c r="D67" i="38"/>
  <c r="D81" i="38"/>
  <c r="D85" i="38"/>
  <c r="D94" i="38"/>
  <c r="D102" i="38"/>
  <c r="D106" i="38"/>
  <c r="D107" i="38"/>
  <c r="D124" i="38"/>
  <c r="D128" i="38"/>
  <c r="D149" i="38"/>
  <c r="D163" i="38"/>
  <c r="D164" i="38"/>
  <c r="D168" i="38"/>
  <c r="D177" i="38"/>
  <c r="D181" i="38"/>
  <c r="D199" i="38"/>
  <c r="D216" i="38"/>
  <c r="D221" i="38"/>
  <c r="D232" i="38"/>
  <c r="D233" i="38"/>
  <c r="D244" i="38"/>
  <c r="D263" i="38"/>
  <c r="D274" i="38"/>
  <c r="D280" i="38"/>
  <c r="D281" i="38"/>
  <c r="D286" i="38"/>
  <c r="D301" i="38"/>
  <c r="D304" i="38"/>
  <c r="D320" i="38"/>
  <c r="D338" i="38"/>
  <c r="D349" i="38"/>
  <c r="D356" i="38"/>
  <c r="D366" i="38"/>
  <c r="D377" i="38"/>
  <c r="D382" i="38"/>
  <c r="D386" i="38"/>
  <c r="D391" i="38"/>
  <c r="D392" i="38"/>
  <c r="D405" i="38"/>
  <c r="D412" i="38"/>
  <c r="D417" i="38"/>
  <c r="D18" i="38"/>
  <c r="D29" i="38"/>
  <c r="D47" i="38"/>
  <c r="D63" i="38"/>
  <c r="D68" i="38"/>
  <c r="D77" i="38"/>
  <c r="D95" i="38"/>
  <c r="D121" i="38"/>
  <c r="D139" i="38"/>
  <c r="D145" i="38"/>
  <c r="D152" i="38"/>
  <c r="D169" i="38"/>
  <c r="D186" i="38"/>
  <c r="D191" i="38"/>
  <c r="D203" i="38"/>
  <c r="D208" i="38"/>
  <c r="D213" i="38"/>
  <c r="D217" i="38"/>
  <c r="D222" i="38"/>
  <c r="D230" i="38"/>
  <c r="D237" i="38"/>
  <c r="D240" i="38"/>
  <c r="D241" i="38"/>
  <c r="D246" i="38"/>
  <c r="D256" i="38"/>
  <c r="D260" i="38"/>
  <c r="D282" i="38"/>
  <c r="D289" i="38"/>
  <c r="D329" i="38"/>
  <c r="D342" i="38"/>
  <c r="D350" i="38"/>
  <c r="D354" i="38"/>
  <c r="D357" i="38"/>
  <c r="D367" i="38"/>
  <c r="D370" i="38"/>
  <c r="D373" i="38"/>
  <c r="D378" i="38"/>
  <c r="D383" i="38"/>
  <c r="D393" i="38"/>
  <c r="D401" i="38"/>
  <c r="D406" i="38"/>
  <c r="D37" i="37"/>
  <c r="D37" i="39"/>
  <c r="N44" i="39" s="1"/>
  <c r="D299" i="37"/>
  <c r="D299" i="39"/>
  <c r="O44" i="39"/>
  <c r="N262" i="39"/>
  <c r="D313" i="37"/>
  <c r="D313" i="39"/>
  <c r="N319" i="39" s="1"/>
  <c r="D283" i="37"/>
  <c r="D283" i="39"/>
  <c r="O286" i="39" s="1"/>
  <c r="O168" i="39"/>
  <c r="N228" i="39"/>
  <c r="O229" i="39"/>
  <c r="D269" i="37"/>
  <c r="D269" i="39"/>
  <c r="N269" i="39" s="1"/>
  <c r="N281" i="39"/>
  <c r="N282" i="39"/>
  <c r="O342" i="39"/>
  <c r="D52" i="37"/>
  <c r="D52" i="39"/>
  <c r="O54" i="39" s="1"/>
  <c r="D150" i="37"/>
  <c r="D150" i="39"/>
  <c r="D151" i="37"/>
  <c r="D151" i="39"/>
  <c r="N205" i="39"/>
  <c r="O206" i="39"/>
  <c r="O220" i="39"/>
  <c r="D238" i="37"/>
  <c r="D238" i="39"/>
  <c r="N245" i="39" s="1"/>
  <c r="O349" i="39"/>
  <c r="O27" i="39"/>
  <c r="N26" i="39"/>
  <c r="O76" i="39"/>
  <c r="O83" i="39"/>
  <c r="N82" i="39"/>
  <c r="D324" i="37"/>
  <c r="D324" i="39"/>
  <c r="O341" i="39"/>
  <c r="O405" i="39"/>
  <c r="N404" i="39"/>
  <c r="N48" i="39"/>
  <c r="O49" i="39"/>
  <c r="N65" i="39"/>
  <c r="O66" i="39"/>
  <c r="D71" i="37"/>
  <c r="D71" i="39"/>
  <c r="O71" i="39" s="1"/>
  <c r="N141" i="39"/>
  <c r="O142" i="39"/>
  <c r="D181" i="37"/>
  <c r="D181" i="39"/>
  <c r="N187" i="39" s="1"/>
  <c r="N22" i="39"/>
  <c r="N23" i="39"/>
  <c r="O24" i="39"/>
  <c r="D34" i="37"/>
  <c r="D34" i="39"/>
  <c r="O34" i="39" s="1"/>
  <c r="O43" i="39"/>
  <c r="N45" i="39"/>
  <c r="O46" i="39"/>
  <c r="O70" i="39"/>
  <c r="N69" i="39"/>
  <c r="O108" i="39"/>
  <c r="N107" i="39"/>
  <c r="D122" i="37"/>
  <c r="D122" i="39"/>
  <c r="O122" i="39" s="1"/>
  <c r="N137" i="39"/>
  <c r="O138" i="39"/>
  <c r="N139" i="39"/>
  <c r="O140" i="39"/>
  <c r="O170" i="39"/>
  <c r="N221" i="39"/>
  <c r="O222" i="39"/>
  <c r="N234" i="39"/>
  <c r="O258" i="39"/>
  <c r="O265" i="39"/>
  <c r="N264" i="39"/>
  <c r="D303" i="37"/>
  <c r="D303" i="39"/>
  <c r="D343" i="37"/>
  <c r="D343" i="39"/>
  <c r="O345" i="39" s="1"/>
  <c r="N351" i="39"/>
  <c r="O352" i="39"/>
  <c r="O377" i="39"/>
  <c r="N376" i="39"/>
  <c r="O378" i="39"/>
  <c r="N377" i="39"/>
  <c r="O398" i="39"/>
  <c r="N397" i="39"/>
  <c r="N414" i="39"/>
  <c r="O68" i="39"/>
  <c r="N67" i="39"/>
  <c r="N360" i="39"/>
  <c r="O361" i="39"/>
  <c r="D96" i="37"/>
  <c r="D96" i="39"/>
  <c r="N103" i="39" s="1"/>
  <c r="O135" i="39"/>
  <c r="N134" i="39"/>
  <c r="O51" i="39"/>
  <c r="N50" i="39"/>
  <c r="O106" i="39"/>
  <c r="N105" i="39"/>
  <c r="O204" i="39"/>
  <c r="N203" i="39"/>
  <c r="O320" i="39"/>
  <c r="O356" i="39"/>
  <c r="N355" i="39"/>
  <c r="O365" i="39"/>
  <c r="N364" i="39"/>
  <c r="N382" i="39"/>
  <c r="O402" i="39"/>
  <c r="N401" i="39"/>
  <c r="O133" i="39"/>
  <c r="N132" i="39"/>
  <c r="O21" i="39"/>
  <c r="D36" i="37"/>
  <c r="D36" i="39"/>
  <c r="D124" i="37"/>
  <c r="D124" i="39"/>
  <c r="O158" i="39"/>
  <c r="O159" i="39"/>
  <c r="O180" i="39"/>
  <c r="O246" i="39"/>
  <c r="N292" i="39"/>
  <c r="O293" i="39"/>
  <c r="N293" i="39"/>
  <c r="O294" i="39"/>
  <c r="O309" i="39"/>
  <c r="O334" i="39"/>
  <c r="O362" i="39"/>
  <c r="N361" i="39"/>
  <c r="N388" i="39"/>
  <c r="O389" i="39"/>
  <c r="O396" i="39"/>
  <c r="N395" i="39"/>
  <c r="N402" i="39"/>
  <c r="O403" i="39"/>
  <c r="N412" i="39"/>
  <c r="O413" i="39"/>
  <c r="O77" i="39"/>
  <c r="O132" i="39"/>
  <c r="D152" i="37"/>
  <c r="D152" i="39"/>
  <c r="N159" i="39" s="1"/>
  <c r="O208" i="39"/>
  <c r="N207" i="39"/>
  <c r="D270" i="37"/>
  <c r="D270" i="39"/>
  <c r="O312" i="39"/>
  <c r="N311" i="39"/>
  <c r="O394" i="39"/>
  <c r="N393" i="39"/>
  <c r="N409" i="39"/>
  <c r="O410" i="39"/>
  <c r="O85" i="39"/>
  <c r="N84" i="39"/>
  <c r="O276" i="39"/>
  <c r="O360" i="39"/>
  <c r="N359" i="39"/>
  <c r="O80" i="39"/>
  <c r="N79" i="39"/>
  <c r="D86" i="37"/>
  <c r="D86" i="39"/>
  <c r="O86" i="39" s="1"/>
  <c r="O130" i="39"/>
  <c r="N172" i="39"/>
  <c r="O173" i="39"/>
  <c r="D192" i="37"/>
  <c r="D192" i="39"/>
  <c r="O194" i="39" s="1"/>
  <c r="N204" i="39"/>
  <c r="O205" i="39"/>
  <c r="O218" i="39"/>
  <c r="O297" i="39"/>
  <c r="N296" i="39"/>
  <c r="D325" i="37"/>
  <c r="D325" i="39"/>
  <c r="N390" i="39"/>
  <c r="O391" i="39"/>
  <c r="O62" i="39"/>
  <c r="N230" i="39"/>
  <c r="N261" i="39"/>
  <c r="O262" i="39"/>
  <c r="O288" i="39"/>
  <c r="N362" i="39"/>
  <c r="O363" i="39"/>
  <c r="N389" i="39"/>
  <c r="O390" i="39"/>
  <c r="O18" i="39"/>
  <c r="O33" i="39"/>
  <c r="O63" i="39"/>
  <c r="N85" i="39"/>
  <c r="O102" i="39"/>
  <c r="O104" i="39"/>
  <c r="D116" i="37"/>
  <c r="D116" i="39"/>
  <c r="D163" i="37"/>
  <c r="D163" i="39"/>
  <c r="N170" i="39" s="1"/>
  <c r="O198" i="39"/>
  <c r="O230" i="39"/>
  <c r="N229" i="39"/>
  <c r="N236" i="39"/>
  <c r="N259" i="39"/>
  <c r="O260" i="39"/>
  <c r="N266" i="39"/>
  <c r="N278" i="39"/>
  <c r="N279" i="39"/>
  <c r="O280" i="39"/>
  <c r="O292" i="39"/>
  <c r="N291" i="39"/>
  <c r="N294" i="39"/>
  <c r="O295" i="39"/>
  <c r="D336" i="37"/>
  <c r="D336" i="39"/>
  <c r="N336" i="39" s="1"/>
  <c r="O354" i="39"/>
  <c r="N353" i="39"/>
  <c r="N369" i="39"/>
  <c r="O370" i="39"/>
  <c r="O371" i="39"/>
  <c r="N370" i="39"/>
  <c r="N373" i="39"/>
  <c r="O374" i="39"/>
  <c r="N417" i="39"/>
  <c r="D13" i="37"/>
  <c r="D13" i="39"/>
  <c r="O16" i="39" s="1"/>
  <c r="D90" i="37"/>
  <c r="D90" i="39"/>
  <c r="N144" i="39"/>
  <c r="O145" i="39"/>
  <c r="O248" i="39"/>
  <c r="N247" i="39"/>
  <c r="D321" i="37"/>
  <c r="D321" i="39"/>
  <c r="O323" i="39" s="1"/>
  <c r="O358" i="39"/>
  <c r="N357" i="39"/>
  <c r="O386" i="39"/>
  <c r="N385" i="39"/>
  <c r="N142" i="39"/>
  <c r="O143" i="39"/>
  <c r="D188" i="37"/>
  <c r="D188" i="39"/>
  <c r="O191" i="39" s="1"/>
  <c r="O217" i="39"/>
  <c r="N227" i="39"/>
  <c r="O228" i="39"/>
  <c r="D237" i="37"/>
  <c r="D237" i="39"/>
  <c r="O259" i="39"/>
  <c r="O289" i="39"/>
  <c r="N363" i="39"/>
  <c r="O364" i="39"/>
  <c r="D148" i="37"/>
  <c r="D148" i="39"/>
  <c r="O148" i="39" s="1"/>
  <c r="O319" i="39"/>
  <c r="O350" i="39"/>
  <c r="N371" i="39"/>
  <c r="O372" i="39"/>
  <c r="N379" i="39"/>
  <c r="O380" i="39"/>
  <c r="D111" i="37"/>
  <c r="D111" i="39"/>
  <c r="N115" i="39" s="1"/>
  <c r="O20" i="39"/>
  <c r="D28" i="37"/>
  <c r="D28" i="39"/>
  <c r="N30" i="39" s="1"/>
  <c r="D56" i="37"/>
  <c r="D56" i="39"/>
  <c r="N61" i="39" s="1"/>
  <c r="N83" i="39"/>
  <c r="O84" i="39"/>
  <c r="O110" i="39"/>
  <c r="N109" i="39"/>
  <c r="N146" i="39"/>
  <c r="O147" i="39"/>
  <c r="D160" i="37"/>
  <c r="D160" i="39"/>
  <c r="O160" i="39" s="1"/>
  <c r="D174" i="37"/>
  <c r="D174" i="39"/>
  <c r="N180" i="39" s="1"/>
  <c r="D212" i="37"/>
  <c r="D212" i="39"/>
  <c r="O223" i="39"/>
  <c r="N222" i="39"/>
  <c r="O224" i="39"/>
  <c r="N223" i="39"/>
  <c r="O243" i="39"/>
  <c r="D251" i="37"/>
  <c r="D251" i="39"/>
  <c r="O253" i="39" s="1"/>
  <c r="D328" i="37"/>
  <c r="D328" i="39"/>
  <c r="N333" i="39" s="1"/>
  <c r="O348" i="39"/>
  <c r="N366" i="39"/>
  <c r="N386" i="39"/>
  <c r="O387" i="39"/>
  <c r="O225" i="39"/>
  <c r="N224" i="39"/>
  <c r="N381" i="39"/>
  <c r="O382" i="39"/>
  <c r="N416" i="39"/>
  <c r="O417" i="39"/>
  <c r="N25" i="39"/>
  <c r="O26" i="39"/>
  <c r="N27" i="39"/>
  <c r="O79" i="39"/>
  <c r="O81" i="39"/>
  <c r="N80" i="39"/>
  <c r="O95" i="39"/>
  <c r="O109" i="39"/>
  <c r="N108" i="39"/>
  <c r="O146" i="39"/>
  <c r="N145" i="39"/>
  <c r="O172" i="39"/>
  <c r="N171" i="39"/>
  <c r="N173" i="39"/>
  <c r="O197" i="39"/>
  <c r="N202" i="39"/>
  <c r="N208" i="39"/>
  <c r="O209" i="39"/>
  <c r="N211" i="39"/>
  <c r="O227" i="39"/>
  <c r="N226" i="39"/>
  <c r="O234" i="39"/>
  <c r="N233" i="39"/>
  <c r="O244" i="39"/>
  <c r="O266" i="39"/>
  <c r="N265" i="39"/>
  <c r="N268" i="39"/>
  <c r="O296" i="39"/>
  <c r="N295" i="39"/>
  <c r="O308" i="39"/>
  <c r="O311" i="39"/>
  <c r="N312" i="39"/>
  <c r="O351" i="39"/>
  <c r="O355" i="39"/>
  <c r="N354" i="39"/>
  <c r="O357" i="39"/>
  <c r="N356" i="39"/>
  <c r="O359" i="39"/>
  <c r="N358" i="39"/>
  <c r="O368" i="39"/>
  <c r="N367" i="39"/>
  <c r="O381" i="39"/>
  <c r="N380" i="39"/>
  <c r="O392" i="39"/>
  <c r="N391" i="39"/>
  <c r="O291" i="39"/>
  <c r="O399" i="39"/>
  <c r="N398" i="39"/>
  <c r="N407" i="39"/>
  <c r="O408" i="39"/>
  <c r="O19" i="39"/>
  <c r="O22" i="39"/>
  <c r="N21" i="39"/>
  <c r="O69" i="39"/>
  <c r="N68" i="39"/>
  <c r="O101" i="39"/>
  <c r="O103" i="39"/>
  <c r="O144" i="39"/>
  <c r="N143" i="39"/>
  <c r="O179" i="39"/>
  <c r="N206" i="39"/>
  <c r="O221" i="39"/>
  <c r="N220" i="39"/>
  <c r="O245" i="39"/>
  <c r="O247" i="39"/>
  <c r="N246" i="39"/>
  <c r="N260" i="39"/>
  <c r="O261" i="39"/>
  <c r="N298" i="39"/>
  <c r="O333" i="39"/>
  <c r="N352" i="39"/>
  <c r="O353" i="39"/>
  <c r="N378" i="39"/>
  <c r="O395" i="39"/>
  <c r="N394" i="39"/>
  <c r="O397" i="39"/>
  <c r="N396" i="39"/>
  <c r="O406" i="39"/>
  <c r="N405" i="39"/>
  <c r="O409" i="39"/>
  <c r="N408" i="39"/>
  <c r="N415" i="39"/>
  <c r="O416" i="39"/>
  <c r="O187" i="39"/>
  <c r="N209" i="39"/>
  <c r="O210" i="39"/>
  <c r="O257" i="39"/>
  <c r="O298" i="39"/>
  <c r="N297" i="39"/>
  <c r="N384" i="39"/>
  <c r="O385" i="39"/>
  <c r="O25" i="39"/>
  <c r="N24" i="39"/>
  <c r="O42" i="39"/>
  <c r="O45" i="39"/>
  <c r="N46" i="39"/>
  <c r="O48" i="39"/>
  <c r="N47" i="39"/>
  <c r="N49" i="39"/>
  <c r="O50" i="39"/>
  <c r="O61" i="39"/>
  <c r="N70" i="39"/>
  <c r="O78" i="39"/>
  <c r="N81" i="39"/>
  <c r="O82" i="39"/>
  <c r="N104" i="39"/>
  <c r="O105" i="39"/>
  <c r="N106" i="39"/>
  <c r="O107" i="39"/>
  <c r="N110" i="39"/>
  <c r="O121" i="39"/>
  <c r="O129" i="39"/>
  <c r="O131" i="39"/>
  <c r="O134" i="39"/>
  <c r="N133" i="39"/>
  <c r="O137" i="39"/>
  <c r="N136" i="39"/>
  <c r="N138" i="39"/>
  <c r="O139" i="39"/>
  <c r="N147" i="39"/>
  <c r="O157" i="39"/>
  <c r="O169" i="39"/>
  <c r="O186" i="39"/>
  <c r="O200" i="39"/>
  <c r="O211" i="39"/>
  <c r="N210" i="39"/>
  <c r="O232" i="39"/>
  <c r="N231" i="39"/>
  <c r="O236" i="39"/>
  <c r="N235" i="39"/>
  <c r="O249" i="39"/>
  <c r="N248" i="39"/>
  <c r="O256" i="39"/>
  <c r="O278" i="39"/>
  <c r="O290" i="39"/>
  <c r="O318" i="39"/>
  <c r="N383" i="39"/>
  <c r="O384" i="39"/>
  <c r="O388" i="39"/>
  <c r="N387" i="39"/>
  <c r="O404" i="39"/>
  <c r="N403" i="39"/>
  <c r="N411" i="39"/>
  <c r="O412" i="39"/>
  <c r="O201" i="39"/>
  <c r="N200" i="39"/>
  <c r="O264" i="39"/>
  <c r="N263" i="39"/>
  <c r="N374" i="39"/>
  <c r="O401" i="39"/>
  <c r="N400" i="39"/>
  <c r="N410" i="39"/>
  <c r="N51" i="39"/>
  <c r="O64" i="39"/>
  <c r="O65" i="39"/>
  <c r="N64" i="39"/>
  <c r="N66" i="39"/>
  <c r="N135" i="39"/>
  <c r="O136" i="39"/>
  <c r="O141" i="39"/>
  <c r="N140" i="39"/>
  <c r="O171" i="39"/>
  <c r="O202" i="39"/>
  <c r="N201" i="39"/>
  <c r="N225" i="39"/>
  <c r="O226" i="39"/>
  <c r="N232" i="39"/>
  <c r="O233" i="39"/>
  <c r="O250" i="39"/>
  <c r="N249" i="39"/>
  <c r="N250" i="39"/>
  <c r="N267" i="39"/>
  <c r="O268" i="39"/>
  <c r="O277" i="39"/>
  <c r="O281" i="39"/>
  <c r="N280" i="39"/>
  <c r="O282" i="39"/>
  <c r="O310" i="39"/>
  <c r="N365" i="39"/>
  <c r="O366" i="39"/>
  <c r="O369" i="39"/>
  <c r="N368" i="39"/>
  <c r="O373" i="39"/>
  <c r="N372" i="39"/>
  <c r="O376" i="39"/>
  <c r="N375" i="39"/>
  <c r="N392" i="39"/>
  <c r="O393" i="39"/>
  <c r="N399" i="39"/>
  <c r="O400" i="39"/>
  <c r="N406" i="39"/>
  <c r="O407" i="39"/>
  <c r="O414" i="39"/>
  <c r="N413" i="39"/>
  <c r="D368" i="37"/>
  <c r="D366" i="37"/>
  <c r="D367" i="37"/>
  <c r="F43" i="37"/>
  <c r="D15" i="37"/>
  <c r="D392" i="37"/>
  <c r="D414" i="37"/>
  <c r="F197" i="37"/>
  <c r="F142" i="37"/>
  <c r="D39" i="37"/>
  <c r="D53" i="37"/>
  <c r="D70" i="37"/>
  <c r="D83" i="37"/>
  <c r="D177" i="37"/>
  <c r="D221" i="37"/>
  <c r="D254" i="37"/>
  <c r="D272" i="37"/>
  <c r="D287" i="37"/>
  <c r="D318" i="37"/>
  <c r="D378" i="37"/>
  <c r="D395" i="37"/>
  <c r="D413" i="37"/>
  <c r="D417" i="37"/>
  <c r="F229" i="37"/>
  <c r="D168" i="37"/>
  <c r="F144" i="37"/>
  <c r="D22" i="37"/>
  <c r="D75" i="37"/>
  <c r="D77" i="37"/>
  <c r="D100" i="37"/>
  <c r="D106" i="37"/>
  <c r="D146" i="37"/>
  <c r="D161" i="37"/>
  <c r="F387" i="37"/>
  <c r="F358" i="37"/>
  <c r="F261" i="37"/>
  <c r="F233" i="37"/>
  <c r="D93" i="37"/>
  <c r="F13" i="37"/>
  <c r="F371" i="37"/>
  <c r="F367" i="37"/>
  <c r="F263" i="37"/>
  <c r="F210" i="37"/>
  <c r="F184" i="37"/>
  <c r="F172" i="37"/>
  <c r="F110" i="37"/>
  <c r="F17" i="37"/>
  <c r="F375" i="37"/>
  <c r="D297" i="37"/>
  <c r="F274" i="37"/>
  <c r="F272" i="37"/>
  <c r="D267" i="37"/>
  <c r="F216" i="37"/>
  <c r="F214" i="37"/>
  <c r="F212" i="37"/>
  <c r="F186" i="37"/>
  <c r="F112" i="37"/>
  <c r="F78" i="37"/>
  <c r="F41" i="37"/>
  <c r="D406" i="37"/>
  <c r="D27" i="37"/>
  <c r="D49" i="37"/>
  <c r="D81" i="37"/>
  <c r="D120" i="37"/>
  <c r="D171" i="37"/>
  <c r="D197" i="37"/>
  <c r="D206" i="37"/>
  <c r="D253" i="37"/>
  <c r="D282" i="37"/>
  <c r="D294" i="37"/>
  <c r="D301" i="37"/>
  <c r="D320" i="37"/>
  <c r="D371" i="37"/>
  <c r="D407" i="37"/>
  <c r="D291" i="37"/>
  <c r="D25" i="37"/>
  <c r="D91" i="37"/>
  <c r="D119" i="37"/>
  <c r="D143" i="37"/>
  <c r="F385" i="37"/>
  <c r="F360" i="37"/>
  <c r="F320" i="37"/>
  <c r="F259" i="37"/>
  <c r="F231" i="37"/>
  <c r="F203" i="37"/>
  <c r="F127" i="37"/>
  <c r="F6" i="37"/>
  <c r="F373" i="37"/>
  <c r="F369" i="37"/>
  <c r="F265" i="37"/>
  <c r="F15" i="37"/>
  <c r="F414" i="37"/>
  <c r="F399" i="37"/>
  <c r="F331" i="37"/>
  <c r="F299" i="37"/>
  <c r="F278" i="37"/>
  <c r="F276" i="37"/>
  <c r="F242" i="37"/>
  <c r="F218" i="37"/>
  <c r="F80" i="37"/>
  <c r="F8" i="37"/>
  <c r="F10" i="37"/>
  <c r="F12" i="37"/>
  <c r="F14" i="37"/>
  <c r="F16" i="37"/>
  <c r="F40" i="37"/>
  <c r="F42" i="37"/>
  <c r="F44" i="37"/>
  <c r="F46" i="37"/>
  <c r="F48" i="37"/>
  <c r="F63" i="37"/>
  <c r="F82" i="37"/>
  <c r="F84" i="37"/>
  <c r="F95" i="37"/>
  <c r="F129" i="37"/>
  <c r="F131" i="37"/>
  <c r="F146" i="37"/>
  <c r="F148" i="37"/>
  <c r="F161" i="37"/>
  <c r="F163" i="37"/>
  <c r="F174" i="37"/>
  <c r="F176" i="37"/>
  <c r="F185" i="37"/>
  <c r="F198" i="37"/>
  <c r="F209" i="37"/>
  <c r="F211" i="37"/>
  <c r="F230" i="37"/>
  <c r="F243" i="37"/>
  <c r="F258" i="37"/>
  <c r="F260" i="37"/>
  <c r="F267" i="37"/>
  <c r="F269" i="37"/>
  <c r="F271" i="37"/>
  <c r="F280" i="37"/>
  <c r="F291" i="37"/>
  <c r="D293" i="37"/>
  <c r="F296" i="37"/>
  <c r="F309" i="37"/>
  <c r="F311" i="37"/>
  <c r="F322" i="37"/>
  <c r="F324" i="37"/>
  <c r="F335" i="37"/>
  <c r="F344" i="37"/>
  <c r="F346" i="37"/>
  <c r="F357" i="37"/>
  <c r="F359" i="37"/>
  <c r="F366" i="37"/>
  <c r="F377" i="37"/>
  <c r="D379" i="37"/>
  <c r="F384" i="37"/>
  <c r="F386" i="37"/>
  <c r="F401" i="37"/>
  <c r="F416" i="37"/>
  <c r="D5" i="37"/>
  <c r="F18" i="37"/>
  <c r="F20" i="37"/>
  <c r="F33" i="37"/>
  <c r="F35" i="37"/>
  <c r="F50" i="37"/>
  <c r="F52" i="37"/>
  <c r="F65" i="37"/>
  <c r="F67" i="37"/>
  <c r="F86" i="37"/>
  <c r="F97" i="37"/>
  <c r="F99" i="37"/>
  <c r="F114" i="37"/>
  <c r="F116" i="37"/>
  <c r="F133" i="37"/>
  <c r="F150" i="37"/>
  <c r="F165" i="37"/>
  <c r="F167" i="37"/>
  <c r="F178" i="37"/>
  <c r="F180" i="37"/>
  <c r="F187" i="37"/>
  <c r="F189" i="37"/>
  <c r="F200" i="37"/>
  <c r="F202" i="37"/>
  <c r="D204" i="37"/>
  <c r="F213" i="37"/>
  <c r="F215" i="37"/>
  <c r="F232" i="37"/>
  <c r="F234" i="37"/>
  <c r="F236" i="37"/>
  <c r="F238" i="37"/>
  <c r="F240" i="37"/>
  <c r="F245" i="37"/>
  <c r="F247" i="37"/>
  <c r="D262" i="37"/>
  <c r="F273" i="37"/>
  <c r="F275" i="37"/>
  <c r="F282" i="37"/>
  <c r="F284" i="37"/>
  <c r="F286" i="37"/>
  <c r="F288" i="37"/>
  <c r="F298" i="37"/>
  <c r="F300" i="37"/>
  <c r="F302" i="37"/>
  <c r="F304" i="37"/>
  <c r="F326" i="37"/>
  <c r="F337" i="37"/>
  <c r="F348" i="37"/>
  <c r="F350" i="37"/>
  <c r="D361" i="37"/>
  <c r="F368" i="37"/>
  <c r="F370" i="37"/>
  <c r="F379" i="37"/>
  <c r="F388" i="37"/>
  <c r="F390" i="37"/>
  <c r="F392" i="37"/>
  <c r="D394" i="37"/>
  <c r="F403" i="37"/>
  <c r="F405" i="37"/>
  <c r="F407" i="37"/>
  <c r="F22" i="37"/>
  <c r="F37" i="37"/>
  <c r="F54" i="37"/>
  <c r="F69" i="37"/>
  <c r="F71" i="37"/>
  <c r="F88" i="37"/>
  <c r="F90" i="37"/>
  <c r="F92" i="37"/>
  <c r="F101" i="37"/>
  <c r="F103" i="37"/>
  <c r="F118" i="37"/>
  <c r="F135" i="37"/>
  <c r="F152" i="37"/>
  <c r="F182" i="37"/>
  <c r="D184" i="37"/>
  <c r="F191" i="37"/>
  <c r="F204" i="37"/>
  <c r="F206" i="37"/>
  <c r="F217" i="37"/>
  <c r="F219" i="37"/>
  <c r="F221" i="37"/>
  <c r="F223" i="37"/>
  <c r="F249" i="37"/>
  <c r="F251" i="37"/>
  <c r="F253" i="37"/>
  <c r="F255" i="37"/>
  <c r="F262" i="37"/>
  <c r="F277" i="37"/>
  <c r="D279" i="37"/>
  <c r="F293" i="37"/>
  <c r="F295" i="37"/>
  <c r="F306" i="37"/>
  <c r="D308" i="37"/>
  <c r="F313" i="37"/>
  <c r="F328" i="37"/>
  <c r="F330" i="37"/>
  <c r="D332" i="37"/>
  <c r="F339" i="37"/>
  <c r="F352" i="37"/>
  <c r="F354" i="37"/>
  <c r="D356" i="37"/>
  <c r="F361" i="37"/>
  <c r="F363" i="37"/>
  <c r="F381" i="37"/>
  <c r="F394" i="37"/>
  <c r="F396" i="37"/>
  <c r="F398" i="37"/>
  <c r="D400" i="37"/>
  <c r="F409" i="37"/>
  <c r="F411" i="37"/>
  <c r="F413" i="37"/>
  <c r="F415" i="37"/>
  <c r="F5" i="37"/>
  <c r="F7" i="37"/>
  <c r="F24" i="37"/>
  <c r="F26" i="37"/>
  <c r="F28" i="37"/>
  <c r="F30" i="37"/>
  <c r="F32" i="37"/>
  <c r="F39" i="37"/>
  <c r="F56" i="37"/>
  <c r="F58" i="37"/>
  <c r="F60" i="37"/>
  <c r="D62" i="37"/>
  <c r="F73" i="37"/>
  <c r="F75" i="37"/>
  <c r="F77" i="37"/>
  <c r="F79" i="37"/>
  <c r="D94" i="37"/>
  <c r="F105" i="37"/>
  <c r="F107" i="37"/>
  <c r="F109" i="37"/>
  <c r="F111" i="37"/>
  <c r="D113" i="37"/>
  <c r="F120" i="37"/>
  <c r="F122" i="37"/>
  <c r="F124" i="37"/>
  <c r="F126" i="37"/>
  <c r="F128" i="37"/>
  <c r="F137" i="37"/>
  <c r="F139" i="37"/>
  <c r="F141" i="37"/>
  <c r="F143" i="37"/>
  <c r="F154" i="37"/>
  <c r="F156" i="37"/>
  <c r="F158" i="37"/>
  <c r="F160" i="37"/>
  <c r="F169" i="37"/>
  <c r="F171" i="37"/>
  <c r="D173" i="37"/>
  <c r="F193" i="37"/>
  <c r="F195" i="37"/>
  <c r="F208" i="37"/>
  <c r="F225" i="37"/>
  <c r="F227" i="37"/>
  <c r="D242" i="37"/>
  <c r="F264" i="37"/>
  <c r="F266" i="37"/>
  <c r="F279" i="37"/>
  <c r="F290" i="37"/>
  <c r="F308" i="37"/>
  <c r="F315" i="37"/>
  <c r="F317" i="37"/>
  <c r="F319" i="37"/>
  <c r="F332" i="37"/>
  <c r="F334" i="37"/>
  <c r="F341" i="37"/>
  <c r="F343" i="37"/>
  <c r="D365" i="37"/>
  <c r="F372" i="37"/>
  <c r="F374" i="37"/>
  <c r="F383" i="37"/>
  <c r="F9" i="37"/>
  <c r="F31" i="37"/>
  <c r="F61" i="37"/>
  <c r="F76" i="37"/>
  <c r="F91" i="37"/>
  <c r="F93" i="37"/>
  <c r="F108" i="37"/>
  <c r="F123" i="37"/>
  <c r="F132" i="37"/>
  <c r="D134" i="37"/>
  <c r="F138" i="37"/>
  <c r="F151" i="37"/>
  <c r="D153" i="37"/>
  <c r="F155" i="37"/>
  <c r="F164" i="37"/>
  <c r="F166" i="37"/>
  <c r="F170" i="37"/>
  <c r="F183" i="37"/>
  <c r="F257" i="37"/>
  <c r="F270" i="37"/>
  <c r="F285" i="37"/>
  <c r="F289" i="37"/>
  <c r="F297" i="37"/>
  <c r="F312" i="37"/>
  <c r="F314" i="37"/>
  <c r="F327" i="37"/>
  <c r="F329" i="37"/>
  <c r="F365" i="37"/>
  <c r="F397" i="37"/>
  <c r="F412" i="37"/>
  <c r="F19" i="37"/>
  <c r="D186" i="37"/>
  <c r="F190" i="37"/>
  <c r="F220" i="37"/>
  <c r="F345" i="37"/>
  <c r="F362" i="37"/>
  <c r="F4" i="37"/>
  <c r="F29" i="37"/>
  <c r="F59" i="37"/>
  <c r="F74" i="37"/>
  <c r="F87" i="37"/>
  <c r="F89" i="37"/>
  <c r="F106" i="37"/>
  <c r="F119" i="37"/>
  <c r="F121" i="37"/>
  <c r="F130" i="37"/>
  <c r="F134" i="37"/>
  <c r="F136" i="37"/>
  <c r="F147" i="37"/>
  <c r="F149" i="37"/>
  <c r="F153" i="37"/>
  <c r="F162" i="37"/>
  <c r="F168" i="37"/>
  <c r="F179" i="37"/>
  <c r="F181" i="37"/>
  <c r="F228" i="37"/>
  <c r="D241" i="37"/>
  <c r="F268" i="37"/>
  <c r="D281" i="37"/>
  <c r="F283" i="37"/>
  <c r="F323" i="37"/>
  <c r="F325" i="37"/>
  <c r="F336" i="37"/>
  <c r="D338" i="37"/>
  <c r="F340" i="37"/>
  <c r="F342" i="37"/>
  <c r="F355" i="37"/>
  <c r="D382" i="37"/>
  <c r="F395" i="37"/>
  <c r="D408" i="37"/>
  <c r="F410" i="37"/>
  <c r="F21" i="37"/>
  <c r="F49" i="37"/>
  <c r="F62" i="37"/>
  <c r="F188" i="37"/>
  <c r="F205" i="37"/>
  <c r="F235" i="37"/>
  <c r="F364" i="37"/>
  <c r="F400" i="37"/>
  <c r="F27" i="37"/>
  <c r="F55" i="37"/>
  <c r="F57" i="37"/>
  <c r="F68" i="37"/>
  <c r="F70" i="37"/>
  <c r="F72" i="37"/>
  <c r="F83" i="37"/>
  <c r="F85" i="37"/>
  <c r="F100" i="37"/>
  <c r="F102" i="37"/>
  <c r="F104" i="37"/>
  <c r="F115" i="37"/>
  <c r="F117" i="37"/>
  <c r="F145" i="37"/>
  <c r="F175" i="37"/>
  <c r="F177" i="37"/>
  <c r="F196" i="37"/>
  <c r="F224" i="37"/>
  <c r="F226" i="37"/>
  <c r="F239" i="37"/>
  <c r="D256" i="37"/>
  <c r="F281" i="37"/>
  <c r="D296" i="37"/>
  <c r="F321" i="37"/>
  <c r="F338" i="37"/>
  <c r="F351" i="37"/>
  <c r="F353" i="37"/>
  <c r="F378" i="37"/>
  <c r="F380" i="37"/>
  <c r="F382" i="37"/>
  <c r="F393" i="37"/>
  <c r="F406" i="37"/>
  <c r="F408" i="37"/>
  <c r="F34" i="37"/>
  <c r="F94" i="37"/>
  <c r="F207" i="37"/>
  <c r="F307" i="37"/>
  <c r="F23" i="37"/>
  <c r="F25" i="37"/>
  <c r="F36" i="37"/>
  <c r="D38" i="37"/>
  <c r="F51" i="37"/>
  <c r="F53" i="37"/>
  <c r="F64" i="37"/>
  <c r="F66" i="37"/>
  <c r="F81" i="37"/>
  <c r="F96" i="37"/>
  <c r="F98" i="37"/>
  <c r="F113" i="37"/>
  <c r="F173" i="37"/>
  <c r="D190" i="37"/>
  <c r="F192" i="37"/>
  <c r="F194" i="37"/>
  <c r="D207" i="37"/>
  <c r="F222" i="37"/>
  <c r="F237" i="37"/>
  <c r="F241" i="37"/>
  <c r="F254" i="37"/>
  <c r="F256" i="37"/>
  <c r="F292" i="37"/>
  <c r="F294" i="37"/>
  <c r="F347" i="37"/>
  <c r="F349" i="37"/>
  <c r="F376" i="37"/>
  <c r="F391" i="37"/>
  <c r="F402" i="37"/>
  <c r="F404" i="37"/>
  <c r="F417" i="37"/>
  <c r="F38" i="37"/>
  <c r="F47" i="37"/>
  <c r="F252" i="37"/>
  <c r="F389" i="37"/>
  <c r="F316" i="37"/>
  <c r="F287" i="37"/>
  <c r="D33" i="37"/>
  <c r="D12" i="37"/>
  <c r="D29" i="37"/>
  <c r="D59" i="37"/>
  <c r="D85" i="37"/>
  <c r="D129" i="37"/>
  <c r="D166" i="37"/>
  <c r="D183" i="37"/>
  <c r="D210" i="37"/>
  <c r="D260" i="37"/>
  <c r="D310" i="37"/>
  <c r="D404" i="37"/>
  <c r="F318" i="37"/>
  <c r="D289" i="37"/>
  <c r="F201" i="37"/>
  <c r="F125" i="37"/>
  <c r="D31" i="37"/>
  <c r="D76" i="37"/>
  <c r="D105" i="37"/>
  <c r="D121" i="37"/>
  <c r="D142" i="37"/>
  <c r="D416" i="37"/>
  <c r="F333" i="37"/>
  <c r="F310" i="37"/>
  <c r="F301" i="37"/>
  <c r="F248" i="37"/>
  <c r="F246" i="37"/>
  <c r="F244" i="37"/>
  <c r="F157" i="37"/>
  <c r="F45" i="37"/>
  <c r="D385" i="37"/>
  <c r="D399" i="37"/>
  <c r="D409" i="37"/>
  <c r="D40" i="37"/>
  <c r="D51" i="37"/>
  <c r="D69" i="37"/>
  <c r="D79" i="37"/>
  <c r="D102" i="37"/>
  <c r="D136" i="37"/>
  <c r="D263" i="37"/>
  <c r="D275" i="37"/>
  <c r="D300" i="37"/>
  <c r="D331" i="37"/>
  <c r="D381" i="37"/>
  <c r="D397" i="37"/>
  <c r="D415" i="37"/>
  <c r="F356" i="37"/>
  <c r="F199" i="37"/>
  <c r="F11" i="37"/>
  <c r="D24" i="37"/>
  <c r="D9" i="37"/>
  <c r="D16" i="37"/>
  <c r="D17" i="37"/>
  <c r="D19" i="37"/>
  <c r="D20" i="37"/>
  <c r="D26" i="37"/>
  <c r="D32" i="37"/>
  <c r="D42" i="37"/>
  <c r="D45" i="37"/>
  <c r="D50" i="37"/>
  <c r="D66" i="37"/>
  <c r="D72" i="37"/>
  <c r="D73" i="37"/>
  <c r="D89" i="37"/>
  <c r="D98" i="37"/>
  <c r="D104" i="37"/>
  <c r="D108" i="37"/>
  <c r="D112" i="37"/>
  <c r="D114" i="37"/>
  <c r="D126" i="37"/>
  <c r="D138" i="37"/>
  <c r="D154" i="37"/>
  <c r="D155" i="37"/>
  <c r="D156" i="37"/>
  <c r="D158" i="37"/>
  <c r="D169" i="37"/>
  <c r="D335" i="37"/>
  <c r="D314" i="37"/>
  <c r="D312" i="37"/>
  <c r="F305" i="37"/>
  <c r="F303" i="37"/>
  <c r="F250" i="37"/>
  <c r="F159" i="37"/>
  <c r="F140" i="37"/>
  <c r="D170" i="37"/>
  <c r="D193" i="37"/>
  <c r="D205" i="37"/>
  <c r="D208" i="37"/>
  <c r="D227" i="37"/>
  <c r="D266" i="37"/>
  <c r="D304" i="37"/>
  <c r="D309" i="37"/>
  <c r="D347" i="37"/>
  <c r="D364" i="37"/>
  <c r="D388" i="37"/>
  <c r="D4" i="37"/>
  <c r="D10" i="37"/>
  <c r="D18" i="37"/>
  <c r="D58" i="37"/>
  <c r="D65" i="37"/>
  <c r="D97" i="37"/>
  <c r="D99" i="37"/>
  <c r="D118" i="37"/>
  <c r="D131" i="37"/>
  <c r="D140" i="37"/>
  <c r="D157" i="37"/>
  <c r="D159" i="37"/>
  <c r="D175" i="37"/>
  <c r="D191" i="37"/>
  <c r="D203" i="37"/>
  <c r="D215" i="37"/>
  <c r="D217" i="37"/>
  <c r="D236" i="37"/>
  <c r="D243" i="37"/>
  <c r="D249" i="37"/>
  <c r="D257" i="37"/>
  <c r="D295" i="37"/>
  <c r="D302" i="37"/>
  <c r="D329" i="37"/>
  <c r="D333" i="37"/>
  <c r="D349" i="37"/>
  <c r="D375" i="37"/>
  <c r="D391" i="37"/>
  <c r="D393" i="37"/>
  <c r="D402" i="37"/>
  <c r="D405" i="37"/>
  <c r="D412" i="37"/>
  <c r="D199" i="37"/>
  <c r="D230" i="37"/>
  <c r="D292" i="37"/>
  <c r="D355" i="37"/>
  <c r="D6" i="37"/>
  <c r="D7" i="37"/>
  <c r="D8" i="37"/>
  <c r="D21" i="37"/>
  <c r="D41" i="37"/>
  <c r="D43" i="37"/>
  <c r="D44" i="37"/>
  <c r="D46" i="37"/>
  <c r="D55" i="37"/>
  <c r="D57" i="37"/>
  <c r="D64" i="37"/>
  <c r="D67" i="37"/>
  <c r="D74" i="37"/>
  <c r="D78" i="37"/>
  <c r="D95" i="37"/>
  <c r="D101" i="37"/>
  <c r="D103" i="37"/>
  <c r="D107" i="37"/>
  <c r="D109" i="37"/>
  <c r="D117" i="37"/>
  <c r="D123" i="37"/>
  <c r="D125" i="37"/>
  <c r="D127" i="37"/>
  <c r="D130" i="37"/>
  <c r="D133" i="37"/>
  <c r="D135" i="37"/>
  <c r="D144" i="37"/>
  <c r="D165" i="37"/>
  <c r="D180" i="37"/>
  <c r="D182" i="37"/>
  <c r="D185" i="37"/>
  <c r="D189" i="37"/>
  <c r="D196" i="37"/>
  <c r="D195" i="37"/>
  <c r="D224" i="37"/>
  <c r="D240" i="37"/>
  <c r="D250" i="37"/>
  <c r="D298" i="37"/>
  <c r="D307" i="37"/>
  <c r="D330" i="37"/>
  <c r="D353" i="37"/>
  <c r="D30" i="37"/>
  <c r="D35" i="37"/>
  <c r="D48" i="37"/>
  <c r="D54" i="37"/>
  <c r="D60" i="37"/>
  <c r="D61" i="37"/>
  <c r="D63" i="37"/>
  <c r="D84" i="37"/>
  <c r="D87" i="37"/>
  <c r="D88" i="37"/>
  <c r="D92" i="37"/>
  <c r="D115" i="37"/>
  <c r="D132" i="37"/>
  <c r="D137" i="37"/>
  <c r="D147" i="37"/>
  <c r="D149" i="37"/>
  <c r="D162" i="37"/>
  <c r="D167" i="37"/>
  <c r="D172" i="37"/>
  <c r="D178" i="37"/>
  <c r="D198" i="37"/>
  <c r="D179" i="37"/>
  <c r="D223" i="37"/>
  <c r="D234" i="37"/>
  <c r="D265" i="37"/>
  <c r="D351" i="37"/>
  <c r="D377" i="37"/>
  <c r="D11" i="37"/>
  <c r="D14" i="37"/>
  <c r="D23" i="37"/>
  <c r="D47" i="37"/>
  <c r="D68" i="37"/>
  <c r="D80" i="37"/>
  <c r="D82" i="37"/>
  <c r="D110" i="37"/>
  <c r="D128" i="37"/>
  <c r="D139" i="37"/>
  <c r="D141" i="37"/>
  <c r="D145" i="37"/>
  <c r="D164" i="37"/>
  <c r="D176" i="37"/>
  <c r="D187" i="37"/>
  <c r="D194" i="37"/>
  <c r="D200" i="37"/>
  <c r="D201" i="37"/>
  <c r="D202" i="37"/>
  <c r="D209" i="37"/>
  <c r="D228" i="37"/>
  <c r="D232" i="37"/>
  <c r="D245" i="37"/>
  <c r="D248" i="37"/>
  <c r="D252" i="37"/>
  <c r="D271" i="37"/>
  <c r="D274" i="37"/>
  <c r="D286" i="37"/>
  <c r="D322" i="37"/>
  <c r="D323" i="37"/>
  <c r="D380" i="37"/>
  <c r="D384" i="37"/>
  <c r="D390" i="37"/>
  <c r="D222" i="37"/>
  <c r="D229" i="37"/>
  <c r="D246" i="37"/>
  <c r="D247" i="37"/>
  <c r="D255" i="37"/>
  <c r="D264" i="37"/>
  <c r="D268" i="37"/>
  <c r="D273" i="37"/>
  <c r="D277" i="37"/>
  <c r="D278" i="37"/>
  <c r="D280" i="37"/>
  <c r="D306" i="37"/>
  <c r="D311" i="37"/>
  <c r="D317" i="37"/>
  <c r="D339" i="37"/>
  <c r="D341" i="37"/>
  <c r="D342" i="37"/>
  <c r="D345" i="37"/>
  <c r="D362" i="37"/>
  <c r="D369" i="37"/>
  <c r="D370" i="37"/>
  <c r="D372" i="37"/>
  <c r="D389" i="37"/>
  <c r="D396" i="37"/>
  <c r="D403" i="37"/>
  <c r="D410" i="37"/>
  <c r="D211" i="37"/>
  <c r="D213" i="37"/>
  <c r="D219" i="37"/>
  <c r="D220" i="37"/>
  <c r="D226" i="37"/>
  <c r="D233" i="37"/>
  <c r="D244" i="37"/>
  <c r="D259" i="37"/>
  <c r="D261" i="37"/>
  <c r="D276" i="37"/>
  <c r="D284" i="37"/>
  <c r="D290" i="37"/>
  <c r="D305" i="37"/>
  <c r="D315" i="37"/>
  <c r="D316" i="37"/>
  <c r="D319" i="37"/>
  <c r="D334" i="37"/>
  <c r="D340" i="37"/>
  <c r="D348" i="37"/>
  <c r="D350" i="37"/>
  <c r="D352" i="37"/>
  <c r="D359" i="37"/>
  <c r="D376" i="37"/>
  <c r="D398" i="37"/>
  <c r="D401" i="37"/>
  <c r="D214" i="37"/>
  <c r="D216" i="37"/>
  <c r="D218" i="37"/>
  <c r="D225" i="37"/>
  <c r="D231" i="37"/>
  <c r="D235" i="37"/>
  <c r="D239" i="37"/>
  <c r="D258" i="37"/>
  <c r="D285" i="37"/>
  <c r="D288" i="37"/>
  <c r="D326" i="37"/>
  <c r="D327" i="37"/>
  <c r="D337" i="37"/>
  <c r="D344" i="37"/>
  <c r="D346" i="37"/>
  <c r="D354" i="37"/>
  <c r="D357" i="37"/>
  <c r="D358" i="37"/>
  <c r="D360" i="37"/>
  <c r="D363" i="37"/>
  <c r="D373" i="37"/>
  <c r="D374" i="37"/>
  <c r="D383" i="37"/>
  <c r="D386" i="37"/>
  <c r="D387" i="37"/>
  <c r="D411" i="37"/>
  <c r="CD80" i="36"/>
  <c r="CD82" i="36"/>
  <c r="CD90" i="36"/>
  <c r="CD94" i="36"/>
  <c r="CD215" i="36"/>
  <c r="CD101" i="36"/>
  <c r="CD102" i="36"/>
  <c r="CD129" i="36"/>
  <c r="CD27" i="36"/>
  <c r="CD30" i="36"/>
  <c r="CD38" i="36"/>
  <c r="CD44" i="36"/>
  <c r="CD50" i="36"/>
  <c r="CD62" i="36"/>
  <c r="CD96" i="36"/>
  <c r="CD98" i="36"/>
  <c r="CD106" i="36"/>
  <c r="CD110" i="36"/>
  <c r="CD142" i="36"/>
  <c r="CD193" i="36"/>
  <c r="CD18" i="36"/>
  <c r="CD42" i="36"/>
  <c r="CD114" i="36"/>
  <c r="CD122" i="36"/>
  <c r="CD22" i="36"/>
  <c r="CD25" i="36"/>
  <c r="CD46" i="36"/>
  <c r="CD54" i="36"/>
  <c r="CD58" i="36"/>
  <c r="CD69" i="36"/>
  <c r="CD70" i="36"/>
  <c r="CD116" i="36"/>
  <c r="CD26" i="36"/>
  <c r="CD141" i="36"/>
  <c r="CD156" i="36"/>
  <c r="CD157" i="36"/>
  <c r="CD161" i="36"/>
  <c r="CD124" i="36"/>
  <c r="CD126" i="36"/>
  <c r="CD158" i="36"/>
  <c r="CD196" i="36"/>
  <c r="CD200" i="36"/>
  <c r="CD168" i="36"/>
  <c r="CD128" i="36"/>
  <c r="CD163" i="36"/>
  <c r="CD165" i="36"/>
  <c r="CD179" i="36"/>
  <c r="CD181" i="36"/>
  <c r="CD195" i="36"/>
  <c r="CD197" i="36"/>
  <c r="CD210" i="36"/>
  <c r="CD220" i="36"/>
  <c r="CD225" i="36"/>
  <c r="CD230" i="36"/>
  <c r="CD309" i="36"/>
  <c r="CD140" i="36"/>
  <c r="CD148" i="36"/>
  <c r="CD172" i="36"/>
  <c r="CD188" i="36"/>
  <c r="CD204" i="36"/>
  <c r="CD219" i="36"/>
  <c r="CD227" i="36"/>
  <c r="CD144" i="36"/>
  <c r="CD171" i="36"/>
  <c r="CD173" i="36"/>
  <c r="CD187" i="36"/>
  <c r="CD189" i="36"/>
  <c r="CD203" i="36"/>
  <c r="CD207" i="36"/>
  <c r="CD149" i="36"/>
  <c r="CD152" i="36"/>
  <c r="CD160" i="36"/>
  <c r="CD176" i="36"/>
  <c r="CD192" i="36"/>
  <c r="CD212" i="36"/>
  <c r="CD221" i="36"/>
  <c r="CD343" i="36"/>
  <c r="CD213" i="36"/>
  <c r="CD235" i="36"/>
  <c r="CD237" i="36"/>
  <c r="CD240" i="36"/>
  <c r="CD248" i="36"/>
  <c r="CD261" i="36"/>
  <c r="CD280" i="36"/>
  <c r="CD292" i="36"/>
  <c r="CD294" i="36"/>
  <c r="CD333" i="36"/>
  <c r="CD211" i="36"/>
  <c r="CD245" i="36"/>
  <c r="CD253" i="36"/>
  <c r="CD288" i="36"/>
  <c r="CD299" i="36"/>
  <c r="CD217" i="36"/>
  <c r="CD287" i="36"/>
  <c r="CD229" i="36"/>
  <c r="CD297" i="36"/>
  <c r="CD302" i="36"/>
  <c r="CD311" i="36"/>
  <c r="CD326" i="36"/>
  <c r="CD264" i="36"/>
  <c r="CD268" i="36"/>
  <c r="CD272" i="36"/>
  <c r="CD277" i="36"/>
  <c r="CD281" i="36"/>
  <c r="CD285" i="36"/>
  <c r="CD289" i="36"/>
  <c r="CD314" i="36"/>
  <c r="CD366" i="36"/>
  <c r="CD256" i="36"/>
  <c r="CD260" i="36"/>
  <c r="CD265" i="36"/>
  <c r="CD269" i="36"/>
  <c r="CD273" i="36"/>
  <c r="CD336" i="36"/>
  <c r="CD381" i="36"/>
  <c r="CD417" i="36"/>
  <c r="CD313" i="36"/>
  <c r="CD346" i="36"/>
  <c r="CD359" i="36"/>
  <c r="CD397" i="36"/>
  <c r="CD327" i="36"/>
  <c r="CD374" i="36"/>
  <c r="CD331" i="36"/>
  <c r="CD350" i="36"/>
  <c r="CD353" i="36"/>
  <c r="CD354" i="36"/>
  <c r="CD393" i="36"/>
  <c r="CD409" i="36"/>
  <c r="CD367" i="36"/>
  <c r="CD369" i="36"/>
  <c r="CD382" i="36"/>
  <c r="CD386" i="36"/>
  <c r="CD390" i="36"/>
  <c r="CD394" i="36"/>
  <c r="CD398" i="36"/>
  <c r="CD402" i="36"/>
  <c r="CD406" i="36"/>
  <c r="CD410" i="36"/>
  <c r="CD414" i="36"/>
  <c r="CD418" i="36"/>
  <c r="CD422" i="36"/>
  <c r="CD349" i="36"/>
  <c r="CD355" i="36"/>
  <c r="CD371" i="36"/>
  <c r="CD373" i="36"/>
  <c r="CD380" i="36"/>
  <c r="CD363" i="36"/>
  <c r="CD365" i="36"/>
  <c r="CD383" i="36"/>
  <c r="CD387" i="36"/>
  <c r="CD391" i="36"/>
  <c r="CD395" i="36"/>
  <c r="CD399" i="36"/>
  <c r="CD403" i="36"/>
  <c r="CD407" i="36"/>
  <c r="CD411" i="36"/>
  <c r="CD415" i="36"/>
  <c r="CD419" i="36"/>
  <c r="CD423" i="36"/>
  <c r="CD375" i="36"/>
  <c r="CD378" i="36"/>
  <c r="O414" i="38" l="1"/>
  <c r="O15" i="37"/>
  <c r="O23" i="38"/>
  <c r="O61" i="38"/>
  <c r="N16" i="37"/>
  <c r="N15" i="37"/>
  <c r="O93" i="38"/>
  <c r="O227" i="38"/>
  <c r="O410" i="38"/>
  <c r="O335" i="38"/>
  <c r="O261" i="38"/>
  <c r="N261" i="38"/>
  <c r="O286" i="38"/>
  <c r="O294" i="38"/>
  <c r="O336" i="38"/>
  <c r="O83" i="38"/>
  <c r="O288" i="38"/>
  <c r="O259" i="38"/>
  <c r="N319" i="38"/>
  <c r="O319" i="38"/>
  <c r="O363" i="38"/>
  <c r="O362" i="38"/>
  <c r="O15" i="38"/>
  <c r="O16" i="38"/>
  <c r="O251" i="38"/>
  <c r="O91" i="38"/>
  <c r="O162" i="38"/>
  <c r="O82" i="38"/>
  <c r="O215" i="38"/>
  <c r="O34" i="38"/>
  <c r="O260" i="38"/>
  <c r="O318" i="38"/>
  <c r="O337" i="38"/>
  <c r="N16" i="38"/>
  <c r="N365" i="38"/>
  <c r="N337" i="38"/>
  <c r="O334" i="38"/>
  <c r="O258" i="38"/>
  <c r="O163" i="38"/>
  <c r="O92" i="38"/>
  <c r="N364" i="38"/>
  <c r="O364" i="38"/>
  <c r="O403" i="38"/>
  <c r="N361" i="38"/>
  <c r="O250" i="38"/>
  <c r="N215" i="38"/>
  <c r="N124" i="38"/>
  <c r="O370" i="38"/>
  <c r="N286" i="38"/>
  <c r="N223" i="38"/>
  <c r="N130" i="38"/>
  <c r="N70" i="38"/>
  <c r="O45" i="38"/>
  <c r="N335" i="38"/>
  <c r="O182" i="38"/>
  <c r="N78" i="38"/>
  <c r="O221" i="38"/>
  <c r="O361" i="38"/>
  <c r="N262" i="38"/>
  <c r="O194" i="38"/>
  <c r="O277" i="38"/>
  <c r="O111" i="38"/>
  <c r="O262" i="38"/>
  <c r="N338" i="38"/>
  <c r="N241" i="38"/>
  <c r="N201" i="38"/>
  <c r="O409" i="38"/>
  <c r="O224" i="38"/>
  <c r="O58" i="38"/>
  <c r="O303" i="38"/>
  <c r="O223" i="38"/>
  <c r="N268" i="38"/>
  <c r="O406" i="38"/>
  <c r="O118" i="38"/>
  <c r="O239" i="38"/>
  <c r="O388" i="38"/>
  <c r="O191" i="38"/>
  <c r="O314" i="38"/>
  <c r="O164" i="38"/>
  <c r="N336" i="38"/>
  <c r="O26" i="38"/>
  <c r="O144" i="38"/>
  <c r="O112" i="38"/>
  <c r="N416" i="38"/>
  <c r="O146" i="38"/>
  <c r="O413" i="38"/>
  <c r="O296" i="38"/>
  <c r="N297" i="38"/>
  <c r="N198" i="38"/>
  <c r="O236" i="38"/>
  <c r="O398" i="38"/>
  <c r="O389" i="38"/>
  <c r="N29" i="38"/>
  <c r="N199" i="38"/>
  <c r="O266" i="38"/>
  <c r="N263" i="38"/>
  <c r="O190" i="38"/>
  <c r="N265" i="38"/>
  <c r="O228" i="38"/>
  <c r="N388" i="38"/>
  <c r="N342" i="38"/>
  <c r="O352" i="38"/>
  <c r="N187" i="38"/>
  <c r="N279" i="38"/>
  <c r="N132" i="38"/>
  <c r="O94" i="38"/>
  <c r="N228" i="38"/>
  <c r="N238" i="38"/>
  <c r="N341" i="38"/>
  <c r="O143" i="38"/>
  <c r="O372" i="38"/>
  <c r="N236" i="38"/>
  <c r="O120" i="38"/>
  <c r="O126" i="38"/>
  <c r="O147" i="38"/>
  <c r="N120" i="38"/>
  <c r="N94" i="38"/>
  <c r="O309" i="38"/>
  <c r="O397" i="38"/>
  <c r="N214" i="38"/>
  <c r="O195" i="38"/>
  <c r="N96" i="38"/>
  <c r="O193" i="38"/>
  <c r="O99" i="38"/>
  <c r="O416" i="38"/>
  <c r="O306" i="38"/>
  <c r="N30" i="38"/>
  <c r="O305" i="38"/>
  <c r="O135" i="38"/>
  <c r="O209" i="38"/>
  <c r="O196" i="38"/>
  <c r="O316" i="38"/>
  <c r="O96" i="38"/>
  <c r="N71" i="38"/>
  <c r="O282" i="38"/>
  <c r="O40" i="38"/>
  <c r="N98" i="38"/>
  <c r="N305" i="38"/>
  <c r="O338" i="38"/>
  <c r="O73" i="38"/>
  <c r="O241" i="38"/>
  <c r="N27" i="38"/>
  <c r="O359" i="38"/>
  <c r="N118" i="38"/>
  <c r="O141" i="38"/>
  <c r="N152" i="38"/>
  <c r="O308" i="38"/>
  <c r="O55" i="38"/>
  <c r="O366" i="38"/>
  <c r="O119" i="38"/>
  <c r="N360" i="38"/>
  <c r="O270" i="38"/>
  <c r="N306" i="38"/>
  <c r="O100" i="38"/>
  <c r="O219" i="38"/>
  <c r="N252" i="38"/>
  <c r="O37" i="38"/>
  <c r="O197" i="38"/>
  <c r="O340" i="38"/>
  <c r="N340" i="38"/>
  <c r="O201" i="38"/>
  <c r="O238" i="38"/>
  <c r="O267" i="38"/>
  <c r="O265" i="38"/>
  <c r="O165" i="38"/>
  <c r="O185" i="38"/>
  <c r="N366" i="38"/>
  <c r="N107" i="38"/>
  <c r="O200" i="38"/>
  <c r="N116" i="38"/>
  <c r="O341" i="38"/>
  <c r="N239" i="38"/>
  <c r="N266" i="38"/>
  <c r="O317" i="38"/>
  <c r="O98" i="38"/>
  <c r="N308" i="38"/>
  <c r="N309" i="38"/>
  <c r="N287" i="38"/>
  <c r="N202" i="38"/>
  <c r="O179" i="38"/>
  <c r="O417" i="38"/>
  <c r="O354" i="38"/>
  <c r="O124" i="38"/>
  <c r="O211" i="38"/>
  <c r="N368" i="38"/>
  <c r="O356" i="38"/>
  <c r="O412" i="38"/>
  <c r="O177" i="38"/>
  <c r="O134" i="38"/>
  <c r="O117" i="38"/>
  <c r="O48" i="38"/>
  <c r="O25" i="38"/>
  <c r="N313" i="38"/>
  <c r="O269" i="38"/>
  <c r="N100" i="38"/>
  <c r="N145" i="38"/>
  <c r="O365" i="38"/>
  <c r="O399" i="38"/>
  <c r="O198" i="38"/>
  <c r="N28" i="38"/>
  <c r="N97" i="38"/>
  <c r="N264" i="38"/>
  <c r="O339" i="38"/>
  <c r="O122" i="38"/>
  <c r="N318" i="38"/>
  <c r="N414" i="38"/>
  <c r="N95" i="38"/>
  <c r="O226" i="38"/>
  <c r="N99" i="38"/>
  <c r="N413" i="38"/>
  <c r="N216" i="38"/>
  <c r="N387" i="38"/>
  <c r="O407" i="38"/>
  <c r="N112" i="38"/>
  <c r="N300" i="38"/>
  <c r="N54" i="38"/>
  <c r="N315" i="38"/>
  <c r="O38" i="38"/>
  <c r="N191" i="38"/>
  <c r="O204" i="38"/>
  <c r="N221" i="38"/>
  <c r="O74" i="38"/>
  <c r="O47" i="38"/>
  <c r="O360" i="38"/>
  <c r="O307" i="38"/>
  <c r="N415" i="38"/>
  <c r="O386" i="38"/>
  <c r="O280" i="38"/>
  <c r="O240" i="38"/>
  <c r="N226" i="38"/>
  <c r="N200" i="38"/>
  <c r="N310" i="38"/>
  <c r="O35" i="38"/>
  <c r="O304" i="38"/>
  <c r="O33" i="38"/>
  <c r="N193" i="38"/>
  <c r="N119" i="38"/>
  <c r="O297" i="38"/>
  <c r="N363" i="38"/>
  <c r="N144" i="38"/>
  <c r="N362" i="38"/>
  <c r="N205" i="38"/>
  <c r="O293" i="38"/>
  <c r="O66" i="38"/>
  <c r="O392" i="38"/>
  <c r="O244" i="38"/>
  <c r="N403" i="38"/>
  <c r="N136" i="38"/>
  <c r="O157" i="38"/>
  <c r="N383" i="38"/>
  <c r="N106" i="38"/>
  <c r="O330" i="38"/>
  <c r="N46" i="38"/>
  <c r="O216" i="38"/>
  <c r="O127" i="38"/>
  <c r="O113" i="38"/>
  <c r="N44" i="38"/>
  <c r="N339" i="38"/>
  <c r="O390" i="38"/>
  <c r="O333" i="38"/>
  <c r="N371" i="38"/>
  <c r="N307" i="38"/>
  <c r="O95" i="38"/>
  <c r="O225" i="38"/>
  <c r="O97" i="38"/>
  <c r="O142" i="38"/>
  <c r="O75" i="38"/>
  <c r="N31" i="38"/>
  <c r="O263" i="38"/>
  <c r="O205" i="38"/>
  <c r="O249" i="38"/>
  <c r="N128" i="38"/>
  <c r="O295" i="38"/>
  <c r="O53" i="38"/>
  <c r="N227" i="38"/>
  <c r="O264" i="38"/>
  <c r="O175" i="38"/>
  <c r="N104" i="38"/>
  <c r="O137" i="38"/>
  <c r="N327" i="38"/>
  <c r="N328" i="38"/>
  <c r="O395" i="38"/>
  <c r="O102" i="38"/>
  <c r="O374" i="38"/>
  <c r="N377" i="38"/>
  <c r="O376" i="38"/>
  <c r="N374" i="38"/>
  <c r="N373" i="38"/>
  <c r="N376" i="38"/>
  <c r="N378" i="38"/>
  <c r="N375" i="38"/>
  <c r="N296" i="38"/>
  <c r="N295" i="38"/>
  <c r="O291" i="38"/>
  <c r="N292" i="38"/>
  <c r="N291" i="38"/>
  <c r="N290" i="38"/>
  <c r="N293" i="38"/>
  <c r="N289" i="38"/>
  <c r="O289" i="38"/>
  <c r="N172" i="38"/>
  <c r="O320" i="38"/>
  <c r="O322" i="38"/>
  <c r="N323" i="38"/>
  <c r="N322" i="38"/>
  <c r="O323" i="38"/>
  <c r="O321" i="38"/>
  <c r="N320" i="38"/>
  <c r="N325" i="38"/>
  <c r="O324" i="38"/>
  <c r="N169" i="38"/>
  <c r="N173" i="38"/>
  <c r="O171" i="38"/>
  <c r="O170" i="38"/>
  <c r="N170" i="38"/>
  <c r="O172" i="38"/>
  <c r="N171" i="38"/>
  <c r="N168" i="38"/>
  <c r="O168" i="38"/>
  <c r="N57" i="38"/>
  <c r="N56" i="38"/>
  <c r="O56" i="38"/>
  <c r="N60" i="38"/>
  <c r="N59" i="38"/>
  <c r="O57" i="38"/>
  <c r="N61" i="38"/>
  <c r="N58" i="38"/>
  <c r="O59" i="38"/>
  <c r="O229" i="38"/>
  <c r="O233" i="38"/>
  <c r="N231" i="38"/>
  <c r="N232" i="38"/>
  <c r="N230" i="38"/>
  <c r="N235" i="38"/>
  <c r="O230" i="38"/>
  <c r="N229" i="38"/>
  <c r="N234" i="38"/>
  <c r="O232" i="38"/>
  <c r="N19" i="38"/>
  <c r="O20" i="38"/>
  <c r="N17" i="38"/>
  <c r="N18" i="38"/>
  <c r="O18" i="38"/>
  <c r="O21" i="38"/>
  <c r="N20" i="38"/>
  <c r="O19" i="38"/>
  <c r="O17" i="38"/>
  <c r="N163" i="38"/>
  <c r="O161" i="38"/>
  <c r="N160" i="38"/>
  <c r="N159" i="38"/>
  <c r="N164" i="38"/>
  <c r="O160" i="38"/>
  <c r="N273" i="38"/>
  <c r="O273" i="38"/>
  <c r="O274" i="38"/>
  <c r="N272" i="38"/>
  <c r="N271" i="38"/>
  <c r="O272" i="38"/>
  <c r="N274" i="38"/>
  <c r="N347" i="38"/>
  <c r="N346" i="38"/>
  <c r="O348" i="38"/>
  <c r="O347" i="38"/>
  <c r="N348" i="38"/>
  <c r="N349" i="38"/>
  <c r="N91" i="38"/>
  <c r="N84" i="38"/>
  <c r="O86" i="38"/>
  <c r="O88" i="38"/>
  <c r="O85" i="38"/>
  <c r="N85" i="38"/>
  <c r="N87" i="38"/>
  <c r="N90" i="38"/>
  <c r="N86" i="38"/>
  <c r="O84" i="38"/>
  <c r="N89" i="38"/>
  <c r="N88" i="38"/>
  <c r="N256" i="38"/>
  <c r="O257" i="38"/>
  <c r="N260" i="38"/>
  <c r="O256" i="38"/>
  <c r="O379" i="38"/>
  <c r="N344" i="38"/>
  <c r="N294" i="38"/>
  <c r="N326" i="38"/>
  <c r="N24" i="38"/>
  <c r="N393" i="38"/>
  <c r="O63" i="38"/>
  <c r="O290" i="38"/>
  <c r="O87" i="38"/>
  <c r="O377" i="38"/>
  <c r="O234" i="38"/>
  <c r="N233" i="38"/>
  <c r="N66" i="38"/>
  <c r="N65" i="38"/>
  <c r="N64" i="38"/>
  <c r="N391" i="38"/>
  <c r="O393" i="38"/>
  <c r="N396" i="38"/>
  <c r="N392" i="38"/>
  <c r="N398" i="38"/>
  <c r="O391" i="38"/>
  <c r="N397" i="38"/>
  <c r="N394" i="38"/>
  <c r="O394" i="38"/>
  <c r="O248" i="38"/>
  <c r="N247" i="38"/>
  <c r="N245" i="38"/>
  <c r="O245" i="38"/>
  <c r="N251" i="38"/>
  <c r="N105" i="38"/>
  <c r="O106" i="38"/>
  <c r="N402" i="38"/>
  <c r="O402" i="38"/>
  <c r="O400" i="38"/>
  <c r="O401" i="38"/>
  <c r="N401" i="38"/>
  <c r="N400" i="38"/>
  <c r="O404" i="38"/>
  <c r="O150" i="38"/>
  <c r="O152" i="38"/>
  <c r="N148" i="38"/>
  <c r="N149" i="38"/>
  <c r="O149" i="38"/>
  <c r="N151" i="38"/>
  <c r="O148" i="38"/>
  <c r="O151" i="38"/>
  <c r="N154" i="38"/>
  <c r="N150" i="38"/>
  <c r="O140" i="38"/>
  <c r="N138" i="38"/>
  <c r="N143" i="38"/>
  <c r="N140" i="38"/>
  <c r="N137" i="38"/>
  <c r="N139" i="38"/>
  <c r="O139" i="38"/>
  <c r="O136" i="38"/>
  <c r="O138" i="38"/>
  <c r="N382" i="38"/>
  <c r="N379" i="38"/>
  <c r="N381" i="38"/>
  <c r="N101" i="38"/>
  <c r="O104" i="38"/>
  <c r="O101" i="38"/>
  <c r="N103" i="38"/>
  <c r="O105" i="38"/>
  <c r="O103" i="38"/>
  <c r="N102" i="38"/>
  <c r="N329" i="38"/>
  <c r="N333" i="38"/>
  <c r="O329" i="38"/>
  <c r="O327" i="38"/>
  <c r="O328" i="38"/>
  <c r="N331" i="38"/>
  <c r="N332" i="38"/>
  <c r="O326" i="38"/>
  <c r="N68" i="38"/>
  <c r="O173" i="38"/>
  <c r="O169" i="38"/>
  <c r="N246" i="38"/>
  <c r="O292" i="38"/>
  <c r="N321" i="38"/>
  <c r="O60" i="38"/>
  <c r="N409" i="38"/>
  <c r="N386" i="38"/>
  <c r="O64" i="38"/>
  <c r="N404" i="38"/>
  <c r="O405" i="38"/>
  <c r="O357" i="38"/>
  <c r="N358" i="38"/>
  <c r="O358" i="38"/>
  <c r="N357" i="38"/>
  <c r="N355" i="38"/>
  <c r="N356" i="38"/>
  <c r="O208" i="38"/>
  <c r="N122" i="38"/>
  <c r="N121" i="38"/>
  <c r="O123" i="38"/>
  <c r="O369" i="38"/>
  <c r="N367" i="38"/>
  <c r="O368" i="38"/>
  <c r="N284" i="38"/>
  <c r="O285" i="38"/>
  <c r="O284" i="38"/>
  <c r="O220" i="38"/>
  <c r="O218" i="38"/>
  <c r="N217" i="38"/>
  <c r="N219" i="38"/>
  <c r="N129" i="38"/>
  <c r="N134" i="38"/>
  <c r="O130" i="38"/>
  <c r="O128" i="38"/>
  <c r="N135" i="38"/>
  <c r="N131" i="38"/>
  <c r="O131" i="38"/>
  <c r="O70" i="38"/>
  <c r="N74" i="38"/>
  <c r="N72" i="38"/>
  <c r="O69" i="38"/>
  <c r="O332" i="38"/>
  <c r="N212" i="38"/>
  <c r="N213" i="38"/>
  <c r="O213" i="38"/>
  <c r="O214" i="38"/>
  <c r="N92" i="38"/>
  <c r="N93" i="38"/>
  <c r="O90" i="38"/>
  <c r="N181" i="38"/>
  <c r="N324" i="38"/>
  <c r="O68" i="38"/>
  <c r="N67" i="38"/>
  <c r="N334" i="38"/>
  <c r="O331" i="38"/>
  <c r="O178" i="38"/>
  <c r="N175" i="38"/>
  <c r="N177" i="38"/>
  <c r="O176" i="38"/>
  <c r="O174" i="38"/>
  <c r="N174" i="38"/>
  <c r="N76" i="38"/>
  <c r="O80" i="38"/>
  <c r="N83" i="38"/>
  <c r="N82" i="38"/>
  <c r="O202" i="38"/>
  <c r="N203" i="38"/>
  <c r="N257" i="38"/>
  <c r="O255" i="38"/>
  <c r="N258" i="38"/>
  <c r="N253" i="38"/>
  <c r="N259" i="38"/>
  <c r="O253" i="38"/>
  <c r="N225" i="38"/>
  <c r="O222" i="38"/>
  <c r="N250" i="38"/>
  <c r="O246" i="38"/>
  <c r="N255" i="38"/>
  <c r="N248" i="38"/>
  <c r="N204" i="38"/>
  <c r="N183" i="38"/>
  <c r="N110" i="38"/>
  <c r="N81" i="38"/>
  <c r="O252" i="38"/>
  <c r="N184" i="38"/>
  <c r="N298" i="38"/>
  <c r="N244" i="38"/>
  <c r="N220" i="38"/>
  <c r="O212" i="38"/>
  <c r="N194" i="38"/>
  <c r="O355" i="38"/>
  <c r="N34" i="38"/>
  <c r="N254" i="38"/>
  <c r="N224" i="38"/>
  <c r="N405" i="38"/>
  <c r="N123" i="38"/>
  <c r="N330" i="38"/>
  <c r="N210" i="38"/>
  <c r="N127" i="38"/>
  <c r="N207" i="38"/>
  <c r="O77" i="38"/>
  <c r="O132" i="38"/>
  <c r="N384" i="38"/>
  <c r="O387" i="38"/>
  <c r="N390" i="38"/>
  <c r="N345" i="38"/>
  <c r="O345" i="38"/>
  <c r="O243" i="38"/>
  <c r="N243" i="38"/>
  <c r="N242" i="38"/>
  <c r="O81" i="38"/>
  <c r="N80" i="38"/>
  <c r="N407" i="38"/>
  <c r="N406" i="38"/>
  <c r="N412" i="38"/>
  <c r="O408" i="38"/>
  <c r="O351" i="38"/>
  <c r="O353" i="38"/>
  <c r="N350" i="38"/>
  <c r="N352" i="38"/>
  <c r="O350" i="38"/>
  <c r="N353" i="38"/>
  <c r="O276" i="38"/>
  <c r="N277" i="38"/>
  <c r="O278" i="38"/>
  <c r="N276" i="38"/>
  <c r="N275" i="38"/>
  <c r="O31" i="38"/>
  <c r="N33" i="38"/>
  <c r="O32" i="38"/>
  <c r="N35" i="38"/>
  <c r="O30" i="38"/>
  <c r="O301" i="38"/>
  <c r="N301" i="38"/>
  <c r="N302" i="38"/>
  <c r="N304" i="38"/>
  <c r="O298" i="38"/>
  <c r="N299" i="38"/>
  <c r="O186" i="38"/>
  <c r="O155" i="38"/>
  <c r="O154" i="38"/>
  <c r="N48" i="38"/>
  <c r="O49" i="38"/>
  <c r="N316" i="38"/>
  <c r="N312" i="38"/>
  <c r="N311" i="38"/>
  <c r="O311" i="38"/>
  <c r="O133" i="38"/>
  <c r="O24" i="38"/>
  <c r="N21" i="38"/>
  <c r="O22" i="38"/>
  <c r="N23" i="38"/>
  <c r="O36" i="38"/>
  <c r="N39" i="38"/>
  <c r="N37" i="38"/>
  <c r="O158" i="38"/>
  <c r="N158" i="38"/>
  <c r="N162" i="38"/>
  <c r="N157" i="38"/>
  <c r="O159" i="38"/>
  <c r="O156" i="38"/>
  <c r="N161" i="38"/>
  <c r="N195" i="38"/>
  <c r="N196" i="38"/>
  <c r="O192" i="38"/>
  <c r="N190" i="38"/>
  <c r="N49" i="38"/>
  <c r="N411" i="38"/>
  <c r="O242" i="38"/>
  <c r="N176" i="38"/>
  <c r="O129" i="38"/>
  <c r="N408" i="38"/>
  <c r="N385" i="38"/>
  <c r="O299" i="38"/>
  <c r="N285" i="38"/>
  <c r="N182" i="38"/>
  <c r="O313" i="38"/>
  <c r="N208" i="38"/>
  <c r="N108" i="38"/>
  <c r="N410" i="38"/>
  <c r="N303" i="38"/>
  <c r="O89" i="38"/>
  <c r="N197" i="38"/>
  <c r="O325" i="38"/>
  <c r="O254" i="38"/>
  <c r="O51" i="38"/>
  <c r="O188" i="38"/>
  <c r="N351" i="38"/>
  <c r="N314" i="38"/>
  <c r="N370" i="38"/>
  <c r="O302" i="38"/>
  <c r="O206" i="38"/>
  <c r="N22" i="38"/>
  <c r="O378" i="38"/>
  <c r="N380" i="38"/>
  <c r="O380" i="38"/>
  <c r="O382" i="38"/>
  <c r="O381" i="38"/>
  <c r="O237" i="38"/>
  <c r="N237" i="38"/>
  <c r="N189" i="38"/>
  <c r="N75" i="38"/>
  <c r="O72" i="38"/>
  <c r="N399" i="38"/>
  <c r="N395" i="38"/>
  <c r="O396" i="38"/>
  <c r="N179" i="38"/>
  <c r="N180" i="38"/>
  <c r="O180" i="38"/>
  <c r="O181" i="38"/>
  <c r="O110" i="38"/>
  <c r="N63" i="38"/>
  <c r="O65" i="38"/>
  <c r="N62" i="38"/>
  <c r="O27" i="38"/>
  <c r="O29" i="38"/>
  <c r="N25" i="38"/>
  <c r="N32" i="38"/>
  <c r="N270" i="38"/>
  <c r="O271" i="38"/>
  <c r="N267" i="38"/>
  <c r="N269" i="38"/>
  <c r="N165" i="38"/>
  <c r="N166" i="38"/>
  <c r="O166" i="38"/>
  <c r="O167" i="38"/>
  <c r="O52" i="38"/>
  <c r="N55" i="38"/>
  <c r="N51" i="38"/>
  <c r="N53" i="38"/>
  <c r="N50" i="38"/>
  <c r="N141" i="38"/>
  <c r="N142" i="38"/>
  <c r="N146" i="38"/>
  <c r="O145" i="38"/>
  <c r="N147" i="38"/>
  <c r="N42" i="38"/>
  <c r="N41" i="38"/>
  <c r="O44" i="38"/>
  <c r="O42" i="38"/>
  <c r="N43" i="38"/>
  <c r="O43" i="38"/>
  <c r="O115" i="38"/>
  <c r="O114" i="38"/>
  <c r="N117" i="38"/>
  <c r="N115" i="38"/>
  <c r="N113" i="38"/>
  <c r="N114" i="38"/>
  <c r="O373" i="38"/>
  <c r="N372" i="38"/>
  <c r="O371" i="38"/>
  <c r="O108" i="38"/>
  <c r="O107" i="38"/>
  <c r="N111" i="38"/>
  <c r="O109" i="38"/>
  <c r="O41" i="38"/>
  <c r="N15" i="38"/>
  <c r="N317" i="38"/>
  <c r="O281" i="38"/>
  <c r="N79" i="38"/>
  <c r="N109" i="38"/>
  <c r="N153" i="38"/>
  <c r="N282" i="38"/>
  <c r="O78" i="38"/>
  <c r="O384" i="38"/>
  <c r="N192" i="38"/>
  <c r="N156" i="38"/>
  <c r="N126" i="38"/>
  <c r="N73" i="38"/>
  <c r="N47" i="38"/>
  <c r="N36" i="38"/>
  <c r="N389" i="38"/>
  <c r="N249" i="38"/>
  <c r="O247" i="38"/>
  <c r="N218" i="38"/>
  <c r="O187" i="38"/>
  <c r="N178" i="38"/>
  <c r="O79" i="38"/>
  <c r="O385" i="38"/>
  <c r="N283" i="38"/>
  <c r="O125" i="38"/>
  <c r="N369" i="38"/>
  <c r="N209" i="38"/>
  <c r="O300" i="38"/>
  <c r="O346" i="38"/>
  <c r="N26" i="38"/>
  <c r="O344" i="38"/>
  <c r="N188" i="38"/>
  <c r="O28" i="38"/>
  <c r="O310" i="38"/>
  <c r="N280" i="38"/>
  <c r="N38" i="38"/>
  <c r="N288" i="38"/>
  <c r="O46" i="38"/>
  <c r="O153" i="38"/>
  <c r="N417" i="38"/>
  <c r="O54" i="38"/>
  <c r="N77" i="38"/>
  <c r="O76" i="38"/>
  <c r="O116" i="38"/>
  <c r="O342" i="38"/>
  <c r="N185" i="38"/>
  <c r="O217" i="38"/>
  <c r="N222" i="38"/>
  <c r="O184" i="38"/>
  <c r="N133" i="38"/>
  <c r="O121" i="38"/>
  <c r="O71" i="38"/>
  <c r="N359" i="38"/>
  <c r="N211" i="38"/>
  <c r="N206" i="38"/>
  <c r="N186" i="38"/>
  <c r="N52" i="38"/>
  <c r="N354" i="38"/>
  <c r="O343" i="38"/>
  <c r="N281" i="38"/>
  <c r="O210" i="38"/>
  <c r="N278" i="38"/>
  <c r="N240" i="38"/>
  <c r="N343" i="38"/>
  <c r="O189" i="38"/>
  <c r="O349" i="38"/>
  <c r="N167" i="38"/>
  <c r="O268" i="38"/>
  <c r="O62" i="38"/>
  <c r="O39" i="38"/>
  <c r="O50" i="38"/>
  <c r="O312" i="38"/>
  <c r="N155" i="38"/>
  <c r="N125" i="38"/>
  <c r="N45" i="38"/>
  <c r="N69" i="38"/>
  <c r="N40" i="38"/>
  <c r="O119" i="37"/>
  <c r="O285" i="39"/>
  <c r="N321" i="39"/>
  <c r="O269" i="39"/>
  <c r="N168" i="39"/>
  <c r="N300" i="39"/>
  <c r="O165" i="39"/>
  <c r="N290" i="39"/>
  <c r="N289" i="39"/>
  <c r="N275" i="39"/>
  <c r="O184" i="39"/>
  <c r="N182" i="39"/>
  <c r="N126" i="39"/>
  <c r="N315" i="39"/>
  <c r="N285" i="39"/>
  <c r="N288" i="39"/>
  <c r="N284" i="39"/>
  <c r="O166" i="39"/>
  <c r="O96" i="39"/>
  <c r="N287" i="39"/>
  <c r="O284" i="39"/>
  <c r="N102" i="39"/>
  <c r="O53" i="39"/>
  <c r="N54" i="39"/>
  <c r="N52" i="39"/>
  <c r="N57" i="39"/>
  <c r="N283" i="39"/>
  <c r="O52" i="39"/>
  <c r="N128" i="39"/>
  <c r="N239" i="39"/>
  <c r="O59" i="39"/>
  <c r="O153" i="39"/>
  <c r="O189" i="39"/>
  <c r="N194" i="39"/>
  <c r="O123" i="39"/>
  <c r="N271" i="39"/>
  <c r="N118" i="39"/>
  <c r="N38" i="39"/>
  <c r="O35" i="39"/>
  <c r="O332" i="39"/>
  <c r="N112" i="39"/>
  <c r="O99" i="39"/>
  <c r="N41" i="39"/>
  <c r="O88" i="39"/>
  <c r="O193" i="39"/>
  <c r="O97" i="39"/>
  <c r="N36" i="39"/>
  <c r="O331" i="39"/>
  <c r="O252" i="39"/>
  <c r="N87" i="39"/>
  <c r="N255" i="39"/>
  <c r="N337" i="39"/>
  <c r="N34" i="39"/>
  <c r="N92" i="39"/>
  <c r="O118" i="39"/>
  <c r="N345" i="39"/>
  <c r="N320" i="39"/>
  <c r="N334" i="39"/>
  <c r="N199" i="39"/>
  <c r="N192" i="39"/>
  <c r="O111" i="39"/>
  <c r="N98" i="39"/>
  <c r="N100" i="39"/>
  <c r="O212" i="39"/>
  <c r="N101" i="39"/>
  <c r="O346" i="39"/>
  <c r="N350" i="39"/>
  <c r="N175" i="39"/>
  <c r="O195" i="39"/>
  <c r="N198" i="39"/>
  <c r="N347" i="39"/>
  <c r="N190" i="39"/>
  <c r="N218" i="39"/>
  <c r="O113" i="39"/>
  <c r="N196" i="39"/>
  <c r="N349" i="39"/>
  <c r="O239" i="39"/>
  <c r="N197" i="39"/>
  <c r="N332" i="39"/>
  <c r="N174" i="39"/>
  <c r="O119" i="39"/>
  <c r="O98" i="39"/>
  <c r="O125" i="39"/>
  <c r="O344" i="39"/>
  <c r="O254" i="39"/>
  <c r="N323" i="39"/>
  <c r="N121" i="39"/>
  <c r="N301" i="39"/>
  <c r="N35" i="39"/>
  <c r="N329" i="39"/>
  <c r="N270" i="39"/>
  <c r="N165" i="39"/>
  <c r="N63" i="39"/>
  <c r="N335" i="39"/>
  <c r="N116" i="39"/>
  <c r="N58" i="39"/>
  <c r="O163" i="39"/>
  <c r="O174" i="39"/>
  <c r="O28" i="39"/>
  <c r="O237" i="39"/>
  <c r="N32" i="39"/>
  <c r="O301" i="39"/>
  <c r="O30" i="39"/>
  <c r="O31" i="39"/>
  <c r="O270" i="39"/>
  <c r="N53" i="39"/>
  <c r="O300" i="39"/>
  <c r="N162" i="39"/>
  <c r="O272" i="39"/>
  <c r="N299" i="39"/>
  <c r="O321" i="39"/>
  <c r="N160" i="39"/>
  <c r="O190" i="39"/>
  <c r="N111" i="39"/>
  <c r="N325" i="39"/>
  <c r="N304" i="39"/>
  <c r="N277" i="39"/>
  <c r="O322" i="39"/>
  <c r="N237" i="39"/>
  <c r="N33" i="39"/>
  <c r="N60" i="39"/>
  <c r="O299" i="39"/>
  <c r="O161" i="39"/>
  <c r="N322" i="39"/>
  <c r="O302" i="39"/>
  <c r="N88" i="39"/>
  <c r="O58" i="39"/>
  <c r="N158" i="39"/>
  <c r="N77" i="39"/>
  <c r="O240" i="39"/>
  <c r="N164" i="39"/>
  <c r="O74" i="39"/>
  <c r="O55" i="39"/>
  <c r="N167" i="39"/>
  <c r="N90" i="39"/>
  <c r="O117" i="39"/>
  <c r="O304" i="39"/>
  <c r="O150" i="39"/>
  <c r="N122" i="39"/>
  <c r="O216" i="39"/>
  <c r="N215" i="39"/>
  <c r="N177" i="39"/>
  <c r="O178" i="39"/>
  <c r="N96" i="39"/>
  <c r="O215" i="39"/>
  <c r="N328" i="39"/>
  <c r="O329" i="39"/>
  <c r="N76" i="39"/>
  <c r="N253" i="39"/>
  <c r="O40" i="39"/>
  <c r="N39" i="39"/>
  <c r="O337" i="39"/>
  <c r="N257" i="39"/>
  <c r="O213" i="39"/>
  <c r="N184" i="39"/>
  <c r="O185" i="39"/>
  <c r="O317" i="39"/>
  <c r="N316" i="39"/>
  <c r="N342" i="39"/>
  <c r="N276" i="39"/>
  <c r="N95" i="39"/>
  <c r="O39" i="39"/>
  <c r="O306" i="39"/>
  <c r="N310" i="39"/>
  <c r="O316" i="39"/>
  <c r="O181" i="39"/>
  <c r="N274" i="39"/>
  <c r="N31" i="39"/>
  <c r="O32" i="39"/>
  <c r="O115" i="39"/>
  <c r="N114" i="39"/>
  <c r="O57" i="39"/>
  <c r="N214" i="39"/>
  <c r="N193" i="39"/>
  <c r="N217" i="39"/>
  <c r="O116" i="39"/>
  <c r="O100" i="39"/>
  <c r="N99" i="39"/>
  <c r="O314" i="39"/>
  <c r="N212" i="39"/>
  <c r="O89" i="39"/>
  <c r="O36" i="39"/>
  <c r="N286" i="39"/>
  <c r="O303" i="39"/>
  <c r="N302" i="39"/>
  <c r="N151" i="39"/>
  <c r="O152" i="39"/>
  <c r="O328" i="39"/>
  <c r="N327" i="39"/>
  <c r="N15" i="39"/>
  <c r="N19" i="39"/>
  <c r="N258" i="39"/>
  <c r="O340" i="39"/>
  <c r="N339" i="39"/>
  <c r="O128" i="39"/>
  <c r="N127" i="39"/>
  <c r="O326" i="39"/>
  <c r="O75" i="39"/>
  <c r="N74" i="39"/>
  <c r="O336" i="39"/>
  <c r="O238" i="39"/>
  <c r="O338" i="39"/>
  <c r="N272" i="39"/>
  <c r="O273" i="39"/>
  <c r="O271" i="39"/>
  <c r="N43" i="39"/>
  <c r="O251" i="39"/>
  <c r="O176" i="39"/>
  <c r="N150" i="39"/>
  <c r="O92" i="39"/>
  <c r="O214" i="39"/>
  <c r="N185" i="39"/>
  <c r="N244" i="39"/>
  <c r="N331" i="39"/>
  <c r="N242" i="39"/>
  <c r="O164" i="39"/>
  <c r="N163" i="39"/>
  <c r="N216" i="39"/>
  <c r="O325" i="39"/>
  <c r="N324" i="39"/>
  <c r="O167" i="39"/>
  <c r="N166" i="39"/>
  <c r="N62" i="39"/>
  <c r="O274" i="39"/>
  <c r="N273" i="39"/>
  <c r="N155" i="39"/>
  <c r="O156" i="39"/>
  <c r="N86" i="39"/>
  <c r="N308" i="39"/>
  <c r="O112" i="39"/>
  <c r="O72" i="39"/>
  <c r="O305" i="39"/>
  <c r="N125" i="39"/>
  <c r="O126" i="39"/>
  <c r="N37" i="39"/>
  <c r="O38" i="39"/>
  <c r="O154" i="39"/>
  <c r="N153" i="39"/>
  <c r="O56" i="39"/>
  <c r="N55" i="39"/>
  <c r="O124" i="39"/>
  <c r="O17" i="39"/>
  <c r="N16" i="39"/>
  <c r="N254" i="39"/>
  <c r="O255" i="39"/>
  <c r="O120" i="39"/>
  <c r="N119" i="39"/>
  <c r="N330" i="39"/>
  <c r="N117" i="39"/>
  <c r="O242" i="39"/>
  <c r="N241" i="39"/>
  <c r="O127" i="39"/>
  <c r="N252" i="39"/>
  <c r="N178" i="39"/>
  <c r="N124" i="39"/>
  <c r="N343" i="39"/>
  <c r="N73" i="39"/>
  <c r="O15" i="39"/>
  <c r="O175" i="39"/>
  <c r="N314" i="39"/>
  <c r="N181" i="39"/>
  <c r="O151" i="39"/>
  <c r="O91" i="39"/>
  <c r="N213" i="39"/>
  <c r="N317" i="39"/>
  <c r="N188" i="39"/>
  <c r="N183" i="39"/>
  <c r="N120" i="39"/>
  <c r="N256" i="39"/>
  <c r="N186" i="39"/>
  <c r="O177" i="39"/>
  <c r="N18" i="39"/>
  <c r="N303" i="39"/>
  <c r="N78" i="39"/>
  <c r="O324" i="39"/>
  <c r="O37" i="39"/>
  <c r="N338" i="39"/>
  <c r="O149" i="39"/>
  <c r="O241" i="39"/>
  <c r="N240" i="39"/>
  <c r="O192" i="39"/>
  <c r="N191" i="39"/>
  <c r="N17" i="39"/>
  <c r="O196" i="39"/>
  <c r="N195" i="39"/>
  <c r="N129" i="39"/>
  <c r="N113" i="39"/>
  <c r="N179" i="39"/>
  <c r="N20" i="39"/>
  <c r="O29" i="39"/>
  <c r="N29" i="39"/>
  <c r="O347" i="39"/>
  <c r="N346" i="39"/>
  <c r="N169" i="39"/>
  <c r="O162" i="39"/>
  <c r="N72" i="39"/>
  <c r="N348" i="39"/>
  <c r="N40" i="39"/>
  <c r="O41" i="39"/>
  <c r="N93" i="39"/>
  <c r="O94" i="39"/>
  <c r="O307" i="39"/>
  <c r="N306" i="39"/>
  <c r="N326" i="39"/>
  <c r="N307" i="39"/>
  <c r="O155" i="39"/>
  <c r="N154" i="39"/>
  <c r="N341" i="39"/>
  <c r="N123" i="39"/>
  <c r="N152" i="39"/>
  <c r="N91" i="39"/>
  <c r="O327" i="39"/>
  <c r="O60" i="39"/>
  <c r="N59" i="39"/>
  <c r="O90" i="39"/>
  <c r="N89" i="39"/>
  <c r="N157" i="39"/>
  <c r="N71" i="39"/>
  <c r="N309" i="39"/>
  <c r="O182" i="39"/>
  <c r="N97" i="39"/>
  <c r="N156" i="39"/>
  <c r="N130" i="39"/>
  <c r="N305" i="39"/>
  <c r="N251" i="39"/>
  <c r="N176" i="39"/>
  <c r="O313" i="39"/>
  <c r="N243" i="39"/>
  <c r="N149" i="39"/>
  <c r="N94" i="39"/>
  <c r="O339" i="39"/>
  <c r="N148" i="39"/>
  <c r="N56" i="39"/>
  <c r="O188" i="39"/>
  <c r="N189" i="39"/>
  <c r="O114" i="39"/>
  <c r="N131" i="39"/>
  <c r="O87" i="39"/>
  <c r="N340" i="39"/>
  <c r="N28" i="39"/>
  <c r="O330" i="39"/>
  <c r="N313" i="39"/>
  <c r="N161" i="39"/>
  <c r="O93" i="39"/>
  <c r="O73" i="39"/>
  <c r="N42" i="39"/>
  <c r="N344" i="39"/>
  <c r="N238" i="39"/>
  <c r="N75" i="39"/>
  <c r="N219" i="39"/>
  <c r="O34" i="37"/>
  <c r="O343" i="37"/>
  <c r="N122" i="37"/>
  <c r="O392" i="37"/>
  <c r="O364" i="37"/>
  <c r="O294" i="37"/>
  <c r="O237" i="37"/>
  <c r="O151" i="37"/>
  <c r="N125" i="37"/>
  <c r="O37" i="37"/>
  <c r="O120" i="37"/>
  <c r="O371" i="37"/>
  <c r="N329" i="37"/>
  <c r="N221" i="37"/>
  <c r="N168" i="37"/>
  <c r="O286" i="37"/>
  <c r="O414" i="37"/>
  <c r="N219" i="37"/>
  <c r="O352" i="37"/>
  <c r="O91" i="37"/>
  <c r="O297" i="37"/>
  <c r="O99" i="37"/>
  <c r="O271" i="37"/>
  <c r="N39" i="37"/>
  <c r="O370" i="37"/>
  <c r="O345" i="37"/>
  <c r="N355" i="37"/>
  <c r="N104" i="37"/>
  <c r="N267" i="37"/>
  <c r="N172" i="37"/>
  <c r="O163" i="37"/>
  <c r="O369" i="37"/>
  <c r="N296" i="37"/>
  <c r="N330" i="37"/>
  <c r="O168" i="37"/>
  <c r="N140" i="37"/>
  <c r="N64" i="37"/>
  <c r="N188" i="37"/>
  <c r="N295" i="37"/>
  <c r="N157" i="37"/>
  <c r="O304" i="37"/>
  <c r="O49" i="37"/>
  <c r="N261" i="37"/>
  <c r="O354" i="37"/>
  <c r="N37" i="37"/>
  <c r="O146" i="37"/>
  <c r="O56" i="37"/>
  <c r="O101" i="37"/>
  <c r="O312" i="37"/>
  <c r="O248" i="37"/>
  <c r="N278" i="37"/>
  <c r="O225" i="37"/>
  <c r="O127" i="37"/>
  <c r="N415" i="37"/>
  <c r="O77" i="37"/>
  <c r="O296" i="37"/>
  <c r="O24" i="37"/>
  <c r="O251" i="37"/>
  <c r="N214" i="37"/>
  <c r="N153" i="37"/>
  <c r="O36" i="37"/>
  <c r="N38" i="37"/>
  <c r="O233" i="37"/>
  <c r="O361" i="37"/>
  <c r="N344" i="37"/>
  <c r="O276" i="37"/>
  <c r="O204" i="37"/>
  <c r="O254" i="37"/>
  <c r="O38" i="37"/>
  <c r="O317" i="37"/>
  <c r="N292" i="37"/>
  <c r="O74" i="37"/>
  <c r="O323" i="37"/>
  <c r="O89" i="37"/>
  <c r="O365" i="37"/>
  <c r="O322" i="37"/>
  <c r="O348" i="37"/>
  <c r="O291" i="37"/>
  <c r="O39" i="37"/>
  <c r="O330" i="37"/>
  <c r="N226" i="37"/>
  <c r="N243" i="37"/>
  <c r="O224" i="37"/>
  <c r="N79" i="37"/>
  <c r="N293" i="37"/>
  <c r="O278" i="37"/>
  <c r="O47" i="37"/>
  <c r="N170" i="37"/>
  <c r="O385" i="37"/>
  <c r="O63" i="37"/>
  <c r="O387" i="37"/>
  <c r="N142" i="37"/>
  <c r="N333" i="37"/>
  <c r="N317" i="37"/>
  <c r="N174" i="37"/>
  <c r="N137" i="37"/>
  <c r="O417" i="37"/>
  <c r="O242" i="37"/>
  <c r="O191" i="37"/>
  <c r="N270" i="37"/>
  <c r="N181" i="37"/>
  <c r="N227" i="37"/>
  <c r="N361" i="37"/>
  <c r="O288" i="37"/>
  <c r="O216" i="37"/>
  <c r="O222" i="37"/>
  <c r="N326" i="37"/>
  <c r="O58" i="37"/>
  <c r="N222" i="37"/>
  <c r="O129" i="37"/>
  <c r="N245" i="37"/>
  <c r="N282" i="37"/>
  <c r="O138" i="37"/>
  <c r="N192" i="37"/>
  <c r="O240" i="37"/>
  <c r="N111" i="37"/>
  <c r="N193" i="37"/>
  <c r="N264" i="37"/>
  <c r="O184" i="37"/>
  <c r="N220" i="37"/>
  <c r="O391" i="37"/>
  <c r="O360" i="37"/>
  <c r="O344" i="37"/>
  <c r="N279" i="37"/>
  <c r="O217" i="37"/>
  <c r="N372" i="37"/>
  <c r="O196" i="37"/>
  <c r="O71" i="37"/>
  <c r="N92" i="37"/>
  <c r="O273" i="37"/>
  <c r="O162" i="37"/>
  <c r="O229" i="37"/>
  <c r="N367" i="37"/>
  <c r="O263" i="37"/>
  <c r="O227" i="37"/>
  <c r="O274" i="37"/>
  <c r="N374" i="37"/>
  <c r="N241" i="37"/>
  <c r="N347" i="37"/>
  <c r="O339" i="37"/>
  <c r="N187" i="37"/>
  <c r="N377" i="37"/>
  <c r="O116" i="37"/>
  <c r="N76" i="37"/>
  <c r="O97" i="37"/>
  <c r="N395" i="37"/>
  <c r="N343" i="37"/>
  <c r="N88" i="37"/>
  <c r="N266" i="37"/>
  <c r="N357" i="37"/>
  <c r="O241" i="37"/>
  <c r="O223" i="37"/>
  <c r="O402" i="37"/>
  <c r="N211" i="37"/>
  <c r="N155" i="37"/>
  <c r="O96" i="37"/>
  <c r="O124" i="37"/>
  <c r="N175" i="37"/>
  <c r="O123" i="37"/>
  <c r="N388" i="37"/>
  <c r="N197" i="37"/>
  <c r="N283" i="37"/>
  <c r="O98" i="37"/>
  <c r="O238" i="37"/>
  <c r="N412" i="37"/>
  <c r="O413" i="37"/>
  <c r="N351" i="37"/>
  <c r="N116" i="37"/>
  <c r="N73" i="37"/>
  <c r="O412" i="37"/>
  <c r="N363" i="37"/>
  <c r="N364" i="37"/>
  <c r="O210" i="37"/>
  <c r="N75" i="37"/>
  <c r="O78" i="37"/>
  <c r="N78" i="37"/>
  <c r="N381" i="37"/>
  <c r="N201" i="37"/>
  <c r="N371" i="37"/>
  <c r="O353" i="37"/>
  <c r="N352" i="37"/>
  <c r="O258" i="37"/>
  <c r="O257" i="37"/>
  <c r="O239" i="37"/>
  <c r="N373" i="37"/>
  <c r="O236" i="37"/>
  <c r="O307" i="37"/>
  <c r="N298" i="37"/>
  <c r="N212" i="37"/>
  <c r="O50" i="37"/>
  <c r="N356" i="37"/>
  <c r="O357" i="37"/>
  <c r="O66" i="37"/>
  <c r="N52" i="37"/>
  <c r="N53" i="37"/>
  <c r="O208" i="37"/>
  <c r="O368" i="37"/>
  <c r="N370" i="37"/>
  <c r="N396" i="37"/>
  <c r="O23" i="37"/>
  <c r="O16" i="37"/>
  <c r="N334" i="37"/>
  <c r="N30" i="37"/>
  <c r="N161" i="37"/>
  <c r="O311" i="37"/>
  <c r="O320" i="37"/>
  <c r="O160" i="37"/>
  <c r="O46" i="37"/>
  <c r="N210" i="37"/>
  <c r="N286" i="37"/>
  <c r="N318" i="37"/>
  <c r="O72" i="37"/>
  <c r="N173" i="37"/>
  <c r="O396" i="37"/>
  <c r="O373" i="37"/>
  <c r="N99" i="37"/>
  <c r="N284" i="37"/>
  <c r="N242" i="37"/>
  <c r="N238" i="37"/>
  <c r="N379" i="37"/>
  <c r="O346" i="37"/>
  <c r="O226" i="37"/>
  <c r="N223" i="37"/>
  <c r="N207" i="37"/>
  <c r="O205" i="37"/>
  <c r="N144" i="37"/>
  <c r="N185" i="37"/>
  <c r="O182" i="37"/>
  <c r="O140" i="37"/>
  <c r="O64" i="37"/>
  <c r="N332" i="37"/>
  <c r="O137" i="37"/>
  <c r="O122" i="37"/>
  <c r="N123" i="37"/>
  <c r="O173" i="37"/>
  <c r="O376" i="37"/>
  <c r="O88" i="37"/>
  <c r="N86" i="37"/>
  <c r="O85" i="37"/>
  <c r="N414" i="37"/>
  <c r="N48" i="37"/>
  <c r="O87" i="37"/>
  <c r="O86" i="37"/>
  <c r="N386" i="37"/>
  <c r="N234" i="37"/>
  <c r="O51" i="37"/>
  <c r="N171" i="37"/>
  <c r="N376" i="37"/>
  <c r="O341" i="37"/>
  <c r="O340" i="37"/>
  <c r="N233" i="37"/>
  <c r="O316" i="37"/>
  <c r="N236" i="37"/>
  <c r="O277" i="37"/>
  <c r="N276" i="37"/>
  <c r="N275" i="37"/>
  <c r="O256" i="37"/>
  <c r="N408" i="37"/>
  <c r="O245" i="37"/>
  <c r="O244" i="37"/>
  <c r="O243" i="37"/>
  <c r="O95" i="37"/>
  <c r="O125" i="37"/>
  <c r="N244" i="37"/>
  <c r="O167" i="37"/>
  <c r="O166" i="37"/>
  <c r="N164" i="37"/>
  <c r="N166" i="37"/>
  <c r="N167" i="37"/>
  <c r="O165" i="37"/>
  <c r="O152" i="37"/>
  <c r="O153" i="37"/>
  <c r="O270" i="37"/>
  <c r="N269" i="37"/>
  <c r="O386" i="37"/>
  <c r="N385" i="37"/>
  <c r="N349" i="37"/>
  <c r="N91" i="37"/>
  <c r="O266" i="37"/>
  <c r="O234" i="37"/>
  <c r="N308" i="37"/>
  <c r="N23" i="37"/>
  <c r="O212" i="37"/>
  <c r="N362" i="37"/>
  <c r="N216" i="37"/>
  <c r="O171" i="37"/>
  <c r="N365" i="37"/>
  <c r="O328" i="37"/>
  <c r="N328" i="37"/>
  <c r="O331" i="37"/>
  <c r="O228" i="37"/>
  <c r="N228" i="37"/>
  <c r="O230" i="37"/>
  <c r="N229" i="37"/>
  <c r="O342" i="37"/>
  <c r="O272" i="37"/>
  <c r="N251" i="37"/>
  <c r="O132" i="37"/>
  <c r="N301" i="37"/>
  <c r="N133" i="37"/>
  <c r="O298" i="37"/>
  <c r="O390" i="37"/>
  <c r="O220" i="37"/>
  <c r="N129" i="37"/>
  <c r="O280" i="37"/>
  <c r="N127" i="37"/>
  <c r="O45" i="37"/>
  <c r="N305" i="37"/>
  <c r="O305" i="37"/>
  <c r="N277" i="37"/>
  <c r="N177" i="37"/>
  <c r="O269" i="37"/>
  <c r="N394" i="37"/>
  <c r="N252" i="37"/>
  <c r="O161" i="37"/>
  <c r="O170" i="37"/>
  <c r="O29" i="37"/>
  <c r="O350" i="37"/>
  <c r="O292" i="37"/>
  <c r="O93" i="37"/>
  <c r="O92" i="37"/>
  <c r="O94" i="37"/>
  <c r="O359" i="37"/>
  <c r="O187" i="37"/>
  <c r="O219" i="37"/>
  <c r="N240" i="37"/>
  <c r="N45" i="37"/>
  <c r="N235" i="37"/>
  <c r="O150" i="37"/>
  <c r="O255" i="37"/>
  <c r="O175" i="37"/>
  <c r="O154" i="37"/>
  <c r="O185" i="37"/>
  <c r="O349" i="37"/>
  <c r="O388" i="37"/>
  <c r="N169" i="37"/>
  <c r="O416" i="37"/>
  <c r="N400" i="37"/>
  <c r="O401" i="37"/>
  <c r="O398" i="37"/>
  <c r="N397" i="37"/>
  <c r="N399" i="37"/>
  <c r="N398" i="37"/>
  <c r="N145" i="37"/>
  <c r="O55" i="37"/>
  <c r="N56" i="37"/>
  <c r="N58" i="37"/>
  <c r="O57" i="37"/>
  <c r="N55" i="37"/>
  <c r="O54" i="37"/>
  <c r="O27" i="37"/>
  <c r="O65" i="37"/>
  <c r="O109" i="37"/>
  <c r="N108" i="37"/>
  <c r="N107" i="37"/>
  <c r="N150" i="37"/>
  <c r="N66" i="37"/>
  <c r="N404" i="37"/>
  <c r="O180" i="37"/>
  <c r="N146" i="37"/>
  <c r="N59" i="37"/>
  <c r="N393" i="37"/>
  <c r="N360" i="37"/>
  <c r="N199" i="37"/>
  <c r="N200" i="37"/>
  <c r="O200" i="37"/>
  <c r="O201" i="37"/>
  <c r="O202" i="37"/>
  <c r="N135" i="37"/>
  <c r="O135" i="37"/>
  <c r="N139" i="37"/>
  <c r="O136" i="37"/>
  <c r="N63" i="37"/>
  <c r="O62" i="37"/>
  <c r="N62" i="37"/>
  <c r="O308" i="37"/>
  <c r="N309" i="37"/>
  <c r="O309" i="37"/>
  <c r="N310" i="37"/>
  <c r="N158" i="37"/>
  <c r="N163" i="37"/>
  <c r="O159" i="37"/>
  <c r="N159" i="37"/>
  <c r="O158" i="37"/>
  <c r="N105" i="37"/>
  <c r="O107" i="37"/>
  <c r="N106" i="37"/>
  <c r="O106" i="37"/>
  <c r="O108" i="37"/>
  <c r="O28" i="37"/>
  <c r="N302" i="37"/>
  <c r="O303" i="37"/>
  <c r="N300" i="37"/>
  <c r="O300" i="37"/>
  <c r="N303" i="37"/>
  <c r="O302" i="37"/>
  <c r="O41" i="37"/>
  <c r="N40" i="37"/>
  <c r="O40" i="37"/>
  <c r="N43" i="37"/>
  <c r="N41" i="37"/>
  <c r="N42" i="37"/>
  <c r="O42" i="37"/>
  <c r="O43" i="37"/>
  <c r="O80" i="37"/>
  <c r="O76" i="37"/>
  <c r="N409" i="37"/>
  <c r="N411" i="37"/>
  <c r="O410" i="37"/>
  <c r="N410" i="37"/>
  <c r="O408" i="37"/>
  <c r="O118" i="37"/>
  <c r="O117" i="37"/>
  <c r="N118" i="37"/>
  <c r="N117" i="37"/>
  <c r="N120" i="37"/>
  <c r="N115" i="37"/>
  <c r="N112" i="37"/>
  <c r="O113" i="37"/>
  <c r="N109" i="37"/>
  <c r="O25" i="37"/>
  <c r="O22" i="37"/>
  <c r="N24" i="37"/>
  <c r="O26" i="37"/>
  <c r="N22" i="37"/>
  <c r="O112" i="37"/>
  <c r="O206" i="37"/>
  <c r="N208" i="37"/>
  <c r="N204" i="37"/>
  <c r="O33" i="37"/>
  <c r="N31" i="37"/>
  <c r="N32" i="37"/>
  <c r="N35" i="37"/>
  <c r="N34" i="37"/>
  <c r="O31" i="37"/>
  <c r="O32" i="37"/>
  <c r="O30" i="37"/>
  <c r="O260" i="37"/>
  <c r="O259" i="37"/>
  <c r="N257" i="37"/>
  <c r="N17" i="37"/>
  <c r="N119" i="37"/>
  <c r="N83" i="37"/>
  <c r="O110" i="37"/>
  <c r="N134" i="37"/>
  <c r="N202" i="37"/>
  <c r="N203" i="37"/>
  <c r="N128" i="37"/>
  <c r="N130" i="37"/>
  <c r="O128" i="37"/>
  <c r="N131" i="37"/>
  <c r="O130" i="37"/>
  <c r="O131" i="37"/>
  <c r="N189" i="37"/>
  <c r="O192" i="37"/>
  <c r="N191" i="37"/>
  <c r="O189" i="37"/>
  <c r="O193" i="37"/>
  <c r="N190" i="37"/>
  <c r="O190" i="37"/>
  <c r="O134" i="37"/>
  <c r="O105" i="37"/>
  <c r="N101" i="37"/>
  <c r="O102" i="37"/>
  <c r="N102" i="37"/>
  <c r="N46" i="37"/>
  <c r="O48" i="37"/>
  <c r="N49" i="37"/>
  <c r="N47" i="37"/>
  <c r="O147" i="37"/>
  <c r="O20" i="37"/>
  <c r="N21" i="37"/>
  <c r="O21" i="37"/>
  <c r="O18" i="37"/>
  <c r="N20" i="37"/>
  <c r="N19" i="37"/>
  <c r="N18" i="37"/>
  <c r="N406" i="37"/>
  <c r="N67" i="37"/>
  <c r="N70" i="37"/>
  <c r="O68" i="37"/>
  <c r="N65" i="37"/>
  <c r="N321" i="37"/>
  <c r="O321" i="37"/>
  <c r="N319" i="37"/>
  <c r="N324" i="37"/>
  <c r="O318" i="37"/>
  <c r="N320" i="37"/>
  <c r="O319" i="37"/>
  <c r="N114" i="37"/>
  <c r="O144" i="37"/>
  <c r="O145" i="37"/>
  <c r="O143" i="37"/>
  <c r="O313" i="37"/>
  <c r="N313" i="37"/>
  <c r="N312" i="37"/>
  <c r="O314" i="37"/>
  <c r="N311" i="37"/>
  <c r="N384" i="37"/>
  <c r="O382" i="37"/>
  <c r="O384" i="37"/>
  <c r="N382" i="37"/>
  <c r="N383" i="37"/>
  <c r="N57" i="37"/>
  <c r="N316" i="37"/>
  <c r="O338" i="37"/>
  <c r="N71" i="37"/>
  <c r="N149" i="37"/>
  <c r="N338" i="37"/>
  <c r="N54" i="37"/>
  <c r="N387" i="37"/>
  <c r="O389" i="37"/>
  <c r="N389" i="37"/>
  <c r="N354" i="37"/>
  <c r="O356" i="37"/>
  <c r="O355" i="37"/>
  <c r="N359" i="37"/>
  <c r="N358" i="37"/>
  <c r="O358" i="37"/>
  <c r="N260" i="37"/>
  <c r="O262" i="37"/>
  <c r="N403" i="37"/>
  <c r="O404" i="37"/>
  <c r="O405" i="37"/>
  <c r="O337" i="37"/>
  <c r="O336" i="37"/>
  <c r="N340" i="37"/>
  <c r="O334" i="37"/>
  <c r="N337" i="37"/>
  <c r="N336" i="37"/>
  <c r="N339" i="37"/>
  <c r="N263" i="37"/>
  <c r="O264" i="37"/>
  <c r="O265" i="37"/>
  <c r="O211" i="37"/>
  <c r="N217" i="37"/>
  <c r="O213" i="37"/>
  <c r="O215" i="37"/>
  <c r="N215" i="37"/>
  <c r="O366" i="37"/>
  <c r="N369" i="37"/>
  <c r="O362" i="37"/>
  <c r="O363" i="37"/>
  <c r="N366" i="37"/>
  <c r="O284" i="37"/>
  <c r="O281" i="37"/>
  <c r="N285" i="37"/>
  <c r="N246" i="37"/>
  <c r="O250" i="37"/>
  <c r="N248" i="37"/>
  <c r="O246" i="37"/>
  <c r="O247" i="37"/>
  <c r="N249" i="37"/>
  <c r="N247" i="37"/>
  <c r="N253" i="37"/>
  <c r="O249" i="37"/>
  <c r="O290" i="37"/>
  <c r="N289" i="37"/>
  <c r="N287" i="37"/>
  <c r="O289" i="37"/>
  <c r="N288" i="37"/>
  <c r="N291" i="37"/>
  <c r="N196" i="37"/>
  <c r="O198" i="37"/>
  <c r="N194" i="37"/>
  <c r="O194" i="37"/>
  <c r="N195" i="37"/>
  <c r="N113" i="37"/>
  <c r="N380" i="37"/>
  <c r="N378" i="37"/>
  <c r="O380" i="37"/>
  <c r="O377" i="37"/>
  <c r="O381" i="37"/>
  <c r="O378" i="37"/>
  <c r="N33" i="37"/>
  <c r="N402" i="37"/>
  <c r="N26" i="37"/>
  <c r="O70" i="37"/>
  <c r="N69" i="37"/>
  <c r="O82" i="37"/>
  <c r="N82" i="37"/>
  <c r="N80" i="37"/>
  <c r="O83" i="37"/>
  <c r="N85" i="37"/>
  <c r="O81" i="37"/>
  <c r="N147" i="37"/>
  <c r="N151" i="37"/>
  <c r="O148" i="37"/>
  <c r="O114" i="37"/>
  <c r="O400" i="37"/>
  <c r="N27" i="37"/>
  <c r="O179" i="37"/>
  <c r="N182" i="37"/>
  <c r="N180" i="37"/>
  <c r="O142" i="37"/>
  <c r="O79" i="37"/>
  <c r="N209" i="37"/>
  <c r="O17" i="37"/>
  <c r="N141" i="37"/>
  <c r="N29" i="37"/>
  <c r="O141" i="37"/>
  <c r="N25" i="37"/>
  <c r="O399" i="37"/>
  <c r="O181" i="37"/>
  <c r="N205" i="37"/>
  <c r="N148" i="37"/>
  <c r="N28" i="37"/>
  <c r="N132" i="37"/>
  <c r="O310" i="37"/>
  <c r="N259" i="37"/>
  <c r="N81" i="37"/>
  <c r="O69" i="37"/>
  <c r="O44" i="37"/>
  <c r="N306" i="37"/>
  <c r="N390" i="37"/>
  <c r="N401" i="37"/>
  <c r="N262" i="37"/>
  <c r="O176" i="37"/>
  <c r="N94" i="37"/>
  <c r="N179" i="37"/>
  <c r="O84" i="37"/>
  <c r="N95" i="37"/>
  <c r="N290" i="37"/>
  <c r="N218" i="37"/>
  <c r="O221" i="37"/>
  <c r="N225" i="37"/>
  <c r="N224" i="37"/>
  <c r="O372" i="37"/>
  <c r="O374" i="37"/>
  <c r="N314" i="37"/>
  <c r="N258" i="37"/>
  <c r="N325" i="37"/>
  <c r="O327" i="37"/>
  <c r="O325" i="37"/>
  <c r="O332" i="37"/>
  <c r="O333" i="37"/>
  <c r="O139" i="37"/>
  <c r="O111" i="37"/>
  <c r="N60" i="37"/>
  <c r="O60" i="37"/>
  <c r="O59" i="37"/>
  <c r="N237" i="37"/>
  <c r="N239" i="37"/>
  <c r="N143" i="37"/>
  <c r="O19" i="37"/>
  <c r="N307" i="37"/>
  <c r="N407" i="37"/>
  <c r="O407" i="37"/>
  <c r="O406" i="37"/>
  <c r="O157" i="37"/>
  <c r="N156" i="37"/>
  <c r="O155" i="37"/>
  <c r="N368" i="37"/>
  <c r="N97" i="37"/>
  <c r="N335" i="37"/>
  <c r="N294" i="37"/>
  <c r="O295" i="37"/>
  <c r="O293" i="37"/>
  <c r="O209" i="37"/>
  <c r="O156" i="37"/>
  <c r="N90" i="37"/>
  <c r="N154" i="37"/>
  <c r="N405" i="37"/>
  <c r="N413" i="37"/>
  <c r="N346" i="37"/>
  <c r="O347" i="37"/>
  <c r="N345" i="37"/>
  <c r="N348" i="37"/>
  <c r="N280" i="37"/>
  <c r="O282" i="37"/>
  <c r="N231" i="37"/>
  <c r="N232" i="37"/>
  <c r="N51" i="37"/>
  <c r="O409" i="37"/>
  <c r="N304" i="37"/>
  <c r="O306" i="37"/>
  <c r="N206" i="37"/>
  <c r="N100" i="37"/>
  <c r="O103" i="37"/>
  <c r="O100" i="37"/>
  <c r="O214" i="37"/>
  <c r="N213" i="37"/>
  <c r="N36" i="37"/>
  <c r="O35" i="37"/>
  <c r="N136" i="37"/>
  <c r="N176" i="37"/>
  <c r="O115" i="37"/>
  <c r="N323" i="37"/>
  <c r="N327" i="37"/>
  <c r="O324" i="37"/>
  <c r="N121" i="37"/>
  <c r="O121" i="37"/>
  <c r="O301" i="37"/>
  <c r="O299" i="37"/>
  <c r="N299" i="37"/>
  <c r="O164" i="37"/>
  <c r="O169" i="37"/>
  <c r="O172" i="37"/>
  <c r="N272" i="37"/>
  <c r="N274" i="37"/>
  <c r="N273" i="37"/>
  <c r="N271" i="37"/>
  <c r="N268" i="37"/>
  <c r="O268" i="37"/>
  <c r="O403" i="37"/>
  <c r="N256" i="37"/>
  <c r="O218" i="37"/>
  <c r="N416" i="37"/>
  <c r="N265" i="37"/>
  <c r="N353" i="37"/>
  <c r="N322" i="37"/>
  <c r="O149" i="37"/>
  <c r="N50" i="37"/>
  <c r="N165" i="37"/>
  <c r="O174" i="37"/>
  <c r="N331" i="37"/>
  <c r="O90" i="37"/>
  <c r="O393" i="37"/>
  <c r="N281" i="37"/>
  <c r="N250" i="37"/>
  <c r="O52" i="37"/>
  <c r="O326" i="37"/>
  <c r="O232" i="37"/>
  <c r="N138" i="37"/>
  <c r="N110" i="37"/>
  <c r="O61" i="37"/>
  <c r="O395" i="37"/>
  <c r="N230" i="37"/>
  <c r="O178" i="37"/>
  <c r="N375" i="37"/>
  <c r="N342" i="37"/>
  <c r="N341" i="37"/>
  <c r="O394" i="37"/>
  <c r="N392" i="37"/>
  <c r="N255" i="37"/>
  <c r="N254" i="37"/>
  <c r="N183" i="37"/>
  <c r="O126" i="37"/>
  <c r="N124" i="37"/>
  <c r="N126" i="37"/>
  <c r="N77" i="37"/>
  <c r="N44" i="37"/>
  <c r="O397" i="37"/>
  <c r="O261" i="37"/>
  <c r="N178" i="37"/>
  <c r="N72" i="37"/>
  <c r="N68" i="37"/>
  <c r="O197" i="37"/>
  <c r="O195" i="37"/>
  <c r="N315" i="37"/>
  <c r="N74" i="37"/>
  <c r="O73" i="37"/>
  <c r="O75" i="37"/>
  <c r="N297" i="37"/>
  <c r="O53" i="37"/>
  <c r="N417" i="37"/>
  <c r="N93" i="37"/>
  <c r="N152" i="37"/>
  <c r="N89" i="37"/>
  <c r="O177" i="37"/>
  <c r="N391" i="37"/>
  <c r="N84" i="37"/>
  <c r="N87" i="37"/>
  <c r="N198" i="37"/>
  <c r="O253" i="37"/>
  <c r="O252" i="37"/>
  <c r="N160" i="37"/>
  <c r="N162" i="37"/>
  <c r="N61" i="37"/>
  <c r="O351" i="37"/>
  <c r="N350" i="37"/>
  <c r="O133" i="37"/>
  <c r="O186" i="37"/>
  <c r="O188" i="37"/>
  <c r="N184" i="37"/>
  <c r="N186" i="37"/>
  <c r="N98" i="37"/>
  <c r="O285" i="37"/>
  <c r="N96" i="37"/>
  <c r="O104" i="37"/>
  <c r="N103" i="37"/>
  <c r="O329" i="37"/>
  <c r="Q1" i="28" l="1"/>
  <c r="P4" i="28"/>
  <c r="P5" i="28"/>
  <c r="P6" i="28"/>
  <c r="P7" i="28"/>
  <c r="P8" i="28"/>
  <c r="P9" i="28"/>
  <c r="P10" i="28"/>
  <c r="P11" i="28"/>
  <c r="P12" i="28"/>
  <c r="P13" i="28"/>
  <c r="P14" i="28"/>
  <c r="P15" i="28"/>
  <c r="P16" i="28"/>
  <c r="P17" i="28"/>
  <c r="P18" i="28"/>
  <c r="P19" i="28"/>
  <c r="P20" i="28"/>
  <c r="P21" i="28"/>
  <c r="P22" i="28"/>
  <c r="P23" i="28"/>
  <c r="P24" i="28"/>
  <c r="P25" i="28"/>
  <c r="P26" i="28"/>
  <c r="P27" i="28"/>
  <c r="P28" i="28"/>
  <c r="P29" i="28"/>
  <c r="P30" i="28"/>
  <c r="P31" i="28"/>
  <c r="P32" i="28"/>
  <c r="P33" i="28"/>
  <c r="P34" i="28"/>
  <c r="P35" i="28"/>
  <c r="P36" i="28"/>
  <c r="P37" i="28"/>
  <c r="P38" i="28"/>
  <c r="P39" i="28"/>
  <c r="P40" i="28"/>
  <c r="P41" i="28"/>
  <c r="P42" i="28"/>
  <c r="P43" i="28"/>
  <c r="P44" i="28"/>
  <c r="P45" i="28"/>
  <c r="P46" i="28"/>
  <c r="P47" i="28"/>
  <c r="P48" i="28"/>
  <c r="P49" i="28"/>
  <c r="P50" i="28"/>
  <c r="P51" i="28"/>
  <c r="P52" i="28"/>
  <c r="P53" i="28"/>
  <c r="P54" i="28"/>
  <c r="P55" i="28"/>
  <c r="P56" i="28"/>
  <c r="P57" i="28"/>
  <c r="P58" i="28"/>
  <c r="P59" i="28"/>
  <c r="P60" i="28"/>
  <c r="P61" i="28"/>
  <c r="P62" i="28"/>
  <c r="P63" i="28"/>
  <c r="P64" i="28"/>
  <c r="P65" i="28"/>
  <c r="P66" i="28"/>
  <c r="P67" i="28"/>
  <c r="P68" i="28"/>
  <c r="P69" i="28"/>
  <c r="P70" i="28"/>
  <c r="P71" i="28"/>
  <c r="P72" i="28"/>
  <c r="P73" i="28"/>
  <c r="P74" i="28"/>
  <c r="P75" i="28"/>
  <c r="P76" i="28"/>
  <c r="P77" i="28"/>
  <c r="P78" i="28"/>
  <c r="P79" i="28"/>
  <c r="P80" i="28"/>
  <c r="P81" i="28"/>
  <c r="P82" i="28"/>
  <c r="P83" i="28"/>
  <c r="P84" i="28"/>
  <c r="P85" i="28"/>
  <c r="P86" i="28"/>
  <c r="P87" i="28"/>
  <c r="P88" i="28"/>
  <c r="P89" i="28"/>
  <c r="P90" i="28"/>
  <c r="P91" i="28"/>
  <c r="P92" i="28"/>
  <c r="P93" i="28"/>
  <c r="P94" i="28"/>
  <c r="P95" i="28"/>
  <c r="P96" i="28"/>
  <c r="P97" i="28"/>
  <c r="P98" i="28"/>
  <c r="P99" i="28"/>
  <c r="P100" i="28"/>
  <c r="P101" i="28"/>
  <c r="P102" i="28"/>
  <c r="P103" i="28"/>
  <c r="P104" i="28"/>
  <c r="P3" i="28"/>
  <c r="I404" i="28"/>
  <c r="J404" i="28" s="1"/>
  <c r="H404" i="28"/>
  <c r="F352" i="28" l="1"/>
  <c r="G352" i="28" s="1"/>
  <c r="F353" i="28"/>
  <c r="G353" i="28" s="1"/>
  <c r="F354" i="28"/>
  <c r="G354" i="28" s="1"/>
  <c r="F355" i="28"/>
  <c r="G355" i="28" s="1"/>
  <c r="F356" i="28"/>
  <c r="G356" i="28" s="1"/>
  <c r="F357" i="28"/>
  <c r="G357" i="28" s="1"/>
  <c r="F358" i="28"/>
  <c r="G358" i="28" s="1"/>
  <c r="F359" i="28"/>
  <c r="G359" i="28" s="1"/>
  <c r="F360" i="28"/>
  <c r="G360" i="28" s="1"/>
  <c r="F361" i="28"/>
  <c r="G361" i="28" s="1"/>
  <c r="F362" i="28"/>
  <c r="G362" i="28" s="1"/>
  <c r="F363" i="28"/>
  <c r="G363" i="28" s="1"/>
  <c r="F364" i="28"/>
  <c r="G364" i="28" s="1"/>
  <c r="F365" i="28"/>
  <c r="G365" i="28" s="1"/>
  <c r="F366" i="28"/>
  <c r="G366" i="28" s="1"/>
  <c r="F367" i="28"/>
  <c r="G367" i="28" s="1"/>
  <c r="F368" i="28"/>
  <c r="G368" i="28" s="1"/>
  <c r="F369" i="28"/>
  <c r="G369" i="28" s="1"/>
  <c r="F370" i="28"/>
  <c r="G370" i="28" s="1"/>
  <c r="F371" i="28"/>
  <c r="G371" i="28" s="1"/>
  <c r="F372" i="28"/>
  <c r="G372" i="28" s="1"/>
  <c r="F373" i="28"/>
  <c r="G373" i="28" s="1"/>
  <c r="F374" i="28"/>
  <c r="G374" i="28" s="1"/>
  <c r="F375" i="28"/>
  <c r="G375" i="28" s="1"/>
  <c r="F376" i="28"/>
  <c r="G376" i="28" s="1"/>
  <c r="F377" i="28"/>
  <c r="G377" i="28" s="1"/>
  <c r="F378" i="28"/>
  <c r="G378" i="28" s="1"/>
  <c r="F379" i="28"/>
  <c r="G379" i="28" s="1"/>
  <c r="F380" i="28"/>
  <c r="G380" i="28" s="1"/>
  <c r="F381" i="28"/>
  <c r="G381" i="28" s="1"/>
  <c r="F382" i="28"/>
  <c r="G382" i="28" s="1"/>
  <c r="F383" i="28"/>
  <c r="G383" i="28" s="1"/>
  <c r="F384" i="28"/>
  <c r="G384" i="28" s="1"/>
  <c r="F385" i="28"/>
  <c r="G385" i="28" s="1"/>
  <c r="F386" i="28"/>
  <c r="G386" i="28" s="1"/>
  <c r="F387" i="28"/>
  <c r="G387" i="28" s="1"/>
  <c r="F388" i="28"/>
  <c r="G388" i="28" s="1"/>
  <c r="F389" i="28"/>
  <c r="G389" i="28" s="1"/>
  <c r="F390" i="28"/>
  <c r="G390" i="28" s="1"/>
  <c r="F391" i="28"/>
  <c r="G391" i="28" s="1"/>
  <c r="F392" i="28"/>
  <c r="G392" i="28" s="1"/>
  <c r="F393" i="28"/>
  <c r="G393" i="28" s="1"/>
  <c r="F394" i="28"/>
  <c r="G394" i="28" s="1"/>
  <c r="F395" i="28"/>
  <c r="G395" i="28" s="1"/>
  <c r="F396" i="28"/>
  <c r="G396" i="28" s="1"/>
  <c r="F397" i="28"/>
  <c r="G397" i="28" s="1"/>
  <c r="F398" i="28"/>
  <c r="G398" i="28" s="1"/>
  <c r="F399" i="28"/>
  <c r="G399" i="28" s="1"/>
  <c r="F400" i="28"/>
  <c r="G400" i="28" s="1"/>
  <c r="F401" i="28"/>
  <c r="G401" i="28" s="1"/>
  <c r="F402" i="28"/>
  <c r="G402" i="28" s="1"/>
  <c r="F403" i="28"/>
  <c r="G403" i="28" s="1"/>
  <c r="F404" i="28"/>
  <c r="F112" i="28"/>
  <c r="G112" i="28" s="1"/>
  <c r="F114" i="28"/>
  <c r="G114" i="28" s="1"/>
  <c r="F115" i="28"/>
  <c r="G115" i="28" s="1"/>
  <c r="F120" i="28"/>
  <c r="G120" i="28" s="1"/>
  <c r="F125" i="28"/>
  <c r="G125" i="28" s="1"/>
  <c r="F127" i="28"/>
  <c r="G127" i="28" s="1"/>
  <c r="F129" i="28"/>
  <c r="G129" i="28" s="1"/>
  <c r="F137" i="28"/>
  <c r="G137" i="28" s="1"/>
  <c r="F143" i="28"/>
  <c r="G143" i="28" s="1"/>
  <c r="F144" i="28"/>
  <c r="G144" i="28" s="1"/>
  <c r="F145" i="28"/>
  <c r="G145" i="28" s="1"/>
  <c r="F149" i="28"/>
  <c r="G149" i="28" s="1"/>
  <c r="F152" i="28"/>
  <c r="G152" i="28" s="1"/>
  <c r="F155" i="28"/>
  <c r="G155" i="28" s="1"/>
  <c r="F156" i="28"/>
  <c r="G156" i="28" s="1"/>
  <c r="F159" i="28"/>
  <c r="G159" i="28" s="1"/>
  <c r="F162" i="28"/>
  <c r="G162" i="28" s="1"/>
  <c r="F165" i="28"/>
  <c r="G165" i="28" s="1"/>
  <c r="F167" i="28"/>
  <c r="G167" i="28" s="1"/>
  <c r="F168" i="28"/>
  <c r="G168" i="28" s="1"/>
  <c r="F169" i="28"/>
  <c r="G169" i="28" s="1"/>
  <c r="F176" i="28"/>
  <c r="G176" i="28" s="1"/>
  <c r="F183" i="28"/>
  <c r="G183" i="28" s="1"/>
  <c r="F191" i="28"/>
  <c r="G191" i="28" s="1"/>
  <c r="F192" i="28"/>
  <c r="G192" i="28" s="1"/>
  <c r="F194" i="28"/>
  <c r="G194" i="28" s="1"/>
  <c r="F199" i="28"/>
  <c r="G199" i="28" s="1"/>
  <c r="F205" i="28"/>
  <c r="G205" i="28" s="1"/>
  <c r="F210" i="28"/>
  <c r="G210" i="28" s="1"/>
  <c r="F214" i="28"/>
  <c r="G214" i="28" s="1"/>
  <c r="F221" i="28"/>
  <c r="G221" i="28" s="1"/>
  <c r="F229" i="28"/>
  <c r="G229" i="28" s="1"/>
  <c r="F230" i="28"/>
  <c r="G230" i="28" s="1"/>
  <c r="F231" i="28"/>
  <c r="G231" i="28" s="1"/>
  <c r="F236" i="28"/>
  <c r="G236" i="28" s="1"/>
  <c r="F238" i="28"/>
  <c r="G238" i="28" s="1"/>
  <c r="F240" i="28"/>
  <c r="G240" i="28" s="1"/>
  <c r="F242" i="28"/>
  <c r="G242" i="28" s="1"/>
  <c r="F245" i="28"/>
  <c r="G245" i="28" s="1"/>
  <c r="F247" i="28"/>
  <c r="G247" i="28" s="1"/>
  <c r="F248" i="28"/>
  <c r="G248" i="28" s="1"/>
  <c r="F251" i="28"/>
  <c r="G251" i="28" s="1"/>
  <c r="F252" i="28"/>
  <c r="G252" i="28" s="1"/>
  <c r="F253" i="28"/>
  <c r="G253" i="28" s="1"/>
  <c r="F261" i="28"/>
  <c r="G261" i="28" s="1"/>
  <c r="F263" i="28"/>
  <c r="G263" i="28" s="1"/>
  <c r="F267" i="28"/>
  <c r="G267" i="28" s="1"/>
  <c r="F270" i="28"/>
  <c r="G270" i="28" s="1"/>
  <c r="F274" i="28"/>
  <c r="G274" i="28" s="1"/>
  <c r="F278" i="28"/>
  <c r="G278" i="28" s="1"/>
  <c r="F279" i="28"/>
  <c r="G279" i="28" s="1"/>
  <c r="F281" i="28"/>
  <c r="G281" i="28" s="1"/>
  <c r="F282" i="28"/>
  <c r="G282" i="28" s="1"/>
  <c r="F287" i="28"/>
  <c r="G287" i="28" s="1"/>
  <c r="F289" i="28"/>
  <c r="G289" i="28" s="1"/>
  <c r="F290" i="28"/>
  <c r="G290" i="28" s="1"/>
  <c r="F291" i="28"/>
  <c r="G291" i="28" s="1"/>
  <c r="F295" i="28"/>
  <c r="G295" i="28" s="1"/>
  <c r="F296" i="28"/>
  <c r="G296" i="28" s="1"/>
  <c r="F297" i="28"/>
  <c r="G297" i="28" s="1"/>
  <c r="F298" i="28"/>
  <c r="G298" i="28" s="1"/>
  <c r="F299" i="28"/>
  <c r="G299" i="28" s="1"/>
  <c r="F300" i="28"/>
  <c r="G300" i="28" s="1"/>
  <c r="F301" i="28"/>
  <c r="G301" i="28" s="1"/>
  <c r="F302" i="28"/>
  <c r="G302" i="28" s="1"/>
  <c r="F303" i="28"/>
  <c r="G303" i="28" s="1"/>
  <c r="F304" i="28"/>
  <c r="G304" i="28" s="1"/>
  <c r="F305" i="28"/>
  <c r="G305" i="28" s="1"/>
  <c r="F306" i="28"/>
  <c r="G306" i="28" s="1"/>
  <c r="F307" i="28"/>
  <c r="G307" i="28" s="1"/>
  <c r="F308" i="28"/>
  <c r="G308" i="28" s="1"/>
  <c r="F309" i="28"/>
  <c r="G309" i="28" s="1"/>
  <c r="F310" i="28"/>
  <c r="G310" i="28" s="1"/>
  <c r="F311" i="28"/>
  <c r="G311" i="28" s="1"/>
  <c r="F312" i="28"/>
  <c r="G312" i="28" s="1"/>
  <c r="F313" i="28"/>
  <c r="G313" i="28" s="1"/>
  <c r="F314" i="28"/>
  <c r="G314" i="28" s="1"/>
  <c r="F315" i="28"/>
  <c r="G315" i="28" s="1"/>
  <c r="F316" i="28"/>
  <c r="G316" i="28" s="1"/>
  <c r="F317" i="28"/>
  <c r="G317" i="28" s="1"/>
  <c r="F318" i="28"/>
  <c r="G318" i="28" s="1"/>
  <c r="F319" i="28"/>
  <c r="G319" i="28" s="1"/>
  <c r="F320" i="28"/>
  <c r="G320" i="28" s="1"/>
  <c r="F321" i="28"/>
  <c r="G321" i="28" s="1"/>
  <c r="F322" i="28"/>
  <c r="G322" i="28" s="1"/>
  <c r="F323" i="28"/>
  <c r="G323" i="28" s="1"/>
  <c r="F324" i="28"/>
  <c r="G324" i="28" s="1"/>
  <c r="F325" i="28"/>
  <c r="G325" i="28" s="1"/>
  <c r="F326" i="28"/>
  <c r="G326" i="28" s="1"/>
  <c r="F327" i="28"/>
  <c r="G327" i="28" s="1"/>
  <c r="F328" i="28"/>
  <c r="G328" i="28" s="1"/>
  <c r="F329" i="28"/>
  <c r="G329" i="28" s="1"/>
  <c r="F330" i="28"/>
  <c r="G330" i="28" s="1"/>
  <c r="F331" i="28"/>
  <c r="G331" i="28" s="1"/>
  <c r="F332" i="28"/>
  <c r="G332" i="28" s="1"/>
  <c r="F333" i="28"/>
  <c r="G333" i="28" s="1"/>
  <c r="F334" i="28"/>
  <c r="G334" i="28" s="1"/>
  <c r="F335" i="28"/>
  <c r="G335" i="28" s="1"/>
  <c r="F336" i="28"/>
  <c r="G336" i="28" s="1"/>
  <c r="F337" i="28"/>
  <c r="G337" i="28" s="1"/>
  <c r="F338" i="28"/>
  <c r="G338" i="28" s="1"/>
  <c r="F339" i="28"/>
  <c r="G339" i="28" s="1"/>
  <c r="F340" i="28"/>
  <c r="G340" i="28" s="1"/>
  <c r="F341" i="28"/>
  <c r="G341" i="28" s="1"/>
  <c r="F342" i="28"/>
  <c r="G342" i="28" s="1"/>
  <c r="F343" i="28"/>
  <c r="G343" i="28" s="1"/>
  <c r="F344" i="28"/>
  <c r="G344" i="28" s="1"/>
  <c r="F345" i="28"/>
  <c r="G345" i="28" s="1"/>
  <c r="F346" i="28"/>
  <c r="G346" i="28" s="1"/>
  <c r="F347" i="28"/>
  <c r="G347" i="28" s="1"/>
  <c r="F348" i="28"/>
  <c r="G348" i="28" s="1"/>
  <c r="F349" i="28"/>
  <c r="G349" i="28" s="1"/>
  <c r="F350" i="28"/>
  <c r="G350" i="28" s="1"/>
  <c r="F351" i="28"/>
  <c r="G351" i="28" s="1"/>
  <c r="F128" i="28"/>
  <c r="G128" i="28" s="1"/>
  <c r="H300" i="28" l="1"/>
  <c r="I300" i="28" s="1"/>
  <c r="J300" i="28" s="1"/>
  <c r="H156" i="28"/>
  <c r="I156" i="28" s="1"/>
  <c r="J156" i="28" s="1"/>
  <c r="H396" i="28"/>
  <c r="I396" i="28" s="1"/>
  <c r="J396" i="28" s="1"/>
  <c r="H359" i="28"/>
  <c r="I359" i="28" s="1"/>
  <c r="J359" i="28" s="1"/>
  <c r="H347" i="28"/>
  <c r="I347" i="28" s="1"/>
  <c r="J347" i="28" s="1"/>
  <c r="H315" i="28"/>
  <c r="I315" i="28" s="1"/>
  <c r="J315" i="28" s="1"/>
  <c r="H137" i="28"/>
  <c r="I137" i="28" s="1"/>
  <c r="J137" i="28" s="1"/>
  <c r="H380" i="28"/>
  <c r="I380" i="28" s="1"/>
  <c r="J380" i="28" s="1"/>
  <c r="H364" i="28"/>
  <c r="I364" i="28" s="1"/>
  <c r="J364" i="28" s="1"/>
  <c r="H344" i="28"/>
  <c r="I344" i="28" s="1"/>
  <c r="J344" i="28" s="1"/>
  <c r="H302" i="28"/>
  <c r="I302" i="28" s="1"/>
  <c r="J302" i="28" s="1"/>
  <c r="H238" i="28"/>
  <c r="I238" i="28" s="1"/>
  <c r="J238" i="28" s="1"/>
  <c r="H398" i="28"/>
  <c r="I398" i="28" s="1"/>
  <c r="J398" i="28" s="1"/>
  <c r="H385" i="28"/>
  <c r="I385" i="28" s="1"/>
  <c r="J385" i="28" s="1"/>
  <c r="H353" i="28"/>
  <c r="I353" i="28" s="1"/>
  <c r="J353" i="28" s="1"/>
  <c r="H349" i="28"/>
  <c r="I349" i="28" s="1"/>
  <c r="J349" i="28" s="1"/>
  <c r="H341" i="28"/>
  <c r="I341" i="28" s="1"/>
  <c r="J341" i="28" s="1"/>
  <c r="H333" i="28"/>
  <c r="I333" i="28" s="1"/>
  <c r="J333" i="28" s="1"/>
  <c r="H325" i="28"/>
  <c r="I325" i="28" s="1"/>
  <c r="J325" i="28" s="1"/>
  <c r="H317" i="28"/>
  <c r="I317" i="28" s="1"/>
  <c r="J317" i="28" s="1"/>
  <c r="H309" i="28"/>
  <c r="I309" i="28" s="1"/>
  <c r="J309" i="28" s="1"/>
  <c r="H304" i="28"/>
  <c r="I304" i="28" s="1"/>
  <c r="J304" i="28" s="1"/>
  <c r="H299" i="28"/>
  <c r="I299" i="28" s="1"/>
  <c r="J299" i="28" s="1"/>
  <c r="H291" i="28"/>
  <c r="I291" i="28" s="1"/>
  <c r="J291" i="28" s="1"/>
  <c r="H267" i="28"/>
  <c r="I267" i="28" s="1"/>
  <c r="J267" i="28" s="1"/>
  <c r="H251" i="28"/>
  <c r="I251" i="28" s="1"/>
  <c r="J251" i="28" s="1"/>
  <c r="H155" i="28"/>
  <c r="I155" i="28" s="1"/>
  <c r="J155" i="28" s="1"/>
  <c r="H115" i="28"/>
  <c r="I115" i="28" s="1"/>
  <c r="J115" i="28" s="1"/>
  <c r="H400" i="28"/>
  <c r="I400" i="28" s="1"/>
  <c r="J400" i="28" s="1"/>
  <c r="H395" i="28"/>
  <c r="I395" i="28" s="1"/>
  <c r="J395" i="28" s="1"/>
  <c r="H390" i="28"/>
  <c r="I390" i="28" s="1"/>
  <c r="J390" i="28" s="1"/>
  <c r="H382" i="28"/>
  <c r="I382" i="28" s="1"/>
  <c r="J382" i="28" s="1"/>
  <c r="H374" i="28"/>
  <c r="I374" i="28" s="1"/>
  <c r="J374" i="28" s="1"/>
  <c r="H366" i="28"/>
  <c r="I366" i="28" s="1"/>
  <c r="J366" i="28" s="1"/>
  <c r="H358" i="28"/>
  <c r="I358" i="28" s="1"/>
  <c r="J358" i="28" s="1"/>
  <c r="H346" i="28"/>
  <c r="I346" i="28" s="1"/>
  <c r="J346" i="28" s="1"/>
  <c r="H338" i="28"/>
  <c r="I338" i="28" s="1"/>
  <c r="J338" i="28" s="1"/>
  <c r="H330" i="28"/>
  <c r="I330" i="28" s="1"/>
  <c r="J330" i="28" s="1"/>
  <c r="H322" i="28"/>
  <c r="I322" i="28" s="1"/>
  <c r="J322" i="28" s="1"/>
  <c r="H314" i="28"/>
  <c r="I314" i="28" s="1"/>
  <c r="J314" i="28" s="1"/>
  <c r="H296" i="28"/>
  <c r="I296" i="28" s="1"/>
  <c r="J296" i="28" s="1"/>
  <c r="H248" i="28"/>
  <c r="I248" i="28" s="1"/>
  <c r="J248" i="28" s="1"/>
  <c r="H240" i="28"/>
  <c r="I240" i="28" s="1"/>
  <c r="J240" i="28" s="1"/>
  <c r="H192" i="28"/>
  <c r="I192" i="28" s="1"/>
  <c r="J192" i="28" s="1"/>
  <c r="H176" i="28"/>
  <c r="I176" i="28" s="1"/>
  <c r="J176" i="28" s="1"/>
  <c r="H168" i="28"/>
  <c r="I168" i="28" s="1"/>
  <c r="J168" i="28" s="1"/>
  <c r="H152" i="28"/>
  <c r="I152" i="28" s="1"/>
  <c r="J152" i="28" s="1"/>
  <c r="H144" i="28"/>
  <c r="I144" i="28" s="1"/>
  <c r="J144" i="28" s="1"/>
  <c r="H120" i="28"/>
  <c r="I120" i="28" s="1"/>
  <c r="J120" i="28" s="1"/>
  <c r="H112" i="28"/>
  <c r="I112" i="28" s="1"/>
  <c r="J112" i="28" s="1"/>
  <c r="H387" i="28"/>
  <c r="I387" i="28" s="1"/>
  <c r="J387" i="28" s="1"/>
  <c r="H379" i="28"/>
  <c r="I379" i="28" s="1"/>
  <c r="J379" i="28" s="1"/>
  <c r="H371" i="28"/>
  <c r="I371" i="28" s="1"/>
  <c r="J371" i="28" s="1"/>
  <c r="H363" i="28"/>
  <c r="I363" i="28" s="1"/>
  <c r="J363" i="28" s="1"/>
  <c r="H355" i="28"/>
  <c r="I355" i="28" s="1"/>
  <c r="J355" i="28" s="1"/>
  <c r="H326" i="28"/>
  <c r="I326" i="28" s="1"/>
  <c r="J326" i="28" s="1"/>
  <c r="H310" i="28"/>
  <c r="I310" i="28" s="1"/>
  <c r="J310" i="28" s="1"/>
  <c r="H391" i="28"/>
  <c r="I391" i="28" s="1"/>
  <c r="J391" i="28" s="1"/>
  <c r="H375" i="28"/>
  <c r="I375" i="28" s="1"/>
  <c r="J375" i="28" s="1"/>
  <c r="H323" i="28"/>
  <c r="I323" i="28" s="1"/>
  <c r="J323" i="28" s="1"/>
  <c r="H289" i="28"/>
  <c r="I289" i="28" s="1"/>
  <c r="J289" i="28" s="1"/>
  <c r="H169" i="28"/>
  <c r="I169" i="28" s="1"/>
  <c r="J169" i="28" s="1"/>
  <c r="H129" i="28"/>
  <c r="I129" i="28" s="1"/>
  <c r="J129" i="28" s="1"/>
  <c r="H356" i="28"/>
  <c r="I356" i="28" s="1"/>
  <c r="J356" i="28" s="1"/>
  <c r="H336" i="28"/>
  <c r="I336" i="28" s="1"/>
  <c r="J336" i="28" s="1"/>
  <c r="H320" i="28"/>
  <c r="I320" i="28" s="1"/>
  <c r="J320" i="28" s="1"/>
  <c r="H214" i="28"/>
  <c r="I214" i="28" s="1"/>
  <c r="J214" i="28" s="1"/>
  <c r="H403" i="28"/>
  <c r="I403" i="28" s="1"/>
  <c r="J403" i="28" s="1"/>
  <c r="H361" i="28"/>
  <c r="I361" i="28" s="1"/>
  <c r="J361" i="28" s="1"/>
  <c r="H351" i="28"/>
  <c r="I351" i="28" s="1"/>
  <c r="J351" i="28" s="1"/>
  <c r="H343" i="28"/>
  <c r="I343" i="28" s="1"/>
  <c r="J343" i="28" s="1"/>
  <c r="H335" i="28"/>
  <c r="I335" i="28" s="1"/>
  <c r="J335" i="28" s="1"/>
  <c r="H327" i="28"/>
  <c r="I327" i="28" s="1"/>
  <c r="J327" i="28" s="1"/>
  <c r="H319" i="28"/>
  <c r="I319" i="28" s="1"/>
  <c r="J319" i="28" s="1"/>
  <c r="H311" i="28"/>
  <c r="I311" i="28" s="1"/>
  <c r="J311" i="28" s="1"/>
  <c r="H306" i="28"/>
  <c r="I306" i="28" s="1"/>
  <c r="J306" i="28" s="1"/>
  <c r="H301" i="28"/>
  <c r="I301" i="28" s="1"/>
  <c r="J301" i="28" s="1"/>
  <c r="H261" i="28"/>
  <c r="I261" i="28" s="1"/>
  <c r="J261" i="28" s="1"/>
  <c r="H253" i="28"/>
  <c r="I253" i="28" s="1"/>
  <c r="J253" i="28" s="1"/>
  <c r="H245" i="28"/>
  <c r="I245" i="28" s="1"/>
  <c r="J245" i="28" s="1"/>
  <c r="H229" i="28"/>
  <c r="I229" i="28" s="1"/>
  <c r="J229" i="28" s="1"/>
  <c r="H221" i="28"/>
  <c r="I221" i="28" s="1"/>
  <c r="J221" i="28" s="1"/>
  <c r="H205" i="28"/>
  <c r="I205" i="28" s="1"/>
  <c r="J205" i="28" s="1"/>
  <c r="H165" i="28"/>
  <c r="I165" i="28" s="1"/>
  <c r="J165" i="28" s="1"/>
  <c r="H149" i="28"/>
  <c r="I149" i="28" s="1"/>
  <c r="J149" i="28" s="1"/>
  <c r="H125" i="28"/>
  <c r="I125" i="28" s="1"/>
  <c r="J125" i="28" s="1"/>
  <c r="H402" i="28"/>
  <c r="I402" i="28" s="1"/>
  <c r="J402" i="28" s="1"/>
  <c r="H397" i="28"/>
  <c r="I397" i="28" s="1"/>
  <c r="J397" i="28" s="1"/>
  <c r="H392" i="28"/>
  <c r="I392" i="28" s="1"/>
  <c r="J392" i="28" s="1"/>
  <c r="H384" i="28"/>
  <c r="I384" i="28" s="1"/>
  <c r="J384" i="28" s="1"/>
  <c r="H376" i="28"/>
  <c r="I376" i="28" s="1"/>
  <c r="J376" i="28" s="1"/>
  <c r="H368" i="28"/>
  <c r="I368" i="28" s="1"/>
  <c r="J368" i="28" s="1"/>
  <c r="H360" i="28"/>
  <c r="I360" i="28" s="1"/>
  <c r="J360" i="28" s="1"/>
  <c r="H352" i="28"/>
  <c r="I352" i="28" s="1"/>
  <c r="J352" i="28" s="1"/>
  <c r="H350" i="28"/>
  <c r="I350" i="28" s="1"/>
  <c r="J350" i="28" s="1"/>
  <c r="H334" i="28"/>
  <c r="I334" i="28" s="1"/>
  <c r="J334" i="28" s="1"/>
  <c r="H318" i="28"/>
  <c r="I318" i="28" s="1"/>
  <c r="J318" i="28" s="1"/>
  <c r="H236" i="28"/>
  <c r="I236" i="28" s="1"/>
  <c r="J236" i="28" s="1"/>
  <c r="H401" i="28"/>
  <c r="I401" i="28" s="1"/>
  <c r="J401" i="28" s="1"/>
  <c r="H367" i="28"/>
  <c r="I367" i="28" s="1"/>
  <c r="J367" i="28" s="1"/>
  <c r="H331" i="28"/>
  <c r="I331" i="28" s="1"/>
  <c r="J331" i="28" s="1"/>
  <c r="H297" i="28"/>
  <c r="I297" i="28" s="1"/>
  <c r="J297" i="28" s="1"/>
  <c r="H145" i="28"/>
  <c r="I145" i="28" s="1"/>
  <c r="J145" i="28" s="1"/>
  <c r="H388" i="28"/>
  <c r="I388" i="28" s="1"/>
  <c r="J388" i="28" s="1"/>
  <c r="H128" i="28"/>
  <c r="I128" i="28" s="1"/>
  <c r="J128" i="28" s="1"/>
  <c r="H312" i="28"/>
  <c r="I312" i="28" s="1"/>
  <c r="J312" i="28"/>
  <c r="H278" i="28"/>
  <c r="I278" i="28" s="1"/>
  <c r="J278" i="28" s="1"/>
  <c r="H369" i="28"/>
  <c r="I369" i="28" s="1"/>
  <c r="J369" i="28" s="1"/>
  <c r="H342" i="28"/>
  <c r="I342" i="28" s="1"/>
  <c r="J342" i="28" s="1"/>
  <c r="H305" i="28"/>
  <c r="I305" i="28" s="1"/>
  <c r="J305" i="28" s="1"/>
  <c r="H252" i="28"/>
  <c r="I252" i="28" s="1"/>
  <c r="J252" i="28" s="1"/>
  <c r="H383" i="28"/>
  <c r="I383" i="28" s="1"/>
  <c r="J383" i="28" s="1"/>
  <c r="H339" i="28"/>
  <c r="I339" i="28" s="1"/>
  <c r="J339" i="28" s="1"/>
  <c r="H281" i="28"/>
  <c r="I281" i="28" s="1"/>
  <c r="J281" i="28" s="1"/>
  <c r="H372" i="28"/>
  <c r="I372" i="28" s="1"/>
  <c r="J372" i="28" s="1"/>
  <c r="H328" i="28"/>
  <c r="I328" i="28" s="1"/>
  <c r="J328" i="28" s="1"/>
  <c r="H307" i="28"/>
  <c r="I307" i="28" s="1"/>
  <c r="J307" i="28" s="1"/>
  <c r="H270" i="28"/>
  <c r="I270" i="28" s="1"/>
  <c r="J270" i="28" s="1"/>
  <c r="H230" i="28"/>
  <c r="I230" i="28" s="1"/>
  <c r="J230" i="28" s="1"/>
  <c r="H393" i="28"/>
  <c r="I393" i="28" s="1"/>
  <c r="J393" i="28" s="1"/>
  <c r="H377" i="28"/>
  <c r="I377" i="28" s="1"/>
  <c r="J377" i="28" s="1"/>
  <c r="H348" i="28"/>
  <c r="I348" i="28" s="1"/>
  <c r="J348" i="28" s="1"/>
  <c r="H340" i="28"/>
  <c r="I340" i="28" s="1"/>
  <c r="J340" i="28" s="1"/>
  <c r="H332" i="28"/>
  <c r="I332" i="28" s="1"/>
  <c r="J332" i="28" s="1"/>
  <c r="H324" i="28"/>
  <c r="I324" i="28" s="1"/>
  <c r="J324" i="28" s="1"/>
  <c r="H316" i="28"/>
  <c r="I316" i="28" s="1"/>
  <c r="J316" i="28" s="1"/>
  <c r="H308" i="28"/>
  <c r="I308" i="28" s="1"/>
  <c r="J308" i="28" s="1"/>
  <c r="H303" i="28"/>
  <c r="I303" i="28" s="1"/>
  <c r="J303" i="28" s="1"/>
  <c r="H298" i="28"/>
  <c r="I298" i="28" s="1"/>
  <c r="J298" i="28" s="1"/>
  <c r="H290" i="28"/>
  <c r="I290" i="28" s="1"/>
  <c r="J290" i="28" s="1"/>
  <c r="H282" i="28"/>
  <c r="I282" i="28" s="1"/>
  <c r="J282" i="28" s="1"/>
  <c r="H274" i="28"/>
  <c r="I274" i="28" s="1"/>
  <c r="J274" i="28" s="1"/>
  <c r="H242" i="28"/>
  <c r="I242" i="28" s="1"/>
  <c r="J242" i="28" s="1"/>
  <c r="H210" i="28"/>
  <c r="I210" i="28" s="1"/>
  <c r="J210" i="28" s="1"/>
  <c r="H194" i="28"/>
  <c r="I194" i="28" s="1"/>
  <c r="J194" i="28" s="1"/>
  <c r="H162" i="28"/>
  <c r="I162" i="28" s="1"/>
  <c r="J162" i="28" s="1"/>
  <c r="H114" i="28"/>
  <c r="I114" i="28" s="1"/>
  <c r="J114" i="28" s="1"/>
  <c r="H389" i="28"/>
  <c r="I389" i="28" s="1"/>
  <c r="J389" i="28" s="1"/>
  <c r="H381" i="28"/>
  <c r="I381" i="28" s="1"/>
  <c r="J381" i="28" s="1"/>
  <c r="H373" i="28"/>
  <c r="I373" i="28" s="1"/>
  <c r="J373" i="28" s="1"/>
  <c r="H365" i="28"/>
  <c r="I365" i="28" s="1"/>
  <c r="J365" i="28" s="1"/>
  <c r="H357" i="28"/>
  <c r="I357" i="28" s="1"/>
  <c r="J357" i="28" s="1"/>
  <c r="H345" i="28"/>
  <c r="I345" i="28" s="1"/>
  <c r="J345" i="28" s="1"/>
  <c r="H337" i="28"/>
  <c r="I337" i="28" s="1"/>
  <c r="J337" i="28" s="1"/>
  <c r="H329" i="28"/>
  <c r="I329" i="28" s="1"/>
  <c r="J329" i="28" s="1"/>
  <c r="H321" i="28"/>
  <c r="I321" i="28" s="1"/>
  <c r="J321" i="28" s="1"/>
  <c r="H313" i="28"/>
  <c r="I313" i="28" s="1"/>
  <c r="J313" i="28" s="1"/>
  <c r="H295" i="28"/>
  <c r="I295" i="28" s="1"/>
  <c r="J295" i="28" s="1"/>
  <c r="H287" i="28"/>
  <c r="I287" i="28" s="1"/>
  <c r="J287" i="28" s="1"/>
  <c r="H279" i="28"/>
  <c r="I279" i="28" s="1"/>
  <c r="J279" i="28" s="1"/>
  <c r="H263" i="28"/>
  <c r="I263" i="28" s="1"/>
  <c r="J263" i="28" s="1"/>
  <c r="H247" i="28"/>
  <c r="I247" i="28" s="1"/>
  <c r="J247" i="28" s="1"/>
  <c r="H231" i="28"/>
  <c r="I231" i="28" s="1"/>
  <c r="J231" i="28" s="1"/>
  <c r="H199" i="28"/>
  <c r="I199" i="28" s="1"/>
  <c r="J199" i="28" s="1"/>
  <c r="H191" i="28"/>
  <c r="I191" i="28" s="1"/>
  <c r="J191" i="28" s="1"/>
  <c r="H183" i="28"/>
  <c r="I183" i="28" s="1"/>
  <c r="J183" i="28" s="1"/>
  <c r="H167" i="28"/>
  <c r="I167" i="28" s="1"/>
  <c r="J167" i="28" s="1"/>
  <c r="H159" i="28"/>
  <c r="I159" i="28" s="1"/>
  <c r="J159" i="28" s="1"/>
  <c r="H143" i="28"/>
  <c r="I143" i="28" s="1"/>
  <c r="J143" i="28" s="1"/>
  <c r="H127" i="28"/>
  <c r="I127" i="28" s="1"/>
  <c r="J127" i="28" s="1"/>
  <c r="H399" i="28"/>
  <c r="I399" i="28" s="1"/>
  <c r="J399" i="28" s="1"/>
  <c r="H394" i="28"/>
  <c r="I394" i="28" s="1"/>
  <c r="J394" i="28" s="1"/>
  <c r="H386" i="28"/>
  <c r="I386" i="28" s="1"/>
  <c r="J386" i="28" s="1"/>
  <c r="H378" i="28"/>
  <c r="I378" i="28" s="1"/>
  <c r="J378" i="28" s="1"/>
  <c r="H370" i="28"/>
  <c r="I370" i="28" s="1"/>
  <c r="J370" i="28" s="1"/>
  <c r="H362" i="28"/>
  <c r="I362" i="28" s="1"/>
  <c r="J362" i="28" s="1"/>
  <c r="H354" i="28"/>
  <c r="I354" i="28" s="1"/>
  <c r="J354" i="28" s="1"/>
  <c r="F258" i="28"/>
  <c r="G258" i="28" s="1"/>
  <c r="F193" i="28"/>
  <c r="G193" i="28" s="1"/>
  <c r="F160" i="28"/>
  <c r="G160" i="28" s="1"/>
  <c r="F266" i="28"/>
  <c r="G266" i="28" s="1"/>
  <c r="F173" i="28"/>
  <c r="G173" i="28" s="1"/>
  <c r="F151" i="28"/>
  <c r="G151" i="28" s="1"/>
  <c r="F175" i="28"/>
  <c r="G175" i="28" s="1"/>
  <c r="F233" i="28"/>
  <c r="G233" i="28" s="1"/>
  <c r="F202" i="28"/>
  <c r="G202" i="28" s="1"/>
  <c r="F170" i="28"/>
  <c r="G170" i="28" s="1"/>
  <c r="F226" i="28"/>
  <c r="G226" i="28" s="1"/>
  <c r="F135" i="28"/>
  <c r="G135" i="28" s="1"/>
  <c r="F213" i="28"/>
  <c r="G213" i="28" s="1"/>
  <c r="F153" i="28"/>
  <c r="G153" i="28" s="1"/>
  <c r="F284" i="28"/>
  <c r="G284" i="28" s="1"/>
  <c r="F187" i="28"/>
  <c r="G187" i="28" s="1"/>
  <c r="F228" i="28"/>
  <c r="G228" i="28" s="1"/>
  <c r="F140" i="28"/>
  <c r="G140" i="28" s="1"/>
  <c r="F218" i="28"/>
  <c r="G218" i="28" s="1"/>
  <c r="F181" i="28"/>
  <c r="G181" i="28" s="1"/>
  <c r="F186" i="28"/>
  <c r="G186" i="28" s="1"/>
  <c r="F163" i="28"/>
  <c r="G163" i="28" s="1"/>
  <c r="F273" i="28"/>
  <c r="G273" i="28" s="1"/>
  <c r="F217" i="28"/>
  <c r="G217" i="28" s="1"/>
  <c r="F131" i="28"/>
  <c r="G131" i="28" s="1"/>
  <c r="F257" i="28"/>
  <c r="G257" i="28" s="1"/>
  <c r="F197" i="28"/>
  <c r="G197" i="28" s="1"/>
  <c r="F249" i="28"/>
  <c r="G249" i="28" s="1"/>
  <c r="F292" i="28"/>
  <c r="G292" i="28" s="1"/>
  <c r="F189" i="28"/>
  <c r="G189" i="28" s="1"/>
  <c r="F122" i="28"/>
  <c r="G122" i="28" s="1"/>
  <c r="F116" i="28"/>
  <c r="G116" i="28" s="1"/>
  <c r="F283" i="28"/>
  <c r="G283" i="28" s="1"/>
  <c r="F117" i="28"/>
  <c r="G117" i="28" s="1"/>
  <c r="F286" i="28"/>
  <c r="G286" i="28" s="1"/>
  <c r="F220" i="28"/>
  <c r="G220" i="28" s="1"/>
  <c r="F234" i="28"/>
  <c r="G234" i="28" s="1"/>
  <c r="F212" i="28"/>
  <c r="G212" i="28" s="1"/>
  <c r="F146" i="28"/>
  <c r="G146" i="28" s="1"/>
  <c r="F136" i="28"/>
  <c r="G136" i="28" s="1"/>
  <c r="F121" i="28"/>
  <c r="G121" i="28" s="1"/>
  <c r="F204" i="28"/>
  <c r="G204" i="28" s="1"/>
  <c r="F277" i="28"/>
  <c r="G277" i="28" s="1"/>
  <c r="F250" i="28"/>
  <c r="G250" i="28" s="1"/>
  <c r="F179" i="28"/>
  <c r="G179" i="28" s="1"/>
  <c r="F157" i="28"/>
  <c r="G157" i="28" s="1"/>
  <c r="F239" i="28"/>
  <c r="G239" i="28" s="1"/>
  <c r="F123" i="28"/>
  <c r="G123" i="28" s="1"/>
  <c r="F113" i="28"/>
  <c r="G113" i="28" s="1"/>
  <c r="F208" i="28"/>
  <c r="G208" i="28" s="1"/>
  <c r="F141" i="28"/>
  <c r="G141" i="28" s="1"/>
  <c r="F265" i="28"/>
  <c r="G265" i="28" s="1"/>
  <c r="F184" i="28"/>
  <c r="G184" i="28" s="1"/>
  <c r="F293" i="28"/>
  <c r="G293" i="28" s="1"/>
  <c r="F271" i="28"/>
  <c r="G271" i="28" s="1"/>
  <c r="F255" i="28"/>
  <c r="G255" i="28" s="1"/>
  <c r="F200" i="28"/>
  <c r="G200" i="28" s="1"/>
  <c r="F133" i="28"/>
  <c r="G133" i="28" s="1"/>
  <c r="F119" i="28"/>
  <c r="G119" i="28" s="1"/>
  <c r="F237" i="28"/>
  <c r="G237" i="28" s="1"/>
  <c r="F132" i="28"/>
  <c r="G132" i="28" s="1"/>
  <c r="F272" i="28"/>
  <c r="G272" i="28" s="1"/>
  <c r="F244" i="28"/>
  <c r="G244" i="28" s="1"/>
  <c r="F262" i="28"/>
  <c r="G262" i="28" s="1"/>
  <c r="F224" i="28"/>
  <c r="G224" i="28" s="1"/>
  <c r="F268" i="28"/>
  <c r="G268" i="28" s="1"/>
  <c r="F246" i="28"/>
  <c r="G246" i="28" s="1"/>
  <c r="F225" i="28"/>
  <c r="G225" i="28" s="1"/>
  <c r="F158" i="28"/>
  <c r="G158" i="28" s="1"/>
  <c r="F126" i="28"/>
  <c r="G126" i="28" s="1"/>
  <c r="F195" i="28"/>
  <c r="G195" i="28" s="1"/>
  <c r="F185" i="28"/>
  <c r="G185" i="28" s="1"/>
  <c r="F294" i="28"/>
  <c r="G294" i="28" s="1"/>
  <c r="F275" i="28"/>
  <c r="G275" i="28" s="1"/>
  <c r="F180" i="28"/>
  <c r="G180" i="28" s="1"/>
  <c r="F276" i="28"/>
  <c r="G276" i="28" s="1"/>
  <c r="F138" i="28"/>
  <c r="G138" i="28" s="1"/>
  <c r="F215" i="28"/>
  <c r="G215" i="28" s="1"/>
  <c r="F223" i="28"/>
  <c r="G223" i="28" s="1"/>
  <c r="F219" i="28"/>
  <c r="G219" i="28" s="1"/>
  <c r="F178" i="28"/>
  <c r="G178" i="28" s="1"/>
  <c r="F285" i="28"/>
  <c r="G285" i="28" s="1"/>
  <c r="F259" i="28"/>
  <c r="G259" i="28" s="1"/>
  <c r="F243" i="28"/>
  <c r="G243" i="28" s="1"/>
  <c r="F207" i="28"/>
  <c r="G207" i="28" s="1"/>
  <c r="F196" i="28"/>
  <c r="G196" i="28" s="1"/>
  <c r="F142" i="28"/>
  <c r="G142" i="28" s="1"/>
  <c r="F139" i="28"/>
  <c r="G139" i="28" s="1"/>
  <c r="F288" i="28"/>
  <c r="G288" i="28" s="1"/>
  <c r="F164" i="28"/>
  <c r="G164" i="28" s="1"/>
  <c r="F254" i="28"/>
  <c r="G254" i="28" s="1"/>
  <c r="F201" i="28"/>
  <c r="G201" i="28" s="1"/>
  <c r="F172" i="28"/>
  <c r="G172" i="28" s="1"/>
  <c r="F134" i="28"/>
  <c r="G134" i="28" s="1"/>
  <c r="F130" i="28"/>
  <c r="G130" i="28" s="1"/>
  <c r="F260" i="28"/>
  <c r="G260" i="28" s="1"/>
  <c r="F232" i="28"/>
  <c r="G232" i="28" s="1"/>
  <c r="F171" i="28"/>
  <c r="G171" i="28" s="1"/>
  <c r="F222" i="28"/>
  <c r="G222" i="28" s="1"/>
  <c r="F206" i="28"/>
  <c r="G206" i="28" s="1"/>
  <c r="F177" i="28"/>
  <c r="G177" i="28" s="1"/>
  <c r="F269" i="28"/>
  <c r="G269" i="28" s="1"/>
  <c r="F235" i="28"/>
  <c r="G235" i="28" s="1"/>
  <c r="F209" i="28"/>
  <c r="G209" i="28" s="1"/>
  <c r="F256" i="28"/>
  <c r="G256" i="28" s="1"/>
  <c r="F280" i="28"/>
  <c r="G280" i="28" s="1"/>
  <c r="F241" i="28"/>
  <c r="G241" i="28" s="1"/>
  <c r="F216" i="28"/>
  <c r="G216" i="28" s="1"/>
  <c r="F148" i="28"/>
  <c r="G148" i="28" s="1"/>
  <c r="F264" i="28"/>
  <c r="G264" i="28" s="1"/>
  <c r="F227" i="28"/>
  <c r="G227" i="28" s="1"/>
  <c r="F188" i="28"/>
  <c r="G188" i="28" s="1"/>
  <c r="F124" i="28"/>
  <c r="G124" i="28" s="1"/>
  <c r="F203" i="28"/>
  <c r="G203" i="28" s="1"/>
  <c r="F161" i="28"/>
  <c r="G161" i="28" s="1"/>
  <c r="F150" i="28"/>
  <c r="G150" i="28" s="1"/>
  <c r="F147" i="28"/>
  <c r="G147" i="28" s="1"/>
  <c r="F154" i="28"/>
  <c r="G154" i="28" s="1"/>
  <c r="F118" i="28"/>
  <c r="G118" i="28" s="1"/>
  <c r="F211" i="28"/>
  <c r="G211" i="28" s="1"/>
  <c r="F182" i="28"/>
  <c r="G182" i="28" s="1"/>
  <c r="F198" i="28"/>
  <c r="G198" i="28" s="1"/>
  <c r="F174" i="28"/>
  <c r="G174" i="28" s="1"/>
  <c r="F190" i="28"/>
  <c r="G190" i="28" s="1"/>
  <c r="F166" i="28"/>
  <c r="G166" i="28" s="1"/>
  <c r="H161" i="28" l="1"/>
  <c r="I161" i="28" s="1"/>
  <c r="J161" i="28" s="1"/>
  <c r="H254" i="28"/>
  <c r="I254" i="28" s="1"/>
  <c r="J254" i="28" s="1"/>
  <c r="H204" i="28"/>
  <c r="I204" i="28" s="1"/>
  <c r="J204" i="28" s="1"/>
  <c r="H153" i="28"/>
  <c r="I153" i="28" s="1"/>
  <c r="J153" i="28" s="1"/>
  <c r="H171" i="28"/>
  <c r="I171" i="28" s="1"/>
  <c r="J171" i="28" s="1"/>
  <c r="H268" i="28"/>
  <c r="I268" i="28" s="1"/>
  <c r="J268" i="28" s="1"/>
  <c r="H283" i="28"/>
  <c r="I283" i="28" s="1"/>
  <c r="J283" i="28" s="1"/>
  <c r="H173" i="28"/>
  <c r="I173" i="28" s="1"/>
  <c r="J173" i="28" s="1"/>
  <c r="H256" i="28"/>
  <c r="I256" i="28" s="1"/>
  <c r="J256" i="28" s="1"/>
  <c r="H178" i="28"/>
  <c r="I178" i="28" s="1"/>
  <c r="J178" i="28" s="1"/>
  <c r="H255" i="28"/>
  <c r="I255" i="28" s="1"/>
  <c r="J255" i="28" s="1"/>
  <c r="H116" i="28"/>
  <c r="I116" i="28" s="1"/>
  <c r="J116" i="28" s="1"/>
  <c r="H135" i="28"/>
  <c r="I135" i="28" s="1"/>
  <c r="J135" i="28" s="1"/>
  <c r="H211" i="28"/>
  <c r="I211" i="28" s="1"/>
  <c r="J211" i="28" s="1"/>
  <c r="H188" i="28"/>
  <c r="I188" i="28" s="1"/>
  <c r="J188" i="28" s="1"/>
  <c r="H209" i="28"/>
  <c r="I209" i="28" s="1"/>
  <c r="J209" i="28" s="1"/>
  <c r="H260" i="28"/>
  <c r="I260" i="28" s="1"/>
  <c r="J260" i="28" s="1"/>
  <c r="H139" i="28"/>
  <c r="I139" i="28" s="1"/>
  <c r="J139" i="28" s="1"/>
  <c r="H219" i="28"/>
  <c r="I219" i="28" s="1"/>
  <c r="J219" i="28" s="1"/>
  <c r="H185" i="28"/>
  <c r="I185" i="28" s="1"/>
  <c r="J185" i="28" s="1"/>
  <c r="H262" i="28"/>
  <c r="I262" i="28" s="1"/>
  <c r="J262" i="28" s="1"/>
  <c r="H271" i="28"/>
  <c r="I271" i="28" s="1"/>
  <c r="J271" i="28" s="1"/>
  <c r="H239" i="28"/>
  <c r="I239" i="28" s="1"/>
  <c r="J239" i="28" s="1"/>
  <c r="H146" i="28"/>
  <c r="I146" i="28" s="1"/>
  <c r="J146" i="28" s="1"/>
  <c r="H122" i="28"/>
  <c r="I122" i="28" s="1"/>
  <c r="J122" i="28" s="1"/>
  <c r="H273" i="28"/>
  <c r="I273" i="28" s="1"/>
  <c r="J273" i="28" s="1"/>
  <c r="H226" i="28"/>
  <c r="I226" i="28" s="1"/>
  <c r="J226" i="28" s="1"/>
  <c r="H160" i="28"/>
  <c r="I160" i="28" s="1"/>
  <c r="J160" i="28" s="1"/>
  <c r="H118" i="28"/>
  <c r="I118" i="28" s="1"/>
  <c r="J118" i="28" s="1"/>
  <c r="H227" i="28"/>
  <c r="I227" i="28" s="1"/>
  <c r="J227" i="28" s="1"/>
  <c r="H235" i="28"/>
  <c r="I235" i="28" s="1"/>
  <c r="J235" i="28" s="1"/>
  <c r="H130" i="28"/>
  <c r="I130" i="28" s="1"/>
  <c r="J130" i="28" s="1"/>
  <c r="H142" i="28"/>
  <c r="I142" i="28" s="1"/>
  <c r="J142" i="28" s="1"/>
  <c r="H223" i="28"/>
  <c r="I223" i="28" s="1"/>
  <c r="J223" i="28" s="1"/>
  <c r="H195" i="28"/>
  <c r="I195" i="28" s="1"/>
  <c r="J195" i="28" s="1"/>
  <c r="H244" i="28"/>
  <c r="I244" i="28" s="1"/>
  <c r="J244" i="28" s="1"/>
  <c r="H293" i="28"/>
  <c r="I293" i="28" s="1"/>
  <c r="J293" i="28" s="1"/>
  <c r="H157" i="28"/>
  <c r="I157" i="28" s="1"/>
  <c r="J157" i="28" s="1"/>
  <c r="H212" i="28"/>
  <c r="I212" i="28" s="1"/>
  <c r="J212" i="28" s="1"/>
  <c r="H189" i="28"/>
  <c r="I189" i="28" s="1"/>
  <c r="J189" i="28" s="1"/>
  <c r="H163" i="28"/>
  <c r="I163" i="28" s="1"/>
  <c r="J163" i="28" s="1"/>
  <c r="H140" i="28"/>
  <c r="I140" i="28" s="1"/>
  <c r="J140" i="28" s="1"/>
  <c r="H170" i="28"/>
  <c r="I170" i="28" s="1"/>
  <c r="J170" i="28" s="1"/>
  <c r="H193" i="28"/>
  <c r="I193" i="28" s="1"/>
  <c r="J193" i="28" s="1"/>
  <c r="H174" i="28"/>
  <c r="I174" i="28" s="1"/>
  <c r="J174" i="28" s="1"/>
  <c r="H259" i="28"/>
  <c r="I259" i="28" s="1"/>
  <c r="J259" i="28" s="1"/>
  <c r="H208" i="28"/>
  <c r="I208" i="28" s="1"/>
  <c r="J208" i="28" s="1"/>
  <c r="H203" i="28"/>
  <c r="I203" i="28" s="1"/>
  <c r="J203" i="28" s="1"/>
  <c r="H285" i="28"/>
  <c r="I285" i="28" s="1"/>
  <c r="J285" i="28" s="1"/>
  <c r="H121" i="28"/>
  <c r="I121" i="28" s="1"/>
  <c r="J121" i="28" s="1"/>
  <c r="H213" i="28"/>
  <c r="I213" i="28" s="1"/>
  <c r="J213" i="28" s="1"/>
  <c r="H182" i="28"/>
  <c r="I182" i="28" s="1"/>
  <c r="J182" i="28" s="1"/>
  <c r="H232" i="28"/>
  <c r="I232" i="28" s="1"/>
  <c r="J232" i="28" s="1"/>
  <c r="H224" i="28"/>
  <c r="I224" i="28" s="1"/>
  <c r="J224" i="28" s="1"/>
  <c r="H136" i="28"/>
  <c r="I136" i="28" s="1"/>
  <c r="J136" i="28" s="1"/>
  <c r="H181" i="28"/>
  <c r="I181" i="28" s="1"/>
  <c r="J181" i="28" s="1"/>
  <c r="H218" i="28"/>
  <c r="I218" i="28" s="1"/>
  <c r="J218" i="28" s="1"/>
  <c r="H154" i="28"/>
  <c r="I154" i="28" s="1"/>
  <c r="J154" i="28" s="1"/>
  <c r="H264" i="28"/>
  <c r="I264" i="28" s="1"/>
  <c r="J264" i="28" s="1"/>
  <c r="H269" i="28"/>
  <c r="I269" i="28" s="1"/>
  <c r="J269" i="28" s="1"/>
  <c r="H134" i="28"/>
  <c r="I134" i="28" s="1"/>
  <c r="J134" i="28" s="1"/>
  <c r="H196" i="28"/>
  <c r="I196" i="28" s="1"/>
  <c r="J196" i="28" s="1"/>
  <c r="H215" i="28"/>
  <c r="I215" i="28" s="1"/>
  <c r="J215" i="28" s="1"/>
  <c r="H126" i="28"/>
  <c r="I126" i="28" s="1"/>
  <c r="J126" i="28" s="1"/>
  <c r="H272" i="28"/>
  <c r="I272" i="28" s="1"/>
  <c r="J272" i="28" s="1"/>
  <c r="H132" i="28"/>
  <c r="I132" i="28" s="1"/>
  <c r="J132" i="28" s="1"/>
  <c r="H184" i="28"/>
  <c r="I184" i="28" s="1"/>
  <c r="J184" i="28" s="1"/>
  <c r="H179" i="28"/>
  <c r="I179" i="28" s="1"/>
  <c r="J179" i="28" s="1"/>
  <c r="H234" i="28"/>
  <c r="I234" i="28" s="1"/>
  <c r="J234" i="28" s="1"/>
  <c r="H292" i="28"/>
  <c r="I292" i="28" s="1"/>
  <c r="J292" i="28" s="1"/>
  <c r="H186" i="28"/>
  <c r="I186" i="28" s="1"/>
  <c r="J186" i="28" s="1"/>
  <c r="H228" i="28"/>
  <c r="I228" i="28" s="1"/>
  <c r="J228" i="28" s="1"/>
  <c r="H202" i="28"/>
  <c r="I202" i="28" s="1"/>
  <c r="J202" i="28" s="1"/>
  <c r="H241" i="28"/>
  <c r="I241" i="28" s="1"/>
  <c r="J241" i="28" s="1"/>
  <c r="H180" i="28"/>
  <c r="I180" i="28" s="1"/>
  <c r="J180" i="28" s="1"/>
  <c r="H133" i="28"/>
  <c r="I133" i="28" s="1"/>
  <c r="J133" i="28" s="1"/>
  <c r="H257" i="28"/>
  <c r="I257" i="28" s="1"/>
  <c r="J257" i="28" s="1"/>
  <c r="H198" i="28"/>
  <c r="I198" i="28" s="1"/>
  <c r="J198" i="28" s="1"/>
  <c r="H164" i="28"/>
  <c r="I164" i="28" s="1"/>
  <c r="J164" i="28" s="1"/>
  <c r="H200" i="28"/>
  <c r="I200" i="28" s="1"/>
  <c r="J200" i="28" s="1"/>
  <c r="H294" i="28"/>
  <c r="I294" i="28" s="1"/>
  <c r="J294" i="28" s="1"/>
  <c r="H222" i="28"/>
  <c r="I222" i="28" s="1"/>
  <c r="J222" i="28" s="1"/>
  <c r="H246" i="28"/>
  <c r="I246" i="28" s="1"/>
  <c r="J246" i="28" s="1"/>
  <c r="H117" i="28"/>
  <c r="I117" i="28" s="1"/>
  <c r="J117" i="28" s="1"/>
  <c r="H151" i="28"/>
  <c r="I151" i="28" s="1"/>
  <c r="J151" i="28" s="1"/>
  <c r="H280" i="28"/>
  <c r="I280" i="28" s="1"/>
  <c r="J280" i="28" s="1"/>
  <c r="H275" i="28"/>
  <c r="I275" i="28" s="1"/>
  <c r="J275" i="28" s="1"/>
  <c r="H113" i="28"/>
  <c r="I113" i="28" s="1"/>
  <c r="J113" i="28" s="1"/>
  <c r="H131" i="28"/>
  <c r="I131" i="28" s="1"/>
  <c r="J131" i="28" s="1"/>
  <c r="H124" i="28"/>
  <c r="I124" i="28" s="1"/>
  <c r="J124" i="28" s="1"/>
  <c r="H288" i="28"/>
  <c r="I288" i="28" s="1"/>
  <c r="J288" i="28" s="1"/>
  <c r="H123" i="28"/>
  <c r="I123" i="28" s="1"/>
  <c r="J123" i="28" s="1"/>
  <c r="H217" i="28"/>
  <c r="I217" i="28" s="1"/>
  <c r="J217" i="28" s="1"/>
  <c r="H266" i="28"/>
  <c r="I266" i="28" s="1"/>
  <c r="J266" i="28" s="1"/>
  <c r="H166" i="28"/>
  <c r="I166" i="28" s="1"/>
  <c r="J166" i="28" s="1"/>
  <c r="H147" i="28"/>
  <c r="I147" i="28" s="1"/>
  <c r="J147" i="28" s="1"/>
  <c r="H148" i="28"/>
  <c r="I148" i="28" s="1"/>
  <c r="J148" i="28" s="1"/>
  <c r="H177" i="28"/>
  <c r="I177" i="28" s="1"/>
  <c r="J177" i="28" s="1"/>
  <c r="H172" i="28"/>
  <c r="I172" i="28" s="1"/>
  <c r="J172" i="28" s="1"/>
  <c r="H207" i="28"/>
  <c r="I207" i="28" s="1"/>
  <c r="J207" i="28" s="1"/>
  <c r="H138" i="28"/>
  <c r="I138" i="28" s="1"/>
  <c r="J138" i="28" s="1"/>
  <c r="H158" i="28"/>
  <c r="I158" i="28" s="1"/>
  <c r="J158" i="28" s="1"/>
  <c r="H237" i="28"/>
  <c r="I237" i="28" s="1"/>
  <c r="J237" i="28" s="1"/>
  <c r="H265" i="28"/>
  <c r="I265" i="28" s="1"/>
  <c r="J265" i="28" s="1"/>
  <c r="H250" i="28"/>
  <c r="I250" i="28" s="1"/>
  <c r="J250" i="28" s="1"/>
  <c r="H220" i="28"/>
  <c r="I220" i="28" s="1"/>
  <c r="J220" i="28" s="1"/>
  <c r="H249" i="28"/>
  <c r="I249" i="28" s="1"/>
  <c r="J249" i="28" s="1"/>
  <c r="H187" i="28"/>
  <c r="I187" i="28" s="1"/>
  <c r="J187" i="28" s="1"/>
  <c r="H233" i="28"/>
  <c r="I233" i="28" s="1"/>
  <c r="J233" i="28" s="1"/>
  <c r="H190" i="28"/>
  <c r="I190" i="28" s="1"/>
  <c r="J190" i="28" s="1"/>
  <c r="H150" i="28"/>
  <c r="I150" i="28" s="1"/>
  <c r="J150" i="28" s="1"/>
  <c r="H216" i="28"/>
  <c r="I216" i="28" s="1"/>
  <c r="J216" i="28" s="1"/>
  <c r="H206" i="28"/>
  <c r="I206" i="28" s="1"/>
  <c r="J206" i="28" s="1"/>
  <c r="H201" i="28"/>
  <c r="I201" i="28" s="1"/>
  <c r="J201" i="28" s="1"/>
  <c r="H243" i="28"/>
  <c r="I243" i="28" s="1"/>
  <c r="J243" i="28" s="1"/>
  <c r="H276" i="28"/>
  <c r="I276" i="28" s="1"/>
  <c r="J276" i="28" s="1"/>
  <c r="H225" i="28"/>
  <c r="I225" i="28" s="1"/>
  <c r="J225" i="28" s="1"/>
  <c r="H119" i="28"/>
  <c r="I119" i="28" s="1"/>
  <c r="J119" i="28" s="1"/>
  <c r="H141" i="28"/>
  <c r="I141" i="28" s="1"/>
  <c r="J141" i="28" s="1"/>
  <c r="H277" i="28"/>
  <c r="I277" i="28" s="1"/>
  <c r="J277" i="28" s="1"/>
  <c r="H286" i="28"/>
  <c r="I286" i="28" s="1"/>
  <c r="J286" i="28" s="1"/>
  <c r="H197" i="28"/>
  <c r="I197" i="28" s="1"/>
  <c r="J197" i="28" s="1"/>
  <c r="H284" i="28"/>
  <c r="I284" i="28" s="1"/>
  <c r="J284" i="28" s="1"/>
  <c r="H175" i="28"/>
  <c r="I175" i="28" s="1"/>
  <c r="J175" i="28" s="1"/>
  <c r="H258" i="28"/>
  <c r="I258" i="28" s="1"/>
  <c r="J258" i="28" s="1"/>
  <c r="B5" i="34" l="1"/>
  <c r="D5" i="34" s="1"/>
  <c r="E5" i="34" s="1"/>
  <c r="G1" i="39" s="1"/>
  <c r="B8" i="34"/>
  <c r="B7" i="34"/>
  <c r="B6" i="34"/>
  <c r="E4" i="34"/>
  <c r="F1" i="39" s="1"/>
  <c r="E7" i="34" l="1"/>
  <c r="I1" i="39" s="1"/>
  <c r="E6" i="34"/>
  <c r="H1" i="39" s="1"/>
  <c r="E8" i="34"/>
  <c r="J1" i="39" s="1"/>
  <c r="I15" i="2" l="1"/>
  <c r="Q13" i="2"/>
  <c r="Y11" i="2"/>
  <c r="I6" i="2"/>
  <c r="L2" i="28"/>
  <c r="R2" i="28" s="1"/>
  <c r="K2" i="28"/>
  <c r="Q2" i="28" s="1"/>
  <c r="C2" i="28"/>
  <c r="B2" i="28"/>
  <c r="I18" i="2" l="1"/>
  <c r="Q20" i="2"/>
  <c r="Q21" i="2" s="1"/>
  <c r="Q23" i="2" s="1"/>
  <c r="I21" i="2" l="1"/>
  <c r="I23" i="2" s="1"/>
  <c r="E10" i="29"/>
  <c r="B10" i="29"/>
  <c r="F40" i="28" l="1"/>
  <c r="G40" i="28" s="1"/>
  <c r="F110" i="28"/>
  <c r="G110" i="28" s="1"/>
  <c r="F45" i="28"/>
  <c r="G45" i="28" s="1"/>
  <c r="F26" i="28"/>
  <c r="G26" i="28" s="1"/>
  <c r="F79" i="28"/>
  <c r="G79" i="28" s="1"/>
  <c r="F38" i="28"/>
  <c r="G38" i="28" s="1"/>
  <c r="F93" i="28"/>
  <c r="G93" i="28" s="1"/>
  <c r="F29" i="28"/>
  <c r="G29" i="28" s="1"/>
  <c r="F98" i="28"/>
  <c r="G98" i="28" s="1"/>
  <c r="F82" i="28"/>
  <c r="G82" i="28" s="1"/>
  <c r="F66" i="28"/>
  <c r="G66" i="28" s="1"/>
  <c r="F50" i="28"/>
  <c r="G50" i="28" s="1"/>
  <c r="F34" i="28"/>
  <c r="G34" i="28" s="1"/>
  <c r="F18" i="28"/>
  <c r="G18" i="28" s="1"/>
  <c r="F103" i="28"/>
  <c r="G103" i="28" s="1"/>
  <c r="F87" i="28"/>
  <c r="G87" i="28" s="1"/>
  <c r="F71" i="28"/>
  <c r="G71" i="28" s="1"/>
  <c r="F55" i="28"/>
  <c r="G55" i="28" s="1"/>
  <c r="F39" i="28"/>
  <c r="G39" i="28" s="1"/>
  <c r="F23" i="28"/>
  <c r="G23" i="28" s="1"/>
  <c r="F7" i="28"/>
  <c r="G7" i="28" s="1"/>
  <c r="F91" i="28"/>
  <c r="G91" i="28" s="1"/>
  <c r="F75" i="28"/>
  <c r="G75" i="28" s="1"/>
  <c r="F59" i="28"/>
  <c r="G59" i="28" s="1"/>
  <c r="F43" i="28"/>
  <c r="G43" i="28" s="1"/>
  <c r="F27" i="28"/>
  <c r="G27" i="28" s="1"/>
  <c r="F11" i="28"/>
  <c r="G11" i="28" s="1"/>
  <c r="F88" i="28"/>
  <c r="G88" i="28" s="1"/>
  <c r="F24" i="28"/>
  <c r="G24" i="28" s="1"/>
  <c r="F86" i="28"/>
  <c r="G86" i="28" s="1"/>
  <c r="F94" i="28"/>
  <c r="G94" i="28" s="1"/>
  <c r="F22" i="28"/>
  <c r="G22" i="28" s="1"/>
  <c r="F13" i="28"/>
  <c r="G13" i="28" s="1"/>
  <c r="F90" i="28"/>
  <c r="G90" i="28" s="1"/>
  <c r="F74" i="28"/>
  <c r="G74" i="28" s="1"/>
  <c r="F10" i="28"/>
  <c r="G10" i="28" s="1"/>
  <c r="F111" i="28"/>
  <c r="G111" i="28" s="1"/>
  <c r="F63" i="28"/>
  <c r="G63" i="28" s="1"/>
  <c r="F15" i="28"/>
  <c r="G15" i="28" s="1"/>
  <c r="F78" i="28"/>
  <c r="G78" i="28" s="1"/>
  <c r="F6" i="28"/>
  <c r="G6" i="28" s="1"/>
  <c r="F61" i="28"/>
  <c r="G61" i="28" s="1"/>
  <c r="F105" i="28"/>
  <c r="G105" i="28" s="1"/>
  <c r="F89" i="28"/>
  <c r="G89" i="28" s="1"/>
  <c r="F73" i="28"/>
  <c r="G73" i="28" s="1"/>
  <c r="F57" i="28"/>
  <c r="G57" i="28" s="1"/>
  <c r="F41" i="28"/>
  <c r="G41" i="28" s="1"/>
  <c r="F25" i="28"/>
  <c r="G25" i="28" s="1"/>
  <c r="F9" i="28"/>
  <c r="G9" i="28" s="1"/>
  <c r="F85" i="28"/>
  <c r="G85" i="28" s="1"/>
  <c r="F53" i="28"/>
  <c r="G53" i="28" s="1"/>
  <c r="F21" i="28"/>
  <c r="G21" i="28" s="1"/>
  <c r="F108" i="28"/>
  <c r="G108" i="28" s="1"/>
  <c r="F92" i="28"/>
  <c r="G92" i="28" s="1"/>
  <c r="F76" i="28"/>
  <c r="G76" i="28" s="1"/>
  <c r="F60" i="28"/>
  <c r="G60" i="28" s="1"/>
  <c r="F44" i="28"/>
  <c r="G44" i="28" s="1"/>
  <c r="F28" i="28"/>
  <c r="G28" i="28" s="1"/>
  <c r="F12" i="28"/>
  <c r="G12" i="28" s="1"/>
  <c r="F72" i="28"/>
  <c r="G72" i="28" s="1"/>
  <c r="F8" i="28"/>
  <c r="G8" i="28" s="1"/>
  <c r="F54" i="28"/>
  <c r="G54" i="28" s="1"/>
  <c r="F109" i="28"/>
  <c r="G109" i="28" s="1"/>
  <c r="F42" i="28"/>
  <c r="G42" i="28" s="1"/>
  <c r="F107" i="28"/>
  <c r="G107" i="28" s="1"/>
  <c r="F104" i="28"/>
  <c r="G104" i="28" s="1"/>
  <c r="F56" i="28"/>
  <c r="G56" i="28" s="1"/>
  <c r="F30" i="28"/>
  <c r="G30" i="28" s="1"/>
  <c r="F62" i="28"/>
  <c r="G62" i="28" s="1"/>
  <c r="F77" i="28"/>
  <c r="G77" i="28" s="1"/>
  <c r="F106" i="28"/>
  <c r="G106" i="28" s="1"/>
  <c r="F58" i="28"/>
  <c r="G58" i="28" s="1"/>
  <c r="F95" i="28"/>
  <c r="G95" i="28" s="1"/>
  <c r="F47" i="28"/>
  <c r="G47" i="28" s="1"/>
  <c r="F31" i="28"/>
  <c r="G31" i="28" s="1"/>
  <c r="F99" i="28"/>
  <c r="G99" i="28" s="1"/>
  <c r="F83" i="28"/>
  <c r="G83" i="28" s="1"/>
  <c r="F67" i="28"/>
  <c r="G67" i="28" s="1"/>
  <c r="F51" i="28"/>
  <c r="G51" i="28" s="1"/>
  <c r="F35" i="28"/>
  <c r="G35" i="28" s="1"/>
  <c r="F19" i="28"/>
  <c r="G19" i="28" s="1"/>
  <c r="F3" i="28"/>
  <c r="G3" i="28" s="1"/>
  <c r="F97" i="28"/>
  <c r="G97" i="28" s="1"/>
  <c r="F81" i="28"/>
  <c r="G81" i="28" s="1"/>
  <c r="F65" i="28"/>
  <c r="G65" i="28" s="1"/>
  <c r="F49" i="28"/>
  <c r="G49" i="28" s="1"/>
  <c r="F33" i="28"/>
  <c r="G33" i="28" s="1"/>
  <c r="F17" i="28"/>
  <c r="G17" i="28" s="1"/>
  <c r="F101" i="28"/>
  <c r="G101" i="28" s="1"/>
  <c r="F69" i="28"/>
  <c r="G69" i="28" s="1"/>
  <c r="F37" i="28"/>
  <c r="G37" i="28" s="1"/>
  <c r="F5" i="28"/>
  <c r="G5" i="28" s="1"/>
  <c r="F100" i="28"/>
  <c r="G100" i="28" s="1"/>
  <c r="F84" i="28"/>
  <c r="G84" i="28" s="1"/>
  <c r="F68" i="28"/>
  <c r="G68" i="28" s="1"/>
  <c r="F52" i="28"/>
  <c r="G52" i="28" s="1"/>
  <c r="F36" i="28"/>
  <c r="G36" i="28" s="1"/>
  <c r="F20" i="28"/>
  <c r="G20" i="28" s="1"/>
  <c r="F4" i="28"/>
  <c r="G4" i="28" s="1"/>
  <c r="F96" i="28"/>
  <c r="G96" i="28" s="1"/>
  <c r="F80" i="28"/>
  <c r="G80" i="28" s="1"/>
  <c r="F64" i="28"/>
  <c r="G64" i="28" s="1"/>
  <c r="F48" i="28"/>
  <c r="G48" i="28" s="1"/>
  <c r="F32" i="28"/>
  <c r="G32" i="28" s="1"/>
  <c r="F16" i="28"/>
  <c r="G16" i="28" s="1"/>
  <c r="F102" i="28"/>
  <c r="G102" i="28" s="1"/>
  <c r="F70" i="28"/>
  <c r="G70" i="28" s="1"/>
  <c r="F46" i="28"/>
  <c r="G46" i="28" s="1"/>
  <c r="F14" i="28"/>
  <c r="G14" i="28" s="1"/>
  <c r="H52" i="28" l="1"/>
  <c r="I52" i="28" s="1"/>
  <c r="J52" i="28" s="1"/>
  <c r="H42" i="28"/>
  <c r="I42" i="28" s="1"/>
  <c r="J42" i="28" s="1"/>
  <c r="H22" i="28"/>
  <c r="I22" i="28" s="1"/>
  <c r="J22" i="28" s="1"/>
  <c r="H29" i="28"/>
  <c r="I29" i="28" s="1"/>
  <c r="J29" i="28" s="1"/>
  <c r="H48" i="28"/>
  <c r="I48" i="28" s="1"/>
  <c r="J48" i="28" s="1"/>
  <c r="H68" i="28"/>
  <c r="I68" i="28" s="1"/>
  <c r="J68" i="28" s="1"/>
  <c r="H33" i="28"/>
  <c r="I33" i="28" s="1"/>
  <c r="J33" i="28" s="1"/>
  <c r="H51" i="28"/>
  <c r="I51" i="28" s="1"/>
  <c r="J51" i="28" s="1"/>
  <c r="H106" i="28"/>
  <c r="I106" i="28" s="1"/>
  <c r="J106" i="28" s="1"/>
  <c r="H109" i="28"/>
  <c r="I109" i="28" s="1"/>
  <c r="J109" i="28" s="1"/>
  <c r="H76" i="28"/>
  <c r="I76" i="28" s="1"/>
  <c r="J76" i="28" s="1"/>
  <c r="H41" i="28"/>
  <c r="I41" i="28" s="1"/>
  <c r="J41" i="28" s="1"/>
  <c r="H15" i="28"/>
  <c r="I15" i="28" s="1"/>
  <c r="J15" i="28" s="1"/>
  <c r="H94" i="28"/>
  <c r="I94" i="28" s="1"/>
  <c r="J94" i="28" s="1"/>
  <c r="H75" i="28"/>
  <c r="I75" i="28" s="1"/>
  <c r="J75" i="28" s="1"/>
  <c r="H103" i="28"/>
  <c r="I103" i="28" s="1"/>
  <c r="J103" i="28" s="1"/>
  <c r="H93" i="28"/>
  <c r="I93" i="28" s="1"/>
  <c r="J93" i="28" s="1"/>
  <c r="H64" i="28"/>
  <c r="I64" i="28" s="1"/>
  <c r="J64" i="28" s="1"/>
  <c r="H84" i="28"/>
  <c r="I84" i="28" s="1"/>
  <c r="J84" i="28" s="1"/>
  <c r="H49" i="28"/>
  <c r="I49" i="28" s="1"/>
  <c r="J49" i="28" s="1"/>
  <c r="H67" i="28"/>
  <c r="I67" i="28" s="1"/>
  <c r="J67" i="28" s="1"/>
  <c r="H77" i="28"/>
  <c r="I77" i="28" s="1"/>
  <c r="J77" i="28" s="1"/>
  <c r="H54" i="28"/>
  <c r="I54" i="28" s="1"/>
  <c r="J54" i="28" s="1"/>
  <c r="H92" i="28"/>
  <c r="I92" i="28" s="1"/>
  <c r="J92" i="28" s="1"/>
  <c r="H57" i="28"/>
  <c r="I57" i="28" s="1"/>
  <c r="J57" i="28" s="1"/>
  <c r="H63" i="28"/>
  <c r="I63" i="28" s="1"/>
  <c r="J63" i="28" s="1"/>
  <c r="H86" i="28"/>
  <c r="I86" i="28" s="1"/>
  <c r="J86" i="28" s="1"/>
  <c r="H91" i="28"/>
  <c r="I91" i="28" s="1"/>
  <c r="J91" i="28" s="1"/>
  <c r="H18" i="28"/>
  <c r="I18" i="28" s="1"/>
  <c r="J18" i="28" s="1"/>
  <c r="H38" i="28"/>
  <c r="I38" i="28" s="1"/>
  <c r="J38" i="28" s="1"/>
  <c r="H32" i="28"/>
  <c r="I32" i="28" s="1"/>
  <c r="J32" i="28" s="1"/>
  <c r="H58" i="28"/>
  <c r="I58" i="28" s="1"/>
  <c r="J58" i="28" s="1"/>
  <c r="H78" i="28"/>
  <c r="I78" i="28" s="1"/>
  <c r="J78" i="28" s="1"/>
  <c r="H14" i="28"/>
  <c r="I14" i="28" s="1"/>
  <c r="J14" i="28" s="1"/>
  <c r="H65" i="28"/>
  <c r="I65" i="28" s="1"/>
  <c r="J65" i="28" s="1"/>
  <c r="H8" i="28"/>
  <c r="I8" i="28" s="1"/>
  <c r="J8" i="28" s="1"/>
  <c r="H24" i="28"/>
  <c r="I24" i="28" s="1"/>
  <c r="J24" i="28" s="1"/>
  <c r="H79" i="28"/>
  <c r="I79" i="28" s="1"/>
  <c r="J79" i="28" s="1"/>
  <c r="H5" i="28"/>
  <c r="I5" i="28" s="1"/>
  <c r="J5" i="28" s="1"/>
  <c r="H30" i="28"/>
  <c r="I30" i="28" s="1"/>
  <c r="J30" i="28" s="1"/>
  <c r="H89" i="28"/>
  <c r="I89" i="28" s="1"/>
  <c r="J89" i="28" s="1"/>
  <c r="H50" i="28"/>
  <c r="I50" i="28" s="1"/>
  <c r="J50" i="28" s="1"/>
  <c r="H37" i="28"/>
  <c r="I37" i="28" s="1"/>
  <c r="J37" i="28" s="1"/>
  <c r="H56" i="28"/>
  <c r="I56" i="28" s="1"/>
  <c r="J56" i="28" s="1"/>
  <c r="H74" i="28"/>
  <c r="I74" i="28" s="1"/>
  <c r="J74" i="28" s="1"/>
  <c r="H66" i="28"/>
  <c r="I66" i="28" s="1"/>
  <c r="J66" i="28" s="1"/>
  <c r="H45" i="28"/>
  <c r="I45" i="28" s="1"/>
  <c r="J45" i="28" s="1"/>
  <c r="H17" i="28"/>
  <c r="I17" i="28" s="1"/>
  <c r="J17" i="28" s="1"/>
  <c r="H60" i="28"/>
  <c r="I60" i="28" s="1"/>
  <c r="J60" i="28" s="1"/>
  <c r="H59" i="28"/>
  <c r="I59" i="28" s="1"/>
  <c r="J59" i="28" s="1"/>
  <c r="H80" i="28"/>
  <c r="I80" i="28" s="1"/>
  <c r="J80" i="28" s="1"/>
  <c r="H83" i="28"/>
  <c r="I83" i="28" s="1"/>
  <c r="J83" i="28" s="1"/>
  <c r="H108" i="28"/>
  <c r="I108" i="28" s="1"/>
  <c r="J108" i="28" s="1"/>
  <c r="H111" i="28"/>
  <c r="I111" i="28" s="1"/>
  <c r="J111" i="28" s="1"/>
  <c r="H34" i="28"/>
  <c r="I34" i="28" s="1"/>
  <c r="J34" i="28" s="1"/>
  <c r="H96" i="28"/>
  <c r="I96" i="28" s="1"/>
  <c r="J96" i="28" s="1"/>
  <c r="H99" i="28"/>
  <c r="I99" i="28" s="1"/>
  <c r="J99" i="28" s="1"/>
  <c r="H21" i="28"/>
  <c r="I21" i="28" s="1"/>
  <c r="J21" i="28" s="1"/>
  <c r="H88" i="28"/>
  <c r="I88" i="28" s="1"/>
  <c r="J88" i="28" s="1"/>
  <c r="H26" i="28"/>
  <c r="I26" i="28" s="1"/>
  <c r="J26" i="28" s="1"/>
  <c r="H4" i="28"/>
  <c r="I4" i="28" s="1"/>
  <c r="J4" i="28" s="1"/>
  <c r="H31" i="28"/>
  <c r="I31" i="28" s="1"/>
  <c r="J31" i="28" s="1"/>
  <c r="H53" i="28"/>
  <c r="I53" i="28" s="1"/>
  <c r="J53" i="28" s="1"/>
  <c r="H11" i="28"/>
  <c r="I11" i="28" s="1"/>
  <c r="J11" i="28" s="1"/>
  <c r="H102" i="28"/>
  <c r="I102" i="28" s="1"/>
  <c r="J102" i="28" s="1"/>
  <c r="H69" i="28"/>
  <c r="I69" i="28" s="1"/>
  <c r="J69" i="28" s="1"/>
  <c r="H47" i="28"/>
  <c r="I47" i="28" s="1"/>
  <c r="J47" i="28" s="1"/>
  <c r="H104" i="28"/>
  <c r="I104" i="28" s="1"/>
  <c r="J104" i="28" s="1"/>
  <c r="H28" i="28"/>
  <c r="I28" i="28" s="1"/>
  <c r="J28" i="28" s="1"/>
  <c r="H85" i="28"/>
  <c r="I85" i="28" s="1"/>
  <c r="J85" i="28" s="1"/>
  <c r="H61" i="28"/>
  <c r="I61" i="28" s="1"/>
  <c r="J61" i="28" s="1"/>
  <c r="H90" i="28"/>
  <c r="I90" i="28" s="1"/>
  <c r="J90" i="28" s="1"/>
  <c r="H27" i="28"/>
  <c r="I27" i="28" s="1"/>
  <c r="J27" i="28" s="1"/>
  <c r="H55" i="28"/>
  <c r="I55" i="28" s="1"/>
  <c r="J55" i="28" s="1"/>
  <c r="H82" i="28"/>
  <c r="I82" i="28" s="1"/>
  <c r="J82" i="28" s="1"/>
  <c r="H110" i="28"/>
  <c r="I110" i="28" s="1"/>
  <c r="J110" i="28" s="1"/>
  <c r="H35" i="28"/>
  <c r="I35" i="28" s="1"/>
  <c r="J35" i="28" s="1"/>
  <c r="H25" i="28"/>
  <c r="I25" i="28" s="1"/>
  <c r="J25" i="28" s="1"/>
  <c r="H87" i="28"/>
  <c r="I87" i="28" s="1"/>
  <c r="J87" i="28" s="1"/>
  <c r="H100" i="28"/>
  <c r="I100" i="28" s="1"/>
  <c r="J100" i="28" s="1"/>
  <c r="H62" i="28"/>
  <c r="I62" i="28" s="1"/>
  <c r="J62" i="28" s="1"/>
  <c r="H73" i="28"/>
  <c r="I73" i="28" s="1"/>
  <c r="J73" i="28" s="1"/>
  <c r="H7" i="28"/>
  <c r="I7" i="28" s="1"/>
  <c r="J7" i="28" s="1"/>
  <c r="H46" i="28"/>
  <c r="I46" i="28" s="1"/>
  <c r="J46" i="28" s="1"/>
  <c r="H81" i="28"/>
  <c r="I81" i="28" s="1"/>
  <c r="J81" i="28" s="1"/>
  <c r="H72" i="28"/>
  <c r="I72" i="28" s="1"/>
  <c r="J72" i="28" s="1"/>
  <c r="H10" i="28"/>
  <c r="I10" i="28" s="1"/>
  <c r="J10" i="28" s="1"/>
  <c r="H23" i="28"/>
  <c r="I23" i="28" s="1"/>
  <c r="J23" i="28" s="1"/>
  <c r="H70" i="28"/>
  <c r="I70" i="28" s="1"/>
  <c r="J70" i="28" s="1"/>
  <c r="H97" i="28"/>
  <c r="I97" i="28" s="1"/>
  <c r="J97" i="28" s="1"/>
  <c r="H12" i="28"/>
  <c r="I12" i="28" s="1"/>
  <c r="J12" i="28" s="1"/>
  <c r="H105" i="28"/>
  <c r="I105" i="28" s="1"/>
  <c r="J105" i="28" s="1"/>
  <c r="H39" i="28"/>
  <c r="I39" i="28" s="1"/>
  <c r="J39" i="28" s="1"/>
  <c r="H20" i="28"/>
  <c r="I20" i="28" s="1"/>
  <c r="J20" i="28" s="1"/>
  <c r="H16" i="28"/>
  <c r="I16" i="28" s="1"/>
  <c r="J16" i="28" s="1"/>
  <c r="H36" i="28"/>
  <c r="I36" i="28" s="1"/>
  <c r="J36" i="28" s="1"/>
  <c r="H101" i="28"/>
  <c r="I101" i="28" s="1"/>
  <c r="J101" i="28" s="1"/>
  <c r="H19" i="28"/>
  <c r="I19" i="28" s="1"/>
  <c r="J19" i="28" s="1"/>
  <c r="H95" i="28"/>
  <c r="I95" i="28" s="1"/>
  <c r="J95" i="28" s="1"/>
  <c r="H107" i="28"/>
  <c r="I107" i="28" s="1"/>
  <c r="J107" i="28" s="1"/>
  <c r="H44" i="28"/>
  <c r="I44" i="28" s="1"/>
  <c r="J44" i="28" s="1"/>
  <c r="H9" i="28"/>
  <c r="I9" i="28" s="1"/>
  <c r="J9" i="28" s="1"/>
  <c r="H6" i="28"/>
  <c r="I6" i="28" s="1"/>
  <c r="J6" i="28" s="1"/>
  <c r="H13" i="28"/>
  <c r="I13" i="28" s="1"/>
  <c r="J13" i="28" s="1"/>
  <c r="H43" i="28"/>
  <c r="I43" i="28" s="1"/>
  <c r="J43" i="28" s="1"/>
  <c r="H71" i="28"/>
  <c r="I71" i="28" s="1"/>
  <c r="J71" i="28" s="1"/>
  <c r="H98" i="28"/>
  <c r="I98" i="28" s="1"/>
  <c r="J98" i="28" s="1"/>
  <c r="H40" i="28"/>
  <c r="I40" i="28" s="1"/>
  <c r="J40" i="28" s="1"/>
  <c r="H3" i="28"/>
  <c r="I3" i="28" s="1"/>
  <c r="J3" i="28" s="1"/>
  <c r="E9" i="2"/>
  <c r="E10" i="2"/>
  <c r="E11" i="2"/>
  <c r="E8" i="2"/>
  <c r="E369" i="39" l="1"/>
  <c r="E329" i="39"/>
  <c r="E285" i="39"/>
  <c r="E261" i="39"/>
  <c r="E249" i="39"/>
  <c r="E177" i="39"/>
  <c r="E85" i="39"/>
  <c r="E65" i="39"/>
  <c r="E33" i="39"/>
  <c r="E405" i="38"/>
  <c r="E381" i="38"/>
  <c r="E37" i="38"/>
  <c r="E125" i="39"/>
  <c r="E357" i="38"/>
  <c r="E317" i="39"/>
  <c r="E237" i="39"/>
  <c r="E213" i="39"/>
  <c r="E61" i="39"/>
  <c r="E29" i="39"/>
  <c r="E9" i="39"/>
  <c r="E361" i="38"/>
  <c r="E245" i="38"/>
  <c r="E41" i="38"/>
  <c r="E33" i="38"/>
  <c r="E277" i="39"/>
  <c r="E257" i="39"/>
  <c r="E121" i="39"/>
  <c r="E101" i="39"/>
  <c r="E53" i="39"/>
  <c r="E157" i="38"/>
  <c r="E389" i="39"/>
  <c r="E341" i="39"/>
  <c r="E201" i="39"/>
  <c r="E109" i="39"/>
  <c r="E105" i="39"/>
  <c r="E97" i="39"/>
  <c r="E93" i="39"/>
  <c r="E81" i="39"/>
  <c r="E57" i="39"/>
  <c r="E25" i="39"/>
  <c r="E293" i="38"/>
  <c r="E289" i="38"/>
  <c r="E225" i="38"/>
  <c r="E137" i="38"/>
  <c r="E49" i="38"/>
  <c r="E45" i="38"/>
  <c r="E113" i="39"/>
  <c r="E21" i="39"/>
  <c r="E261" i="38"/>
  <c r="E409" i="39"/>
  <c r="E405" i="39"/>
  <c r="E397" i="39"/>
  <c r="E373" i="39"/>
  <c r="E325" i="39"/>
  <c r="E269" i="39"/>
  <c r="E225" i="39"/>
  <c r="E197" i="39"/>
  <c r="E181" i="39"/>
  <c r="E77" i="39"/>
  <c r="E45" i="39"/>
  <c r="E369" i="38"/>
  <c r="E217" i="38"/>
  <c r="E57" i="38"/>
  <c r="E413" i="39"/>
  <c r="E333" i="39"/>
  <c r="E289" i="39"/>
  <c r="E265" i="39"/>
  <c r="E217" i="39"/>
  <c r="E73" i="39"/>
  <c r="E41" i="39"/>
  <c r="E409" i="38"/>
  <c r="E209" i="39"/>
  <c r="E169" i="38"/>
  <c r="E149" i="38"/>
  <c r="E365" i="39"/>
  <c r="E341" i="38"/>
  <c r="E193" i="38"/>
  <c r="E205" i="39"/>
  <c r="E49" i="39"/>
  <c r="E233" i="38"/>
  <c r="E177" i="38"/>
  <c r="E417" i="39"/>
  <c r="E321" i="39"/>
  <c r="E37" i="39"/>
  <c r="E285" i="38"/>
  <c r="E117" i="39"/>
  <c r="E185" i="38"/>
  <c r="E365" i="38"/>
  <c r="E209" i="38"/>
  <c r="E201" i="38"/>
  <c r="E393" i="39"/>
  <c r="E161" i="38"/>
  <c r="E401" i="39"/>
  <c r="E69" i="39"/>
  <c r="E17" i="39"/>
  <c r="E349" i="38"/>
  <c r="E149" i="39"/>
  <c r="E157" i="39"/>
  <c r="E281" i="39"/>
  <c r="E189" i="39"/>
  <c r="E105" i="38"/>
  <c r="E65" i="38"/>
  <c r="E97" i="38"/>
  <c r="E85" i="38"/>
  <c r="E277" i="38"/>
  <c r="E297" i="38"/>
  <c r="E353" i="38"/>
  <c r="E337" i="38"/>
  <c r="E25" i="38"/>
  <c r="E249" i="38"/>
  <c r="E145" i="38"/>
  <c r="E129" i="39"/>
  <c r="E241" i="39"/>
  <c r="E297" i="39"/>
  <c r="E349" i="39"/>
  <c r="E29" i="38"/>
  <c r="E109" i="38"/>
  <c r="E81" i="38"/>
  <c r="E77" i="38"/>
  <c r="E129" i="38"/>
  <c r="E397" i="38"/>
  <c r="E253" i="38"/>
  <c r="E13" i="38"/>
  <c r="E13" i="39"/>
  <c r="E137" i="39"/>
  <c r="E145" i="39"/>
  <c r="E273" i="39"/>
  <c r="E381" i="39"/>
  <c r="E9" i="38"/>
  <c r="E153" i="38"/>
  <c r="E257" i="38"/>
  <c r="E305" i="38"/>
  <c r="E393" i="38"/>
  <c r="E333" i="38"/>
  <c r="E401" i="38"/>
  <c r="E417" i="38"/>
  <c r="Q417" i="38" s="1"/>
  <c r="E5" i="38"/>
  <c r="E373" i="38"/>
  <c r="E5" i="39"/>
  <c r="E169" i="39"/>
  <c r="E193" i="39"/>
  <c r="E185" i="39"/>
  <c r="E305" i="39"/>
  <c r="E337" i="39"/>
  <c r="E353" i="39"/>
  <c r="E125" i="38"/>
  <c r="E133" i="38"/>
  <c r="E113" i="38"/>
  <c r="E325" i="38"/>
  <c r="E317" i="38"/>
  <c r="E377" i="38"/>
  <c r="E173" i="39"/>
  <c r="E53" i="38"/>
  <c r="E153" i="39"/>
  <c r="E313" i="39"/>
  <c r="E385" i="39"/>
  <c r="E117" i="38"/>
  <c r="E229" i="38"/>
  <c r="E181" i="38"/>
  <c r="E313" i="38"/>
  <c r="E309" i="38"/>
  <c r="E413" i="38"/>
  <c r="E389" i="38"/>
  <c r="E309" i="39"/>
  <c r="E233" i="39"/>
  <c r="E165" i="38"/>
  <c r="E69" i="38"/>
  <c r="E321" i="38"/>
  <c r="E165" i="39"/>
  <c r="E141" i="39"/>
  <c r="E141" i="38"/>
  <c r="E265" i="38"/>
  <c r="E301" i="38"/>
  <c r="E281" i="38"/>
  <c r="E101" i="38"/>
  <c r="E133" i="39"/>
  <c r="E61" i="38"/>
  <c r="E189" i="38"/>
  <c r="E21" i="38"/>
  <c r="E213" i="38"/>
  <c r="E361" i="39"/>
  <c r="E345" i="39"/>
  <c r="E89" i="39"/>
  <c r="E293" i="39"/>
  <c r="E73" i="38"/>
  <c r="E205" i="38"/>
  <c r="E269" i="38"/>
  <c r="E89" i="38"/>
  <c r="E173" i="38"/>
  <c r="E241" i="38"/>
  <c r="E329" i="38"/>
  <c r="E17" i="38"/>
  <c r="E237" i="38"/>
  <c r="E385" i="38"/>
  <c r="E229" i="39"/>
  <c r="E197" i="38"/>
  <c r="E345" i="38"/>
  <c r="E161" i="39"/>
  <c r="E377" i="39"/>
  <c r="E121" i="38"/>
  <c r="E253" i="39"/>
  <c r="E273" i="38"/>
  <c r="E245" i="39"/>
  <c r="E357" i="39"/>
  <c r="E221" i="39"/>
  <c r="E93" i="38"/>
  <c r="E301" i="39"/>
  <c r="E221" i="38"/>
  <c r="E97" i="37"/>
  <c r="E117" i="37"/>
  <c r="E225" i="37"/>
  <c r="E245" i="37"/>
  <c r="E53" i="37"/>
  <c r="E161" i="37"/>
  <c r="E17" i="37"/>
  <c r="E37" i="37"/>
  <c r="E145" i="37"/>
  <c r="E165" i="37"/>
  <c r="E273" i="37"/>
  <c r="E293" i="37"/>
  <c r="E5" i="37"/>
  <c r="E33" i="37"/>
  <c r="E181" i="37"/>
  <c r="E289" i="37"/>
  <c r="E65" i="37"/>
  <c r="E85" i="37"/>
  <c r="E193" i="37"/>
  <c r="E213" i="37"/>
  <c r="E321" i="37"/>
  <c r="E341" i="37"/>
  <c r="E113" i="37"/>
  <c r="E133" i="37"/>
  <c r="E241" i="37"/>
  <c r="E261" i="37"/>
  <c r="E309" i="37"/>
  <c r="E81" i="37"/>
  <c r="E101" i="37"/>
  <c r="E209" i="37"/>
  <c r="E229" i="37"/>
  <c r="E337" i="37"/>
  <c r="E21" i="37"/>
  <c r="E129" i="37"/>
  <c r="E149" i="37"/>
  <c r="E257" i="37"/>
  <c r="E277" i="37"/>
  <c r="E49" i="37"/>
  <c r="E69" i="37"/>
  <c r="E177" i="37"/>
  <c r="E197" i="37"/>
  <c r="E305" i="37"/>
  <c r="E325" i="37"/>
  <c r="E137" i="37"/>
  <c r="E89" i="37"/>
  <c r="E357" i="37"/>
  <c r="E237" i="37"/>
  <c r="E109" i="37"/>
  <c r="E369" i="37"/>
  <c r="E301" i="37"/>
  <c r="E269" i="37"/>
  <c r="E377" i="37"/>
  <c r="E153" i="37"/>
  <c r="E173" i="37"/>
  <c r="E201" i="37"/>
  <c r="E9" i="37"/>
  <c r="E397" i="37"/>
  <c r="E121" i="37"/>
  <c r="E45" i="37"/>
  <c r="E189" i="37"/>
  <c r="E413" i="37"/>
  <c r="E285" i="37"/>
  <c r="E373" i="37"/>
  <c r="E61" i="37"/>
  <c r="E105" i="37"/>
  <c r="E353" i="37"/>
  <c r="E253" i="37"/>
  <c r="E125" i="37"/>
  <c r="E365" i="37"/>
  <c r="E317" i="37"/>
  <c r="E57" i="37"/>
  <c r="E345" i="37"/>
  <c r="Q345" i="37" s="1"/>
  <c r="E249" i="37"/>
  <c r="E313" i="37"/>
  <c r="E217" i="37"/>
  <c r="E393" i="37"/>
  <c r="E385" i="37"/>
  <c r="E417" i="37"/>
  <c r="E73" i="37"/>
  <c r="E333" i="37"/>
  <c r="E389" i="37"/>
  <c r="E297" i="37"/>
  <c r="E41" i="37"/>
  <c r="E361" i="37"/>
  <c r="E401" i="37"/>
  <c r="E381" i="37"/>
  <c r="E77" i="37"/>
  <c r="E157" i="37"/>
  <c r="Q157" i="37" s="1"/>
  <c r="E185" i="37"/>
  <c r="E13" i="37"/>
  <c r="E93" i="37"/>
  <c r="E349" i="37"/>
  <c r="Q349" i="37" s="1"/>
  <c r="E281" i="37"/>
  <c r="E205" i="37"/>
  <c r="E409" i="37"/>
  <c r="E233" i="37"/>
  <c r="Q233" i="37" s="1"/>
  <c r="E141" i="37"/>
  <c r="E405" i="37"/>
  <c r="E265" i="37"/>
  <c r="E25" i="37"/>
  <c r="Q25" i="37" s="1"/>
  <c r="E29" i="37"/>
  <c r="E329" i="37"/>
  <c r="E169" i="37"/>
  <c r="E221" i="37"/>
  <c r="Q221" i="37" s="1"/>
  <c r="E276" i="39"/>
  <c r="E272" i="39"/>
  <c r="E256" i="39"/>
  <c r="E124" i="39"/>
  <c r="E120" i="39"/>
  <c r="E112" i="39"/>
  <c r="E416" i="38"/>
  <c r="E356" i="38"/>
  <c r="E352" i="38"/>
  <c r="E240" i="38"/>
  <c r="E60" i="38"/>
  <c r="E264" i="39"/>
  <c r="E232" i="39"/>
  <c r="E116" i="39"/>
  <c r="E412" i="38"/>
  <c r="E396" i="38"/>
  <c r="E152" i="38"/>
  <c r="E288" i="39"/>
  <c r="E24" i="38"/>
  <c r="E380" i="39"/>
  <c r="E372" i="39"/>
  <c r="E296" i="39"/>
  <c r="E292" i="39"/>
  <c r="E268" i="39"/>
  <c r="E252" i="39"/>
  <c r="E240" i="39"/>
  <c r="E224" i="39"/>
  <c r="E76" i="39"/>
  <c r="E368" i="38"/>
  <c r="E348" i="38"/>
  <c r="E76" i="38"/>
  <c r="E56" i="38"/>
  <c r="E16" i="38"/>
  <c r="E408" i="38"/>
  <c r="E368" i="39"/>
  <c r="E284" i="39"/>
  <c r="E260" i="39"/>
  <c r="E248" i="39"/>
  <c r="E84" i="39"/>
  <c r="E404" i="38"/>
  <c r="E208" i="38"/>
  <c r="E200" i="38"/>
  <c r="E192" i="38"/>
  <c r="E184" i="38"/>
  <c r="E176" i="38"/>
  <c r="E168" i="38"/>
  <c r="E160" i="38"/>
  <c r="E140" i="38"/>
  <c r="E64" i="38"/>
  <c r="E32" i="38"/>
  <c r="E312" i="39"/>
  <c r="E280" i="39"/>
  <c r="E236" i="39"/>
  <c r="E96" i="39"/>
  <c r="E244" i="39"/>
  <c r="E304" i="39"/>
  <c r="E104" i="39"/>
  <c r="E256" i="38"/>
  <c r="E28" i="38"/>
  <c r="E244" i="38"/>
  <c r="E108" i="39"/>
  <c r="E92" i="39"/>
  <c r="E372" i="38"/>
  <c r="E268" i="38"/>
  <c r="E80" i="39"/>
  <c r="E364" i="38"/>
  <c r="E144" i="38"/>
  <c r="E52" i="38"/>
  <c r="E376" i="39"/>
  <c r="E400" i="38"/>
  <c r="E24" i="39"/>
  <c r="E180" i="38"/>
  <c r="E44" i="39"/>
  <c r="E300" i="39"/>
  <c r="E148" i="39"/>
  <c r="E164" i="39"/>
  <c r="E180" i="39"/>
  <c r="E328" i="39"/>
  <c r="E392" i="39"/>
  <c r="E104" i="38"/>
  <c r="E188" i="38"/>
  <c r="E132" i="38"/>
  <c r="E232" i="38"/>
  <c r="E212" i="38"/>
  <c r="E308" i="38"/>
  <c r="E36" i="39"/>
  <c r="E8" i="39"/>
  <c r="E204" i="38"/>
  <c r="E16" i="39"/>
  <c r="E352" i="39"/>
  <c r="E208" i="39"/>
  <c r="E344" i="39"/>
  <c r="E172" i="38"/>
  <c r="E96" i="38"/>
  <c r="E92" i="38"/>
  <c r="E4" i="38"/>
  <c r="E28" i="39"/>
  <c r="E72" i="38"/>
  <c r="E48" i="39"/>
  <c r="E156" i="38"/>
  <c r="E60" i="39"/>
  <c r="E40" i="39"/>
  <c r="E236" i="38"/>
  <c r="E248" i="38"/>
  <c r="E320" i="39"/>
  <c r="E196" i="39"/>
  <c r="E212" i="39"/>
  <c r="E416" i="39"/>
  <c r="E44" i="38"/>
  <c r="E224" i="38"/>
  <c r="E216" i="38"/>
  <c r="E284" i="38"/>
  <c r="E304" i="38"/>
  <c r="E360" i="38"/>
  <c r="E328" i="38"/>
  <c r="E68" i="39"/>
  <c r="E32" i="39"/>
  <c r="E252" i="38"/>
  <c r="E344" i="38"/>
  <c r="E56" i="39"/>
  <c r="E64" i="39"/>
  <c r="E12" i="38"/>
  <c r="E88" i="39"/>
  <c r="E228" i="39"/>
  <c r="E128" i="39"/>
  <c r="E200" i="39"/>
  <c r="E216" i="39"/>
  <c r="E364" i="39"/>
  <c r="E384" i="39"/>
  <c r="E408" i="39"/>
  <c r="E412" i="39"/>
  <c r="E196" i="38"/>
  <c r="E124" i="38"/>
  <c r="E336" i="38"/>
  <c r="E384" i="38"/>
  <c r="E72" i="39"/>
  <c r="E20" i="39"/>
  <c r="E308" i="39"/>
  <c r="E48" i="38"/>
  <c r="E128" i="38"/>
  <c r="E264" i="38"/>
  <c r="E288" i="38"/>
  <c r="E320" i="38"/>
  <c r="E68" i="38"/>
  <c r="E188" i="39"/>
  <c r="E404" i="39"/>
  <c r="E164" i="38"/>
  <c r="E4" i="39"/>
  <c r="E144" i="39"/>
  <c r="E112" i="38"/>
  <c r="E84" i="38"/>
  <c r="E8" i="38"/>
  <c r="E100" i="39"/>
  <c r="E12" i="39"/>
  <c r="E152" i="39"/>
  <c r="E184" i="39"/>
  <c r="E340" i="39"/>
  <c r="E360" i="39"/>
  <c r="E396" i="39"/>
  <c r="E80" i="38"/>
  <c r="E260" i="38"/>
  <c r="E340" i="38"/>
  <c r="E380" i="38"/>
  <c r="E332" i="38"/>
  <c r="E116" i="38"/>
  <c r="E228" i="38"/>
  <c r="E292" i="38"/>
  <c r="E300" i="38"/>
  <c r="E88" i="38"/>
  <c r="E272" i="38"/>
  <c r="E356" i="39"/>
  <c r="E316" i="38"/>
  <c r="E376" i="38"/>
  <c r="E176" i="39"/>
  <c r="E108" i="38"/>
  <c r="E136" i="38"/>
  <c r="E132" i="39"/>
  <c r="E156" i="39"/>
  <c r="E336" i="39"/>
  <c r="E316" i="39"/>
  <c r="E36" i="38"/>
  <c r="E40" i="38"/>
  <c r="E388" i="38"/>
  <c r="E400" i="39"/>
  <c r="E100" i="38"/>
  <c r="E168" i="39"/>
  <c r="E332" i="39"/>
  <c r="E296" i="38"/>
  <c r="E192" i="39"/>
  <c r="E140" i="39"/>
  <c r="E280" i="38"/>
  <c r="E392" i="38"/>
  <c r="E388" i="39"/>
  <c r="E52" i="39"/>
  <c r="E160" i="39"/>
  <c r="E204" i="39"/>
  <c r="E324" i="39"/>
  <c r="E120" i="38"/>
  <c r="E220" i="38"/>
  <c r="E312" i="38"/>
  <c r="E276" i="38"/>
  <c r="E324" i="38"/>
  <c r="E220" i="39"/>
  <c r="E136" i="39"/>
  <c r="E20" i="38"/>
  <c r="E148" i="38"/>
  <c r="E172" i="39"/>
  <c r="E348" i="39"/>
  <c r="E24" i="37"/>
  <c r="E152" i="37"/>
  <c r="E280" i="37"/>
  <c r="E360" i="37"/>
  <c r="E372" i="37"/>
  <c r="E356" i="37"/>
  <c r="E416" i="37"/>
  <c r="E72" i="37"/>
  <c r="E200" i="37"/>
  <c r="E328" i="37"/>
  <c r="E348" i="37"/>
  <c r="E400" i="37"/>
  <c r="E120" i="37"/>
  <c r="E248" i="37"/>
  <c r="E368" i="37"/>
  <c r="E380" i="37"/>
  <c r="E40" i="37"/>
  <c r="E168" i="37"/>
  <c r="E296" i="37"/>
  <c r="E88" i="37"/>
  <c r="E216" i="37"/>
  <c r="E344" i="37"/>
  <c r="E8" i="37"/>
  <c r="E136" i="37"/>
  <c r="E264" i="37"/>
  <c r="E364" i="37"/>
  <c r="E376" i="37"/>
  <c r="E56" i="37"/>
  <c r="E184" i="37"/>
  <c r="E312" i="37"/>
  <c r="E352" i="37"/>
  <c r="E104" i="37"/>
  <c r="E232" i="37"/>
  <c r="E384" i="37"/>
  <c r="E4" i="37"/>
  <c r="E392" i="37"/>
  <c r="E288" i="37"/>
  <c r="E212" i="37"/>
  <c r="E304" i="37"/>
  <c r="E176" i="37"/>
  <c r="E52" i="37"/>
  <c r="E260" i="37"/>
  <c r="E132" i="37"/>
  <c r="E32" i="37"/>
  <c r="E84" i="37"/>
  <c r="E284" i="37"/>
  <c r="E276" i="37"/>
  <c r="E48" i="37"/>
  <c r="E144" i="37"/>
  <c r="E224" i="37"/>
  <c r="E28" i="37"/>
  <c r="E268" i="37"/>
  <c r="E140" i="37"/>
  <c r="E300" i="37"/>
  <c r="E320" i="37"/>
  <c r="E192" i="37"/>
  <c r="E64" i="37"/>
  <c r="E244" i="37"/>
  <c r="E148" i="37"/>
  <c r="E20" i="37"/>
  <c r="E196" i="37"/>
  <c r="E408" i="37"/>
  <c r="E256" i="37"/>
  <c r="E12" i="37"/>
  <c r="E92" i="37"/>
  <c r="E292" i="37"/>
  <c r="E164" i="37"/>
  <c r="E36" i="37"/>
  <c r="E68" i="37"/>
  <c r="E228" i="37"/>
  <c r="E76" i="37"/>
  <c r="E240" i="37"/>
  <c r="E272" i="37"/>
  <c r="E96" i="37"/>
  <c r="E252" i="37"/>
  <c r="E388" i="37"/>
  <c r="E316" i="37"/>
  <c r="E44" i="37"/>
  <c r="E404" i="37"/>
  <c r="E128" i="37"/>
  <c r="E412" i="37"/>
  <c r="E108" i="37"/>
  <c r="E100" i="37"/>
  <c r="E16" i="37"/>
  <c r="E172" i="37"/>
  <c r="E124" i="37"/>
  <c r="E236" i="37"/>
  <c r="E324" i="37"/>
  <c r="E208" i="37"/>
  <c r="E60" i="37"/>
  <c r="E180" i="37"/>
  <c r="E340" i="37"/>
  <c r="E112" i="37"/>
  <c r="E156" i="37"/>
  <c r="E204" i="37"/>
  <c r="E160" i="37"/>
  <c r="E80" i="37"/>
  <c r="E220" i="37"/>
  <c r="E396" i="37"/>
  <c r="E188" i="37"/>
  <c r="E332" i="37"/>
  <c r="E308" i="37"/>
  <c r="E336" i="37"/>
  <c r="E116" i="37"/>
  <c r="E398" i="39"/>
  <c r="E338" i="39"/>
  <c r="E274" i="39"/>
  <c r="E270" i="39"/>
  <c r="E118" i="39"/>
  <c r="E78" i="39"/>
  <c r="E370" i="38"/>
  <c r="E206" i="38"/>
  <c r="E198" i="38"/>
  <c r="E190" i="38"/>
  <c r="E182" i="38"/>
  <c r="E174" i="38"/>
  <c r="E166" i="38"/>
  <c r="E154" i="38"/>
  <c r="Q154" i="38" s="1"/>
  <c r="E62" i="38"/>
  <c r="E30" i="38"/>
  <c r="E18" i="38"/>
  <c r="E286" i="39"/>
  <c r="E234" i="39"/>
  <c r="E254" i="38"/>
  <c r="Q254" i="38" s="1"/>
  <c r="E58" i="38"/>
  <c r="E26" i="38"/>
  <c r="Q26" i="38" s="1"/>
  <c r="E246" i="38"/>
  <c r="E394" i="39"/>
  <c r="E370" i="39"/>
  <c r="E290" i="39"/>
  <c r="E266" i="39"/>
  <c r="E254" i="39"/>
  <c r="E242" i="39"/>
  <c r="E14" i="38"/>
  <c r="E298" i="39"/>
  <c r="Q298" i="39" s="1"/>
  <c r="E262" i="39"/>
  <c r="Q262" i="39" s="1"/>
  <c r="E394" i="38"/>
  <c r="Q394" i="38" s="1"/>
  <c r="E306" i="39"/>
  <c r="E302" i="39"/>
  <c r="E282" i="39"/>
  <c r="Q282" i="39" s="1"/>
  <c r="E238" i="39"/>
  <c r="E98" i="39"/>
  <c r="E270" i="38"/>
  <c r="E34" i="38"/>
  <c r="E22" i="38"/>
  <c r="E366" i="39"/>
  <c r="E278" i="39"/>
  <c r="E374" i="38"/>
  <c r="E374" i="39"/>
  <c r="E258" i="39"/>
  <c r="E250" i="39"/>
  <c r="E246" i="39"/>
  <c r="E6" i="38"/>
  <c r="E386" i="38"/>
  <c r="Q386" i="38" s="1"/>
  <c r="E10" i="38"/>
  <c r="E70" i="38"/>
  <c r="Q70" i="38" s="1"/>
  <c r="E54" i="38"/>
  <c r="E310" i="39"/>
  <c r="E378" i="39"/>
  <c r="E262" i="38"/>
  <c r="E178" i="38"/>
  <c r="Q178" i="38" s="1"/>
  <c r="E414" i="38"/>
  <c r="Q414" i="38" s="1"/>
  <c r="E114" i="39"/>
  <c r="E42" i="39"/>
  <c r="E18" i="39"/>
  <c r="E70" i="39"/>
  <c r="E318" i="39"/>
  <c r="E294" i="39"/>
  <c r="E206" i="39"/>
  <c r="E358" i="39"/>
  <c r="E38" i="38"/>
  <c r="E186" i="38"/>
  <c r="E66" i="38"/>
  <c r="E90" i="38"/>
  <c r="E158" i="38"/>
  <c r="E238" i="38"/>
  <c r="E94" i="38"/>
  <c r="Q94" i="38" s="1"/>
  <c r="E242" i="38"/>
  <c r="E322" i="38"/>
  <c r="E326" i="38"/>
  <c r="E90" i="39"/>
  <c r="E194" i="38"/>
  <c r="E46" i="39"/>
  <c r="E54" i="39"/>
  <c r="E62" i="39"/>
  <c r="E106" i="39"/>
  <c r="E126" i="39"/>
  <c r="E134" i="39"/>
  <c r="E130" i="39"/>
  <c r="E230" i="39"/>
  <c r="E222" i="39"/>
  <c r="E218" i="39"/>
  <c r="Q218" i="39" s="1"/>
  <c r="E150" i="39"/>
  <c r="E166" i="39"/>
  <c r="E182" i="39"/>
  <c r="E402" i="39"/>
  <c r="E106" i="38"/>
  <c r="E330" i="38"/>
  <c r="E102" i="38"/>
  <c r="E142" i="38"/>
  <c r="E230" i="38"/>
  <c r="E134" i="38"/>
  <c r="E274" i="38"/>
  <c r="E310" i="38"/>
  <c r="E282" i="38"/>
  <c r="E390" i="38"/>
  <c r="E314" i="38"/>
  <c r="E334" i="38"/>
  <c r="E410" i="38"/>
  <c r="E6" i="39"/>
  <c r="E366" i="38"/>
  <c r="E146" i="38"/>
  <c r="E202" i="38"/>
  <c r="E34" i="39"/>
  <c r="E138" i="39"/>
  <c r="Q138" i="39" s="1"/>
  <c r="E154" i="39"/>
  <c r="Q154" i="39" s="1"/>
  <c r="E170" i="39"/>
  <c r="E314" i="39"/>
  <c r="E326" i="39"/>
  <c r="E386" i="39"/>
  <c r="Q386" i="39" s="1"/>
  <c r="E406" i="39"/>
  <c r="E410" i="39"/>
  <c r="E214" i="38"/>
  <c r="E138" i="38"/>
  <c r="Q138" i="38" s="1"/>
  <c r="E118" i="38"/>
  <c r="E210" i="38"/>
  <c r="E226" i="38"/>
  <c r="E286" i="38"/>
  <c r="E402" i="38"/>
  <c r="E10" i="39"/>
  <c r="E82" i="39"/>
  <c r="E86" i="39"/>
  <c r="Q86" i="39" s="1"/>
  <c r="E94" i="39"/>
  <c r="Q94" i="39" s="1"/>
  <c r="E26" i="39"/>
  <c r="E50" i="39"/>
  <c r="E58" i="39"/>
  <c r="E226" i="39"/>
  <c r="E142" i="39"/>
  <c r="E158" i="39"/>
  <c r="E174" i="39"/>
  <c r="E330" i="39"/>
  <c r="E414" i="39"/>
  <c r="E82" i="38"/>
  <c r="E266" i="38"/>
  <c r="E298" i="38"/>
  <c r="Q298" i="38" s="1"/>
  <c r="E362" i="38"/>
  <c r="E102" i="39"/>
  <c r="E350" i="38"/>
  <c r="Q350" i="38" s="1"/>
  <c r="E14" i="39"/>
  <c r="E74" i="39"/>
  <c r="E146" i="39"/>
  <c r="E178" i="39"/>
  <c r="E194" i="39"/>
  <c r="E382" i="39"/>
  <c r="E50" i="38"/>
  <c r="E234" i="38"/>
  <c r="E406" i="38"/>
  <c r="E258" i="38"/>
  <c r="E66" i="39"/>
  <c r="E198" i="39"/>
  <c r="E322" i="39"/>
  <c r="E74" i="38"/>
  <c r="E150" i="38"/>
  <c r="E78" i="38"/>
  <c r="E218" i="38"/>
  <c r="Q218" i="38" s="1"/>
  <c r="E294" i="38"/>
  <c r="E338" i="38"/>
  <c r="E342" i="38"/>
  <c r="E346" i="38"/>
  <c r="E126" i="38"/>
  <c r="E378" i="38"/>
  <c r="E214" i="39"/>
  <c r="E38" i="39"/>
  <c r="E46" i="38"/>
  <c r="E122" i="39"/>
  <c r="E334" i="39"/>
  <c r="E190" i="39"/>
  <c r="E202" i="39"/>
  <c r="E342" i="39"/>
  <c r="E86" i="38"/>
  <c r="Q86" i="38" s="1"/>
  <c r="E302" i="38"/>
  <c r="E354" i="38"/>
  <c r="E358" i="38"/>
  <c r="E162" i="39"/>
  <c r="Q162" i="39" s="1"/>
  <c r="E354" i="39"/>
  <c r="E114" i="38"/>
  <c r="E42" i="38"/>
  <c r="E162" i="38"/>
  <c r="E398" i="38"/>
  <c r="E350" i="39"/>
  <c r="E170" i="38"/>
  <c r="E346" i="39"/>
  <c r="E122" i="38"/>
  <c r="E222" i="38"/>
  <c r="E22" i="39"/>
  <c r="E30" i="39"/>
  <c r="E110" i="39"/>
  <c r="E362" i="39"/>
  <c r="E110" i="38"/>
  <c r="E290" i="38"/>
  <c r="E250" i="38"/>
  <c r="E306" i="38"/>
  <c r="E278" i="38"/>
  <c r="E382" i="38"/>
  <c r="E186" i="39"/>
  <c r="E210" i="39"/>
  <c r="E390" i="39"/>
  <c r="E130" i="38"/>
  <c r="Q130" i="38" s="1"/>
  <c r="E318" i="38"/>
  <c r="E98" i="38"/>
  <c r="E62" i="37"/>
  <c r="E330" i="37"/>
  <c r="Q330" i="37" s="1"/>
  <c r="E354" i="37"/>
  <c r="Q354" i="37" s="1"/>
  <c r="E78" i="37"/>
  <c r="E194" i="37"/>
  <c r="Q194" i="37" s="1"/>
  <c r="E254" i="37"/>
  <c r="Q254" i="37" s="1"/>
  <c r="E58" i="37"/>
  <c r="E178" i="37"/>
  <c r="E302" i="37"/>
  <c r="Q302" i="37" s="1"/>
  <c r="E278" i="37"/>
  <c r="Q278" i="37" s="1"/>
  <c r="E170" i="37"/>
  <c r="E402" i="37"/>
  <c r="Q402" i="37" s="1"/>
  <c r="E310" i="37"/>
  <c r="Q310" i="37" s="1"/>
  <c r="E202" i="37"/>
  <c r="E222" i="37"/>
  <c r="E94" i="37"/>
  <c r="E286" i="37"/>
  <c r="Q286" i="37" s="1"/>
  <c r="E50" i="37"/>
  <c r="Q50" i="37" s="1"/>
  <c r="E234" i="37"/>
  <c r="E42" i="37"/>
  <c r="E370" i="37"/>
  <c r="E250" i="37"/>
  <c r="Q250" i="37" s="1"/>
  <c r="E122" i="37"/>
  <c r="Q122" i="37" s="1"/>
  <c r="E182" i="37"/>
  <c r="E74" i="37"/>
  <c r="Q74" i="37" s="1"/>
  <c r="E186" i="37"/>
  <c r="Q186" i="37" s="1"/>
  <c r="E266" i="37"/>
  <c r="E158" i="37"/>
  <c r="E210" i="37"/>
  <c r="Q210" i="37" s="1"/>
  <c r="E162" i="37"/>
  <c r="Q162" i="37" s="1"/>
  <c r="E34" i="37"/>
  <c r="Q34" i="37" s="1"/>
  <c r="E174" i="37"/>
  <c r="Q174" i="37" s="1"/>
  <c r="E118" i="37"/>
  <c r="Q118" i="37" s="1"/>
  <c r="E386" i="37"/>
  <c r="Q386" i="37" s="1"/>
  <c r="E102" i="37"/>
  <c r="Q102" i="37" s="1"/>
  <c r="E14" i="37"/>
  <c r="E66" i="37"/>
  <c r="Q66" i="37" s="1"/>
  <c r="E206" i="37"/>
  <c r="Q206" i="37" s="1"/>
  <c r="E298" i="37"/>
  <c r="Q298" i="37" s="1"/>
  <c r="E366" i="37"/>
  <c r="Q366" i="37" s="1"/>
  <c r="E166" i="37"/>
  <c r="Q166" i="37" s="1"/>
  <c r="E22" i="37"/>
  <c r="Q22" i="37" s="1"/>
  <c r="E362" i="37"/>
  <c r="E198" i="37"/>
  <c r="Q198" i="37" s="1"/>
  <c r="E230" i="37"/>
  <c r="Q230" i="37" s="1"/>
  <c r="E338" i="37"/>
  <c r="Q338" i="37" s="1"/>
  <c r="E114" i="37"/>
  <c r="E46" i="37"/>
  <c r="E138" i="37"/>
  <c r="E106" i="37"/>
  <c r="Q106" i="37" s="1"/>
  <c r="E258" i="37"/>
  <c r="E38" i="37"/>
  <c r="E374" i="37"/>
  <c r="E82" i="37"/>
  <c r="Q82" i="37" s="1"/>
  <c r="E146" i="37"/>
  <c r="Q146" i="37" s="1"/>
  <c r="E238" i="37"/>
  <c r="E414" i="37"/>
  <c r="Q414" i="37" s="1"/>
  <c r="E214" i="37"/>
  <c r="E358" i="37"/>
  <c r="Q358" i="37" s="1"/>
  <c r="E318" i="37"/>
  <c r="Q318" i="37" s="1"/>
  <c r="E282" i="37"/>
  <c r="E26" i="37"/>
  <c r="Q26" i="37" s="1"/>
  <c r="E18" i="37"/>
  <c r="E98" i="37"/>
  <c r="Q98" i="37" s="1"/>
  <c r="E346" i="37"/>
  <c r="E90" i="37"/>
  <c r="Q90" i="37" s="1"/>
  <c r="E314" i="37"/>
  <c r="Q314" i="37" s="1"/>
  <c r="E350" i="37"/>
  <c r="E142" i="37"/>
  <c r="Q142" i="37" s="1"/>
  <c r="E6" i="37"/>
  <c r="E334" i="37"/>
  <c r="E274" i="37"/>
  <c r="E306" i="37"/>
  <c r="Q306" i="37" s="1"/>
  <c r="E294" i="37"/>
  <c r="Q294" i="37" s="1"/>
  <c r="E86" i="37"/>
  <c r="Q86" i="37" s="1"/>
  <c r="E70" i="37"/>
  <c r="E54" i="37"/>
  <c r="Q54" i="37" s="1"/>
  <c r="E242" i="37"/>
  <c r="Q242" i="37" s="1"/>
  <c r="E246" i="37"/>
  <c r="E10" i="37"/>
  <c r="E30" i="37"/>
  <c r="Q30" i="37" s="1"/>
  <c r="E130" i="37"/>
  <c r="Q130" i="37" s="1"/>
  <c r="E190" i="37"/>
  <c r="E290" i="37"/>
  <c r="E110" i="37"/>
  <c r="E270" i="37"/>
  <c r="Q270" i="37" s="1"/>
  <c r="E126" i="37"/>
  <c r="E150" i="37"/>
  <c r="E410" i="37"/>
  <c r="E382" i="37"/>
  <c r="Q382" i="37" s="1"/>
  <c r="E322" i="37"/>
  <c r="Q322" i="37" s="1"/>
  <c r="E218" i="37"/>
  <c r="E262" i="37"/>
  <c r="Q262" i="37" s="1"/>
  <c r="E134" i="37"/>
  <c r="Q134" i="37" s="1"/>
  <c r="E406" i="37"/>
  <c r="Q406" i="37" s="1"/>
  <c r="E390" i="37"/>
  <c r="Q390" i="37" s="1"/>
  <c r="E226" i="37"/>
  <c r="Q226" i="37" s="1"/>
  <c r="E398" i="37"/>
  <c r="Q398" i="37" s="1"/>
  <c r="E326" i="37"/>
  <c r="E394" i="37"/>
  <c r="E154" i="37"/>
  <c r="Q154" i="37" s="1"/>
  <c r="E342" i="37"/>
  <c r="Q342" i="37" s="1"/>
  <c r="E378" i="37"/>
  <c r="E303" i="39"/>
  <c r="E239" i="39"/>
  <c r="Q239" i="39" s="1"/>
  <c r="E87" i="39"/>
  <c r="Q87" i="39" s="1"/>
  <c r="E67" i="39"/>
  <c r="E35" i="39"/>
  <c r="E7" i="39"/>
  <c r="E319" i="38"/>
  <c r="E303" i="38"/>
  <c r="E271" i="38"/>
  <c r="E231" i="38"/>
  <c r="E35" i="38"/>
  <c r="E175" i="39"/>
  <c r="E103" i="39"/>
  <c r="E55" i="39"/>
  <c r="E403" i="38"/>
  <c r="Q403" i="38" s="1"/>
  <c r="E207" i="38"/>
  <c r="E199" i="38"/>
  <c r="E191" i="38"/>
  <c r="E391" i="39"/>
  <c r="E319" i="39"/>
  <c r="E167" i="39"/>
  <c r="E83" i="39"/>
  <c r="E63" i="39"/>
  <c r="E31" i="39"/>
  <c r="E39" i="38"/>
  <c r="E399" i="39"/>
  <c r="E327" i="39"/>
  <c r="E23" i="39"/>
  <c r="E223" i="38"/>
  <c r="E183" i="38"/>
  <c r="Q183" i="38" s="1"/>
  <c r="E175" i="38"/>
  <c r="E167" i="38"/>
  <c r="E63" i="38"/>
  <c r="E375" i="39"/>
  <c r="Q375" i="39" s="1"/>
  <c r="E315" i="39"/>
  <c r="E311" i="39"/>
  <c r="E259" i="39"/>
  <c r="E247" i="39"/>
  <c r="E95" i="39"/>
  <c r="Q95" i="39" s="1"/>
  <c r="E59" i="39"/>
  <c r="E27" i="39"/>
  <c r="E11" i="39"/>
  <c r="E263" i="38"/>
  <c r="E47" i="38"/>
  <c r="E43" i="38"/>
  <c r="E339" i="39"/>
  <c r="E131" i="39"/>
  <c r="Q131" i="39" s="1"/>
  <c r="E91" i="39"/>
  <c r="E79" i="39"/>
  <c r="E159" i="38"/>
  <c r="Q159" i="38" s="1"/>
  <c r="E31" i="38"/>
  <c r="E411" i="39"/>
  <c r="E407" i="39"/>
  <c r="E255" i="39"/>
  <c r="E243" i="39"/>
  <c r="E47" i="39"/>
  <c r="E15" i="39"/>
  <c r="Q15" i="39" s="1"/>
  <c r="E399" i="38"/>
  <c r="Q399" i="38" s="1"/>
  <c r="E255" i="38"/>
  <c r="E251" i="38"/>
  <c r="E415" i="39"/>
  <c r="Q415" i="39" s="1"/>
  <c r="E383" i="39"/>
  <c r="E335" i="39"/>
  <c r="E171" i="39"/>
  <c r="E75" i="39"/>
  <c r="E43" i="39"/>
  <c r="E351" i="38"/>
  <c r="E387" i="39"/>
  <c r="E295" i="39"/>
  <c r="E311" i="38"/>
  <c r="E151" i="38"/>
  <c r="Q151" i="38" s="1"/>
  <c r="E19" i="39"/>
  <c r="E323" i="39"/>
  <c r="E39" i="39"/>
  <c r="Q39" i="39" s="1"/>
  <c r="E239" i="38"/>
  <c r="Q239" i="38" s="1"/>
  <c r="E251" i="39"/>
  <c r="E51" i="39"/>
  <c r="E227" i="39"/>
  <c r="E331" i="39"/>
  <c r="E395" i="38"/>
  <c r="E247" i="38"/>
  <c r="E403" i="39"/>
  <c r="E235" i="39"/>
  <c r="E183" i="39"/>
  <c r="E71" i="39"/>
  <c r="E259" i="38"/>
  <c r="Q259" i="38" s="1"/>
  <c r="E215" i="38"/>
  <c r="E27" i="38"/>
  <c r="E211" i="38"/>
  <c r="E415" i="38"/>
  <c r="Q415" i="38" s="1"/>
  <c r="E219" i="38"/>
  <c r="E55" i="38"/>
  <c r="Q55" i="38" s="1"/>
  <c r="E107" i="39"/>
  <c r="E291" i="39"/>
  <c r="E263" i="39"/>
  <c r="E379" i="39"/>
  <c r="E87" i="38"/>
  <c r="E267" i="38"/>
  <c r="E339" i="38"/>
  <c r="E355" i="38"/>
  <c r="E323" i="38"/>
  <c r="E367" i="38"/>
  <c r="E371" i="38"/>
  <c r="E383" i="38"/>
  <c r="E187" i="38"/>
  <c r="E203" i="39"/>
  <c r="E195" i="39"/>
  <c r="E287" i="39"/>
  <c r="E151" i="39"/>
  <c r="E367" i="39"/>
  <c r="E363" i="39"/>
  <c r="E103" i="38"/>
  <c r="E15" i="38"/>
  <c r="E75" i="38"/>
  <c r="E107" i="38"/>
  <c r="E335" i="38"/>
  <c r="E343" i="38"/>
  <c r="E407" i="38"/>
  <c r="E135" i="38"/>
  <c r="E227" i="38"/>
  <c r="E291" i="38"/>
  <c r="E171" i="38"/>
  <c r="E191" i="39"/>
  <c r="E283" i="39"/>
  <c r="E211" i="39"/>
  <c r="E187" i="39"/>
  <c r="E359" i="39"/>
  <c r="E51" i="38"/>
  <c r="E111" i="38"/>
  <c r="E83" i="38"/>
  <c r="E115" i="38"/>
  <c r="E295" i="38"/>
  <c r="E347" i="38"/>
  <c r="E363" i="38"/>
  <c r="E375" i="38"/>
  <c r="E163" i="38"/>
  <c r="E179" i="38"/>
  <c r="E7" i="38"/>
  <c r="E215" i="39"/>
  <c r="E275" i="38"/>
  <c r="E219" i="39"/>
  <c r="E299" i="38"/>
  <c r="Q299" i="38" s="1"/>
  <c r="E115" i="39"/>
  <c r="E111" i="39"/>
  <c r="E139" i="39"/>
  <c r="E147" i="39"/>
  <c r="E299" i="39"/>
  <c r="Q299" i="39" s="1"/>
  <c r="E231" i="39"/>
  <c r="E279" i="39"/>
  <c r="E307" i="39"/>
  <c r="Q307" i="39" s="1"/>
  <c r="E19" i="38"/>
  <c r="E79" i="38"/>
  <c r="E67" i="38"/>
  <c r="E91" i="38"/>
  <c r="E123" i="38"/>
  <c r="E139" i="38"/>
  <c r="E331" i="38"/>
  <c r="E287" i="38"/>
  <c r="E391" i="38"/>
  <c r="E203" i="38"/>
  <c r="E195" i="38"/>
  <c r="E11" i="38"/>
  <c r="J15" i="38" s="1"/>
  <c r="E199" i="39"/>
  <c r="E147" i="38"/>
  <c r="E283" i="38"/>
  <c r="E135" i="39"/>
  <c r="E271" i="39"/>
  <c r="E355" i="39"/>
  <c r="E127" i="38"/>
  <c r="E99" i="38"/>
  <c r="E327" i="38"/>
  <c r="E235" i="38"/>
  <c r="E163" i="39"/>
  <c r="E23" i="38"/>
  <c r="E71" i="38"/>
  <c r="E371" i="39"/>
  <c r="E119" i="38"/>
  <c r="Q119" i="38" s="1"/>
  <c r="E279" i="38"/>
  <c r="E379" i="38"/>
  <c r="E359" i="38"/>
  <c r="E95" i="38"/>
  <c r="Q95" i="38" s="1"/>
  <c r="E307" i="38"/>
  <c r="Q307" i="38" s="1"/>
  <c r="E127" i="39"/>
  <c r="E243" i="38"/>
  <c r="E207" i="39"/>
  <c r="E179" i="39"/>
  <c r="E119" i="39"/>
  <c r="Q119" i="39" s="1"/>
  <c r="E223" i="39"/>
  <c r="E267" i="39"/>
  <c r="E143" i="38"/>
  <c r="E315" i="38"/>
  <c r="E275" i="39"/>
  <c r="E131" i="38"/>
  <c r="E99" i="39"/>
  <c r="E159" i="39"/>
  <c r="E155" i="39"/>
  <c r="E143" i="39"/>
  <c r="E343" i="39"/>
  <c r="E347" i="39"/>
  <c r="E59" i="38"/>
  <c r="E155" i="38"/>
  <c r="Q155" i="38" s="1"/>
  <c r="E351" i="39"/>
  <c r="E411" i="38"/>
  <c r="E387" i="38"/>
  <c r="Q387" i="38" s="1"/>
  <c r="E123" i="39"/>
  <c r="E395" i="39"/>
  <c r="E387" i="37"/>
  <c r="Q387" i="37" s="1"/>
  <c r="E371" i="37"/>
  <c r="E403" i="37"/>
  <c r="E55" i="37"/>
  <c r="E347" i="37"/>
  <c r="Q347" i="37" s="1"/>
  <c r="E327" i="37"/>
  <c r="Q327" i="37" s="1"/>
  <c r="E263" i="37"/>
  <c r="E135" i="37"/>
  <c r="E355" i="37"/>
  <c r="Q355" i="37" s="1"/>
  <c r="E379" i="37"/>
  <c r="E231" i="37"/>
  <c r="E391" i="37"/>
  <c r="Q391" i="37" s="1"/>
  <c r="E151" i="37"/>
  <c r="Q151" i="37" s="1"/>
  <c r="E375" i="37"/>
  <c r="E119" i="37"/>
  <c r="E183" i="37"/>
  <c r="Q183" i="37" s="1"/>
  <c r="E23" i="37"/>
  <c r="Q23" i="37" s="1"/>
  <c r="E291" i="37"/>
  <c r="E163" i="37"/>
  <c r="E35" i="37"/>
  <c r="Q35" i="37" s="1"/>
  <c r="E235" i="37"/>
  <c r="Q235" i="37" s="1"/>
  <c r="E107" i="37"/>
  <c r="E319" i="37"/>
  <c r="Q319" i="37" s="1"/>
  <c r="E191" i="37"/>
  <c r="Q191" i="37" s="1"/>
  <c r="E63" i="37"/>
  <c r="E415" i="37"/>
  <c r="E147" i="37"/>
  <c r="Q147" i="37" s="1"/>
  <c r="E219" i="37"/>
  <c r="Q219" i="37" s="1"/>
  <c r="E303" i="37"/>
  <c r="Q303" i="37" s="1"/>
  <c r="E47" i="37"/>
  <c r="Q47" i="37" s="1"/>
  <c r="E115" i="37"/>
  <c r="Q115" i="37" s="1"/>
  <c r="E271" i="37"/>
  <c r="E87" i="37"/>
  <c r="Q87" i="37" s="1"/>
  <c r="E71" i="37"/>
  <c r="E7" i="37"/>
  <c r="E275" i="37"/>
  <c r="E19" i="37"/>
  <c r="Q19" i="37" s="1"/>
  <c r="E91" i="37"/>
  <c r="E175" i="37"/>
  <c r="Q175" i="37" s="1"/>
  <c r="E243" i="37"/>
  <c r="E315" i="37"/>
  <c r="Q315" i="37" s="1"/>
  <c r="E59" i="37"/>
  <c r="Q59" i="37" s="1"/>
  <c r="E15" i="37"/>
  <c r="E167" i="37"/>
  <c r="Q167" i="37" s="1"/>
  <c r="E383" i="37"/>
  <c r="Q383" i="37" s="1"/>
  <c r="E363" i="37"/>
  <c r="Q363" i="37" s="1"/>
  <c r="E259" i="37"/>
  <c r="Q259" i="37" s="1"/>
  <c r="E131" i="37"/>
  <c r="E331" i="37"/>
  <c r="Q331" i="37" s="1"/>
  <c r="E203" i="37"/>
  <c r="E75" i="37"/>
  <c r="E287" i="37"/>
  <c r="Q287" i="37" s="1"/>
  <c r="E159" i="37"/>
  <c r="Q159" i="37" s="1"/>
  <c r="E31" i="37"/>
  <c r="E367" i="37"/>
  <c r="Q367" i="37" s="1"/>
  <c r="E351" i="37"/>
  <c r="Q351" i="37" s="1"/>
  <c r="E103" i="37"/>
  <c r="Q103" i="37" s="1"/>
  <c r="E295" i="37"/>
  <c r="E187" i="37"/>
  <c r="E143" i="37"/>
  <c r="E215" i="37"/>
  <c r="Q215" i="37" s="1"/>
  <c r="E247" i="37"/>
  <c r="Q247" i="37" s="1"/>
  <c r="E279" i="37"/>
  <c r="E399" i="37"/>
  <c r="E411" i="37"/>
  <c r="E227" i="37"/>
  <c r="E99" i="37"/>
  <c r="Q99" i="37" s="1"/>
  <c r="E299" i="37"/>
  <c r="Q299" i="37" s="1"/>
  <c r="E171" i="37"/>
  <c r="Q171" i="37" s="1"/>
  <c r="E43" i="37"/>
  <c r="Q43" i="37" s="1"/>
  <c r="E255" i="37"/>
  <c r="E127" i="37"/>
  <c r="Q127" i="37" s="1"/>
  <c r="E395" i="37"/>
  <c r="Q395" i="37" s="1"/>
  <c r="E311" i="37"/>
  <c r="E307" i="37"/>
  <c r="E267" i="37"/>
  <c r="Q267" i="37" s="1"/>
  <c r="E239" i="37"/>
  <c r="Q239" i="37" s="1"/>
  <c r="E335" i="37"/>
  <c r="Q335" i="37" s="1"/>
  <c r="E211" i="37"/>
  <c r="E251" i="37"/>
  <c r="E223" i="37"/>
  <c r="Q223" i="37" s="1"/>
  <c r="E67" i="37"/>
  <c r="E51" i="37"/>
  <c r="E323" i="37"/>
  <c r="Q323" i="37" s="1"/>
  <c r="E39" i="37"/>
  <c r="Q39" i="37" s="1"/>
  <c r="E343" i="37"/>
  <c r="E195" i="37"/>
  <c r="E155" i="37"/>
  <c r="Q155" i="37" s="1"/>
  <c r="E207" i="37"/>
  <c r="Q207" i="37" s="1"/>
  <c r="E179" i="37"/>
  <c r="E139" i="37"/>
  <c r="E111" i="37"/>
  <c r="E407" i="37"/>
  <c r="Q407" i="37" s="1"/>
  <c r="E79" i="37"/>
  <c r="Q79" i="37" s="1"/>
  <c r="E359" i="37"/>
  <c r="Q359" i="37" s="1"/>
  <c r="E83" i="37"/>
  <c r="E123" i="37"/>
  <c r="Q123" i="37" s="1"/>
  <c r="E95" i="37"/>
  <c r="Q95" i="37" s="1"/>
  <c r="E27" i="37"/>
  <c r="E199" i="37"/>
  <c r="E339" i="37"/>
  <c r="E11" i="37"/>
  <c r="E283" i="37"/>
  <c r="Q116" i="37" l="1"/>
  <c r="Q324" i="37"/>
  <c r="Q128" i="37"/>
  <c r="J16" i="37"/>
  <c r="Q192" i="37"/>
  <c r="Q48" i="37"/>
  <c r="Q176" i="37"/>
  <c r="Q136" i="37"/>
  <c r="Q380" i="37"/>
  <c r="Q72" i="37"/>
  <c r="Q68" i="38"/>
  <c r="Q268" i="38"/>
  <c r="Q333" i="37"/>
  <c r="Q109" i="37"/>
  <c r="Q337" i="37"/>
  <c r="Q133" i="37"/>
  <c r="Q289" i="37"/>
  <c r="Q129" i="39"/>
  <c r="Q85" i="38"/>
  <c r="Q25" i="39"/>
  <c r="Q336" i="37"/>
  <c r="Q204" i="37"/>
  <c r="Q404" i="37"/>
  <c r="Q76" i="37"/>
  <c r="Q256" i="37"/>
  <c r="Q368" i="37"/>
  <c r="Q416" i="37"/>
  <c r="Q388" i="38"/>
  <c r="Q24" i="39"/>
  <c r="Q169" i="37"/>
  <c r="Q409" i="37"/>
  <c r="Q69" i="37"/>
  <c r="Q229" i="37"/>
  <c r="Q113" i="37"/>
  <c r="Q389" i="39"/>
  <c r="Q41" i="38"/>
  <c r="Q188" i="37"/>
  <c r="Q36" i="37"/>
  <c r="Q268" i="37"/>
  <c r="Q32" i="37"/>
  <c r="Q392" i="37"/>
  <c r="Q56" i="37"/>
  <c r="Q400" i="37"/>
  <c r="Q360" i="37"/>
  <c r="Q128" i="38"/>
  <c r="Q68" i="39"/>
  <c r="Q416" i="39"/>
  <c r="Q184" i="38"/>
  <c r="Q380" i="39"/>
  <c r="Q125" i="37"/>
  <c r="Q137" i="37"/>
  <c r="Q257" i="37"/>
  <c r="Q81" i="37"/>
  <c r="Q293" i="37"/>
  <c r="Q245" i="37"/>
  <c r="J17" i="39"/>
  <c r="Q217" i="39"/>
  <c r="Q397" i="39"/>
  <c r="Q100" i="37"/>
  <c r="Q164" i="37"/>
  <c r="Q148" i="37"/>
  <c r="Q376" i="37"/>
  <c r="Q296" i="37"/>
  <c r="Q152" i="39"/>
  <c r="Q164" i="38"/>
  <c r="Q208" i="39"/>
  <c r="Q265" i="37"/>
  <c r="Q93" i="37"/>
  <c r="Q41" i="37"/>
  <c r="Q217" i="37"/>
  <c r="Q45" i="37"/>
  <c r="Q309" i="37"/>
  <c r="Q225" i="37"/>
  <c r="Q389" i="38"/>
  <c r="J17" i="38"/>
  <c r="Q105" i="39"/>
  <c r="Q313" i="37"/>
  <c r="Q121" i="37"/>
  <c r="Q301" i="37"/>
  <c r="Q85" i="37"/>
  <c r="Q297" i="39"/>
  <c r="J131" i="39"/>
  <c r="Q127" i="39"/>
  <c r="J23" i="38"/>
  <c r="Q19" i="38"/>
  <c r="J363" i="39"/>
  <c r="Q359" i="39"/>
  <c r="J367" i="39"/>
  <c r="Q363" i="39"/>
  <c r="J219" i="38"/>
  <c r="Q215" i="38"/>
  <c r="Q339" i="37"/>
  <c r="J415" i="38"/>
  <c r="Q411" i="38"/>
  <c r="J163" i="39"/>
  <c r="Q159" i="39"/>
  <c r="J383" i="38"/>
  <c r="Q379" i="38"/>
  <c r="J203" i="39"/>
  <c r="Q199" i="39"/>
  <c r="J127" i="38"/>
  <c r="Q123" i="38"/>
  <c r="J219" i="39"/>
  <c r="Q215" i="39"/>
  <c r="J195" i="39"/>
  <c r="Q191" i="39"/>
  <c r="J199" i="39"/>
  <c r="Q195" i="39"/>
  <c r="J259" i="38"/>
  <c r="Q255" i="38"/>
  <c r="J267" i="38"/>
  <c r="Q263" i="38"/>
  <c r="J395" i="39"/>
  <c r="Q391" i="39"/>
  <c r="J34" i="39"/>
  <c r="Q30" i="39"/>
  <c r="J163" i="38"/>
  <c r="Q162" i="38"/>
  <c r="J218" i="39"/>
  <c r="Q214" i="39"/>
  <c r="J178" i="39"/>
  <c r="Q174" i="39"/>
  <c r="J338" i="38"/>
  <c r="Q334" i="38"/>
  <c r="J146" i="38"/>
  <c r="Q142" i="38"/>
  <c r="J58" i="39"/>
  <c r="Q54" i="39"/>
  <c r="J298" i="39"/>
  <c r="Q294" i="39"/>
  <c r="J250" i="39"/>
  <c r="Q246" i="39"/>
  <c r="J38" i="38"/>
  <c r="Q34" i="38"/>
  <c r="J398" i="39"/>
  <c r="Q394" i="39"/>
  <c r="Q240" i="37"/>
  <c r="J316" i="38"/>
  <c r="Q312" i="38"/>
  <c r="J402" i="39"/>
  <c r="J404" i="39"/>
  <c r="Q400" i="39"/>
  <c r="J84" i="38"/>
  <c r="Q80" i="38"/>
  <c r="J76" i="39"/>
  <c r="Q72" i="39"/>
  <c r="J60" i="39"/>
  <c r="Q56" i="39"/>
  <c r="J144" i="38"/>
  <c r="Q140" i="38"/>
  <c r="J272" i="39"/>
  <c r="Q268" i="39"/>
  <c r="Q61" i="37"/>
  <c r="J65" i="37"/>
  <c r="J225" i="38"/>
  <c r="Q221" i="38"/>
  <c r="J21" i="38"/>
  <c r="Q17" i="38"/>
  <c r="J137" i="39"/>
  <c r="Q133" i="39"/>
  <c r="J325" i="38"/>
  <c r="Q321" i="38"/>
  <c r="J177" i="39"/>
  <c r="Q173" i="39"/>
  <c r="J341" i="39"/>
  <c r="Q337" i="39"/>
  <c r="Q129" i="38"/>
  <c r="J369" i="38"/>
  <c r="Q365" i="38"/>
  <c r="J417" i="39"/>
  <c r="Q413" i="39"/>
  <c r="J37" i="38"/>
  <c r="Q33" i="38"/>
  <c r="J241" i="39"/>
  <c r="Q237" i="39"/>
  <c r="Q143" i="37"/>
  <c r="Q275" i="37"/>
  <c r="J279" i="37"/>
  <c r="Q55" i="37"/>
  <c r="J103" i="39"/>
  <c r="Q99" i="39"/>
  <c r="J283" i="38"/>
  <c r="Q279" i="38"/>
  <c r="J103" i="38"/>
  <c r="Q99" i="38"/>
  <c r="J95" i="38"/>
  <c r="Q91" i="38"/>
  <c r="J79" i="38"/>
  <c r="Q75" i="38"/>
  <c r="J407" i="39"/>
  <c r="Q403" i="39"/>
  <c r="J47" i="39"/>
  <c r="Q43" i="39"/>
  <c r="J15" i="39"/>
  <c r="J195" i="38"/>
  <c r="Q191" i="38"/>
  <c r="Q138" i="37"/>
  <c r="Q62" i="37"/>
  <c r="J66" i="37"/>
  <c r="J26" i="39"/>
  <c r="Q22" i="39"/>
  <c r="J346" i="39"/>
  <c r="Q342" i="39"/>
  <c r="J153" i="38"/>
  <c r="J154" i="38"/>
  <c r="Q150" i="38"/>
  <c r="J106" i="39"/>
  <c r="Q102" i="39"/>
  <c r="J86" i="39"/>
  <c r="Q82" i="39"/>
  <c r="J218" i="38"/>
  <c r="Q214" i="38"/>
  <c r="J318" i="38"/>
  <c r="Q314" i="38"/>
  <c r="J226" i="39"/>
  <c r="Q222" i="39"/>
  <c r="J162" i="38"/>
  <c r="Q158" i="38"/>
  <c r="J382" i="39"/>
  <c r="Q378" i="39"/>
  <c r="J250" i="38"/>
  <c r="Q246" i="38"/>
  <c r="J374" i="38"/>
  <c r="Q370" i="38"/>
  <c r="Q236" i="37"/>
  <c r="Q352" i="37"/>
  <c r="J176" i="39"/>
  <c r="Q172" i="39"/>
  <c r="J296" i="38"/>
  <c r="Q292" i="38"/>
  <c r="J88" i="38"/>
  <c r="Q84" i="38"/>
  <c r="J388" i="38"/>
  <c r="Q384" i="38"/>
  <c r="J348" i="38"/>
  <c r="Q344" i="38"/>
  <c r="J240" i="38"/>
  <c r="Q236" i="38"/>
  <c r="J248" i="39"/>
  <c r="Q244" i="39"/>
  <c r="J88" i="39"/>
  <c r="Q84" i="39"/>
  <c r="J296" i="39"/>
  <c r="Q292" i="39"/>
  <c r="Q416" i="38"/>
  <c r="Q73" i="37"/>
  <c r="Q373" i="37"/>
  <c r="J377" i="37"/>
  <c r="Q17" i="37"/>
  <c r="J21" i="37"/>
  <c r="J379" i="39"/>
  <c r="J381" i="39"/>
  <c r="Q377" i="39"/>
  <c r="J93" i="39"/>
  <c r="Q89" i="39"/>
  <c r="J105" i="38"/>
  <c r="Q101" i="38"/>
  <c r="J182" i="38"/>
  <c r="J185" i="38"/>
  <c r="Q181" i="38"/>
  <c r="J309" i="39"/>
  <c r="Q305" i="39"/>
  <c r="J277" i="39"/>
  <c r="Q273" i="39"/>
  <c r="J81" i="38"/>
  <c r="Q77" i="38"/>
  <c r="J101" i="38"/>
  <c r="Q97" i="38"/>
  <c r="J21" i="39"/>
  <c r="Q17" i="39"/>
  <c r="J189" i="38"/>
  <c r="Q185" i="38"/>
  <c r="J53" i="39"/>
  <c r="Q49" i="39"/>
  <c r="J413" i="38"/>
  <c r="Q409" i="38"/>
  <c r="Q57" i="38"/>
  <c r="Q269" i="39"/>
  <c r="J117" i="39"/>
  <c r="Q113" i="39"/>
  <c r="Q57" i="39"/>
  <c r="Q85" i="39"/>
  <c r="Q27" i="37"/>
  <c r="Q139" i="37"/>
  <c r="Q51" i="37"/>
  <c r="Q307" i="37"/>
  <c r="Q187" i="37"/>
  <c r="Q75" i="37"/>
  <c r="Q15" i="37"/>
  <c r="J19" i="37"/>
  <c r="Q163" i="37"/>
  <c r="Q231" i="37"/>
  <c r="Q403" i="37"/>
  <c r="Q131" i="38"/>
  <c r="J211" i="39"/>
  <c r="Q207" i="39"/>
  <c r="J131" i="38"/>
  <c r="Q127" i="38"/>
  <c r="J199" i="38"/>
  <c r="Q195" i="38"/>
  <c r="J71" i="38"/>
  <c r="Q67" i="38"/>
  <c r="Q139" i="39"/>
  <c r="J183" i="38"/>
  <c r="Q179" i="38"/>
  <c r="J115" i="38"/>
  <c r="Q111" i="38"/>
  <c r="J295" i="38"/>
  <c r="Q291" i="38"/>
  <c r="J19" i="38"/>
  <c r="Q15" i="38"/>
  <c r="J191" i="38"/>
  <c r="Q187" i="38"/>
  <c r="Q87" i="38"/>
  <c r="J215" i="38"/>
  <c r="Q211" i="38"/>
  <c r="J251" i="38"/>
  <c r="Q247" i="38"/>
  <c r="J327" i="39"/>
  <c r="Q323" i="39"/>
  <c r="J79" i="39"/>
  <c r="Q75" i="39"/>
  <c r="J83" i="39"/>
  <c r="Q79" i="39"/>
  <c r="J31" i="39"/>
  <c r="Q27" i="39"/>
  <c r="Q63" i="38"/>
  <c r="Q39" i="38"/>
  <c r="J203" i="38"/>
  <c r="Q199" i="38"/>
  <c r="J275" i="38"/>
  <c r="Q271" i="38"/>
  <c r="J307" i="39"/>
  <c r="Q303" i="39"/>
  <c r="Q150" i="37"/>
  <c r="Q274" i="37"/>
  <c r="J278" i="37"/>
  <c r="Q238" i="37"/>
  <c r="Q46" i="37"/>
  <c r="Q182" i="37"/>
  <c r="Q94" i="37"/>
  <c r="Q178" i="37"/>
  <c r="J182" i="37"/>
  <c r="J102" i="38"/>
  <c r="Q98" i="38"/>
  <c r="J310" i="38"/>
  <c r="Q306" i="38"/>
  <c r="J226" i="38"/>
  <c r="Q222" i="38"/>
  <c r="J118" i="38"/>
  <c r="Q114" i="38"/>
  <c r="J206" i="39"/>
  <c r="Q202" i="39"/>
  <c r="J130" i="38"/>
  <c r="Q126" i="38"/>
  <c r="J78" i="38"/>
  <c r="Q74" i="38"/>
  <c r="J386" i="39"/>
  <c r="Q382" i="39"/>
  <c r="J366" i="38"/>
  <c r="Q362" i="38"/>
  <c r="J146" i="39"/>
  <c r="Q142" i="39"/>
  <c r="J414" i="39"/>
  <c r="Q410" i="39"/>
  <c r="J38" i="39"/>
  <c r="Q34" i="39"/>
  <c r="J394" i="38"/>
  <c r="Q390" i="38"/>
  <c r="J334" i="38"/>
  <c r="Q330" i="38"/>
  <c r="J234" i="39"/>
  <c r="Q230" i="39"/>
  <c r="J198" i="38"/>
  <c r="Q194" i="38"/>
  <c r="J94" i="38"/>
  <c r="Q90" i="38"/>
  <c r="J71" i="39"/>
  <c r="Q70" i="39"/>
  <c r="Q310" i="39"/>
  <c r="J262" i="39"/>
  <c r="Q258" i="39"/>
  <c r="J102" i="39"/>
  <c r="Q98" i="39"/>
  <c r="J18" i="38"/>
  <c r="P15" i="38"/>
  <c r="J82" i="39"/>
  <c r="Q78" i="39"/>
  <c r="Q308" i="37"/>
  <c r="Q124" i="37"/>
  <c r="Q44" i="37"/>
  <c r="Q228" i="37"/>
  <c r="J412" i="37"/>
  <c r="Q408" i="37"/>
  <c r="Q284" i="37"/>
  <c r="Q212" i="37"/>
  <c r="J316" i="37"/>
  <c r="Q312" i="37"/>
  <c r="Q344" i="37"/>
  <c r="Q248" i="37"/>
  <c r="Q356" i="37"/>
  <c r="J152" i="38"/>
  <c r="Q148" i="38"/>
  <c r="J124" i="38"/>
  <c r="Q120" i="38"/>
  <c r="J144" i="39"/>
  <c r="Q140" i="39"/>
  <c r="Q40" i="38"/>
  <c r="J180" i="39"/>
  <c r="Q176" i="39"/>
  <c r="J232" i="38"/>
  <c r="Q228" i="38"/>
  <c r="J364" i="39"/>
  <c r="Q360" i="39"/>
  <c r="J116" i="38"/>
  <c r="Q112" i="38"/>
  <c r="J292" i="38"/>
  <c r="Q288" i="38"/>
  <c r="J340" i="38"/>
  <c r="Q336" i="38"/>
  <c r="J204" i="39"/>
  <c r="Q200" i="39"/>
  <c r="J256" i="38"/>
  <c r="Q252" i="38"/>
  <c r="J228" i="38"/>
  <c r="Q224" i="38"/>
  <c r="Q40" i="39"/>
  <c r="J100" i="38"/>
  <c r="Q96" i="38"/>
  <c r="J40" i="39"/>
  <c r="Q36" i="39"/>
  <c r="J332" i="39"/>
  <c r="Q328" i="39"/>
  <c r="J404" i="38"/>
  <c r="Q400" i="38"/>
  <c r="Q92" i="39"/>
  <c r="J100" i="39"/>
  <c r="Q96" i="39"/>
  <c r="J172" i="38"/>
  <c r="Q168" i="38"/>
  <c r="J252" i="39"/>
  <c r="Q248" i="39"/>
  <c r="J352" i="38"/>
  <c r="Q348" i="38"/>
  <c r="J300" i="39"/>
  <c r="Q296" i="39"/>
  <c r="J120" i="39"/>
  <c r="Q116" i="39"/>
  <c r="J116" i="39"/>
  <c r="Q112" i="39"/>
  <c r="Q329" i="37"/>
  <c r="Q205" i="37"/>
  <c r="Q381" i="37"/>
  <c r="Q417" i="37"/>
  <c r="Q317" i="37"/>
  <c r="Q285" i="37"/>
  <c r="Q173" i="37"/>
  <c r="Q357" i="37"/>
  <c r="Q49" i="37"/>
  <c r="Q209" i="37"/>
  <c r="Q341" i="37"/>
  <c r="Q33" i="37"/>
  <c r="Q161" i="37"/>
  <c r="Q93" i="38"/>
  <c r="J165" i="39"/>
  <c r="Q161" i="39"/>
  <c r="J245" i="38"/>
  <c r="Q241" i="38"/>
  <c r="J349" i="39"/>
  <c r="Q345" i="39"/>
  <c r="J285" i="38"/>
  <c r="Q281" i="38"/>
  <c r="J168" i="38"/>
  <c r="J169" i="38"/>
  <c r="Q165" i="38"/>
  <c r="J233" i="38"/>
  <c r="Q229" i="38"/>
  <c r="J321" i="38"/>
  <c r="Q317" i="38"/>
  <c r="J189" i="39"/>
  <c r="Q185" i="39"/>
  <c r="J337" i="38"/>
  <c r="Q333" i="38"/>
  <c r="J149" i="39"/>
  <c r="Q145" i="39"/>
  <c r="J85" i="38"/>
  <c r="Q81" i="38"/>
  <c r="J253" i="38"/>
  <c r="Q249" i="38"/>
  <c r="J67" i="38"/>
  <c r="J69" i="38"/>
  <c r="Q65" i="38"/>
  <c r="Q69" i="39"/>
  <c r="J121" i="39"/>
  <c r="Q117" i="39"/>
  <c r="J209" i="39"/>
  <c r="Q205" i="39"/>
  <c r="Q41" i="39"/>
  <c r="Q217" i="38"/>
  <c r="J329" i="39"/>
  <c r="Q325" i="39"/>
  <c r="J49" i="38"/>
  <c r="Q45" i="38"/>
  <c r="J85" i="39"/>
  <c r="Q81" i="39"/>
  <c r="J161" i="38"/>
  <c r="Q157" i="38"/>
  <c r="J249" i="38"/>
  <c r="Q245" i="38"/>
  <c r="J361" i="38"/>
  <c r="Q357" i="38"/>
  <c r="J181" i="39"/>
  <c r="Q177" i="39"/>
  <c r="J319" i="38"/>
  <c r="Q315" i="38"/>
  <c r="J395" i="38"/>
  <c r="Q391" i="38"/>
  <c r="J139" i="38"/>
  <c r="Q135" i="38"/>
  <c r="J247" i="39"/>
  <c r="Q243" i="39"/>
  <c r="J179" i="38"/>
  <c r="Q175" i="38"/>
  <c r="J331" i="38"/>
  <c r="Q327" i="38"/>
  <c r="J119" i="38"/>
  <c r="Q115" i="38"/>
  <c r="J111" i="38"/>
  <c r="Q107" i="38"/>
  <c r="J343" i="38"/>
  <c r="Q339" i="38"/>
  <c r="J223" i="38"/>
  <c r="Q219" i="38"/>
  <c r="J239" i="39"/>
  <c r="Q235" i="39"/>
  <c r="J355" i="38"/>
  <c r="Q351" i="38"/>
  <c r="J35" i="38"/>
  <c r="Q31" i="38"/>
  <c r="J319" i="39"/>
  <c r="Q315" i="39"/>
  <c r="J331" i="39"/>
  <c r="Q327" i="39"/>
  <c r="J39" i="38"/>
  <c r="Q35" i="38"/>
  <c r="J218" i="37"/>
  <c r="Q214" i="37"/>
  <c r="J386" i="38"/>
  <c r="Q382" i="38"/>
  <c r="J82" i="38"/>
  <c r="Q78" i="38"/>
  <c r="J238" i="38"/>
  <c r="Q234" i="38"/>
  <c r="J242" i="38"/>
  <c r="Q238" i="38"/>
  <c r="J266" i="38"/>
  <c r="Q262" i="38"/>
  <c r="J34" i="38"/>
  <c r="Q30" i="38"/>
  <c r="J210" i="38"/>
  <c r="Q206" i="38"/>
  <c r="Q160" i="37"/>
  <c r="Q104" i="37"/>
  <c r="J352" i="39"/>
  <c r="Q348" i="39"/>
  <c r="J396" i="38"/>
  <c r="Q392" i="38"/>
  <c r="J140" i="38"/>
  <c r="Q136" i="38"/>
  <c r="J368" i="39"/>
  <c r="Q364" i="39"/>
  <c r="J288" i="38"/>
  <c r="Q284" i="38"/>
  <c r="J252" i="38"/>
  <c r="Q248" i="38"/>
  <c r="J208" i="38"/>
  <c r="Q204" i="38"/>
  <c r="J108" i="38"/>
  <c r="Q104" i="38"/>
  <c r="J184" i="38"/>
  <c r="Q180" i="38"/>
  <c r="J308" i="39"/>
  <c r="Q304" i="39"/>
  <c r="J408" i="38"/>
  <c r="Q404" i="38"/>
  <c r="J60" i="38"/>
  <c r="Q56" i="38"/>
  <c r="J400" i="38"/>
  <c r="Q396" i="38"/>
  <c r="J360" i="38"/>
  <c r="Q356" i="38"/>
  <c r="Q177" i="37"/>
  <c r="Q37" i="37"/>
  <c r="J125" i="38"/>
  <c r="Q121" i="38"/>
  <c r="J297" i="39"/>
  <c r="Q293" i="39"/>
  <c r="J317" i="38"/>
  <c r="Q313" i="38"/>
  <c r="J384" i="39"/>
  <c r="J385" i="39"/>
  <c r="Q381" i="39"/>
  <c r="J353" i="38"/>
  <c r="Q349" i="38"/>
  <c r="J237" i="38"/>
  <c r="Q233" i="38"/>
  <c r="J213" i="39"/>
  <c r="Q209" i="39"/>
  <c r="J229" i="39"/>
  <c r="Q225" i="39"/>
  <c r="J25" i="39"/>
  <c r="Q21" i="39"/>
  <c r="J345" i="39"/>
  <c r="Q341" i="39"/>
  <c r="J69" i="39"/>
  <c r="Q65" i="39"/>
  <c r="J203" i="37"/>
  <c r="Q199" i="37"/>
  <c r="Q111" i="37"/>
  <c r="J355" i="39"/>
  <c r="Q351" i="39"/>
  <c r="J183" i="39"/>
  <c r="Q179" i="39"/>
  <c r="J151" i="39"/>
  <c r="Q147" i="39"/>
  <c r="J87" i="38"/>
  <c r="Q83" i="38"/>
  <c r="J175" i="38"/>
  <c r="Q171" i="38"/>
  <c r="J207" i="39"/>
  <c r="Q203" i="39"/>
  <c r="J271" i="38"/>
  <c r="Q267" i="38"/>
  <c r="J403" i="39"/>
  <c r="Q399" i="39"/>
  <c r="J235" i="38"/>
  <c r="Q231" i="38"/>
  <c r="J414" i="37"/>
  <c r="Q410" i="37"/>
  <c r="Q346" i="37"/>
  <c r="J282" i="38"/>
  <c r="Q278" i="38"/>
  <c r="J46" i="38"/>
  <c r="Q42" i="38"/>
  <c r="J382" i="38"/>
  <c r="Q378" i="38"/>
  <c r="J54" i="38"/>
  <c r="Q50" i="38"/>
  <c r="J162" i="39"/>
  <c r="Q158" i="39"/>
  <c r="J106" i="38"/>
  <c r="Q102" i="38"/>
  <c r="J50" i="39"/>
  <c r="Q46" i="39"/>
  <c r="J322" i="39"/>
  <c r="Q318" i="39"/>
  <c r="J254" i="39"/>
  <c r="Q250" i="39"/>
  <c r="J274" i="38"/>
  <c r="Q270" i="38"/>
  <c r="J66" i="38"/>
  <c r="Q62" i="38"/>
  <c r="Q276" i="37"/>
  <c r="Q304" i="37"/>
  <c r="J224" i="38"/>
  <c r="Q220" i="38"/>
  <c r="J284" i="38"/>
  <c r="Q280" i="38"/>
  <c r="J112" i="38"/>
  <c r="Q108" i="38"/>
  <c r="J400" i="39"/>
  <c r="Q396" i="39"/>
  <c r="J324" i="38"/>
  <c r="J220" i="39"/>
  <c r="Q216" i="39"/>
  <c r="J220" i="38"/>
  <c r="Q216" i="38"/>
  <c r="Q92" i="38"/>
  <c r="J396" i="39"/>
  <c r="Q392" i="39"/>
  <c r="Q372" i="38"/>
  <c r="J164" i="38"/>
  <c r="Q160" i="38"/>
  <c r="J80" i="38"/>
  <c r="Q76" i="38"/>
  <c r="Q412" i="38"/>
  <c r="Q77" i="37"/>
  <c r="Q57" i="37"/>
  <c r="J205" i="37"/>
  <c r="Q201" i="37"/>
  <c r="Q237" i="37"/>
  <c r="Q181" i="37"/>
  <c r="J305" i="39"/>
  <c r="Q301" i="39"/>
  <c r="J333" i="38"/>
  <c r="Q329" i="38"/>
  <c r="Q69" i="38"/>
  <c r="J381" i="38"/>
  <c r="Q377" i="38"/>
  <c r="J403" i="38"/>
  <c r="J405" i="38"/>
  <c r="Q401" i="38"/>
  <c r="J149" i="38"/>
  <c r="Q145" i="38"/>
  <c r="J321" i="39"/>
  <c r="Q317" i="39"/>
  <c r="J183" i="37"/>
  <c r="Q179" i="37"/>
  <c r="Q67" i="37"/>
  <c r="Q311" i="37"/>
  <c r="Q227" i="37"/>
  <c r="Q295" i="37"/>
  <c r="Q203" i="37"/>
  <c r="J207" i="37"/>
  <c r="Q71" i="37"/>
  <c r="Q415" i="37"/>
  <c r="Q291" i="37"/>
  <c r="J383" i="37"/>
  <c r="Q379" i="37"/>
  <c r="Q371" i="37"/>
  <c r="J375" i="37"/>
  <c r="J63" i="38"/>
  <c r="Q59" i="38"/>
  <c r="J279" i="39"/>
  <c r="Q275" i="39"/>
  <c r="J247" i="38"/>
  <c r="Q243" i="38"/>
  <c r="J375" i="39"/>
  <c r="Q371" i="39"/>
  <c r="J359" i="39"/>
  <c r="Q355" i="39"/>
  <c r="J207" i="38"/>
  <c r="Q203" i="38"/>
  <c r="J83" i="38"/>
  <c r="Q79" i="38"/>
  <c r="J115" i="39"/>
  <c r="Q111" i="39"/>
  <c r="J167" i="38"/>
  <c r="Q163" i="38"/>
  <c r="J55" i="38"/>
  <c r="Q51" i="38"/>
  <c r="J231" i="38"/>
  <c r="Q227" i="38"/>
  <c r="J107" i="38"/>
  <c r="Q103" i="38"/>
  <c r="J387" i="38"/>
  <c r="Q383" i="38"/>
  <c r="J383" i="39"/>
  <c r="Q379" i="39"/>
  <c r="J31" i="38"/>
  <c r="Q27" i="38"/>
  <c r="J399" i="38"/>
  <c r="Q395" i="38"/>
  <c r="J23" i="39"/>
  <c r="Q19" i="39"/>
  <c r="J175" i="39"/>
  <c r="Q171" i="39"/>
  <c r="J51" i="39"/>
  <c r="Q47" i="39"/>
  <c r="J95" i="39"/>
  <c r="Q91" i="39"/>
  <c r="J63" i="39"/>
  <c r="Q59" i="39"/>
  <c r="J171" i="38"/>
  <c r="Q167" i="38"/>
  <c r="J35" i="39"/>
  <c r="Q31" i="39"/>
  <c r="Q207" i="38"/>
  <c r="J307" i="38"/>
  <c r="Q303" i="38"/>
  <c r="Q378" i="37"/>
  <c r="J382" i="37"/>
  <c r="Q126" i="37"/>
  <c r="Q246" i="37"/>
  <c r="Q334" i="37"/>
  <c r="Q18" i="37"/>
  <c r="J22" i="37"/>
  <c r="Q114" i="37"/>
  <c r="Q222" i="37"/>
  <c r="Q58" i="37"/>
  <c r="J322" i="38"/>
  <c r="Q318" i="38"/>
  <c r="J254" i="38"/>
  <c r="Q250" i="38"/>
  <c r="J126" i="38"/>
  <c r="Q122" i="38"/>
  <c r="J358" i="39"/>
  <c r="Q354" i="39"/>
  <c r="J194" i="39"/>
  <c r="Q190" i="39"/>
  <c r="J350" i="38"/>
  <c r="Q346" i="38"/>
  <c r="J326" i="39"/>
  <c r="Q322" i="39"/>
  <c r="J198" i="39"/>
  <c r="Q194" i="39"/>
  <c r="J230" i="39"/>
  <c r="Q226" i="39"/>
  <c r="J406" i="38"/>
  <c r="Q402" i="38"/>
  <c r="J410" i="39"/>
  <c r="Q406" i="39"/>
  <c r="J206" i="38"/>
  <c r="Q202" i="38"/>
  <c r="J286" i="38"/>
  <c r="Q282" i="38"/>
  <c r="J110" i="38"/>
  <c r="Q106" i="38"/>
  <c r="Q130" i="39"/>
  <c r="J94" i="39"/>
  <c r="Q90" i="39"/>
  <c r="J70" i="38"/>
  <c r="Q66" i="38"/>
  <c r="J19" i="39"/>
  <c r="J22" i="39"/>
  <c r="Q18" i="39"/>
  <c r="J58" i="38"/>
  <c r="Q54" i="38"/>
  <c r="J378" i="39"/>
  <c r="Q374" i="39"/>
  <c r="J242" i="39"/>
  <c r="Q238" i="39"/>
  <c r="J246" i="39"/>
  <c r="Q242" i="39"/>
  <c r="J62" i="38"/>
  <c r="Q58" i="38"/>
  <c r="J170" i="38"/>
  <c r="Q166" i="38"/>
  <c r="J122" i="39"/>
  <c r="Q118" i="39"/>
  <c r="Q332" i="37"/>
  <c r="Q112" i="37"/>
  <c r="Q172" i="37"/>
  <c r="Q316" i="37"/>
  <c r="Q68" i="37"/>
  <c r="Q196" i="37"/>
  <c r="Q140" i="37"/>
  <c r="Q84" i="37"/>
  <c r="Q288" i="37"/>
  <c r="Q184" i="37"/>
  <c r="Q216" i="37"/>
  <c r="Q120" i="37"/>
  <c r="Q372" i="37"/>
  <c r="J24" i="38"/>
  <c r="Q20" i="38"/>
  <c r="J328" i="39"/>
  <c r="Q324" i="39"/>
  <c r="J196" i="39"/>
  <c r="Q192" i="39"/>
  <c r="J40" i="38"/>
  <c r="Q36" i="38"/>
  <c r="J380" i="38"/>
  <c r="Q376" i="38"/>
  <c r="J120" i="38"/>
  <c r="Q116" i="38"/>
  <c r="J344" i="39"/>
  <c r="Q340" i="39"/>
  <c r="Q144" i="39"/>
  <c r="J268" i="38"/>
  <c r="Q264" i="38"/>
  <c r="J128" i="38"/>
  <c r="Q124" i="38"/>
  <c r="Q128" i="39"/>
  <c r="J36" i="39"/>
  <c r="Q32" i="39"/>
  <c r="J48" i="38"/>
  <c r="Q44" i="38"/>
  <c r="J64" i="39"/>
  <c r="Q60" i="39"/>
  <c r="J176" i="38"/>
  <c r="Q172" i="38"/>
  <c r="J312" i="38"/>
  <c r="Q308" i="38"/>
  <c r="J184" i="39"/>
  <c r="Q180" i="39"/>
  <c r="J380" i="39"/>
  <c r="Q376" i="39"/>
  <c r="J112" i="39"/>
  <c r="Q108" i="39"/>
  <c r="J240" i="39"/>
  <c r="Q236" i="39"/>
  <c r="J180" i="38"/>
  <c r="Q176" i="38"/>
  <c r="J264" i="39"/>
  <c r="Q260" i="39"/>
  <c r="J372" i="38"/>
  <c r="Q368" i="38"/>
  <c r="J376" i="39"/>
  <c r="Q372" i="39"/>
  <c r="Q232" i="39"/>
  <c r="J124" i="39"/>
  <c r="Q120" i="39"/>
  <c r="Q29" i="37"/>
  <c r="Q281" i="37"/>
  <c r="J285" i="37"/>
  <c r="Q401" i="37"/>
  <c r="Q385" i="37"/>
  <c r="Q365" i="37"/>
  <c r="Q413" i="37"/>
  <c r="Q153" i="37"/>
  <c r="Q89" i="37"/>
  <c r="Q277" i="37"/>
  <c r="Q101" i="37"/>
  <c r="Q321" i="37"/>
  <c r="Q53" i="37"/>
  <c r="J225" i="39"/>
  <c r="Q221" i="39"/>
  <c r="J349" i="38"/>
  <c r="Q345" i="38"/>
  <c r="J177" i="38"/>
  <c r="Q173" i="38"/>
  <c r="J365" i="39"/>
  <c r="Q361" i="39"/>
  <c r="J305" i="38"/>
  <c r="Q301" i="38"/>
  <c r="J236" i="39"/>
  <c r="J237" i="39"/>
  <c r="Q233" i="39"/>
  <c r="J121" i="38"/>
  <c r="Q117" i="38"/>
  <c r="J329" i="38"/>
  <c r="Q325" i="38"/>
  <c r="J197" i="39"/>
  <c r="Q193" i="39"/>
  <c r="J397" i="38"/>
  <c r="Q393" i="38"/>
  <c r="J141" i="39"/>
  <c r="Q137" i="39"/>
  <c r="Q109" i="38"/>
  <c r="Q25" i="38"/>
  <c r="J109" i="38"/>
  <c r="Q105" i="38"/>
  <c r="J405" i="39"/>
  <c r="Q401" i="39"/>
  <c r="J289" i="38"/>
  <c r="Q285" i="38"/>
  <c r="J197" i="38"/>
  <c r="Q193" i="38"/>
  <c r="J77" i="39"/>
  <c r="Q73" i="39"/>
  <c r="Q369" i="38"/>
  <c r="J377" i="39"/>
  <c r="Q373" i="39"/>
  <c r="J53" i="38"/>
  <c r="Q49" i="38"/>
  <c r="Q93" i="39"/>
  <c r="J57" i="39"/>
  <c r="Q53" i="39"/>
  <c r="J365" i="38"/>
  <c r="Q361" i="38"/>
  <c r="J129" i="39"/>
  <c r="Q125" i="39"/>
  <c r="J253" i="39"/>
  <c r="Q249" i="39"/>
  <c r="J75" i="38"/>
  <c r="Q71" i="38"/>
  <c r="J376" i="38"/>
  <c r="J379" i="38"/>
  <c r="Q375" i="38"/>
  <c r="J266" i="39"/>
  <c r="J267" i="39"/>
  <c r="Q263" i="39"/>
  <c r="J339" i="39"/>
  <c r="Q335" i="39"/>
  <c r="J346" i="38"/>
  <c r="Q342" i="38"/>
  <c r="J182" i="39"/>
  <c r="Q178" i="39"/>
  <c r="J62" i="39"/>
  <c r="Q58" i="39"/>
  <c r="J290" i="38"/>
  <c r="Q286" i="38"/>
  <c r="J150" i="38"/>
  <c r="Q146" i="38"/>
  <c r="J314" i="38"/>
  <c r="Q310" i="38"/>
  <c r="J138" i="39"/>
  <c r="Q134" i="39"/>
  <c r="J188" i="38"/>
  <c r="J190" i="38"/>
  <c r="Q186" i="38"/>
  <c r="J46" i="39"/>
  <c r="Q42" i="39"/>
  <c r="J258" i="39"/>
  <c r="Q254" i="39"/>
  <c r="J178" i="38"/>
  <c r="Q174" i="38"/>
  <c r="Q16" i="37"/>
  <c r="J20" i="37"/>
  <c r="Q388" i="37"/>
  <c r="Q20" i="37"/>
  <c r="J140" i="39"/>
  <c r="Q136" i="39"/>
  <c r="J300" i="38"/>
  <c r="Q296" i="38"/>
  <c r="J320" i="38"/>
  <c r="Q316" i="38"/>
  <c r="J216" i="38"/>
  <c r="Q212" i="38"/>
  <c r="J56" i="38"/>
  <c r="Q52" i="38"/>
  <c r="J248" i="38"/>
  <c r="Q244" i="38"/>
  <c r="J284" i="39"/>
  <c r="Q280" i="39"/>
  <c r="J128" i="39"/>
  <c r="Q124" i="39"/>
  <c r="J361" i="39"/>
  <c r="Q357" i="39"/>
  <c r="J93" i="38"/>
  <c r="Q89" i="38"/>
  <c r="J269" i="38"/>
  <c r="Q265" i="38"/>
  <c r="J117" i="38"/>
  <c r="Q113" i="38"/>
  <c r="J341" i="38"/>
  <c r="Q337" i="38"/>
  <c r="J165" i="38"/>
  <c r="Q161" i="38"/>
  <c r="J49" i="39"/>
  <c r="Q45" i="39"/>
  <c r="J141" i="38"/>
  <c r="Q137" i="38"/>
  <c r="J105" i="39"/>
  <c r="Q101" i="39"/>
  <c r="J265" i="39"/>
  <c r="Q261" i="39"/>
  <c r="Q251" i="37"/>
  <c r="Q243" i="37"/>
  <c r="Q135" i="37"/>
  <c r="J347" i="39"/>
  <c r="Q343" i="39"/>
  <c r="J147" i="38"/>
  <c r="Q143" i="38"/>
  <c r="J27" i="38"/>
  <c r="Q23" i="38"/>
  <c r="J291" i="38"/>
  <c r="Q287" i="38"/>
  <c r="J411" i="38"/>
  <c r="Q407" i="38"/>
  <c r="J387" i="39"/>
  <c r="Q383" i="39"/>
  <c r="Q55" i="39"/>
  <c r="Q110" i="37"/>
  <c r="J376" i="37"/>
  <c r="Q374" i="37"/>
  <c r="J374" i="37"/>
  <c r="Q370" i="37"/>
  <c r="J114" i="38"/>
  <c r="Q110" i="38"/>
  <c r="J362" i="38"/>
  <c r="Q358" i="38"/>
  <c r="J342" i="38"/>
  <c r="Q338" i="38"/>
  <c r="J150" i="39"/>
  <c r="Q146" i="39"/>
  <c r="J54" i="39"/>
  <c r="Q50" i="39"/>
  <c r="J330" i="39"/>
  <c r="Q326" i="39"/>
  <c r="J278" i="38"/>
  <c r="Q274" i="38"/>
  <c r="J130" i="39"/>
  <c r="Q126" i="39"/>
  <c r="J42" i="38"/>
  <c r="Q38" i="38"/>
  <c r="J306" i="39"/>
  <c r="Q302" i="39"/>
  <c r="J238" i="39"/>
  <c r="Q234" i="39"/>
  <c r="J278" i="39"/>
  <c r="Q274" i="39"/>
  <c r="Q280" i="37"/>
  <c r="J284" i="37"/>
  <c r="J164" i="39"/>
  <c r="Q160" i="39"/>
  <c r="J340" i="39"/>
  <c r="Q336" i="39"/>
  <c r="J384" i="38"/>
  <c r="Q380" i="38"/>
  <c r="J416" i="39"/>
  <c r="Q412" i="39"/>
  <c r="J92" i="39"/>
  <c r="Q88" i="39"/>
  <c r="J216" i="39"/>
  <c r="Q212" i="39"/>
  <c r="J52" i="39"/>
  <c r="Q48" i="39"/>
  <c r="J236" i="38"/>
  <c r="Q232" i="38"/>
  <c r="Q144" i="38"/>
  <c r="J316" i="39"/>
  <c r="Q312" i="39"/>
  <c r="J196" i="38"/>
  <c r="Q192" i="38"/>
  <c r="J228" i="39"/>
  <c r="Q224" i="39"/>
  <c r="J64" i="38"/>
  <c r="Q60" i="38"/>
  <c r="Q325" i="37"/>
  <c r="Q149" i="37"/>
  <c r="Q193" i="37"/>
  <c r="Q273" i="37"/>
  <c r="J277" i="37"/>
  <c r="J249" i="39"/>
  <c r="Q245" i="39"/>
  <c r="J272" i="38"/>
  <c r="J273" i="38"/>
  <c r="Q269" i="38"/>
  <c r="J25" i="38"/>
  <c r="Q21" i="38"/>
  <c r="J145" i="38"/>
  <c r="Q141" i="38"/>
  <c r="J314" i="39"/>
  <c r="J317" i="39"/>
  <c r="Q313" i="39"/>
  <c r="J258" i="38"/>
  <c r="J261" i="38"/>
  <c r="Q257" i="38"/>
  <c r="J353" i="39"/>
  <c r="Q349" i="39"/>
  <c r="J285" i="39"/>
  <c r="Q281" i="39"/>
  <c r="J369" i="39"/>
  <c r="Q365" i="39"/>
  <c r="J81" i="39"/>
  <c r="Q77" i="39"/>
  <c r="J33" i="39"/>
  <c r="Q29" i="39"/>
  <c r="J385" i="38"/>
  <c r="Q381" i="38"/>
  <c r="Q211" i="37"/>
  <c r="Q279" i="37"/>
  <c r="Q119" i="37"/>
  <c r="J127" i="39"/>
  <c r="Q123" i="39"/>
  <c r="J147" i="39"/>
  <c r="Q143" i="39"/>
  <c r="J271" i="39"/>
  <c r="Q267" i="39"/>
  <c r="J287" i="38"/>
  <c r="Q283" i="38"/>
  <c r="J223" i="39"/>
  <c r="Q219" i="39"/>
  <c r="J215" i="39"/>
  <c r="Q211" i="39"/>
  <c r="J155" i="39"/>
  <c r="Q151" i="39"/>
  <c r="J109" i="39"/>
  <c r="J111" i="39"/>
  <c r="Q107" i="39"/>
  <c r="J55" i="39"/>
  <c r="Q51" i="39"/>
  <c r="J299" i="39"/>
  <c r="Q295" i="39"/>
  <c r="J411" i="39"/>
  <c r="Q407" i="39"/>
  <c r="J263" i="39"/>
  <c r="Q259" i="39"/>
  <c r="J227" i="38"/>
  <c r="Q223" i="38"/>
  <c r="J171" i="39"/>
  <c r="Q167" i="39"/>
  <c r="Q103" i="39"/>
  <c r="Q394" i="37"/>
  <c r="Q218" i="37"/>
  <c r="Q290" i="37"/>
  <c r="Q70" i="37"/>
  <c r="Q350" i="37"/>
  <c r="Q38" i="37"/>
  <c r="P15" i="37"/>
  <c r="J18" i="37"/>
  <c r="Q158" i="37"/>
  <c r="Q42" i="37"/>
  <c r="Q78" i="37"/>
  <c r="J214" i="39"/>
  <c r="Q210" i="39"/>
  <c r="J366" i="39"/>
  <c r="Q362" i="39"/>
  <c r="J354" i="39"/>
  <c r="Q350" i="39"/>
  <c r="J358" i="38"/>
  <c r="Q354" i="38"/>
  <c r="J50" i="38"/>
  <c r="Q46" i="38"/>
  <c r="J298" i="38"/>
  <c r="Q294" i="38"/>
  <c r="J262" i="38"/>
  <c r="Q258" i="38"/>
  <c r="J78" i="39"/>
  <c r="Q74" i="39"/>
  <c r="Q414" i="39"/>
  <c r="J30" i="39"/>
  <c r="Q26" i="39"/>
  <c r="J211" i="38"/>
  <c r="J214" i="38"/>
  <c r="Q210" i="38"/>
  <c r="J318" i="39"/>
  <c r="Q314" i="39"/>
  <c r="J138" i="38"/>
  <c r="Q134" i="38"/>
  <c r="J170" i="39"/>
  <c r="Q166" i="39"/>
  <c r="J107" i="39"/>
  <c r="J110" i="39"/>
  <c r="Q106" i="39"/>
  <c r="J246" i="38"/>
  <c r="Q242" i="38"/>
  <c r="J362" i="39"/>
  <c r="Q358" i="39"/>
  <c r="Q366" i="39"/>
  <c r="J310" i="39"/>
  <c r="Q306" i="39"/>
  <c r="J294" i="39"/>
  <c r="Q290" i="39"/>
  <c r="Q286" i="39"/>
  <c r="J194" i="38"/>
  <c r="Q190" i="38"/>
  <c r="J342" i="39"/>
  <c r="Q338" i="39"/>
  <c r="Q220" i="37"/>
  <c r="Q60" i="37"/>
  <c r="Q108" i="37"/>
  <c r="Q96" i="37"/>
  <c r="Q292" i="37"/>
  <c r="Q244" i="37"/>
  <c r="Q224" i="37"/>
  <c r="Q260" i="37"/>
  <c r="Q384" i="37"/>
  <c r="Q364" i="37"/>
  <c r="Q168" i="37"/>
  <c r="Q328" i="37"/>
  <c r="Q152" i="37"/>
  <c r="J328" i="38"/>
  <c r="Q324" i="38"/>
  <c r="J56" i="39"/>
  <c r="Q52" i="39"/>
  <c r="J172" i="39"/>
  <c r="Q168" i="39"/>
  <c r="Q156" i="39"/>
  <c r="J276" i="38"/>
  <c r="Q272" i="38"/>
  <c r="J344" i="38"/>
  <c r="Q340" i="38"/>
  <c r="J16" i="39"/>
  <c r="J408" i="39"/>
  <c r="Q404" i="39"/>
  <c r="J312" i="39"/>
  <c r="Q308" i="39"/>
  <c r="J412" i="39"/>
  <c r="Q408" i="39"/>
  <c r="J16" i="38"/>
  <c r="J364" i="38"/>
  <c r="Q360" i="38"/>
  <c r="J200" i="39"/>
  <c r="Q196" i="39"/>
  <c r="J76" i="38"/>
  <c r="Q72" i="38"/>
  <c r="J356" i="39"/>
  <c r="Q352" i="39"/>
  <c r="J136" i="38"/>
  <c r="Q132" i="38"/>
  <c r="J368" i="38"/>
  <c r="Q364" i="38"/>
  <c r="J260" i="38"/>
  <c r="Q256" i="38"/>
  <c r="J36" i="38"/>
  <c r="Q32" i="38"/>
  <c r="J204" i="38"/>
  <c r="Q200" i="38"/>
  <c r="J412" i="38"/>
  <c r="Q408" i="38"/>
  <c r="Q240" i="39"/>
  <c r="Q288" i="39"/>
  <c r="Q240" i="38"/>
  <c r="J276" i="39"/>
  <c r="Q272" i="39"/>
  <c r="Q405" i="37"/>
  <c r="J17" i="37"/>
  <c r="Q297" i="37"/>
  <c r="Q353" i="37"/>
  <c r="Q305" i="37"/>
  <c r="Q129" i="37"/>
  <c r="Q261" i="37"/>
  <c r="Q165" i="37"/>
  <c r="Q117" i="37"/>
  <c r="J277" i="38"/>
  <c r="Q273" i="38"/>
  <c r="J389" i="38"/>
  <c r="Q385" i="38"/>
  <c r="J209" i="38"/>
  <c r="Q205" i="38"/>
  <c r="J193" i="38"/>
  <c r="Q189" i="38"/>
  <c r="J145" i="39"/>
  <c r="Q141" i="39"/>
  <c r="J416" i="38"/>
  <c r="J417" i="38"/>
  <c r="Q413" i="38"/>
  <c r="Q153" i="39"/>
  <c r="J129" i="38"/>
  <c r="Q125" i="38"/>
  <c r="J377" i="38"/>
  <c r="Q373" i="38"/>
  <c r="J155" i="38"/>
  <c r="Q153" i="38"/>
  <c r="J257" i="38"/>
  <c r="Q253" i="38"/>
  <c r="Q297" i="38"/>
  <c r="J161" i="39"/>
  <c r="Q157" i="39"/>
  <c r="J205" i="38"/>
  <c r="Q201" i="38"/>
  <c r="Q417" i="39"/>
  <c r="Q149" i="38"/>
  <c r="Q289" i="39"/>
  <c r="J185" i="39"/>
  <c r="Q181" i="39"/>
  <c r="J413" i="39"/>
  <c r="Q409" i="39"/>
  <c r="Q289" i="38"/>
  <c r="Q109" i="39"/>
  <c r="J261" i="39"/>
  <c r="Q257" i="39"/>
  <c r="J65" i="39"/>
  <c r="Q61" i="39"/>
  <c r="J409" i="38"/>
  <c r="Q405" i="38"/>
  <c r="J333" i="39"/>
  <c r="Q329" i="39"/>
  <c r="Q411" i="37"/>
  <c r="J415" i="37"/>
  <c r="J67" i="37"/>
  <c r="Q63" i="37"/>
  <c r="J351" i="39"/>
  <c r="Q347" i="39"/>
  <c r="J273" i="39"/>
  <c r="J275" i="39"/>
  <c r="Q271" i="39"/>
  <c r="J119" i="39"/>
  <c r="Q115" i="39"/>
  <c r="J373" i="38"/>
  <c r="J375" i="38"/>
  <c r="Q371" i="38"/>
  <c r="J335" i="39"/>
  <c r="Q331" i="39"/>
  <c r="J67" i="39"/>
  <c r="Q63" i="39"/>
  <c r="J323" i="38"/>
  <c r="Q319" i="38"/>
  <c r="Q202" i="37"/>
  <c r="J206" i="37"/>
  <c r="J294" i="38"/>
  <c r="Q290" i="38"/>
  <c r="J350" i="39"/>
  <c r="Q346" i="39"/>
  <c r="J338" i="39"/>
  <c r="Q334" i="39"/>
  <c r="J202" i="39"/>
  <c r="Q198" i="39"/>
  <c r="J270" i="38"/>
  <c r="Q266" i="38"/>
  <c r="J406" i="39"/>
  <c r="Q402" i="39"/>
  <c r="J330" i="38"/>
  <c r="Q326" i="38"/>
  <c r="J378" i="38"/>
  <c r="Q374" i="38"/>
  <c r="J274" i="39"/>
  <c r="Q270" i="39"/>
  <c r="Q340" i="37"/>
  <c r="Q88" i="37"/>
  <c r="J208" i="39"/>
  <c r="Q204" i="39"/>
  <c r="J320" i="39"/>
  <c r="Q316" i="39"/>
  <c r="J336" i="38"/>
  <c r="Q332" i="38"/>
  <c r="J188" i="39"/>
  <c r="Q184" i="39"/>
  <c r="J200" i="38"/>
  <c r="Q196" i="38"/>
  <c r="J232" i="39"/>
  <c r="Q228" i="39"/>
  <c r="J348" i="39"/>
  <c r="Q344" i="39"/>
  <c r="J168" i="39"/>
  <c r="Q164" i="39"/>
  <c r="J288" i="39"/>
  <c r="Q284" i="39"/>
  <c r="J80" i="39"/>
  <c r="Q76" i="39"/>
  <c r="J268" i="39"/>
  <c r="Q264" i="39"/>
  <c r="Q361" i="37"/>
  <c r="Q393" i="37"/>
  <c r="Q189" i="37"/>
  <c r="J381" i="37"/>
  <c r="Q377" i="37"/>
  <c r="Q213" i="37"/>
  <c r="J217" i="37"/>
  <c r="J201" i="38"/>
  <c r="Q197" i="38"/>
  <c r="J217" i="38"/>
  <c r="Q213" i="38"/>
  <c r="J313" i="39"/>
  <c r="Q309" i="39"/>
  <c r="J389" i="39"/>
  <c r="Q385" i="39"/>
  <c r="J173" i="39"/>
  <c r="Q169" i="39"/>
  <c r="J309" i="38"/>
  <c r="Q305" i="38"/>
  <c r="J30" i="38"/>
  <c r="J33" i="38"/>
  <c r="Q29" i="38"/>
  <c r="J193" i="39"/>
  <c r="Q189" i="39"/>
  <c r="J41" i="39"/>
  <c r="Q37" i="39"/>
  <c r="J345" i="38"/>
  <c r="Q341" i="38"/>
  <c r="J101" i="39"/>
  <c r="Q97" i="39"/>
  <c r="J41" i="38"/>
  <c r="Q37" i="38"/>
  <c r="J23" i="37"/>
  <c r="Q83" i="37"/>
  <c r="Q399" i="37"/>
  <c r="Q131" i="37"/>
  <c r="Q271" i="37"/>
  <c r="J399" i="39"/>
  <c r="Q395" i="39"/>
  <c r="J139" i="39"/>
  <c r="Q135" i="39"/>
  <c r="J367" i="38"/>
  <c r="Q363" i="38"/>
  <c r="J191" i="39"/>
  <c r="Q187" i="39"/>
  <c r="J370" i="39"/>
  <c r="J371" i="39"/>
  <c r="Q367" i="39"/>
  <c r="J371" i="38"/>
  <c r="Q367" i="38"/>
  <c r="J292" i="39"/>
  <c r="J295" i="39"/>
  <c r="Q291" i="39"/>
  <c r="J231" i="39"/>
  <c r="Q227" i="39"/>
  <c r="J315" i="38"/>
  <c r="Q311" i="38"/>
  <c r="J259" i="39"/>
  <c r="Q255" i="39"/>
  <c r="J343" i="39"/>
  <c r="Q339" i="39"/>
  <c r="J251" i="39"/>
  <c r="Q247" i="39"/>
  <c r="J87" i="39"/>
  <c r="Q83" i="39"/>
  <c r="Q282" i="37"/>
  <c r="J286" i="37"/>
  <c r="J394" i="39"/>
  <c r="Q390" i="39"/>
  <c r="J174" i="38"/>
  <c r="Q170" i="38"/>
  <c r="J126" i="39"/>
  <c r="Q122" i="39"/>
  <c r="J70" i="39"/>
  <c r="Q66" i="39"/>
  <c r="J86" i="38"/>
  <c r="Q82" i="38"/>
  <c r="J230" i="38"/>
  <c r="Q226" i="38"/>
  <c r="J370" i="38"/>
  <c r="Q366" i="38"/>
  <c r="J186" i="39"/>
  <c r="Q182" i="39"/>
  <c r="J326" i="38"/>
  <c r="Q322" i="38"/>
  <c r="J118" i="39"/>
  <c r="Q114" i="39"/>
  <c r="J282" i="39"/>
  <c r="Q278" i="39"/>
  <c r="J270" i="39"/>
  <c r="Q266" i="39"/>
  <c r="J186" i="38"/>
  <c r="Q182" i="38"/>
  <c r="Q396" i="37"/>
  <c r="J184" i="37"/>
  <c r="Q180" i="37"/>
  <c r="Q252" i="37"/>
  <c r="Q132" i="37"/>
  <c r="Q348" i="37"/>
  <c r="J224" i="39"/>
  <c r="Q220" i="39"/>
  <c r="J336" i="39"/>
  <c r="Q332" i="39"/>
  <c r="J360" i="39"/>
  <c r="Q356" i="39"/>
  <c r="J52" i="38"/>
  <c r="Q48" i="38"/>
  <c r="J332" i="38"/>
  <c r="Q328" i="38"/>
  <c r="J152" i="39"/>
  <c r="Q148" i="39"/>
  <c r="J32" i="38"/>
  <c r="J372" i="39"/>
  <c r="Q368" i="39"/>
  <c r="Q24" i="38"/>
  <c r="J260" i="39"/>
  <c r="Q256" i="39"/>
  <c r="Q253" i="37"/>
  <c r="Q269" i="37"/>
  <c r="J233" i="39"/>
  <c r="Q229" i="39"/>
  <c r="J137" i="38"/>
  <c r="Q133" i="38"/>
  <c r="J354" i="38"/>
  <c r="J357" i="38"/>
  <c r="Q353" i="38"/>
  <c r="J397" i="39"/>
  <c r="Q393" i="39"/>
  <c r="J325" i="39"/>
  <c r="Q321" i="39"/>
  <c r="J269" i="39"/>
  <c r="Q265" i="39"/>
  <c r="J409" i="39"/>
  <c r="Q405" i="39"/>
  <c r="J229" i="38"/>
  <c r="Q225" i="38"/>
  <c r="J125" i="39"/>
  <c r="Q121" i="39"/>
  <c r="J289" i="39"/>
  <c r="Q285" i="39"/>
  <c r="Q283" i="37"/>
  <c r="J287" i="37"/>
  <c r="Q195" i="37"/>
  <c r="Q255" i="37"/>
  <c r="Q263" i="37"/>
  <c r="J167" i="39"/>
  <c r="Q163" i="39"/>
  <c r="J335" i="38"/>
  <c r="Q331" i="38"/>
  <c r="J283" i="39"/>
  <c r="Q279" i="39"/>
  <c r="J351" i="38"/>
  <c r="Q347" i="38"/>
  <c r="J347" i="38"/>
  <c r="Q343" i="38"/>
  <c r="J327" i="38"/>
  <c r="Q323" i="38"/>
  <c r="J75" i="39"/>
  <c r="Q71" i="39"/>
  <c r="J47" i="38"/>
  <c r="Q43" i="38"/>
  <c r="J39" i="39"/>
  <c r="Q35" i="39"/>
  <c r="J15" i="37"/>
  <c r="Q343" i="37"/>
  <c r="Q31" i="37"/>
  <c r="Q91" i="37"/>
  <c r="Q107" i="37"/>
  <c r="Q375" i="37"/>
  <c r="Q155" i="39"/>
  <c r="J227" i="39"/>
  <c r="Q223" i="39"/>
  <c r="J363" i="38"/>
  <c r="Q359" i="38"/>
  <c r="J239" i="38"/>
  <c r="Q235" i="38"/>
  <c r="J151" i="38"/>
  <c r="Q147" i="38"/>
  <c r="Q139" i="38"/>
  <c r="J235" i="39"/>
  <c r="Q231" i="39"/>
  <c r="J279" i="38"/>
  <c r="Q275" i="38"/>
  <c r="J299" i="38"/>
  <c r="Q295" i="38"/>
  <c r="J286" i="39"/>
  <c r="J287" i="39"/>
  <c r="Q283" i="39"/>
  <c r="J339" i="38"/>
  <c r="Q335" i="38"/>
  <c r="J290" i="39"/>
  <c r="J291" i="39"/>
  <c r="Q287" i="39"/>
  <c r="J359" i="38"/>
  <c r="Q355" i="38"/>
  <c r="Q183" i="39"/>
  <c r="Q251" i="39"/>
  <c r="Q387" i="39"/>
  <c r="J255" i="38"/>
  <c r="Q251" i="38"/>
  <c r="J415" i="39"/>
  <c r="Q411" i="39"/>
  <c r="J51" i="38"/>
  <c r="Q47" i="38"/>
  <c r="J315" i="39"/>
  <c r="Q311" i="39"/>
  <c r="J27" i="39"/>
  <c r="Q23" i="39"/>
  <c r="J323" i="39"/>
  <c r="Q319" i="39"/>
  <c r="J179" i="39"/>
  <c r="Q175" i="39"/>
  <c r="Q67" i="39"/>
  <c r="Q326" i="37"/>
  <c r="Q190" i="37"/>
  <c r="Q258" i="37"/>
  <c r="Q362" i="37"/>
  <c r="Q266" i="37"/>
  <c r="Q234" i="37"/>
  <c r="Q170" i="37"/>
  <c r="J190" i="39"/>
  <c r="Q186" i="39"/>
  <c r="J114" i="39"/>
  <c r="Q110" i="39"/>
  <c r="J402" i="38"/>
  <c r="Q398" i="38"/>
  <c r="J306" i="38"/>
  <c r="Q302" i="38"/>
  <c r="J42" i="39"/>
  <c r="Q38" i="39"/>
  <c r="J407" i="38"/>
  <c r="J410" i="38"/>
  <c r="Q406" i="38"/>
  <c r="J18" i="39"/>
  <c r="P15" i="39"/>
  <c r="J334" i="39"/>
  <c r="Q330" i="39"/>
  <c r="J122" i="38"/>
  <c r="Q118" i="38"/>
  <c r="J174" i="39"/>
  <c r="Q170" i="39"/>
  <c r="J414" i="38"/>
  <c r="Q410" i="38"/>
  <c r="J234" i="38"/>
  <c r="Q230" i="38"/>
  <c r="J154" i="39"/>
  <c r="Q150" i="39"/>
  <c r="J66" i="39"/>
  <c r="Q62" i="39"/>
  <c r="J210" i="39"/>
  <c r="Q206" i="39"/>
  <c r="J26" i="38"/>
  <c r="Q22" i="38"/>
  <c r="J374" i="39"/>
  <c r="Q370" i="39"/>
  <c r="J22" i="38"/>
  <c r="Q18" i="38"/>
  <c r="J202" i="38"/>
  <c r="Q198" i="38"/>
  <c r="Q398" i="39"/>
  <c r="Q80" i="37"/>
  <c r="Q208" i="37"/>
  <c r="Q412" i="37"/>
  <c r="Q272" i="37"/>
  <c r="J276" i="37"/>
  <c r="Q92" i="37"/>
  <c r="Q64" i="37"/>
  <c r="J68" i="37"/>
  <c r="Q144" i="37"/>
  <c r="Q52" i="37"/>
  <c r="Q232" i="37"/>
  <c r="Q264" i="37"/>
  <c r="Q40" i="37"/>
  <c r="Q200" i="37"/>
  <c r="J204" i="37"/>
  <c r="Q24" i="37"/>
  <c r="J280" i="38"/>
  <c r="Q276" i="38"/>
  <c r="Q388" i="39"/>
  <c r="J104" i="38"/>
  <c r="Q100" i="38"/>
  <c r="J136" i="39"/>
  <c r="Q132" i="39"/>
  <c r="J92" i="38"/>
  <c r="Q88" i="38"/>
  <c r="J263" i="38"/>
  <c r="J264" i="38"/>
  <c r="Q260" i="38"/>
  <c r="J104" i="39"/>
  <c r="Q100" i="39"/>
  <c r="J192" i="39"/>
  <c r="Q188" i="39"/>
  <c r="J24" i="39"/>
  <c r="Q20" i="39"/>
  <c r="J388" i="39"/>
  <c r="Q384" i="39"/>
  <c r="J68" i="39"/>
  <c r="Q64" i="39"/>
  <c r="J308" i="38"/>
  <c r="Q304" i="38"/>
  <c r="J324" i="39"/>
  <c r="J32" i="39"/>
  <c r="Q28" i="39"/>
  <c r="J20" i="39"/>
  <c r="Q16" i="39"/>
  <c r="J192" i="38"/>
  <c r="Q188" i="38"/>
  <c r="J48" i="39"/>
  <c r="Q44" i="39"/>
  <c r="J84" i="39"/>
  <c r="Q80" i="39"/>
  <c r="J108" i="39"/>
  <c r="Q104" i="39"/>
  <c r="J68" i="38"/>
  <c r="Q64" i="38"/>
  <c r="Q208" i="38"/>
  <c r="J20" i="38"/>
  <c r="Q16" i="38"/>
  <c r="J256" i="39"/>
  <c r="Q252" i="39"/>
  <c r="Q152" i="38"/>
  <c r="J356" i="38"/>
  <c r="Q352" i="38"/>
  <c r="J280" i="39"/>
  <c r="Q276" i="39"/>
  <c r="Q141" i="37"/>
  <c r="Q185" i="37"/>
  <c r="Q389" i="37"/>
  <c r="Q249" i="37"/>
  <c r="Q105" i="37"/>
  <c r="Q397" i="37"/>
  <c r="Q369" i="37"/>
  <c r="Q197" i="37"/>
  <c r="Q21" i="37"/>
  <c r="Q241" i="37"/>
  <c r="Q65" i="37"/>
  <c r="Q145" i="37"/>
  <c r="Q97" i="37"/>
  <c r="J255" i="39"/>
  <c r="J257" i="39"/>
  <c r="Q253" i="39"/>
  <c r="J241" i="38"/>
  <c r="Q237" i="38"/>
  <c r="J77" i="38"/>
  <c r="Q73" i="38"/>
  <c r="J65" i="38"/>
  <c r="Q61" i="38"/>
  <c r="J169" i="39"/>
  <c r="Q165" i="39"/>
  <c r="J313" i="38"/>
  <c r="Q309" i="38"/>
  <c r="J57" i="38"/>
  <c r="Q53" i="38"/>
  <c r="J357" i="39"/>
  <c r="Q353" i="39"/>
  <c r="J398" i="38"/>
  <c r="Q397" i="38"/>
  <c r="J245" i="39"/>
  <c r="Q241" i="39"/>
  <c r="J281" i="38"/>
  <c r="Q277" i="38"/>
  <c r="J153" i="39"/>
  <c r="Q149" i="39"/>
  <c r="J213" i="38"/>
  <c r="Q209" i="38"/>
  <c r="J181" i="38"/>
  <c r="Q177" i="38"/>
  <c r="J173" i="38"/>
  <c r="Q169" i="38"/>
  <c r="J337" i="39"/>
  <c r="Q333" i="39"/>
  <c r="J201" i="39"/>
  <c r="Q197" i="39"/>
  <c r="J265" i="38"/>
  <c r="Q261" i="38"/>
  <c r="J297" i="38"/>
  <c r="Q293" i="38"/>
  <c r="J205" i="39"/>
  <c r="Q201" i="39"/>
  <c r="J281" i="39"/>
  <c r="Q277" i="39"/>
  <c r="J217" i="39"/>
  <c r="Q213" i="39"/>
  <c r="J37" i="39"/>
  <c r="Q33" i="39"/>
  <c r="J373" i="39"/>
  <c r="Q369" i="39"/>
  <c r="K15" i="37"/>
  <c r="U15" i="37" l="1"/>
  <c r="M15" i="39"/>
  <c r="M15" i="38"/>
  <c r="R32" i="38"/>
  <c r="R128" i="38"/>
  <c r="S410" i="38"/>
  <c r="S358" i="38"/>
  <c r="S234" i="38"/>
  <c r="R152" i="38"/>
  <c r="R304" i="38"/>
  <c r="R228" i="38"/>
  <c r="S250" i="38"/>
  <c r="S170" i="38"/>
  <c r="R368" i="38"/>
  <c r="R108" i="38"/>
  <c r="S382" i="38"/>
  <c r="S82" i="38"/>
  <c r="S190" i="38"/>
  <c r="R376" i="38"/>
  <c r="S246" i="38"/>
  <c r="R48" i="38"/>
  <c r="R224" i="38"/>
  <c r="R232" i="38"/>
  <c r="R284" i="38"/>
  <c r="S278" i="38"/>
  <c r="S18" i="38"/>
  <c r="R336" i="38"/>
  <c r="R72" i="38"/>
  <c r="R384" i="38"/>
  <c r="S102" i="38"/>
  <c r="S306" i="38"/>
  <c r="R220" i="38"/>
  <c r="R328" i="38"/>
  <c r="S390" i="38"/>
  <c r="S294" i="38"/>
  <c r="R16" i="38"/>
  <c r="S198" i="38"/>
  <c r="S370" i="38"/>
  <c r="R180" i="38"/>
  <c r="S366" i="38"/>
  <c r="S118" i="38"/>
  <c r="R260" i="38"/>
  <c r="R36" i="38"/>
  <c r="S30" i="38"/>
  <c r="S46" i="38"/>
  <c r="R116" i="38"/>
  <c r="R324" i="38"/>
  <c r="R184" i="38"/>
  <c r="R212" i="38"/>
  <c r="S26" i="38"/>
  <c r="R388" i="38"/>
  <c r="R404" i="38"/>
  <c r="R56" i="38"/>
  <c r="R168" i="38"/>
  <c r="R356" i="38"/>
  <c r="S74" i="38"/>
  <c r="S354" i="38"/>
  <c r="R340" i="38"/>
  <c r="R372" i="38"/>
  <c r="S186" i="38"/>
  <c r="R360" i="38"/>
  <c r="S162" i="38"/>
  <c r="S386" i="38"/>
  <c r="S206" i="38"/>
  <c r="S38" i="38"/>
  <c r="R20" i="38"/>
  <c r="S290" i="38"/>
  <c r="S266" i="38"/>
  <c r="R40" i="38"/>
  <c r="R288" i="38"/>
  <c r="S238" i="38"/>
  <c r="R136" i="38"/>
  <c r="S330" i="38"/>
  <c r="R24" i="38"/>
  <c r="S154" i="38"/>
  <c r="R264" i="38"/>
  <c r="R44" i="38"/>
  <c r="S214" i="38"/>
  <c r="R200" i="38"/>
  <c r="S274" i="38"/>
  <c r="S398" i="38"/>
  <c r="S326" i="38"/>
  <c r="S146" i="38"/>
  <c r="S110" i="38"/>
  <c r="R364" i="38"/>
  <c r="S90" i="38"/>
  <c r="R96" i="38"/>
  <c r="S122" i="38"/>
  <c r="R120" i="38"/>
  <c r="S218" i="38"/>
  <c r="S178" i="38"/>
  <c r="S362" i="38"/>
  <c r="S134" i="38"/>
  <c r="S226" i="38"/>
  <c r="S54" i="38"/>
  <c r="S338" i="38"/>
  <c r="S318" i="38"/>
  <c r="R412" i="38"/>
  <c r="R292" i="38"/>
  <c r="S182" i="38"/>
  <c r="R320" i="38"/>
  <c r="R344" i="38"/>
  <c r="R392" i="38"/>
  <c r="S414" i="38"/>
  <c r="S406" i="38"/>
  <c r="R300" i="38"/>
  <c r="S98" i="38"/>
  <c r="S302" i="38"/>
  <c r="S374" i="38"/>
  <c r="S138" i="38"/>
  <c r="S258" i="38"/>
  <c r="S62" i="38"/>
  <c r="S254" i="38"/>
  <c r="R248" i="38"/>
  <c r="S194" i="38"/>
  <c r="R164" i="38"/>
  <c r="S34" i="38"/>
  <c r="S298" i="38"/>
  <c r="S282" i="38"/>
  <c r="S130" i="38"/>
  <c r="S242" i="38"/>
  <c r="S394" i="38"/>
  <c r="S86" i="38"/>
  <c r="S58" i="38"/>
  <c r="S42" i="38"/>
  <c r="R348" i="38"/>
  <c r="S286" i="38"/>
  <c r="R132" i="38"/>
  <c r="S402" i="38"/>
  <c r="S126" i="38"/>
  <c r="R104" i="38"/>
  <c r="S174" i="38"/>
  <c r="R84" i="38"/>
  <c r="R308" i="38"/>
  <c r="R276" i="38"/>
  <c r="S22" i="38"/>
  <c r="R156" i="38"/>
  <c r="R88" i="38"/>
  <c r="S334" i="38"/>
  <c r="S310" i="38"/>
  <c r="S166" i="38"/>
  <c r="R28" i="38"/>
  <c r="R332" i="38"/>
  <c r="R160" i="38"/>
  <c r="R272" i="38"/>
  <c r="S66" i="38"/>
  <c r="R240" i="38"/>
  <c r="R140" i="38"/>
  <c r="R216" i="38"/>
  <c r="S314" i="38"/>
  <c r="R296" i="38"/>
  <c r="R196" i="38"/>
  <c r="R68" i="38"/>
  <c r="R60" i="38"/>
  <c r="S270" i="38"/>
  <c r="S346" i="38"/>
  <c r="R144" i="38"/>
  <c r="S378" i="38"/>
  <c r="R124" i="38"/>
  <c r="S230" i="38"/>
  <c r="R400" i="38"/>
  <c r="R80" i="38"/>
  <c r="S262" i="38"/>
  <c r="S322" i="38"/>
  <c r="R408" i="38"/>
  <c r="R244" i="38"/>
  <c r="S150" i="38"/>
  <c r="S50" i="38"/>
  <c r="R192" i="38"/>
  <c r="R316" i="38"/>
  <c r="R280" i="38"/>
  <c r="S106" i="38"/>
  <c r="R312" i="38"/>
  <c r="R64" i="38"/>
  <c r="R172" i="38"/>
  <c r="S142" i="38"/>
  <c r="R256" i="38"/>
  <c r="S342" i="38"/>
  <c r="R236" i="38"/>
  <c r="R148" i="38"/>
  <c r="R92" i="38"/>
  <c r="R268" i="38"/>
  <c r="S70" i="38"/>
  <c r="R176" i="38"/>
  <c r="S350" i="38"/>
  <c r="R416" i="38"/>
  <c r="R252" i="38"/>
  <c r="R100" i="38"/>
  <c r="S210" i="38"/>
  <c r="R208" i="38"/>
  <c r="R352" i="38"/>
  <c r="S94" i="38"/>
  <c r="R188" i="38"/>
  <c r="S158" i="38"/>
  <c r="S78" i="38"/>
  <c r="R76" i="38"/>
  <c r="R396" i="38"/>
  <c r="S222" i="38"/>
  <c r="R380" i="38"/>
  <c r="R204" i="38"/>
  <c r="R112" i="38"/>
  <c r="S202" i="38"/>
  <c r="S114" i="38"/>
  <c r="R52" i="38"/>
  <c r="Q320" i="39"/>
  <c r="S322" i="37"/>
  <c r="K15" i="38"/>
  <c r="O315" i="38"/>
  <c r="O283" i="38"/>
  <c r="Q300" i="39"/>
  <c r="S22" i="37"/>
  <c r="S254" i="37"/>
  <c r="R104" i="37"/>
  <c r="S74" i="37"/>
  <c r="R164" i="37"/>
  <c r="R344" i="37"/>
  <c r="S378" i="37"/>
  <c r="R408" i="37"/>
  <c r="S166" i="37"/>
  <c r="R220" i="37"/>
  <c r="R92" i="37"/>
  <c r="S98" i="37"/>
  <c r="S130" i="37"/>
  <c r="S398" i="37"/>
  <c r="S294" i="37"/>
  <c r="R80" i="37"/>
  <c r="R96" i="37"/>
  <c r="S382" i="37"/>
  <c r="S298" i="37"/>
  <c r="R248" i="37"/>
  <c r="R376" i="37"/>
  <c r="S126" i="37"/>
  <c r="R108" i="37"/>
  <c r="R84" i="37"/>
  <c r="R264" i="37"/>
  <c r="S258" i="37"/>
  <c r="R352" i="37"/>
  <c r="R28" i="37"/>
  <c r="S102" i="37"/>
  <c r="S162" i="37"/>
  <c r="S342" i="37"/>
  <c r="S142" i="37"/>
  <c r="S306" i="37"/>
  <c r="R40" i="37"/>
  <c r="S230" i="37"/>
  <c r="S70" i="37"/>
  <c r="R348" i="37"/>
  <c r="S290" i="37"/>
  <c r="R260" i="37"/>
  <c r="O231" i="38"/>
  <c r="R340" i="37"/>
  <c r="S138" i="37"/>
  <c r="R336" i="37"/>
  <c r="S302" i="37"/>
  <c r="O315" i="37"/>
  <c r="R168" i="37"/>
  <c r="O207" i="37"/>
  <c r="S122" i="37"/>
  <c r="S18" i="37"/>
  <c r="S374" i="37"/>
  <c r="O411" i="37"/>
  <c r="R400" i="37"/>
  <c r="R392" i="37"/>
  <c r="R256" i="37"/>
  <c r="O411" i="38"/>
  <c r="O199" i="38"/>
  <c r="R268" i="37"/>
  <c r="R252" i="37"/>
  <c r="S46" i="37"/>
  <c r="R216" i="37"/>
  <c r="O235" i="37"/>
  <c r="R412" i="37"/>
  <c r="R204" i="37"/>
  <c r="S318" i="37"/>
  <c r="S330" i="37"/>
  <c r="S242" i="37"/>
  <c r="S178" i="37"/>
  <c r="R148" i="37"/>
  <c r="Q320" i="38"/>
  <c r="O275" i="38"/>
  <c r="Q28" i="38"/>
  <c r="R64" i="37"/>
  <c r="S38" i="37"/>
  <c r="S110" i="37"/>
  <c r="R188" i="37"/>
  <c r="R68" i="37"/>
  <c r="S278" i="37"/>
  <c r="R32" i="37"/>
  <c r="R100" i="37"/>
  <c r="R136" i="37"/>
  <c r="S274" i="37"/>
  <c r="O275" i="37"/>
  <c r="S222" i="37"/>
  <c r="S90" i="37"/>
  <c r="O383" i="37"/>
  <c r="S414" i="37"/>
  <c r="R112" i="37"/>
  <c r="R372" i="37"/>
  <c r="R88" i="37"/>
  <c r="O67" i="37"/>
  <c r="R416" i="37"/>
  <c r="R296" i="37"/>
  <c r="S326" i="37"/>
  <c r="R388" i="37"/>
  <c r="S62" i="37"/>
  <c r="R56" i="37"/>
  <c r="R124" i="37"/>
  <c r="R360" i="37"/>
  <c r="S82" i="37"/>
  <c r="R380" i="37"/>
  <c r="S410" i="37"/>
  <c r="S250" i="37"/>
  <c r="R76" i="37"/>
  <c r="O267" i="37"/>
  <c r="R240" i="37"/>
  <c r="R332" i="37"/>
  <c r="R44" i="37"/>
  <c r="R292" i="37"/>
  <c r="S246" i="37"/>
  <c r="R244" i="37"/>
  <c r="S194" i="37"/>
  <c r="R328" i="37"/>
  <c r="S210" i="37"/>
  <c r="R24" i="37"/>
  <c r="R308" i="37"/>
  <c r="R156" i="37"/>
  <c r="S234" i="37"/>
  <c r="O279" i="37"/>
  <c r="S394" i="37"/>
  <c r="R288" i="37"/>
  <c r="O287" i="38"/>
  <c r="O367" i="38"/>
  <c r="S314" i="37"/>
  <c r="S186" i="37"/>
  <c r="S134" i="37"/>
  <c r="R52" i="37"/>
  <c r="R196" i="37"/>
  <c r="R396" i="37"/>
  <c r="S366" i="37"/>
  <c r="R72" i="37"/>
  <c r="S358" i="37"/>
  <c r="O183" i="37"/>
  <c r="O287" i="37"/>
  <c r="R60" i="37"/>
  <c r="Q300" i="38"/>
  <c r="O235" i="38"/>
  <c r="O203" i="38"/>
  <c r="R212" i="37"/>
  <c r="S206" i="37"/>
  <c r="S402" i="37"/>
  <c r="R48" i="37"/>
  <c r="R36" i="37"/>
  <c r="S78" i="37"/>
  <c r="S54" i="37"/>
  <c r="R180" i="37"/>
  <c r="R276" i="37"/>
  <c r="R228" i="37"/>
  <c r="S270" i="37"/>
  <c r="R232" i="37"/>
  <c r="O415" i="37"/>
  <c r="S30" i="37"/>
  <c r="R208" i="37"/>
  <c r="R280" i="37"/>
  <c r="S50" i="37"/>
  <c r="R384" i="37"/>
  <c r="R20" i="37"/>
  <c r="S170" i="37"/>
  <c r="R144" i="37"/>
  <c r="R316" i="37"/>
  <c r="S370" i="37"/>
  <c r="R312" i="37"/>
  <c r="R272" i="37"/>
  <c r="O335" i="37"/>
  <c r="O203" i="37"/>
  <c r="O379" i="37"/>
  <c r="R300" i="37"/>
  <c r="Q300" i="37"/>
  <c r="O279" i="38"/>
  <c r="O67" i="38"/>
  <c r="R140" i="37"/>
  <c r="R132" i="37"/>
  <c r="S146" i="37"/>
  <c r="O231" i="37"/>
  <c r="S362" i="37"/>
  <c r="R116" i="37"/>
  <c r="R16" i="37"/>
  <c r="O375" i="37"/>
  <c r="S334" i="37"/>
  <c r="S262" i="37"/>
  <c r="Q156" i="37"/>
  <c r="S114" i="37"/>
  <c r="Q28" i="37"/>
  <c r="R172" i="37"/>
  <c r="R152" i="37"/>
  <c r="R176" i="37"/>
  <c r="S174" i="37"/>
  <c r="S158" i="37"/>
  <c r="O415" i="38"/>
  <c r="O207" i="38"/>
  <c r="O183" i="38"/>
  <c r="O375" i="38"/>
  <c r="Q156" i="38"/>
  <c r="S282" i="37"/>
  <c r="S226" i="37"/>
  <c r="R304" i="37"/>
  <c r="R224" i="37"/>
  <c r="S310" i="37"/>
  <c r="R192" i="37"/>
  <c r="R364" i="37"/>
  <c r="S390" i="37"/>
  <c r="S118" i="37"/>
  <c r="S354" i="37"/>
  <c r="R320" i="37"/>
  <c r="O367" i="37"/>
  <c r="S58" i="37"/>
  <c r="S198" i="37"/>
  <c r="S66" i="37"/>
  <c r="S286" i="37"/>
  <c r="O283" i="37"/>
  <c r="S150" i="37"/>
  <c r="O199" i="37"/>
  <c r="S350" i="37"/>
  <c r="S94" i="37"/>
  <c r="R356" i="37"/>
  <c r="S202" i="37"/>
  <c r="R160" i="37"/>
  <c r="S386" i="37"/>
  <c r="S346" i="37"/>
  <c r="O383" i="38"/>
  <c r="N318" i="39"/>
  <c r="R236" i="37"/>
  <c r="R404" i="37"/>
  <c r="S190" i="37"/>
  <c r="S214" i="37"/>
  <c r="S266" i="37"/>
  <c r="S34" i="37"/>
  <c r="S218" i="37"/>
  <c r="S338" i="37"/>
  <c r="S238" i="37"/>
  <c r="R284" i="37"/>
  <c r="R200" i="37"/>
  <c r="R324" i="37"/>
  <c r="S406" i="37"/>
  <c r="S26" i="37"/>
  <c r="S42" i="37"/>
  <c r="Q320" i="37"/>
  <c r="S86" i="37"/>
  <c r="R184" i="37"/>
  <c r="R368" i="37"/>
  <c r="S154" i="37"/>
  <c r="S106" i="37"/>
  <c r="R120" i="37"/>
  <c r="S182" i="37"/>
  <c r="R128" i="37"/>
  <c r="T15" i="38"/>
  <c r="T15" i="37"/>
  <c r="S358" i="39"/>
  <c r="R200" i="39"/>
  <c r="R288" i="39"/>
  <c r="S178" i="39"/>
  <c r="S98" i="39"/>
  <c r="O279" i="39"/>
  <c r="R36" i="39"/>
  <c r="S106" i="39"/>
  <c r="R20" i="39"/>
  <c r="O287" i="39"/>
  <c r="S190" i="39"/>
  <c r="S354" i="39"/>
  <c r="S22" i="39"/>
  <c r="O283" i="39"/>
  <c r="S18" i="39"/>
  <c r="R356" i="39"/>
  <c r="R260" i="39"/>
  <c r="R332" i="39"/>
  <c r="S290" i="39"/>
  <c r="S142" i="39"/>
  <c r="R100" i="39"/>
  <c r="R180" i="39"/>
  <c r="R296" i="39"/>
  <c r="R352" i="39"/>
  <c r="R176" i="39"/>
  <c r="O47" i="39"/>
  <c r="S122" i="39"/>
  <c r="R224" i="39"/>
  <c r="R412" i="39"/>
  <c r="R44" i="39"/>
  <c r="O199" i="39"/>
  <c r="S66" i="39"/>
  <c r="R172" i="39"/>
  <c r="S118" i="39"/>
  <c r="R220" i="39"/>
  <c r="O235" i="39"/>
  <c r="S306" i="39"/>
  <c r="R316" i="39"/>
  <c r="S362" i="39"/>
  <c r="S398" i="39"/>
  <c r="S74" i="39"/>
  <c r="O315" i="39"/>
  <c r="S114" i="39"/>
  <c r="R368" i="39"/>
  <c r="O219" i="39"/>
  <c r="R404" i="39"/>
  <c r="S222" i="39"/>
  <c r="R56" i="39"/>
  <c r="R264" i="39"/>
  <c r="R16" i="39"/>
  <c r="S210" i="39"/>
  <c r="R392" i="39"/>
  <c r="O343" i="39"/>
  <c r="R300" i="39"/>
  <c r="R292" i="39"/>
  <c r="O207" i="39"/>
  <c r="K15" i="39"/>
  <c r="S38" i="39"/>
  <c r="R240" i="39"/>
  <c r="R312" i="39"/>
  <c r="S250" i="39"/>
  <c r="R208" i="39"/>
  <c r="S414" i="39"/>
  <c r="S318" i="39"/>
  <c r="S126" i="39"/>
  <c r="R256" i="39"/>
  <c r="S374" i="39"/>
  <c r="S390" i="39"/>
  <c r="O411" i="39"/>
  <c r="O203" i="39"/>
  <c r="R116" i="39"/>
  <c r="R204" i="39"/>
  <c r="R120" i="39"/>
  <c r="S282" i="39"/>
  <c r="S322" i="39"/>
  <c r="R236" i="39"/>
  <c r="S42" i="39"/>
  <c r="S158" i="39"/>
  <c r="R40" i="39"/>
  <c r="S170" i="39"/>
  <c r="R416" i="39"/>
  <c r="R320" i="39"/>
  <c r="R408" i="39"/>
  <c r="O183" i="39"/>
  <c r="S394" i="39"/>
  <c r="S378" i="39"/>
  <c r="S102" i="39"/>
  <c r="R24" i="39"/>
  <c r="S214" i="39"/>
  <c r="R336" i="39"/>
  <c r="S110" i="39"/>
  <c r="R168" i="39"/>
  <c r="R344" i="39"/>
  <c r="O275" i="39"/>
  <c r="R388" i="39"/>
  <c r="R276" i="39"/>
  <c r="O415" i="39"/>
  <c r="R132" i="39"/>
  <c r="S82" i="39"/>
  <c r="R96" i="39"/>
  <c r="R304" i="39"/>
  <c r="S150" i="39"/>
  <c r="S310" i="39"/>
  <c r="S246" i="39"/>
  <c r="R88" i="39"/>
  <c r="O263" i="39"/>
  <c r="R340" i="39"/>
  <c r="R396" i="39"/>
  <c r="R164" i="39"/>
  <c r="S182" i="39"/>
  <c r="S386" i="39"/>
  <c r="S294" i="39"/>
  <c r="S406" i="39"/>
  <c r="S186" i="39"/>
  <c r="S258" i="39"/>
  <c r="S134" i="39"/>
  <c r="R308" i="39"/>
  <c r="R372" i="39"/>
  <c r="S46" i="39"/>
  <c r="S34" i="39"/>
  <c r="S254" i="39"/>
  <c r="R324" i="39"/>
  <c r="O335" i="39"/>
  <c r="R136" i="39"/>
  <c r="S194" i="39"/>
  <c r="S314" i="39"/>
  <c r="R244" i="39"/>
  <c r="S266" i="39"/>
  <c r="R144" i="39"/>
  <c r="S334" i="39"/>
  <c r="S346" i="39"/>
  <c r="R92" i="39"/>
  <c r="S174" i="39"/>
  <c r="S270" i="39"/>
  <c r="R104" i="39"/>
  <c r="R228" i="39"/>
  <c r="S62" i="39"/>
  <c r="R28" i="39"/>
  <c r="R280" i="39"/>
  <c r="S162" i="39"/>
  <c r="R348" i="39"/>
  <c r="R52" i="39"/>
  <c r="S298" i="39"/>
  <c r="R156" i="39"/>
  <c r="R64" i="39"/>
  <c r="S218" i="39"/>
  <c r="R284" i="39"/>
  <c r="R140" i="39"/>
  <c r="O23" i="39"/>
  <c r="S230" i="39"/>
  <c r="S302" i="39"/>
  <c r="S402" i="39"/>
  <c r="S326" i="39"/>
  <c r="S366" i="39"/>
  <c r="S146" i="39"/>
  <c r="R32" i="39"/>
  <c r="S138" i="39"/>
  <c r="R84" i="39"/>
  <c r="R188" i="39"/>
  <c r="R380" i="39"/>
  <c r="R376" i="39"/>
  <c r="S154" i="39"/>
  <c r="O375" i="39"/>
  <c r="S166" i="39"/>
  <c r="R148" i="39"/>
  <c r="R384" i="39"/>
  <c r="S242" i="39"/>
  <c r="R248" i="39"/>
  <c r="R124" i="39"/>
  <c r="R360" i="39"/>
  <c r="S274" i="39"/>
  <c r="R400" i="39"/>
  <c r="S338" i="39"/>
  <c r="S50" i="39"/>
  <c r="R328" i="39"/>
  <c r="S198" i="39"/>
  <c r="S78" i="39"/>
  <c r="O383" i="39"/>
  <c r="S350" i="39"/>
  <c r="R152" i="39"/>
  <c r="S342" i="39"/>
  <c r="R272" i="39"/>
  <c r="S86" i="39"/>
  <c r="S382" i="39"/>
  <c r="R68" i="39"/>
  <c r="S262" i="39"/>
  <c r="S70" i="39"/>
  <c r="R232" i="39"/>
  <c r="R76" i="39"/>
  <c r="R80" i="39"/>
  <c r="S278" i="39"/>
  <c r="R112" i="39"/>
  <c r="S90" i="39"/>
  <c r="S234" i="39"/>
  <c r="R108" i="39"/>
  <c r="R268" i="39"/>
  <c r="R212" i="39"/>
  <c r="S58" i="39"/>
  <c r="O367" i="39"/>
  <c r="S130" i="39"/>
  <c r="O267" i="39"/>
  <c r="S30" i="39"/>
  <c r="R48" i="39"/>
  <c r="S54" i="39"/>
  <c r="R60" i="39"/>
  <c r="R184" i="39"/>
  <c r="R216" i="39"/>
  <c r="R128" i="39"/>
  <c r="R160" i="39"/>
  <c r="O67" i="39"/>
  <c r="S238" i="39"/>
  <c r="S26" i="39"/>
  <c r="R252" i="39"/>
  <c r="R364" i="39"/>
  <c r="S286" i="39"/>
  <c r="S94" i="39"/>
  <c r="S330" i="39"/>
  <c r="O231" i="39"/>
  <c r="S370" i="39"/>
  <c r="R192" i="39"/>
  <c r="R72" i="39"/>
  <c r="O379" i="39"/>
  <c r="S202" i="39"/>
  <c r="S410" i="39"/>
  <c r="S206" i="39"/>
  <c r="S226" i="39"/>
  <c r="R196" i="39"/>
  <c r="H15" i="38"/>
  <c r="H15" i="39"/>
  <c r="H15" i="37"/>
  <c r="K16" i="37" s="1"/>
  <c r="J24" i="37"/>
  <c r="X15" i="38" l="1"/>
  <c r="U15" i="38"/>
  <c r="Y15" i="38" s="1"/>
  <c r="W15" i="38"/>
  <c r="M16" i="39"/>
  <c r="G15" i="39"/>
  <c r="P16" i="39"/>
  <c r="K16" i="39"/>
  <c r="V15" i="38"/>
  <c r="Z15" i="38"/>
  <c r="U15" i="39"/>
  <c r="X15" i="39"/>
  <c r="T15" i="39"/>
  <c r="V15" i="39" s="1"/>
  <c r="Y15" i="37"/>
  <c r="X15" i="37"/>
  <c r="W15" i="37"/>
  <c r="V15" i="37"/>
  <c r="M16" i="37"/>
  <c r="G15" i="37"/>
  <c r="P16" i="37"/>
  <c r="G15" i="38"/>
  <c r="M16" i="38"/>
  <c r="K16" i="38"/>
  <c r="P16" i="38"/>
  <c r="Z15" i="37"/>
  <c r="T16" i="39" l="1"/>
  <c r="T16" i="38"/>
  <c r="U16" i="38"/>
  <c r="AA15" i="37"/>
  <c r="AB15" i="37" s="1"/>
  <c r="T16" i="37"/>
  <c r="AA15" i="38"/>
  <c r="AB15" i="38" s="1"/>
  <c r="W15" i="39"/>
  <c r="Y15" i="39"/>
  <c r="Z15" i="39"/>
  <c r="U16" i="37"/>
  <c r="U16" i="39"/>
  <c r="I16" i="39" s="1"/>
  <c r="H16" i="39" s="1"/>
  <c r="I16" i="38" l="1"/>
  <c r="H16" i="38" s="1"/>
  <c r="X16" i="38" s="1"/>
  <c r="Y16" i="38"/>
  <c r="AA15" i="39"/>
  <c r="AB15" i="39" s="1"/>
  <c r="L17" i="39"/>
  <c r="K17" i="39"/>
  <c r="P17" i="39"/>
  <c r="M17" i="39"/>
  <c r="G16" i="39"/>
  <c r="X16" i="39"/>
  <c r="W16" i="39"/>
  <c r="V16" i="39"/>
  <c r="Z16" i="39"/>
  <c r="Y16" i="37"/>
  <c r="W16" i="38"/>
  <c r="L17" i="38"/>
  <c r="G16" i="38"/>
  <c r="C3" i="28" s="1"/>
  <c r="K17" i="38"/>
  <c r="M17" i="38"/>
  <c r="P17" i="38"/>
  <c r="Y16" i="39"/>
  <c r="Z16" i="38"/>
  <c r="V16" i="38"/>
  <c r="I16" i="37"/>
  <c r="H16" i="37" s="1"/>
  <c r="W16" i="37" s="1"/>
  <c r="J25" i="37"/>
  <c r="AA16" i="38" l="1"/>
  <c r="AB16" i="38" s="1"/>
  <c r="L3" i="28" s="1"/>
  <c r="U17" i="38"/>
  <c r="Z16" i="37"/>
  <c r="T17" i="39"/>
  <c r="T17" i="38"/>
  <c r="X16" i="37"/>
  <c r="P17" i="37"/>
  <c r="L17" i="37"/>
  <c r="M17" i="37"/>
  <c r="K17" i="37"/>
  <c r="G16" i="37"/>
  <c r="B3" i="28" s="1"/>
  <c r="U17" i="39"/>
  <c r="V16" i="37"/>
  <c r="AA16" i="39"/>
  <c r="AB16" i="39" s="1"/>
  <c r="T17" i="37" l="1"/>
  <c r="Y17" i="39"/>
  <c r="I17" i="39"/>
  <c r="H17" i="39" s="1"/>
  <c r="V17" i="39" s="1"/>
  <c r="Y17" i="38"/>
  <c r="U17" i="37"/>
  <c r="Y17" i="37" s="1"/>
  <c r="AA16" i="37"/>
  <c r="AB16" i="37" s="1"/>
  <c r="K3" i="28" s="1"/>
  <c r="I17" i="38"/>
  <c r="H17" i="38" s="1"/>
  <c r="W17" i="38" s="1"/>
  <c r="J26" i="37"/>
  <c r="V17" i="38" l="1"/>
  <c r="P18" i="39"/>
  <c r="Z17" i="39"/>
  <c r="X17" i="39"/>
  <c r="W17" i="39"/>
  <c r="M18" i="39"/>
  <c r="K18" i="39"/>
  <c r="G17" i="39"/>
  <c r="I17" i="37"/>
  <c r="H17" i="37" s="1"/>
  <c r="X17" i="38"/>
  <c r="G17" i="38"/>
  <c r="C4" i="28" s="1"/>
  <c r="K18" i="38"/>
  <c r="M18" i="38"/>
  <c r="P18" i="38"/>
  <c r="Z17" i="38"/>
  <c r="AA17" i="39" l="1"/>
  <c r="AB17" i="39" s="1"/>
  <c r="AA17" i="38"/>
  <c r="AB17" i="38" s="1"/>
  <c r="L4" i="28" s="1"/>
  <c r="T18" i="39"/>
  <c r="U18" i="38"/>
  <c r="Y18" i="38" s="1"/>
  <c r="T18" i="38"/>
  <c r="U18" i="39"/>
  <c r="X17" i="37"/>
  <c r="M18" i="37"/>
  <c r="P18" i="37"/>
  <c r="K18" i="37"/>
  <c r="G17" i="37"/>
  <c r="B4" i="28" s="1"/>
  <c r="W17" i="37"/>
  <c r="V17" i="37"/>
  <c r="Z17" i="37"/>
  <c r="I18" i="38" l="1"/>
  <c r="H18" i="38" s="1"/>
  <c r="W18" i="38" s="1"/>
  <c r="U18" i="37"/>
  <c r="Y18" i="39"/>
  <c r="T18" i="37"/>
  <c r="I18" i="39"/>
  <c r="H18" i="39" s="1"/>
  <c r="V18" i="39" s="1"/>
  <c r="G18" i="38"/>
  <c r="C5" i="28" s="1"/>
  <c r="AA17" i="37"/>
  <c r="AB17" i="37" s="1"/>
  <c r="K4" i="28" s="1"/>
  <c r="K19" i="38" l="1"/>
  <c r="Z18" i="38"/>
  <c r="P19" i="38"/>
  <c r="X18" i="38"/>
  <c r="M19" i="38"/>
  <c r="V18" i="38"/>
  <c r="Y18" i="37"/>
  <c r="I18" i="37"/>
  <c r="H18" i="37" s="1"/>
  <c r="X18" i="37" s="1"/>
  <c r="P19" i="39"/>
  <c r="M19" i="39"/>
  <c r="K19" i="39"/>
  <c r="G18" i="39"/>
  <c r="W18" i="39"/>
  <c r="X18" i="39"/>
  <c r="Z18" i="39"/>
  <c r="J27" i="37"/>
  <c r="U19" i="38" l="1"/>
  <c r="Z18" i="37"/>
  <c r="G18" i="37"/>
  <c r="B5" i="28" s="1"/>
  <c r="M19" i="37"/>
  <c r="P19" i="37"/>
  <c r="K19" i="37"/>
  <c r="T19" i="38"/>
  <c r="Y19" i="38" s="1"/>
  <c r="AA18" i="38"/>
  <c r="AB18" i="38" s="1"/>
  <c r="L5" i="28" s="1"/>
  <c r="T19" i="39"/>
  <c r="U19" i="39"/>
  <c r="W18" i="37"/>
  <c r="V18" i="37"/>
  <c r="AA18" i="39"/>
  <c r="AB18" i="39" s="1"/>
  <c r="U19" i="37" l="1"/>
  <c r="AA18" i="37"/>
  <c r="AB18" i="37" s="1"/>
  <c r="K5" i="28" s="1"/>
  <c r="I19" i="38"/>
  <c r="H19" i="38" s="1"/>
  <c r="Z19" i="38" s="1"/>
  <c r="T19" i="37"/>
  <c r="I19" i="37" s="1"/>
  <c r="H19" i="37" s="1"/>
  <c r="Z19" i="37" s="1"/>
  <c r="I19" i="39"/>
  <c r="H19" i="39" s="1"/>
  <c r="Z19" i="39" s="1"/>
  <c r="Y19" i="39"/>
  <c r="V19" i="38"/>
  <c r="Y19" i="37"/>
  <c r="M20" i="38"/>
  <c r="G19" i="38"/>
  <c r="C6" i="28" s="1"/>
  <c r="X19" i="38"/>
  <c r="P20" i="38" l="1"/>
  <c r="W19" i="38"/>
  <c r="K20" i="38"/>
  <c r="G19" i="39"/>
  <c r="V19" i="39"/>
  <c r="K20" i="39"/>
  <c r="M20" i="39"/>
  <c r="X19" i="39"/>
  <c r="W19" i="39"/>
  <c r="P20" i="39"/>
  <c r="AA19" i="38"/>
  <c r="AB19" i="38" s="1"/>
  <c r="L6" i="28" s="1"/>
  <c r="V19" i="37"/>
  <c r="T20" i="38"/>
  <c r="X19" i="37"/>
  <c r="M20" i="37"/>
  <c r="P20" i="37"/>
  <c r="K20" i="37"/>
  <c r="G19" i="37"/>
  <c r="B6" i="28" s="1"/>
  <c r="U20" i="38"/>
  <c r="W19" i="37"/>
  <c r="U20" i="39" l="1"/>
  <c r="AA19" i="39"/>
  <c r="AB19" i="39" s="1"/>
  <c r="T20" i="39"/>
  <c r="T20" i="37"/>
  <c r="AA19" i="37"/>
  <c r="AB19" i="37" s="1"/>
  <c r="K6" i="28" s="1"/>
  <c r="I20" i="38"/>
  <c r="H20" i="38" s="1"/>
  <c r="M21" i="38" s="1"/>
  <c r="U20" i="37"/>
  <c r="Y20" i="37" s="1"/>
  <c r="Y20" i="38"/>
  <c r="Y20" i="39" l="1"/>
  <c r="I20" i="39"/>
  <c r="H20" i="39" s="1"/>
  <c r="W20" i="39" s="1"/>
  <c r="X20" i="38"/>
  <c r="K21" i="38"/>
  <c r="V20" i="38"/>
  <c r="P21" i="38"/>
  <c r="W20" i="38"/>
  <c r="I20" i="37"/>
  <c r="H20" i="37" s="1"/>
  <c r="Z20" i="37" s="1"/>
  <c r="L21" i="38"/>
  <c r="G20" i="38"/>
  <c r="C7" i="28" s="1"/>
  <c r="Z20" i="38"/>
  <c r="U21" i="38" l="1"/>
  <c r="T21" i="38"/>
  <c r="V20" i="37"/>
  <c r="P21" i="39"/>
  <c r="L21" i="39"/>
  <c r="K21" i="39"/>
  <c r="V20" i="39"/>
  <c r="M21" i="39"/>
  <c r="X20" i="39"/>
  <c r="G20" i="39"/>
  <c r="Z20" i="39"/>
  <c r="W20" i="37"/>
  <c r="P21" i="37"/>
  <c r="I21" i="38"/>
  <c r="H21" i="38" s="1"/>
  <c r="M22" i="38" s="1"/>
  <c r="M21" i="37"/>
  <c r="AA20" i="38"/>
  <c r="AB20" i="38" s="1"/>
  <c r="L7" i="28" s="1"/>
  <c r="X20" i="37"/>
  <c r="G20" i="37"/>
  <c r="B7" i="28" s="1"/>
  <c r="K21" i="37"/>
  <c r="L21" i="37"/>
  <c r="V21" i="38"/>
  <c r="W21" i="38"/>
  <c r="P22" i="38" l="1"/>
  <c r="AA20" i="37"/>
  <c r="AB20" i="37" s="1"/>
  <c r="K7" i="28" s="1"/>
  <c r="K22" i="38"/>
  <c r="G21" i="38"/>
  <c r="C8" i="28" s="1"/>
  <c r="Y21" i="38"/>
  <c r="X21" i="38"/>
  <c r="U21" i="39"/>
  <c r="AA20" i="39"/>
  <c r="AB20" i="39" s="1"/>
  <c r="T21" i="39"/>
  <c r="T21" i="37"/>
  <c r="Z21" i="38"/>
  <c r="U21" i="37"/>
  <c r="U22" i="38"/>
  <c r="T22" i="38"/>
  <c r="Y22" i="38" s="1"/>
  <c r="AA21" i="38" l="1"/>
  <c r="AB21" i="38" s="1"/>
  <c r="L8" i="28" s="1"/>
  <c r="I21" i="37"/>
  <c r="H21" i="37" s="1"/>
  <c r="P22" i="37" s="1"/>
  <c r="I21" i="39"/>
  <c r="H21" i="39" s="1"/>
  <c r="P22" i="39" s="1"/>
  <c r="V21" i="37"/>
  <c r="Z21" i="37"/>
  <c r="X21" i="37"/>
  <c r="K22" i="37"/>
  <c r="M22" i="37"/>
  <c r="W21" i="37"/>
  <c r="I22" i="38"/>
  <c r="H22" i="38" s="1"/>
  <c r="X22" i="38" s="1"/>
  <c r="W22" i="38"/>
  <c r="V22" i="38"/>
  <c r="Y21" i="37" l="1"/>
  <c r="G21" i="37"/>
  <c r="B8" i="28" s="1"/>
  <c r="Z21" i="39"/>
  <c r="V21" i="39"/>
  <c r="G21" i="39"/>
  <c r="K22" i="39"/>
  <c r="Y21" i="39"/>
  <c r="X21" i="39"/>
  <c r="P23" i="38"/>
  <c r="M23" i="38"/>
  <c r="M22" i="39"/>
  <c r="W21" i="39"/>
  <c r="AA21" i="37"/>
  <c r="AB21" i="37" s="1"/>
  <c r="K8" i="28" s="1"/>
  <c r="K23" i="38"/>
  <c r="T22" i="37"/>
  <c r="Z22" i="38"/>
  <c r="AA22" i="38" s="1"/>
  <c r="AB22" i="38" s="1"/>
  <c r="L9" i="28" s="1"/>
  <c r="U22" i="37"/>
  <c r="G22" i="38"/>
  <c r="C9" i="28" s="1"/>
  <c r="I22" i="37" l="1"/>
  <c r="H22" i="37" s="1"/>
  <c r="U23" i="38"/>
  <c r="T22" i="39"/>
  <c r="AA21" i="39"/>
  <c r="AB21" i="39" s="1"/>
  <c r="U22" i="39"/>
  <c r="T23" i="38"/>
  <c r="I23" i="38" s="1"/>
  <c r="H23" i="38" s="1"/>
  <c r="W23" i="38" s="1"/>
  <c r="Z22" i="37"/>
  <c r="P23" i="37"/>
  <c r="W22" i="37"/>
  <c r="M23" i="37"/>
  <c r="V22" i="37"/>
  <c r="K23" i="37"/>
  <c r="G22" i="37"/>
  <c r="B9" i="28" s="1"/>
  <c r="X22" i="37"/>
  <c r="Y22" i="37"/>
  <c r="Y23" i="38"/>
  <c r="J30" i="37"/>
  <c r="T23" i="37" l="1"/>
  <c r="I22" i="39"/>
  <c r="H22" i="39" s="1"/>
  <c r="K23" i="39" s="1"/>
  <c r="AA22" i="37"/>
  <c r="AB22" i="37" s="1"/>
  <c r="K9" i="28" s="1"/>
  <c r="U23" i="37"/>
  <c r="Y23" i="37" s="1"/>
  <c r="V23" i="38"/>
  <c r="K24" i="38"/>
  <c r="P24" i="38"/>
  <c r="M24" i="38"/>
  <c r="G23" i="38"/>
  <c r="C10" i="28" s="1"/>
  <c r="X23" i="38"/>
  <c r="Z23" i="38"/>
  <c r="Y22" i="39" l="1"/>
  <c r="V22" i="39"/>
  <c r="W22" i="39"/>
  <c r="Z22" i="39"/>
  <c r="X22" i="39"/>
  <c r="P23" i="39"/>
  <c r="M23" i="39"/>
  <c r="G22" i="39"/>
  <c r="I23" i="37"/>
  <c r="H23" i="37" s="1"/>
  <c r="V23" i="37" s="1"/>
  <c r="P24" i="37"/>
  <c r="W23" i="37"/>
  <c r="X23" i="37"/>
  <c r="K24" i="37"/>
  <c r="AA23" i="38"/>
  <c r="AB23" i="38" s="1"/>
  <c r="L10" i="28" s="1"/>
  <c r="T24" i="38"/>
  <c r="U24" i="38"/>
  <c r="Z23" i="37" l="1"/>
  <c r="M24" i="37"/>
  <c r="U24" i="37" s="1"/>
  <c r="G23" i="37"/>
  <c r="B10" i="28" s="1"/>
  <c r="AA22" i="39"/>
  <c r="AB22" i="39" s="1"/>
  <c r="T23" i="39"/>
  <c r="U23" i="39"/>
  <c r="T24" i="37"/>
  <c r="AA23" i="37"/>
  <c r="AB23" i="37" s="1"/>
  <c r="K10" i="28" s="1"/>
  <c r="Y24" i="38"/>
  <c r="I24" i="38"/>
  <c r="H24" i="38" s="1"/>
  <c r="J31" i="37"/>
  <c r="Y24" i="37" l="1"/>
  <c r="Y23" i="39"/>
  <c r="I23" i="39"/>
  <c r="H23" i="39" s="1"/>
  <c r="M24" i="39" s="1"/>
  <c r="I24" i="37"/>
  <c r="H24" i="37" s="1"/>
  <c r="V24" i="38"/>
  <c r="L25" i="38"/>
  <c r="G24" i="38"/>
  <c r="C11" i="28" s="1"/>
  <c r="P25" i="38"/>
  <c r="K25" i="38"/>
  <c r="M25" i="38"/>
  <c r="W24" i="38"/>
  <c r="X24" i="38"/>
  <c r="Z24" i="38"/>
  <c r="V23" i="39" l="1"/>
  <c r="W23" i="39"/>
  <c r="X23" i="39"/>
  <c r="G23" i="39"/>
  <c r="K24" i="39"/>
  <c r="Z23" i="39"/>
  <c r="P24" i="39"/>
  <c r="V24" i="37"/>
  <c r="W24" i="37"/>
  <c r="P25" i="37"/>
  <c r="X24" i="37"/>
  <c r="G24" i="37"/>
  <c r="B11" i="28" s="1"/>
  <c r="L25" i="37"/>
  <c r="Z24" i="37"/>
  <c r="M25" i="37"/>
  <c r="K25" i="37"/>
  <c r="U25" i="38"/>
  <c r="T25" i="38"/>
  <c r="AA24" i="38"/>
  <c r="AB24" i="38" s="1"/>
  <c r="L11" i="28" s="1"/>
  <c r="AA23" i="39" l="1"/>
  <c r="AB23" i="39" s="1"/>
  <c r="U24" i="39"/>
  <c r="T24" i="39"/>
  <c r="Y25" i="38"/>
  <c r="T25" i="37"/>
  <c r="U25" i="37"/>
  <c r="AA24" i="37"/>
  <c r="AB24" i="37" s="1"/>
  <c r="K11" i="28" s="1"/>
  <c r="I25" i="38"/>
  <c r="H25" i="38" s="1"/>
  <c r="W25" i="38" s="1"/>
  <c r="Y24" i="39" l="1"/>
  <c r="I24" i="39"/>
  <c r="H24" i="39" s="1"/>
  <c r="M25" i="39" s="1"/>
  <c r="K26" i="38"/>
  <c r="Z25" i="38"/>
  <c r="M26" i="38"/>
  <c r="Y25" i="37"/>
  <c r="I25" i="37"/>
  <c r="H25" i="37" s="1"/>
  <c r="P26" i="38"/>
  <c r="U26" i="38" s="1"/>
  <c r="X25" i="38"/>
  <c r="V25" i="38"/>
  <c r="G25" i="38"/>
  <c r="C12" i="28" s="1"/>
  <c r="J32" i="37"/>
  <c r="P25" i="39" l="1"/>
  <c r="V24" i="39"/>
  <c r="K25" i="39"/>
  <c r="G24" i="39"/>
  <c r="Z24" i="39"/>
  <c r="X24" i="39"/>
  <c r="W24" i="39"/>
  <c r="L25" i="39"/>
  <c r="AA25" i="38"/>
  <c r="AB25" i="38" s="1"/>
  <c r="L12" i="28" s="1"/>
  <c r="T26" i="38"/>
  <c r="Y26" i="38" s="1"/>
  <c r="V25" i="37"/>
  <c r="K26" i="37"/>
  <c r="M26" i="37"/>
  <c r="P26" i="37"/>
  <c r="Z25" i="37"/>
  <c r="G25" i="37"/>
  <c r="B12" i="28" s="1"/>
  <c r="X25" i="37"/>
  <c r="W25" i="37"/>
  <c r="AA24" i="39" l="1"/>
  <c r="AB24" i="39" s="1"/>
  <c r="T25" i="39"/>
  <c r="U25" i="39"/>
  <c r="I26" i="38"/>
  <c r="H26" i="38" s="1"/>
  <c r="Z26" i="38" s="1"/>
  <c r="V26" i="38"/>
  <c r="U26" i="37"/>
  <c r="T26" i="37"/>
  <c r="AA25" i="37"/>
  <c r="AB25" i="37" s="1"/>
  <c r="K12" i="28" s="1"/>
  <c r="I26" i="37" l="1"/>
  <c r="H26" i="37" s="1"/>
  <c r="X26" i="37" s="1"/>
  <c r="X26" i="38"/>
  <c r="I25" i="39"/>
  <c r="H25" i="39" s="1"/>
  <c r="G25" i="39" s="1"/>
  <c r="Y25" i="39"/>
  <c r="W26" i="38"/>
  <c r="AA26" i="38" s="1"/>
  <c r="AB26" i="38" s="1"/>
  <c r="L13" i="28" s="1"/>
  <c r="P27" i="38"/>
  <c r="K27" i="38"/>
  <c r="M27" i="38"/>
  <c r="G26" i="38"/>
  <c r="C13" i="28" s="1"/>
  <c r="V26" i="37"/>
  <c r="M27" i="37"/>
  <c r="Y26" i="37"/>
  <c r="W26" i="37"/>
  <c r="Z26" i="37"/>
  <c r="P27" i="37"/>
  <c r="G26" i="37"/>
  <c r="B13" i="28" s="1"/>
  <c r="J33" i="37"/>
  <c r="K27" i="37" l="1"/>
  <c r="X25" i="39"/>
  <c r="M26" i="39"/>
  <c r="W25" i="39"/>
  <c r="V25" i="39"/>
  <c r="K26" i="39"/>
  <c r="P26" i="39"/>
  <c r="Z25" i="39"/>
  <c r="T27" i="38"/>
  <c r="T27" i="37"/>
  <c r="U27" i="37"/>
  <c r="Y27" i="37" s="1"/>
  <c r="U27" i="38"/>
  <c r="AA26" i="37"/>
  <c r="AB26" i="37" s="1"/>
  <c r="K13" i="28" s="1"/>
  <c r="I27" i="37" l="1"/>
  <c r="H27" i="37" s="1"/>
  <c r="P28" i="37" s="1"/>
  <c r="W27" i="37"/>
  <c r="I27" i="38"/>
  <c r="H27" i="38" s="1"/>
  <c r="X27" i="38" s="1"/>
  <c r="AA25" i="39"/>
  <c r="AB25" i="39" s="1"/>
  <c r="U26" i="39"/>
  <c r="T26" i="39"/>
  <c r="G27" i="37"/>
  <c r="B14" i="28" s="1"/>
  <c r="W27" i="38"/>
  <c r="K28" i="38"/>
  <c r="P28" i="38"/>
  <c r="M28" i="38"/>
  <c r="V27" i="38"/>
  <c r="Y27" i="38"/>
  <c r="X27" i="37"/>
  <c r="K28" i="37"/>
  <c r="M28" i="37"/>
  <c r="J28" i="37"/>
  <c r="V27" i="37"/>
  <c r="Z27" i="37"/>
  <c r="J28" i="38" l="1"/>
  <c r="Z27" i="38"/>
  <c r="G27" i="38"/>
  <c r="C14" i="28" s="1"/>
  <c r="I26" i="39"/>
  <c r="H26" i="39" s="1"/>
  <c r="W26" i="39" s="1"/>
  <c r="Y26" i="39"/>
  <c r="AA27" i="38"/>
  <c r="AB27" i="38" s="1"/>
  <c r="L14" i="28" s="1"/>
  <c r="U28" i="37"/>
  <c r="U28" i="38"/>
  <c r="T28" i="38"/>
  <c r="AA27" i="37"/>
  <c r="AB27" i="37" s="1"/>
  <c r="K14" i="28" s="1"/>
  <c r="T28" i="37"/>
  <c r="J34" i="37"/>
  <c r="X26" i="39" l="1"/>
  <c r="G26" i="39"/>
  <c r="P27" i="39"/>
  <c r="V26" i="39"/>
  <c r="Z26" i="39"/>
  <c r="M27" i="39"/>
  <c r="K27" i="39"/>
  <c r="I28" i="38"/>
  <c r="H28" i="38" s="1"/>
  <c r="Z28" i="38" s="1"/>
  <c r="V28" i="38"/>
  <c r="W28" i="38"/>
  <c r="I28" i="37"/>
  <c r="H28" i="37" s="1"/>
  <c r="W28" i="37"/>
  <c r="Y28" i="37"/>
  <c r="Z28" i="37"/>
  <c r="V28" i="37"/>
  <c r="AA26" i="39" l="1"/>
  <c r="AB26" i="39" s="1"/>
  <c r="T27" i="39"/>
  <c r="U27" i="39"/>
  <c r="Y28" i="38"/>
  <c r="J29" i="38"/>
  <c r="K29" i="38"/>
  <c r="L29" i="38"/>
  <c r="G28" i="38"/>
  <c r="C15" i="28" s="1"/>
  <c r="P29" i="38"/>
  <c r="X28" i="38"/>
  <c r="M29" i="38"/>
  <c r="M29" i="37"/>
  <c r="X28" i="37"/>
  <c r="AA28" i="37" s="1"/>
  <c r="AB28" i="37" s="1"/>
  <c r="K15" i="28" s="1"/>
  <c r="L29" i="37"/>
  <c r="J29" i="37"/>
  <c r="G28" i="37"/>
  <c r="B15" i="28" s="1"/>
  <c r="K29" i="37"/>
  <c r="P29" i="37"/>
  <c r="AA28" i="38" l="1"/>
  <c r="AB28" i="38" s="1"/>
  <c r="L15" i="28" s="1"/>
  <c r="Y27" i="39"/>
  <c r="I27" i="39"/>
  <c r="H27" i="39" s="1"/>
  <c r="P28" i="39" s="1"/>
  <c r="U29" i="38"/>
  <c r="T29" i="38"/>
  <c r="W29" i="38" s="1"/>
  <c r="U29" i="37"/>
  <c r="T29" i="37"/>
  <c r="J35" i="37"/>
  <c r="Z27" i="39" l="1"/>
  <c r="K28" i="39"/>
  <c r="G27" i="39"/>
  <c r="W27" i="39"/>
  <c r="X27" i="39"/>
  <c r="J28" i="39"/>
  <c r="M28" i="39"/>
  <c r="V27" i="39"/>
  <c r="I29" i="38"/>
  <c r="H29" i="38" s="1"/>
  <c r="K30" i="38"/>
  <c r="G29" i="38"/>
  <c r="C16" i="28" s="1"/>
  <c r="P30" i="38"/>
  <c r="V29" i="38"/>
  <c r="Y29" i="38"/>
  <c r="W29" i="37"/>
  <c r="V29" i="37"/>
  <c r="I29" i="37"/>
  <c r="H29" i="37" s="1"/>
  <c r="Z29" i="37" s="1"/>
  <c r="AA27" i="39" l="1"/>
  <c r="AB27" i="39" s="1"/>
  <c r="U28" i="39"/>
  <c r="T28" i="39"/>
  <c r="W28" i="39" s="1"/>
  <c r="Z29" i="38"/>
  <c r="X29" i="38"/>
  <c r="AA29" i="38" s="1"/>
  <c r="AB29" i="38" s="1"/>
  <c r="L16" i="28" s="1"/>
  <c r="M30" i="38"/>
  <c r="U30" i="38" s="1"/>
  <c r="Y29" i="37"/>
  <c r="M30" i="37"/>
  <c r="P30" i="37"/>
  <c r="G29" i="37"/>
  <c r="B16" i="28" s="1"/>
  <c r="K30" i="37"/>
  <c r="X29" i="37"/>
  <c r="AA29" i="37" l="1"/>
  <c r="AB29" i="37" s="1"/>
  <c r="K16" i="28" s="1"/>
  <c r="I28" i="39"/>
  <c r="H28" i="39" s="1"/>
  <c r="M29" i="39" s="1"/>
  <c r="V28" i="39"/>
  <c r="T30" i="38"/>
  <c r="T30" i="37"/>
  <c r="U30" i="37"/>
  <c r="Y30" i="37" s="1"/>
  <c r="J36" i="37"/>
  <c r="Y28" i="39" l="1"/>
  <c r="P29" i="39"/>
  <c r="J29" i="39"/>
  <c r="L29" i="39"/>
  <c r="Z28" i="39"/>
  <c r="X28" i="39"/>
  <c r="K29" i="39"/>
  <c r="G28" i="39"/>
  <c r="Y30" i="38"/>
  <c r="V30" i="38"/>
  <c r="W30" i="38"/>
  <c r="I30" i="38"/>
  <c r="H30" i="38" s="1"/>
  <c r="I30" i="37"/>
  <c r="H30" i="37" s="1"/>
  <c r="T29" i="39" l="1"/>
  <c r="W29" i="39" s="1"/>
  <c r="AA28" i="39"/>
  <c r="AB28" i="39" s="1"/>
  <c r="U29" i="39"/>
  <c r="X30" i="38"/>
  <c r="AA30" i="38" s="1"/>
  <c r="AB30" i="38" s="1"/>
  <c r="L17" i="28" s="1"/>
  <c r="G30" i="38"/>
  <c r="C17" i="28" s="1"/>
  <c r="M31" i="38"/>
  <c r="K31" i="38"/>
  <c r="P31" i="38"/>
  <c r="Z30" i="38"/>
  <c r="Z30" i="37"/>
  <c r="G30" i="37"/>
  <c r="B17" i="28" s="1"/>
  <c r="P31" i="37"/>
  <c r="K31" i="37"/>
  <c r="M31" i="37"/>
  <c r="W30" i="37"/>
  <c r="X30" i="37"/>
  <c r="V30" i="37"/>
  <c r="U31" i="38" l="1"/>
  <c r="V29" i="39"/>
  <c r="I29" i="39"/>
  <c r="H29" i="39" s="1"/>
  <c r="Y29" i="39" s="1"/>
  <c r="T31" i="38"/>
  <c r="I31" i="38" s="1"/>
  <c r="H31" i="38" s="1"/>
  <c r="X31" i="38" s="1"/>
  <c r="T31" i="37"/>
  <c r="U31" i="37"/>
  <c r="AA30" i="37"/>
  <c r="AB30" i="37" s="1"/>
  <c r="K17" i="28" s="1"/>
  <c r="J37" i="37"/>
  <c r="I31" i="37" l="1"/>
  <c r="H31" i="37" s="1"/>
  <c r="X31" i="37" s="1"/>
  <c r="W31" i="38"/>
  <c r="Y31" i="37"/>
  <c r="P30" i="39"/>
  <c r="X29" i="39"/>
  <c r="Z29" i="39"/>
  <c r="M30" i="39"/>
  <c r="K30" i="39"/>
  <c r="G29" i="39"/>
  <c r="G31" i="38"/>
  <c r="C18" i="28" s="1"/>
  <c r="M32" i="38"/>
  <c r="K32" i="38"/>
  <c r="P32" i="38"/>
  <c r="U32" i="38"/>
  <c r="Z31" i="38"/>
  <c r="V31" i="38"/>
  <c r="Y31" i="38"/>
  <c r="W31" i="37"/>
  <c r="Z31" i="37"/>
  <c r="V31" i="37"/>
  <c r="P32" i="37"/>
  <c r="M32" i="37"/>
  <c r="G31" i="37"/>
  <c r="B18" i="28" s="1"/>
  <c r="K32" i="37"/>
  <c r="T32" i="38" l="1"/>
  <c r="AA31" i="37"/>
  <c r="AB31" i="37" s="1"/>
  <c r="K18" i="28" s="1"/>
  <c r="T30" i="39"/>
  <c r="U30" i="39"/>
  <c r="AA29" i="39"/>
  <c r="AB29" i="39" s="1"/>
  <c r="Y32" i="38"/>
  <c r="I32" i="38"/>
  <c r="H32" i="38" s="1"/>
  <c r="X32" i="38" s="1"/>
  <c r="V32" i="38"/>
  <c r="AA31" i="38"/>
  <c r="AB31" i="38" s="1"/>
  <c r="L18" i="28" s="1"/>
  <c r="T32" i="37"/>
  <c r="U32" i="37"/>
  <c r="I32" i="37" s="1"/>
  <c r="H32" i="37" s="1"/>
  <c r="Y30" i="39" l="1"/>
  <c r="I30" i="39"/>
  <c r="H30" i="39" s="1"/>
  <c r="W32" i="38"/>
  <c r="AA32" i="38" s="1"/>
  <c r="AB32" i="38" s="1"/>
  <c r="L19" i="28" s="1"/>
  <c r="K33" i="38"/>
  <c r="P33" i="38"/>
  <c r="M33" i="38"/>
  <c r="G32" i="38"/>
  <c r="C19" i="28" s="1"/>
  <c r="L33" i="38"/>
  <c r="Z32" i="38"/>
  <c r="V32" i="37"/>
  <c r="P33" i="37"/>
  <c r="M33" i="37"/>
  <c r="L33" i="37"/>
  <c r="G32" i="37"/>
  <c r="B19" i="28" s="1"/>
  <c r="K33" i="37"/>
  <c r="X32" i="37"/>
  <c r="W32" i="37"/>
  <c r="Y32" i="37"/>
  <c r="Z32" i="37"/>
  <c r="U33" i="38" l="1"/>
  <c r="P31" i="39"/>
  <c r="Z30" i="39"/>
  <c r="K31" i="39"/>
  <c r="V30" i="39"/>
  <c r="M31" i="39"/>
  <c r="G30" i="39"/>
  <c r="W30" i="39"/>
  <c r="X30" i="39"/>
  <c r="T33" i="38"/>
  <c r="Y33" i="38" s="1"/>
  <c r="T33" i="37"/>
  <c r="U33" i="37"/>
  <c r="Y33" i="37" s="1"/>
  <c r="AA32" i="37"/>
  <c r="AB32" i="37" s="1"/>
  <c r="K19" i="28" s="1"/>
  <c r="J38" i="37"/>
  <c r="AA30" i="39" l="1"/>
  <c r="AB30" i="39" s="1"/>
  <c r="U31" i="39"/>
  <c r="T31" i="39"/>
  <c r="I33" i="38"/>
  <c r="H33" i="38" s="1"/>
  <c r="W33" i="38"/>
  <c r="I33" i="37"/>
  <c r="H33" i="37" s="1"/>
  <c r="Z33" i="37" s="1"/>
  <c r="V33" i="37" l="1"/>
  <c r="W33" i="37"/>
  <c r="K34" i="37"/>
  <c r="M34" i="37"/>
  <c r="G33" i="37"/>
  <c r="B20" i="28" s="1"/>
  <c r="Y31" i="39"/>
  <c r="I31" i="39"/>
  <c r="H31" i="39" s="1"/>
  <c r="W31" i="39" s="1"/>
  <c r="Z33" i="38"/>
  <c r="G33" i="38"/>
  <c r="C20" i="28" s="1"/>
  <c r="K34" i="38"/>
  <c r="P34" i="38"/>
  <c r="M34" i="38"/>
  <c r="X33" i="38"/>
  <c r="V33" i="38"/>
  <c r="X33" i="37"/>
  <c r="AA33" i="37" s="1"/>
  <c r="AB33" i="37" s="1"/>
  <c r="K20" i="28" s="1"/>
  <c r="P34" i="37"/>
  <c r="U34" i="38" l="1"/>
  <c r="T34" i="37"/>
  <c r="T34" i="38"/>
  <c r="U34" i="37"/>
  <c r="I34" i="37" s="1"/>
  <c r="H34" i="37" s="1"/>
  <c r="Y34" i="37" s="1"/>
  <c r="V31" i="39"/>
  <c r="Z31" i="39"/>
  <c r="P32" i="39"/>
  <c r="G31" i="39"/>
  <c r="K32" i="39"/>
  <c r="M32" i="39"/>
  <c r="X31" i="39"/>
  <c r="Y34" i="38"/>
  <c r="I34" i="38"/>
  <c r="H34" i="38" s="1"/>
  <c r="W34" i="38" s="1"/>
  <c r="X34" i="38"/>
  <c r="V34" i="38"/>
  <c r="AA33" i="38"/>
  <c r="AB33" i="38" s="1"/>
  <c r="L20" i="28" s="1"/>
  <c r="J39" i="37"/>
  <c r="AA31" i="39" l="1"/>
  <c r="AB31" i="39" s="1"/>
  <c r="T32" i="39"/>
  <c r="U32" i="39"/>
  <c r="M35" i="38"/>
  <c r="K35" i="38"/>
  <c r="G34" i="38"/>
  <c r="C21" i="28" s="1"/>
  <c r="P35" i="38"/>
  <c r="T35" i="38" s="1"/>
  <c r="Z34" i="38"/>
  <c r="AA34" i="38" s="1"/>
  <c r="AB34" i="38" s="1"/>
  <c r="L21" i="28" s="1"/>
  <c r="X34" i="37"/>
  <c r="M35" i="37"/>
  <c r="G34" i="37"/>
  <c r="B21" i="28" s="1"/>
  <c r="P35" i="37"/>
  <c r="V34" i="37"/>
  <c r="K35" i="37"/>
  <c r="W34" i="37"/>
  <c r="Z34" i="37"/>
  <c r="Y32" i="39" l="1"/>
  <c r="I32" i="39"/>
  <c r="H32" i="39" s="1"/>
  <c r="U35" i="38"/>
  <c r="I35" i="38" s="1"/>
  <c r="H35" i="38" s="1"/>
  <c r="W35" i="38"/>
  <c r="V35" i="38"/>
  <c r="T35" i="37"/>
  <c r="V35" i="37" s="1"/>
  <c r="U35" i="37"/>
  <c r="AA34" i="37"/>
  <c r="AB34" i="37" s="1"/>
  <c r="K21" i="28" s="1"/>
  <c r="J40" i="37"/>
  <c r="V32" i="39" l="1"/>
  <c r="M33" i="39"/>
  <c r="G32" i="39"/>
  <c r="P33" i="39"/>
  <c r="L33" i="39"/>
  <c r="K33" i="39"/>
  <c r="X32" i="39"/>
  <c r="W32" i="39"/>
  <c r="Z32" i="39"/>
  <c r="G35" i="38"/>
  <c r="C22" i="28" s="1"/>
  <c r="M36" i="38"/>
  <c r="K36" i="38"/>
  <c r="U36" i="38" s="1"/>
  <c r="P36" i="38"/>
  <c r="T36" i="38"/>
  <c r="X35" i="38"/>
  <c r="AA35" i="38" s="1"/>
  <c r="AB35" i="38" s="1"/>
  <c r="L22" i="28" s="1"/>
  <c r="Y35" i="38"/>
  <c r="Z35" i="38"/>
  <c r="I35" i="37"/>
  <c r="H35" i="37" s="1"/>
  <c r="Z35" i="37" s="1"/>
  <c r="W35" i="37"/>
  <c r="Y35" i="37"/>
  <c r="Y36" i="38" l="1"/>
  <c r="U33" i="39"/>
  <c r="T33" i="39"/>
  <c r="AA32" i="39"/>
  <c r="AB32" i="39" s="1"/>
  <c r="I36" i="38"/>
  <c r="H36" i="38" s="1"/>
  <c r="Z36" i="38" s="1"/>
  <c r="G35" i="37"/>
  <c r="B22" i="28" s="1"/>
  <c r="P36" i="37"/>
  <c r="K36" i="37"/>
  <c r="M36" i="37"/>
  <c r="X35" i="37"/>
  <c r="AA35" i="37" s="1"/>
  <c r="AB35" i="37" s="1"/>
  <c r="K22" i="28" s="1"/>
  <c r="W36" i="38" l="1"/>
  <c r="Y33" i="39"/>
  <c r="I33" i="39"/>
  <c r="H33" i="39" s="1"/>
  <c r="Z33" i="39" s="1"/>
  <c r="P37" i="38"/>
  <c r="G36" i="38"/>
  <c r="C23" i="28" s="1"/>
  <c r="K37" i="38"/>
  <c r="V36" i="38"/>
  <c r="M37" i="38"/>
  <c r="X36" i="38"/>
  <c r="L37" i="38"/>
  <c r="U36" i="37"/>
  <c r="T36" i="37"/>
  <c r="J41" i="37"/>
  <c r="W33" i="39" l="1"/>
  <c r="V33" i="39"/>
  <c r="G33" i="39"/>
  <c r="K34" i="39"/>
  <c r="M34" i="39"/>
  <c r="P34" i="39"/>
  <c r="X33" i="39"/>
  <c r="AA36" i="38"/>
  <c r="AB36" i="38" s="1"/>
  <c r="L23" i="28" s="1"/>
  <c r="U37" i="38"/>
  <c r="T37" i="38"/>
  <c r="Y36" i="37"/>
  <c r="I36" i="37"/>
  <c r="H36" i="37" s="1"/>
  <c r="I37" i="38" l="1"/>
  <c r="H37" i="38" s="1"/>
  <c r="T34" i="39"/>
  <c r="U34" i="39"/>
  <c r="AA33" i="39"/>
  <c r="AB33" i="39" s="1"/>
  <c r="W37" i="38"/>
  <c r="K38" i="38"/>
  <c r="U38" i="38" s="1"/>
  <c r="G37" i="38"/>
  <c r="C24" i="28" s="1"/>
  <c r="M38" i="38"/>
  <c r="P38" i="38"/>
  <c r="X37" i="38"/>
  <c r="Y37" i="38"/>
  <c r="V37" i="38"/>
  <c r="Z37" i="38"/>
  <c r="G36" i="37"/>
  <c r="B23" i="28" s="1"/>
  <c r="P37" i="37"/>
  <c r="M37" i="37"/>
  <c r="V36" i="37"/>
  <c r="Z36" i="37"/>
  <c r="L37" i="37"/>
  <c r="K37" i="37"/>
  <c r="X36" i="37"/>
  <c r="W36" i="37"/>
  <c r="I34" i="39" l="1"/>
  <c r="H34" i="39" s="1"/>
  <c r="Y34" i="39" s="1"/>
  <c r="T38" i="38"/>
  <c r="V38" i="38" s="1"/>
  <c r="AA37" i="38"/>
  <c r="AB37" i="38" s="1"/>
  <c r="L24" i="28" s="1"/>
  <c r="AA36" i="37"/>
  <c r="AB36" i="37" s="1"/>
  <c r="K23" i="28" s="1"/>
  <c r="U37" i="37"/>
  <c r="T37" i="37"/>
  <c r="K35" i="39" l="1"/>
  <c r="M35" i="39"/>
  <c r="G34" i="39"/>
  <c r="P35" i="39"/>
  <c r="Z34" i="39"/>
  <c r="W34" i="39"/>
  <c r="V34" i="39"/>
  <c r="X34" i="39"/>
  <c r="W38" i="38"/>
  <c r="Y38" i="38"/>
  <c r="I38" i="38"/>
  <c r="H38" i="38" s="1"/>
  <c r="Y37" i="37"/>
  <c r="I37" i="37"/>
  <c r="H37" i="37" s="1"/>
  <c r="Z37" i="37" s="1"/>
  <c r="J42" i="37"/>
  <c r="V37" i="37" l="1"/>
  <c r="T35" i="39"/>
  <c r="AA34" i="39"/>
  <c r="AB34" i="39" s="1"/>
  <c r="U35" i="39"/>
  <c r="P39" i="38"/>
  <c r="G38" i="38"/>
  <c r="C25" i="28" s="1"/>
  <c r="X38" i="38"/>
  <c r="AA38" i="38" s="1"/>
  <c r="AB38" i="38" s="1"/>
  <c r="L25" i="28" s="1"/>
  <c r="M39" i="38"/>
  <c r="K39" i="38"/>
  <c r="Z38" i="38"/>
  <c r="G37" i="37"/>
  <c r="B24" i="28" s="1"/>
  <c r="K38" i="37"/>
  <c r="M38" i="37"/>
  <c r="P38" i="37"/>
  <c r="X37" i="37"/>
  <c r="U38" i="37"/>
  <c r="W37" i="37"/>
  <c r="U39" i="38" l="1"/>
  <c r="Y35" i="39"/>
  <c r="I35" i="39"/>
  <c r="H35" i="39" s="1"/>
  <c r="V35" i="39" s="1"/>
  <c r="T39" i="38"/>
  <c r="I39" i="38" s="1"/>
  <c r="H39" i="38" s="1"/>
  <c r="X39" i="38" s="1"/>
  <c r="T38" i="37"/>
  <c r="W38" i="37" s="1"/>
  <c r="AA37" i="37"/>
  <c r="AB37" i="37" s="1"/>
  <c r="K24" i="28" s="1"/>
  <c r="V39" i="38" l="1"/>
  <c r="V38" i="37"/>
  <c r="I38" i="37"/>
  <c r="H38" i="37" s="1"/>
  <c r="Z38" i="37" s="1"/>
  <c r="Y38" i="37"/>
  <c r="Z35" i="39"/>
  <c r="P36" i="39"/>
  <c r="M36" i="39"/>
  <c r="X35" i="39"/>
  <c r="K36" i="39"/>
  <c r="G35" i="39"/>
  <c r="W35" i="39"/>
  <c r="P40" i="38"/>
  <c r="M40" i="38"/>
  <c r="G39" i="38"/>
  <c r="C26" i="28" s="1"/>
  <c r="K40" i="38"/>
  <c r="Z39" i="38"/>
  <c r="W39" i="38"/>
  <c r="Y39" i="38"/>
  <c r="G38" i="37"/>
  <c r="B25" i="28" s="1"/>
  <c r="M39" i="37"/>
  <c r="K39" i="37"/>
  <c r="P39" i="37"/>
  <c r="X38" i="37" l="1"/>
  <c r="AA38" i="37" s="1"/>
  <c r="AB38" i="37" s="1"/>
  <c r="K25" i="28" s="1"/>
  <c r="T36" i="39"/>
  <c r="AA35" i="39"/>
  <c r="AB35" i="39" s="1"/>
  <c r="U36" i="39"/>
  <c r="U40" i="38"/>
  <c r="T40" i="38"/>
  <c r="AA39" i="38"/>
  <c r="AB39" i="38" s="1"/>
  <c r="L26" i="28" s="1"/>
  <c r="I40" i="38"/>
  <c r="H40" i="38" s="1"/>
  <c r="V40" i="38" s="1"/>
  <c r="U39" i="37"/>
  <c r="T39" i="37"/>
  <c r="Y40" i="38" l="1"/>
  <c r="W40" i="38"/>
  <c r="P41" i="38"/>
  <c r="Y36" i="39"/>
  <c r="I36" i="39"/>
  <c r="H36" i="39" s="1"/>
  <c r="K37" i="39" s="1"/>
  <c r="M41" i="38"/>
  <c r="Z40" i="38"/>
  <c r="L41" i="38"/>
  <c r="X40" i="38"/>
  <c r="K41" i="38"/>
  <c r="G40" i="38"/>
  <c r="C27" i="28" s="1"/>
  <c r="Y39" i="37"/>
  <c r="I39" i="37"/>
  <c r="H39" i="37" s="1"/>
  <c r="AA40" i="38" l="1"/>
  <c r="AB40" i="38" s="1"/>
  <c r="L27" i="28" s="1"/>
  <c r="U41" i="38"/>
  <c r="M37" i="39"/>
  <c r="L37" i="39"/>
  <c r="V36" i="39"/>
  <c r="X36" i="39"/>
  <c r="P37" i="39"/>
  <c r="W36" i="39"/>
  <c r="Z36" i="39"/>
  <c r="G36" i="39"/>
  <c r="T41" i="38"/>
  <c r="V39" i="37"/>
  <c r="K40" i="37"/>
  <c r="G39" i="37"/>
  <c r="B26" i="28" s="1"/>
  <c r="P40" i="37"/>
  <c r="M40" i="37"/>
  <c r="T40" i="37" s="1"/>
  <c r="X39" i="37"/>
  <c r="W39" i="37"/>
  <c r="Z39" i="37"/>
  <c r="Y41" i="38"/>
  <c r="I41" i="38"/>
  <c r="H41" i="38" s="1"/>
  <c r="U40" i="37" l="1"/>
  <c r="T37" i="39"/>
  <c r="AA36" i="39"/>
  <c r="AB36" i="39" s="1"/>
  <c r="U37" i="39"/>
  <c r="Y40" i="37"/>
  <c r="I40" i="37"/>
  <c r="H40" i="37" s="1"/>
  <c r="W40" i="37" s="1"/>
  <c r="AA39" i="37"/>
  <c r="AB39" i="37" s="1"/>
  <c r="K26" i="28" s="1"/>
  <c r="W41" i="38"/>
  <c r="M42" i="38"/>
  <c r="G41" i="38"/>
  <c r="C28" i="28" s="1"/>
  <c r="P42" i="38"/>
  <c r="K42" i="38"/>
  <c r="X41" i="38"/>
  <c r="Z41" i="38"/>
  <c r="V41" i="38"/>
  <c r="V40" i="37" l="1"/>
  <c r="X40" i="37"/>
  <c r="I37" i="39"/>
  <c r="H37" i="39" s="1"/>
  <c r="W37" i="39" s="1"/>
  <c r="Y37" i="39"/>
  <c r="AA41" i="38"/>
  <c r="AB41" i="38" s="1"/>
  <c r="L28" i="28" s="1"/>
  <c r="M41" i="37"/>
  <c r="L41" i="37"/>
  <c r="G40" i="37"/>
  <c r="B27" i="28" s="1"/>
  <c r="P41" i="37"/>
  <c r="K41" i="37"/>
  <c r="Z40" i="37"/>
  <c r="AA40" i="37" s="1"/>
  <c r="AB40" i="37" s="1"/>
  <c r="K27" i="28" s="1"/>
  <c r="U42" i="38"/>
  <c r="T42" i="38"/>
  <c r="U41" i="37" l="1"/>
  <c r="V37" i="39"/>
  <c r="K38" i="39"/>
  <c r="G37" i="39"/>
  <c r="Z37" i="39"/>
  <c r="P38" i="39"/>
  <c r="X37" i="39"/>
  <c r="M38" i="39"/>
  <c r="T41" i="37"/>
  <c r="I41" i="37" s="1"/>
  <c r="H41" i="37" s="1"/>
  <c r="I42" i="38"/>
  <c r="H42" i="38" s="1"/>
  <c r="W42" i="38" s="1"/>
  <c r="Y41" i="37" l="1"/>
  <c r="W41" i="37"/>
  <c r="Z41" i="37"/>
  <c r="V41" i="37"/>
  <c r="AA37" i="39"/>
  <c r="AB37" i="39" s="1"/>
  <c r="T38" i="39"/>
  <c r="U38" i="39"/>
  <c r="Y42" i="38"/>
  <c r="X41" i="37"/>
  <c r="M42" i="37"/>
  <c r="K42" i="37"/>
  <c r="G41" i="37"/>
  <c r="B28" i="28" s="1"/>
  <c r="P42" i="37"/>
  <c r="U42" i="37"/>
  <c r="V42" i="38"/>
  <c r="P43" i="38"/>
  <c r="J43" i="38"/>
  <c r="K43" i="38"/>
  <c r="M43" i="38"/>
  <c r="G42" i="38"/>
  <c r="C29" i="28" s="1"/>
  <c r="X42" i="38"/>
  <c r="Z42" i="38"/>
  <c r="J46" i="37"/>
  <c r="T43" i="38" l="1"/>
  <c r="T42" i="37"/>
  <c r="AA41" i="37"/>
  <c r="AB41" i="37" s="1"/>
  <c r="K28" i="28" s="1"/>
  <c r="I38" i="39"/>
  <c r="H38" i="39" s="1"/>
  <c r="M39" i="39" s="1"/>
  <c r="Y38" i="39"/>
  <c r="I42" i="37"/>
  <c r="H42" i="37" s="1"/>
  <c r="Y42" i="37" s="1"/>
  <c r="W42" i="37"/>
  <c r="V42" i="37"/>
  <c r="U43" i="38"/>
  <c r="I43" i="38" s="1"/>
  <c r="H43" i="38" s="1"/>
  <c r="AA42" i="38"/>
  <c r="AB42" i="38" s="1"/>
  <c r="L29" i="28" s="1"/>
  <c r="X42" i="37" l="1"/>
  <c r="P39" i="39"/>
  <c r="Z38" i="39"/>
  <c r="K39" i="39"/>
  <c r="X38" i="39"/>
  <c r="V38" i="39"/>
  <c r="W38" i="39"/>
  <c r="G38" i="39"/>
  <c r="K43" i="37"/>
  <c r="J43" i="37"/>
  <c r="P43" i="37"/>
  <c r="M43" i="37"/>
  <c r="G42" i="37"/>
  <c r="B29" i="28" s="1"/>
  <c r="Z42" i="37"/>
  <c r="AA42" i="37" s="1"/>
  <c r="AB42" i="37" s="1"/>
  <c r="K29" i="28" s="1"/>
  <c r="V43" i="38"/>
  <c r="P44" i="38"/>
  <c r="G43" i="38"/>
  <c r="C30" i="28" s="1"/>
  <c r="M44" i="38"/>
  <c r="J44" i="38"/>
  <c r="K44" i="38"/>
  <c r="Z43" i="38"/>
  <c r="X43" i="38"/>
  <c r="W43" i="38"/>
  <c r="Y43" i="38"/>
  <c r="J47" i="37"/>
  <c r="U43" i="37" l="1"/>
  <c r="U39" i="39"/>
  <c r="T39" i="39"/>
  <c r="AA38" i="39"/>
  <c r="AB38" i="39" s="1"/>
  <c r="T43" i="37"/>
  <c r="Z43" i="37" s="1"/>
  <c r="T44" i="38"/>
  <c r="U44" i="38"/>
  <c r="I44" i="38" s="1"/>
  <c r="H44" i="38" s="1"/>
  <c r="AA43" i="38"/>
  <c r="AB43" i="38" s="1"/>
  <c r="L30" i="28" s="1"/>
  <c r="I43" i="37" l="1"/>
  <c r="H43" i="37" s="1"/>
  <c r="Y43" i="37" s="1"/>
  <c r="I39" i="39"/>
  <c r="H39" i="39" s="1"/>
  <c r="K40" i="39" s="1"/>
  <c r="Y39" i="39"/>
  <c r="V43" i="37"/>
  <c r="J44" i="37"/>
  <c r="P44" i="37"/>
  <c r="M44" i="37"/>
  <c r="G43" i="37"/>
  <c r="B30" i="28" s="1"/>
  <c r="K44" i="37"/>
  <c r="W43" i="37"/>
  <c r="X43" i="37"/>
  <c r="X44" i="38"/>
  <c r="M45" i="38"/>
  <c r="G44" i="38"/>
  <c r="C31" i="28" s="1"/>
  <c r="L45" i="38"/>
  <c r="P45" i="38"/>
  <c r="J45" i="38"/>
  <c r="K45" i="38"/>
  <c r="V44" i="38"/>
  <c r="Z44" i="38"/>
  <c r="Y44" i="38"/>
  <c r="W44" i="38"/>
  <c r="U44" i="37" l="1"/>
  <c r="V39" i="39"/>
  <c r="P40" i="39"/>
  <c r="M40" i="39"/>
  <c r="X39" i="39"/>
  <c r="W39" i="39"/>
  <c r="G39" i="39"/>
  <c r="Z39" i="39"/>
  <c r="T44" i="37"/>
  <c r="AA43" i="37"/>
  <c r="AB43" i="37" s="1"/>
  <c r="K30" i="28" s="1"/>
  <c r="T45" i="38"/>
  <c r="U45" i="38"/>
  <c r="I45" i="38" s="1"/>
  <c r="H45" i="38" s="1"/>
  <c r="AA44" i="38"/>
  <c r="AB44" i="38" s="1"/>
  <c r="L31" i="28" s="1"/>
  <c r="J48" i="37"/>
  <c r="U40" i="39" l="1"/>
  <c r="T40" i="39"/>
  <c r="AA39" i="39"/>
  <c r="AB39" i="39" s="1"/>
  <c r="I44" i="37"/>
  <c r="H44" i="37" s="1"/>
  <c r="Y44" i="37" s="1"/>
  <c r="W44" i="37"/>
  <c r="G44" i="37"/>
  <c r="B31" i="28" s="1"/>
  <c r="V44" i="37"/>
  <c r="Z44" i="37"/>
  <c r="X45" i="38"/>
  <c r="P46" i="38"/>
  <c r="G45" i="38"/>
  <c r="C32" i="28" s="1"/>
  <c r="M46" i="38"/>
  <c r="K46" i="38"/>
  <c r="V45" i="38"/>
  <c r="Y45" i="38"/>
  <c r="Z45" i="38"/>
  <c r="W45" i="38"/>
  <c r="K45" i="37" l="1"/>
  <c r="Y40" i="39"/>
  <c r="J45" i="37"/>
  <c r="L45" i="37"/>
  <c r="M45" i="37"/>
  <c r="I40" i="39"/>
  <c r="H40" i="39" s="1"/>
  <c r="W40" i="39" s="1"/>
  <c r="P45" i="37"/>
  <c r="X44" i="37"/>
  <c r="AA44" i="37" s="1"/>
  <c r="AB44" i="37" s="1"/>
  <c r="K31" i="28" s="1"/>
  <c r="AA45" i="38"/>
  <c r="AB45" i="38" s="1"/>
  <c r="L32" i="28" s="1"/>
  <c r="U46" i="38"/>
  <c r="T46" i="38"/>
  <c r="V46" i="38" s="1"/>
  <c r="T45" i="37" l="1"/>
  <c r="U45" i="37"/>
  <c r="G40" i="39"/>
  <c r="Z40" i="39"/>
  <c r="L41" i="39"/>
  <c r="M41" i="39"/>
  <c r="K41" i="39"/>
  <c r="P41" i="39"/>
  <c r="X40" i="39"/>
  <c r="V40" i="39"/>
  <c r="I45" i="37"/>
  <c r="H45" i="37" s="1"/>
  <c r="Y45" i="37" s="1"/>
  <c r="I46" i="38"/>
  <c r="H46" i="38" s="1"/>
  <c r="Z46" i="38" s="1"/>
  <c r="W46" i="38"/>
  <c r="Y46" i="38"/>
  <c r="J49" i="37"/>
  <c r="T41" i="39" l="1"/>
  <c r="AA40" i="39"/>
  <c r="AB40" i="39" s="1"/>
  <c r="U41" i="39"/>
  <c r="W45" i="37"/>
  <c r="M46" i="37"/>
  <c r="P46" i="37"/>
  <c r="G45" i="37"/>
  <c r="B32" i="28" s="1"/>
  <c r="K46" i="37"/>
  <c r="U46" i="37" s="1"/>
  <c r="X45" i="37"/>
  <c r="V45" i="37"/>
  <c r="Z45" i="37"/>
  <c r="K47" i="38"/>
  <c r="P47" i="38"/>
  <c r="M47" i="38"/>
  <c r="G46" i="38"/>
  <c r="C33" i="28" s="1"/>
  <c r="X46" i="38"/>
  <c r="AA46" i="38" s="1"/>
  <c r="AB46" i="38" s="1"/>
  <c r="L33" i="28" s="1"/>
  <c r="I41" i="39" l="1"/>
  <c r="H41" i="39" s="1"/>
  <c r="X41" i="39" s="1"/>
  <c r="T46" i="37"/>
  <c r="Y46" i="37" s="1"/>
  <c r="AA45" i="37"/>
  <c r="AB45" i="37" s="1"/>
  <c r="K32" i="28" s="1"/>
  <c r="T47" i="38"/>
  <c r="U47" i="38"/>
  <c r="I47" i="38" s="1"/>
  <c r="H47" i="38" s="1"/>
  <c r="P42" i="39" l="1"/>
  <c r="G41" i="39"/>
  <c r="Y41" i="39"/>
  <c r="V41" i="39"/>
  <c r="W41" i="39"/>
  <c r="Z41" i="39"/>
  <c r="K42" i="39"/>
  <c r="M42" i="39"/>
  <c r="V46" i="37"/>
  <c r="W46" i="37"/>
  <c r="I46" i="37"/>
  <c r="H46" i="37" s="1"/>
  <c r="X46" i="37" s="1"/>
  <c r="W47" i="38"/>
  <c r="G47" i="38"/>
  <c r="C34" i="28" s="1"/>
  <c r="M48" i="38"/>
  <c r="P48" i="38"/>
  <c r="K48" i="38"/>
  <c r="V47" i="38"/>
  <c r="X47" i="38"/>
  <c r="Y47" i="38"/>
  <c r="Z47" i="38"/>
  <c r="J50" i="37"/>
  <c r="Z46" i="37" l="1"/>
  <c r="T48" i="38"/>
  <c r="AA41" i="39"/>
  <c r="AB41" i="39" s="1"/>
  <c r="U42" i="39"/>
  <c r="T42" i="39"/>
  <c r="AA46" i="37"/>
  <c r="AB46" i="37" s="1"/>
  <c r="K33" i="28" s="1"/>
  <c r="K47" i="37"/>
  <c r="G46" i="37"/>
  <c r="B33" i="28" s="1"/>
  <c r="P47" i="37"/>
  <c r="M47" i="37"/>
  <c r="AA47" i="38"/>
  <c r="AB47" i="38" s="1"/>
  <c r="L34" i="28" s="1"/>
  <c r="U48" i="38"/>
  <c r="T47" i="37" l="1"/>
  <c r="I42" i="39"/>
  <c r="H42" i="39" s="1"/>
  <c r="Y42" i="39" s="1"/>
  <c r="U47" i="37"/>
  <c r="I48" i="38"/>
  <c r="H48" i="38" s="1"/>
  <c r="Y48" i="38" s="1"/>
  <c r="W48" i="38"/>
  <c r="P49" i="38"/>
  <c r="M49" i="38"/>
  <c r="Y47" i="37" l="1"/>
  <c r="K43" i="39"/>
  <c r="J43" i="39"/>
  <c r="X42" i="39"/>
  <c r="W42" i="39"/>
  <c r="Z42" i="39"/>
  <c r="G42" i="39"/>
  <c r="V42" i="39"/>
  <c r="M43" i="39"/>
  <c r="P43" i="39"/>
  <c r="I47" i="37"/>
  <c r="H47" i="37" s="1"/>
  <c r="K48" i="37" s="1"/>
  <c r="K49" i="38"/>
  <c r="T49" i="38" s="1"/>
  <c r="G48" i="38"/>
  <c r="C35" i="28" s="1"/>
  <c r="L49" i="38"/>
  <c r="Z48" i="38"/>
  <c r="X48" i="38"/>
  <c r="V48" i="38"/>
  <c r="Z47" i="37"/>
  <c r="X47" i="37"/>
  <c r="P48" i="37"/>
  <c r="M48" i="37"/>
  <c r="G47" i="37"/>
  <c r="B34" i="28" s="1"/>
  <c r="J51" i="37"/>
  <c r="W47" i="37" l="1"/>
  <c r="V47" i="37"/>
  <c r="U49" i="38"/>
  <c r="I49" i="38" s="1"/>
  <c r="H49" i="38" s="1"/>
  <c r="Y49" i="38" s="1"/>
  <c r="AA42" i="39"/>
  <c r="AB42" i="39" s="1"/>
  <c r="U43" i="39"/>
  <c r="T43" i="39"/>
  <c r="AA48" i="38"/>
  <c r="AB48" i="38" s="1"/>
  <c r="L35" i="28" s="1"/>
  <c r="T48" i="37"/>
  <c r="U48" i="37"/>
  <c r="AA47" i="37"/>
  <c r="AB47" i="37" s="1"/>
  <c r="K34" i="28" s="1"/>
  <c r="I43" i="39" l="1"/>
  <c r="H43" i="39" s="1"/>
  <c r="P44" i="39" s="1"/>
  <c r="Z49" i="38"/>
  <c r="I48" i="37"/>
  <c r="H48" i="37" s="1"/>
  <c r="Y48" i="37" s="1"/>
  <c r="W48" i="37"/>
  <c r="P50" i="38"/>
  <c r="M50" i="38"/>
  <c r="G49" i="38"/>
  <c r="C36" i="28" s="1"/>
  <c r="K50" i="38"/>
  <c r="V49" i="38"/>
  <c r="W49" i="38"/>
  <c r="X49" i="38"/>
  <c r="Z43" i="39" l="1"/>
  <c r="W43" i="39"/>
  <c r="J44" i="39"/>
  <c r="M44" i="39"/>
  <c r="K44" i="39"/>
  <c r="Y43" i="39"/>
  <c r="G43" i="39"/>
  <c r="X43" i="39"/>
  <c r="V43" i="39"/>
  <c r="Z48" i="37"/>
  <c r="AA49" i="38"/>
  <c r="AB49" i="38" s="1"/>
  <c r="L36" i="28" s="1"/>
  <c r="K49" i="37"/>
  <c r="L49" i="37"/>
  <c r="P49" i="37"/>
  <c r="M49" i="37"/>
  <c r="G48" i="37"/>
  <c r="B35" i="28" s="1"/>
  <c r="X48" i="37"/>
  <c r="V48" i="37"/>
  <c r="U50" i="38"/>
  <c r="T50" i="38"/>
  <c r="J52" i="37"/>
  <c r="U49" i="37" l="1"/>
  <c r="U44" i="39"/>
  <c r="T44" i="39"/>
  <c r="AA43" i="39"/>
  <c r="AB43" i="39" s="1"/>
  <c r="AA48" i="37"/>
  <c r="AB48" i="37" s="1"/>
  <c r="K35" i="28" s="1"/>
  <c r="T49" i="37"/>
  <c r="Y50" i="38"/>
  <c r="I50" i="38"/>
  <c r="H50" i="38" s="1"/>
  <c r="W50" i="38" s="1"/>
  <c r="I44" i="39" l="1"/>
  <c r="H44" i="39" s="1"/>
  <c r="Z44" i="39" s="1"/>
  <c r="V44" i="39"/>
  <c r="Y44" i="39"/>
  <c r="I49" i="37"/>
  <c r="H49" i="37" s="1"/>
  <c r="Y49" i="37" s="1"/>
  <c r="V50" i="38"/>
  <c r="P51" i="38"/>
  <c r="G50" i="38"/>
  <c r="C37" i="28" s="1"/>
  <c r="K51" i="38"/>
  <c r="M51" i="38"/>
  <c r="X50" i="38"/>
  <c r="Z50" i="38"/>
  <c r="J53" i="37"/>
  <c r="T51" i="38" l="1"/>
  <c r="G44" i="39"/>
  <c r="X44" i="39"/>
  <c r="M45" i="39"/>
  <c r="J45" i="39"/>
  <c r="P45" i="39"/>
  <c r="AA50" i="38"/>
  <c r="AB50" i="38" s="1"/>
  <c r="L37" i="28" s="1"/>
  <c r="K45" i="39"/>
  <c r="W44" i="39"/>
  <c r="L45" i="39"/>
  <c r="W49" i="37"/>
  <c r="K50" i="37"/>
  <c r="X49" i="37"/>
  <c r="P50" i="37"/>
  <c r="Z49" i="37"/>
  <c r="V49" i="37"/>
  <c r="M50" i="37"/>
  <c r="G49" i="37"/>
  <c r="B36" i="28" s="1"/>
  <c r="U51" i="38"/>
  <c r="Y51" i="38" s="1"/>
  <c r="AA44" i="39" l="1"/>
  <c r="AB44" i="39" s="1"/>
  <c r="U45" i="39"/>
  <c r="T50" i="37"/>
  <c r="AA49" i="37"/>
  <c r="AB49" i="37" s="1"/>
  <c r="K36" i="28" s="1"/>
  <c r="T45" i="39"/>
  <c r="U50" i="37"/>
  <c r="Y50" i="37" s="1"/>
  <c r="I51" i="38"/>
  <c r="H51" i="38" s="1"/>
  <c r="M52" i="38" s="1"/>
  <c r="W51" i="38"/>
  <c r="J54" i="37"/>
  <c r="P52" i="38" l="1"/>
  <c r="I45" i="39"/>
  <c r="H45" i="39" s="1"/>
  <c r="Y45" i="39" s="1"/>
  <c r="G51" i="38"/>
  <c r="C38" i="28" s="1"/>
  <c r="K52" i="38"/>
  <c r="U52" i="38" s="1"/>
  <c r="I50" i="37"/>
  <c r="H50" i="37" s="1"/>
  <c r="Z51" i="38"/>
  <c r="X51" i="38"/>
  <c r="V51" i="38"/>
  <c r="T52" i="38" l="1"/>
  <c r="M46" i="39"/>
  <c r="G45" i="39"/>
  <c r="W45" i="39"/>
  <c r="K46" i="39"/>
  <c r="V45" i="39"/>
  <c r="X45" i="39"/>
  <c r="Z45" i="39"/>
  <c r="P46" i="39"/>
  <c r="Y52" i="38"/>
  <c r="V50" i="37"/>
  <c r="K51" i="37"/>
  <c r="G50" i="37"/>
  <c r="B37" i="28" s="1"/>
  <c r="Z50" i="37"/>
  <c r="W50" i="37"/>
  <c r="P51" i="37"/>
  <c r="X50" i="37"/>
  <c r="M51" i="37"/>
  <c r="AA51" i="38"/>
  <c r="AB51" i="38" s="1"/>
  <c r="L38" i="28" s="1"/>
  <c r="I52" i="38"/>
  <c r="H52" i="38" s="1"/>
  <c r="J55" i="37"/>
  <c r="AA45" i="39" l="1"/>
  <c r="AB45" i="39" s="1"/>
  <c r="U46" i="39"/>
  <c r="T46" i="39"/>
  <c r="W46" i="39" s="1"/>
  <c r="T51" i="37"/>
  <c r="U51" i="37"/>
  <c r="AA50" i="37"/>
  <c r="AB50" i="37" s="1"/>
  <c r="K37" i="28" s="1"/>
  <c r="Z52" i="38"/>
  <c r="L53" i="38"/>
  <c r="G52" i="38"/>
  <c r="C39" i="28" s="1"/>
  <c r="P53" i="38"/>
  <c r="K53" i="38"/>
  <c r="M53" i="38"/>
  <c r="V52" i="38"/>
  <c r="X52" i="38"/>
  <c r="W52" i="38"/>
  <c r="V46" i="39" l="1"/>
  <c r="Y46" i="39"/>
  <c r="I46" i="39"/>
  <c r="H46" i="39" s="1"/>
  <c r="Z46" i="39" s="1"/>
  <c r="Y51" i="37"/>
  <c r="I51" i="37"/>
  <c r="H51" i="37" s="1"/>
  <c r="U53" i="38"/>
  <c r="AA52" i="38"/>
  <c r="AB52" i="38" s="1"/>
  <c r="L39" i="28" s="1"/>
  <c r="T53" i="38"/>
  <c r="G46" i="39" l="1"/>
  <c r="M47" i="39"/>
  <c r="P47" i="39"/>
  <c r="X46" i="39"/>
  <c r="AA46" i="39" s="1"/>
  <c r="AB46" i="39" s="1"/>
  <c r="K47" i="39"/>
  <c r="G51" i="37"/>
  <c r="B38" i="28" s="1"/>
  <c r="K52" i="37"/>
  <c r="X51" i="37"/>
  <c r="Z51" i="37"/>
  <c r="W51" i="37"/>
  <c r="M52" i="37"/>
  <c r="V51" i="37"/>
  <c r="P52" i="37"/>
  <c r="Y53" i="38"/>
  <c r="I53" i="38"/>
  <c r="H53" i="38" s="1"/>
  <c r="J56" i="37"/>
  <c r="U47" i="39" l="1"/>
  <c r="T47" i="39"/>
  <c r="Y47" i="39" s="1"/>
  <c r="AA51" i="37"/>
  <c r="AB51" i="37" s="1"/>
  <c r="K38" i="28" s="1"/>
  <c r="U52" i="37"/>
  <c r="T52" i="37"/>
  <c r="G53" i="38"/>
  <c r="C40" i="28" s="1"/>
  <c r="K54" i="38"/>
  <c r="P54" i="38"/>
  <c r="M54" i="38"/>
  <c r="X53" i="38"/>
  <c r="Z53" i="38"/>
  <c r="V53" i="38"/>
  <c r="W53" i="38"/>
  <c r="I47" i="39" l="1"/>
  <c r="H47" i="39" s="1"/>
  <c r="V47" i="39" s="1"/>
  <c r="U54" i="38"/>
  <c r="W47" i="39"/>
  <c r="Z47" i="39"/>
  <c r="G47" i="39"/>
  <c r="P48" i="39"/>
  <c r="M48" i="39"/>
  <c r="Y52" i="37"/>
  <c r="I52" i="37"/>
  <c r="H52" i="37" s="1"/>
  <c r="Z52" i="37" s="1"/>
  <c r="T54" i="38"/>
  <c r="AA53" i="38"/>
  <c r="AB53" i="38" s="1"/>
  <c r="L40" i="28" s="1"/>
  <c r="J57" i="37"/>
  <c r="X47" i="39" l="1"/>
  <c r="K48" i="39"/>
  <c r="T48" i="39" s="1"/>
  <c r="U48" i="39"/>
  <c r="AA47" i="39"/>
  <c r="AB47" i="39" s="1"/>
  <c r="W52" i="37"/>
  <c r="V52" i="37"/>
  <c r="L53" i="37"/>
  <c r="M53" i="37"/>
  <c r="U53" i="37" s="1"/>
  <c r="X52" i="37"/>
  <c r="G52" i="37"/>
  <c r="B39" i="28" s="1"/>
  <c r="P53" i="37"/>
  <c r="K53" i="37"/>
  <c r="I54" i="38"/>
  <c r="H54" i="38" s="1"/>
  <c r="Z54" i="38" s="1"/>
  <c r="Y54" i="38"/>
  <c r="I48" i="39" l="1"/>
  <c r="H48" i="39" s="1"/>
  <c r="Z48" i="39" s="1"/>
  <c r="T53" i="37"/>
  <c r="Y53" i="37" s="1"/>
  <c r="AA52" i="37"/>
  <c r="AB52" i="37" s="1"/>
  <c r="K39" i="28" s="1"/>
  <c r="M55" i="38"/>
  <c r="G54" i="38"/>
  <c r="C41" i="28" s="1"/>
  <c r="K55" i="38"/>
  <c r="P55" i="38"/>
  <c r="W54" i="38"/>
  <c r="X54" i="38"/>
  <c r="V54" i="38"/>
  <c r="J58" i="37"/>
  <c r="I53" i="37" l="1"/>
  <c r="H53" i="37" s="1"/>
  <c r="X53" i="37" s="1"/>
  <c r="Y48" i="39"/>
  <c r="L49" i="39"/>
  <c r="P49" i="39"/>
  <c r="K49" i="39"/>
  <c r="M49" i="39"/>
  <c r="W48" i="39"/>
  <c r="X48" i="39"/>
  <c r="G48" i="39"/>
  <c r="V48" i="39"/>
  <c r="V53" i="37"/>
  <c r="Z53" i="37"/>
  <c r="P54" i="37"/>
  <c r="M54" i="37"/>
  <c r="K54" i="37"/>
  <c r="T54" i="37" s="1"/>
  <c r="Z54" i="37" s="1"/>
  <c r="G53" i="37"/>
  <c r="B40" i="28" s="1"/>
  <c r="W53" i="37"/>
  <c r="T55" i="38"/>
  <c r="AA54" i="38"/>
  <c r="AB54" i="38" s="1"/>
  <c r="L41" i="28" s="1"/>
  <c r="U55" i="38"/>
  <c r="U49" i="39" l="1"/>
  <c r="AA48" i="39"/>
  <c r="AB48" i="39" s="1"/>
  <c r="T49" i="39"/>
  <c r="AA53" i="37"/>
  <c r="AB53" i="37" s="1"/>
  <c r="K40" i="28" s="1"/>
  <c r="Y55" i="38"/>
  <c r="W54" i="37"/>
  <c r="V54" i="37"/>
  <c r="U54" i="37"/>
  <c r="I54" i="37" s="1"/>
  <c r="H54" i="37" s="1"/>
  <c r="I55" i="38"/>
  <c r="H55" i="38" s="1"/>
  <c r="I49" i="39" l="1"/>
  <c r="H49" i="39" s="1"/>
  <c r="G49" i="39" s="1"/>
  <c r="P50" i="39"/>
  <c r="M50" i="39"/>
  <c r="Y49" i="39"/>
  <c r="W49" i="39"/>
  <c r="K55" i="37"/>
  <c r="G54" i="37"/>
  <c r="B41" i="28" s="1"/>
  <c r="P55" i="37"/>
  <c r="M55" i="37"/>
  <c r="X54" i="37"/>
  <c r="Y54" i="37"/>
  <c r="K56" i="38"/>
  <c r="G55" i="38"/>
  <c r="C42" i="28" s="1"/>
  <c r="M56" i="38"/>
  <c r="P56" i="38"/>
  <c r="V55" i="38"/>
  <c r="X55" i="38"/>
  <c r="Z55" i="38"/>
  <c r="W55" i="38"/>
  <c r="T56" i="38" l="1"/>
  <c r="AA54" i="37"/>
  <c r="AB54" i="37" s="1"/>
  <c r="K41" i="28" s="1"/>
  <c r="X49" i="39"/>
  <c r="V49" i="39"/>
  <c r="K50" i="39"/>
  <c r="T50" i="39" s="1"/>
  <c r="Z49" i="39"/>
  <c r="AA49" i="39" s="1"/>
  <c r="AB49" i="39" s="1"/>
  <c r="U55" i="37"/>
  <c r="T55" i="37"/>
  <c r="AA55" i="38"/>
  <c r="AB55" i="38" s="1"/>
  <c r="L42" i="28" s="1"/>
  <c r="U56" i="38"/>
  <c r="I56" i="38" s="1"/>
  <c r="H56" i="38" s="1"/>
  <c r="I55" i="37" l="1"/>
  <c r="H55" i="37" s="1"/>
  <c r="U50" i="39"/>
  <c r="Y50" i="39" s="1"/>
  <c r="X55" i="37"/>
  <c r="G55" i="37"/>
  <c r="B42" i="28" s="1"/>
  <c r="M56" i="37"/>
  <c r="P56" i="37"/>
  <c r="K56" i="37"/>
  <c r="T56" i="37" s="1"/>
  <c r="W55" i="37"/>
  <c r="V55" i="37"/>
  <c r="Y55" i="37"/>
  <c r="Z55" i="37"/>
  <c r="Z56" i="38"/>
  <c r="P57" i="38"/>
  <c r="L57" i="38"/>
  <c r="K57" i="38"/>
  <c r="T57" i="38" s="1"/>
  <c r="M57" i="38"/>
  <c r="G56" i="38"/>
  <c r="C43" i="28" s="1"/>
  <c r="V56" i="38"/>
  <c r="W56" i="38"/>
  <c r="X56" i="38"/>
  <c r="Y56" i="38"/>
  <c r="I50" i="39" l="1"/>
  <c r="H50" i="39" s="1"/>
  <c r="V50" i="39" s="1"/>
  <c r="U56" i="37"/>
  <c r="Y56" i="37" s="1"/>
  <c r="X50" i="39"/>
  <c r="Z50" i="39"/>
  <c r="W50" i="39"/>
  <c r="M51" i="39"/>
  <c r="I56" i="37"/>
  <c r="H56" i="37" s="1"/>
  <c r="W56" i="37" s="1"/>
  <c r="AA55" i="37"/>
  <c r="AB55" i="37" s="1"/>
  <c r="K42" i="28" s="1"/>
  <c r="AA56" i="38"/>
  <c r="AB56" i="38" s="1"/>
  <c r="L43" i="28" s="1"/>
  <c r="U57" i="38"/>
  <c r="I57" i="38" s="1"/>
  <c r="H57" i="38" s="1"/>
  <c r="V57" i="38" s="1"/>
  <c r="P51" i="39" l="1"/>
  <c r="G50" i="39"/>
  <c r="K51" i="39"/>
  <c r="T51" i="39" s="1"/>
  <c r="AA50" i="39"/>
  <c r="AB50" i="39" s="1"/>
  <c r="V56" i="37"/>
  <c r="Y57" i="38"/>
  <c r="M57" i="37"/>
  <c r="X56" i="37"/>
  <c r="G56" i="37"/>
  <c r="B43" i="28" s="1"/>
  <c r="K57" i="37"/>
  <c r="P57" i="37"/>
  <c r="L57" i="37"/>
  <c r="Z56" i="37"/>
  <c r="X57" i="38"/>
  <c r="W57" i="38"/>
  <c r="K58" i="38"/>
  <c r="M58" i="38"/>
  <c r="P58" i="38"/>
  <c r="G57" i="38"/>
  <c r="C44" i="28" s="1"/>
  <c r="Z57" i="38"/>
  <c r="J60" i="37"/>
  <c r="U51" i="39" l="1"/>
  <c r="I51" i="39" s="1"/>
  <c r="H51" i="39" s="1"/>
  <c r="V51" i="39" s="1"/>
  <c r="AA56" i="37"/>
  <c r="AB56" i="37" s="1"/>
  <c r="K43" i="28" s="1"/>
  <c r="T58" i="38"/>
  <c r="T57" i="37"/>
  <c r="V57" i="37" s="1"/>
  <c r="AA57" i="38"/>
  <c r="AB57" i="38" s="1"/>
  <c r="L44" i="28" s="1"/>
  <c r="U57" i="37"/>
  <c r="I57" i="37" s="1"/>
  <c r="H57" i="37" s="1"/>
  <c r="U58" i="38"/>
  <c r="Y51" i="39" l="1"/>
  <c r="W57" i="37"/>
  <c r="Z57" i="37"/>
  <c r="Z51" i="39"/>
  <c r="W51" i="39"/>
  <c r="M52" i="39"/>
  <c r="P52" i="39"/>
  <c r="X51" i="39"/>
  <c r="K52" i="39"/>
  <c r="G51" i="39"/>
  <c r="X57" i="37"/>
  <c r="G57" i="37"/>
  <c r="B44" i="28" s="1"/>
  <c r="K58" i="37"/>
  <c r="Y57" i="37"/>
  <c r="M58" i="37"/>
  <c r="U58" i="37" s="1"/>
  <c r="P58" i="37"/>
  <c r="I58" i="38"/>
  <c r="H58" i="38" s="1"/>
  <c r="Y58" i="38" s="1"/>
  <c r="AA57" i="37" l="1"/>
  <c r="AB57" i="37" s="1"/>
  <c r="K44" i="28" s="1"/>
  <c r="T52" i="39"/>
  <c r="AA51" i="39"/>
  <c r="AB51" i="39" s="1"/>
  <c r="U52" i="39"/>
  <c r="T58" i="37"/>
  <c r="I58" i="37" s="1"/>
  <c r="H58" i="37" s="1"/>
  <c r="X58" i="37" s="1"/>
  <c r="K59" i="38"/>
  <c r="M59" i="38"/>
  <c r="G58" i="38"/>
  <c r="C45" i="28" s="1"/>
  <c r="J59" i="38"/>
  <c r="P59" i="38"/>
  <c r="Z58" i="38"/>
  <c r="W58" i="38"/>
  <c r="X58" i="38"/>
  <c r="V58" i="38"/>
  <c r="I52" i="39" l="1"/>
  <c r="H52" i="39" s="1"/>
  <c r="L53" i="39" s="1"/>
  <c r="T59" i="38"/>
  <c r="Y52" i="39"/>
  <c r="U59" i="38"/>
  <c r="AA58" i="38"/>
  <c r="AB58" i="38" s="1"/>
  <c r="L45" i="28" s="1"/>
  <c r="Y58" i="37"/>
  <c r="W58" i="37"/>
  <c r="Z58" i="37"/>
  <c r="V58" i="37"/>
  <c r="P59" i="37"/>
  <c r="M59" i="37"/>
  <c r="J59" i="37"/>
  <c r="G58" i="37"/>
  <c r="B45" i="28" s="1"/>
  <c r="K59" i="37"/>
  <c r="G52" i="39" l="1"/>
  <c r="V52" i="39"/>
  <c r="W52" i="39"/>
  <c r="K53" i="39"/>
  <c r="Z52" i="39"/>
  <c r="X52" i="39"/>
  <c r="P53" i="39"/>
  <c r="M53" i="39"/>
  <c r="I59" i="38"/>
  <c r="H59" i="38" s="1"/>
  <c r="Y59" i="38" s="1"/>
  <c r="W59" i="38"/>
  <c r="G59" i="38"/>
  <c r="C46" i="28" s="1"/>
  <c r="M60" i="38"/>
  <c r="Z59" i="38"/>
  <c r="T59" i="37"/>
  <c r="U59" i="37"/>
  <c r="AA58" i="37"/>
  <c r="AB58" i="37" s="1"/>
  <c r="K45" i="28" s="1"/>
  <c r="J62" i="37"/>
  <c r="AA52" i="39" l="1"/>
  <c r="AB52" i="39" s="1"/>
  <c r="U53" i="39"/>
  <c r="T53" i="39"/>
  <c r="P60" i="38"/>
  <c r="K60" i="38"/>
  <c r="T60" i="38" s="1"/>
  <c r="X59" i="38"/>
  <c r="V59" i="38"/>
  <c r="U60" i="38"/>
  <c r="Y60" i="38" s="1"/>
  <c r="I59" i="37"/>
  <c r="H59" i="37" s="1"/>
  <c r="Y59" i="37" s="1"/>
  <c r="Y53" i="39" l="1"/>
  <c r="I53" i="39"/>
  <c r="H53" i="39" s="1"/>
  <c r="K54" i="39" s="1"/>
  <c r="V53" i="39"/>
  <c r="AA59" i="38"/>
  <c r="AB59" i="38" s="1"/>
  <c r="L46" i="28" s="1"/>
  <c r="I60" i="38"/>
  <c r="H60" i="38" s="1"/>
  <c r="L61" i="38" s="1"/>
  <c r="P61" i="38"/>
  <c r="K61" i="38"/>
  <c r="J61" i="38"/>
  <c r="W59" i="37"/>
  <c r="X59" i="37"/>
  <c r="Z59" i="37"/>
  <c r="V59" i="37"/>
  <c r="P60" i="37"/>
  <c r="G59" i="37"/>
  <c r="B46" i="28" s="1"/>
  <c r="M60" i="37"/>
  <c r="K60" i="37"/>
  <c r="Z60" i="38" l="1"/>
  <c r="M61" i="38"/>
  <c r="G60" i="38"/>
  <c r="C47" i="28" s="1"/>
  <c r="M54" i="39"/>
  <c r="U54" i="39" s="1"/>
  <c r="W53" i="39"/>
  <c r="Z53" i="39"/>
  <c r="X53" i="39"/>
  <c r="AA53" i="39" s="1"/>
  <c r="AB53" i="39" s="1"/>
  <c r="G53" i="39"/>
  <c r="P54" i="39"/>
  <c r="X60" i="38"/>
  <c r="W60" i="38"/>
  <c r="V60" i="38"/>
  <c r="AA60" i="38"/>
  <c r="AB60" i="38" s="1"/>
  <c r="L47" i="28" s="1"/>
  <c r="T61" i="38"/>
  <c r="V61" i="38" s="1"/>
  <c r="U61" i="38"/>
  <c r="T60" i="37"/>
  <c r="U60" i="37"/>
  <c r="AA59" i="37"/>
  <c r="AB59" i="37" s="1"/>
  <c r="K46" i="28" s="1"/>
  <c r="J63" i="37"/>
  <c r="T54" i="39" l="1"/>
  <c r="Y54" i="39" s="1"/>
  <c r="I61" i="38"/>
  <c r="H61" i="38" s="1"/>
  <c r="X61" i="38" s="1"/>
  <c r="I54" i="39"/>
  <c r="H54" i="39" s="1"/>
  <c r="M62" i="38"/>
  <c r="K62" i="38"/>
  <c r="G61" i="38"/>
  <c r="C48" i="28" s="1"/>
  <c r="P62" i="38"/>
  <c r="Z61" i="38"/>
  <c r="Y61" i="38"/>
  <c r="W61" i="38"/>
  <c r="Y60" i="37"/>
  <c r="I60" i="37"/>
  <c r="H60" i="37" s="1"/>
  <c r="Z60" i="37" s="1"/>
  <c r="T62" i="38" l="1"/>
  <c r="AA61" i="38"/>
  <c r="AB61" i="38" s="1"/>
  <c r="L48" i="28" s="1"/>
  <c r="P55" i="39"/>
  <c r="W54" i="39"/>
  <c r="K55" i="39"/>
  <c r="G54" i="39"/>
  <c r="X54" i="39"/>
  <c r="V54" i="39"/>
  <c r="M55" i="39"/>
  <c r="Z54" i="39"/>
  <c r="U62" i="38"/>
  <c r="Y62" i="38" s="1"/>
  <c r="X60" i="37"/>
  <c r="V60" i="37"/>
  <c r="W60" i="37"/>
  <c r="J61" i="37"/>
  <c r="P61" i="37"/>
  <c r="L61" i="37"/>
  <c r="G60" i="37"/>
  <c r="B47" i="28" s="1"/>
  <c r="K61" i="37"/>
  <c r="M61" i="37"/>
  <c r="AA54" i="39" l="1"/>
  <c r="AB54" i="39" s="1"/>
  <c r="U55" i="39"/>
  <c r="T55" i="39"/>
  <c r="I62" i="38"/>
  <c r="H62" i="38" s="1"/>
  <c r="T61" i="37"/>
  <c r="U61" i="37"/>
  <c r="AA60" i="37"/>
  <c r="AB60" i="37" s="1"/>
  <c r="K47" i="28" s="1"/>
  <c r="Y55" i="39" l="1"/>
  <c r="I55" i="39"/>
  <c r="H55" i="39" s="1"/>
  <c r="X62" i="38"/>
  <c r="K63" i="38"/>
  <c r="M63" i="38"/>
  <c r="P63" i="38"/>
  <c r="G62" i="38"/>
  <c r="C49" i="28" s="1"/>
  <c r="Z62" i="38"/>
  <c r="V62" i="38"/>
  <c r="W62" i="38"/>
  <c r="W61" i="37"/>
  <c r="V61" i="37"/>
  <c r="I61" i="37"/>
  <c r="H61" i="37" s="1"/>
  <c r="X61" i="37" s="1"/>
  <c r="M56" i="39" l="1"/>
  <c r="G55" i="39"/>
  <c r="P56" i="39"/>
  <c r="X55" i="39"/>
  <c r="K56" i="39"/>
  <c r="V55" i="39"/>
  <c r="Z55" i="39"/>
  <c r="W55" i="39"/>
  <c r="AA62" i="38"/>
  <c r="AB62" i="38" s="1"/>
  <c r="L49" i="28" s="1"/>
  <c r="T63" i="38"/>
  <c r="U63" i="38"/>
  <c r="I63" i="38"/>
  <c r="H63" i="38" s="1"/>
  <c r="V63" i="38" s="1"/>
  <c r="Y61" i="37"/>
  <c r="Z61" i="37"/>
  <c r="M62" i="37"/>
  <c r="P62" i="37"/>
  <c r="K62" i="37"/>
  <c r="G61" i="37"/>
  <c r="B48" i="28" s="1"/>
  <c r="J64" i="37"/>
  <c r="U56" i="39" l="1"/>
  <c r="AA55" i="39"/>
  <c r="AB55" i="39" s="1"/>
  <c r="T56" i="39"/>
  <c r="X63" i="38"/>
  <c r="W63" i="38"/>
  <c r="K64" i="38"/>
  <c r="P64" i="38"/>
  <c r="G63" i="38"/>
  <c r="C50" i="28" s="1"/>
  <c r="M64" i="38"/>
  <c r="Z63" i="38"/>
  <c r="Y63" i="38"/>
  <c r="T62" i="37"/>
  <c r="U62" i="37"/>
  <c r="AA61" i="37"/>
  <c r="AB61" i="37" s="1"/>
  <c r="K48" i="28" s="1"/>
  <c r="T64" i="38" l="1"/>
  <c r="Y56" i="39"/>
  <c r="I56" i="39"/>
  <c r="H56" i="39" s="1"/>
  <c r="AA63" i="38"/>
  <c r="AB63" i="38" s="1"/>
  <c r="L50" i="28" s="1"/>
  <c r="U64" i="38"/>
  <c r="Y64" i="38" s="1"/>
  <c r="Y62" i="37"/>
  <c r="I62" i="37"/>
  <c r="H62" i="37" s="1"/>
  <c r="W56" i="39" l="1"/>
  <c r="K57" i="39"/>
  <c r="M57" i="39"/>
  <c r="L57" i="39"/>
  <c r="G56" i="39"/>
  <c r="P57" i="39"/>
  <c r="X56" i="39"/>
  <c r="V56" i="39"/>
  <c r="Z56" i="39"/>
  <c r="I64" i="38"/>
  <c r="H64" i="38" s="1"/>
  <c r="V64" i="38" s="1"/>
  <c r="X62" i="37"/>
  <c r="W62" i="37"/>
  <c r="V62" i="37"/>
  <c r="Z62" i="37"/>
  <c r="M63" i="37"/>
  <c r="P63" i="37"/>
  <c r="K63" i="37"/>
  <c r="G62" i="37"/>
  <c r="B49" i="28" s="1"/>
  <c r="AA56" i="39" l="1"/>
  <c r="AB56" i="39" s="1"/>
  <c r="U57" i="39"/>
  <c r="T57" i="39"/>
  <c r="K65" i="38"/>
  <c r="Z64" i="38"/>
  <c r="W64" i="38"/>
  <c r="P65" i="38"/>
  <c r="L65" i="38"/>
  <c r="M65" i="38"/>
  <c r="G64" i="38"/>
  <c r="C51" i="28" s="1"/>
  <c r="X64" i="38"/>
  <c r="T63" i="37"/>
  <c r="U63" i="37"/>
  <c r="AA62" i="37"/>
  <c r="AB62" i="37" s="1"/>
  <c r="K49" i="28" s="1"/>
  <c r="AA64" i="38" l="1"/>
  <c r="AB64" i="38" s="1"/>
  <c r="L51" i="28" s="1"/>
  <c r="I57" i="39"/>
  <c r="H57" i="39" s="1"/>
  <c r="W57" i="39" s="1"/>
  <c r="T65" i="38"/>
  <c r="U65" i="38"/>
  <c r="Y65" i="38" s="1"/>
  <c r="Y63" i="37"/>
  <c r="I63" i="37"/>
  <c r="H63" i="37" s="1"/>
  <c r="Y57" i="39" l="1"/>
  <c r="G57" i="39"/>
  <c r="M58" i="39"/>
  <c r="K58" i="39"/>
  <c r="P58" i="39"/>
  <c r="X57" i="39"/>
  <c r="V57" i="39"/>
  <c r="Z57" i="39"/>
  <c r="I65" i="38"/>
  <c r="H65" i="38" s="1"/>
  <c r="W63" i="37"/>
  <c r="V63" i="37"/>
  <c r="X63" i="37"/>
  <c r="Z63" i="37"/>
  <c r="P64" i="37"/>
  <c r="M64" i="37"/>
  <c r="G63" i="37"/>
  <c r="B50" i="28" s="1"/>
  <c r="K64" i="37"/>
  <c r="T58" i="39" l="1"/>
  <c r="AA57" i="39"/>
  <c r="AB57" i="39" s="1"/>
  <c r="U58" i="39"/>
  <c r="X65" i="38"/>
  <c r="Z65" i="38"/>
  <c r="G65" i="38"/>
  <c r="C52" i="28" s="1"/>
  <c r="W65" i="38"/>
  <c r="V65" i="38"/>
  <c r="AA65" i="38" s="1"/>
  <c r="AB65" i="38" s="1"/>
  <c r="L52" i="28" s="1"/>
  <c r="P66" i="38"/>
  <c r="M66" i="38"/>
  <c r="K66" i="38"/>
  <c r="U66" i="38" s="1"/>
  <c r="T64" i="37"/>
  <c r="U64" i="37"/>
  <c r="AA63" i="37"/>
  <c r="AB63" i="37" s="1"/>
  <c r="K50" i="28" s="1"/>
  <c r="I58" i="39" l="1"/>
  <c r="H58" i="39" s="1"/>
  <c r="Y58" i="39" s="1"/>
  <c r="T66" i="38"/>
  <c r="Y66" i="38" s="1"/>
  <c r="Y64" i="37"/>
  <c r="I64" i="37"/>
  <c r="H64" i="37" s="1"/>
  <c r="Z64" i="37" s="1"/>
  <c r="I66" i="38" l="1"/>
  <c r="H66" i="38" s="1"/>
  <c r="Z58" i="39"/>
  <c r="J59" i="39"/>
  <c r="G58" i="39"/>
  <c r="X58" i="39"/>
  <c r="P59" i="39"/>
  <c r="M59" i="39"/>
  <c r="K59" i="39"/>
  <c r="V58" i="39"/>
  <c r="W58" i="39"/>
  <c r="P67" i="38"/>
  <c r="K67" i="38"/>
  <c r="M67" i="38"/>
  <c r="G66" i="38"/>
  <c r="C53" i="28" s="1"/>
  <c r="Z66" i="38"/>
  <c r="V64" i="37"/>
  <c r="X64" i="37"/>
  <c r="W64" i="37"/>
  <c r="P65" i="37"/>
  <c r="L65" i="37"/>
  <c r="K65" i="37"/>
  <c r="M65" i="37"/>
  <c r="G64" i="37"/>
  <c r="B51" i="28" s="1"/>
  <c r="X66" i="38" l="1"/>
  <c r="W66" i="38"/>
  <c r="V66" i="38"/>
  <c r="AA66" i="38" s="1"/>
  <c r="AB66" i="38" s="1"/>
  <c r="L53" i="28" s="1"/>
  <c r="AA58" i="39"/>
  <c r="AB58" i="39" s="1"/>
  <c r="T59" i="39"/>
  <c r="U59" i="39"/>
  <c r="U67" i="38"/>
  <c r="T67" i="38"/>
  <c r="T65" i="37"/>
  <c r="U65" i="37"/>
  <c r="AA64" i="37"/>
  <c r="AB64" i="37" s="1"/>
  <c r="K51" i="28" s="1"/>
  <c r="I59" i="39" l="1"/>
  <c r="H59" i="39" s="1"/>
  <c r="Y59" i="39" s="1"/>
  <c r="V59" i="39"/>
  <c r="I67" i="38"/>
  <c r="H67" i="38" s="1"/>
  <c r="Z67" i="38" s="1"/>
  <c r="Y67" i="38"/>
  <c r="Y65" i="37"/>
  <c r="I65" i="37"/>
  <c r="H65" i="37" s="1"/>
  <c r="X65" i="37" s="1"/>
  <c r="Z59" i="39" l="1"/>
  <c r="W59" i="39"/>
  <c r="K60" i="39"/>
  <c r="P60" i="39"/>
  <c r="X59" i="39"/>
  <c r="AA59" i="39" s="1"/>
  <c r="AB59" i="39" s="1"/>
  <c r="M60" i="39"/>
  <c r="U60" i="39" s="1"/>
  <c r="G59" i="39"/>
  <c r="V67" i="38"/>
  <c r="G67" i="38"/>
  <c r="C54" i="28" s="1"/>
  <c r="M68" i="38"/>
  <c r="P68" i="38"/>
  <c r="K68" i="38"/>
  <c r="X67" i="38"/>
  <c r="W67" i="38"/>
  <c r="W65" i="37"/>
  <c r="Z65" i="37"/>
  <c r="V65" i="37"/>
  <c r="P66" i="37"/>
  <c r="K66" i="37"/>
  <c r="M66" i="37"/>
  <c r="G65" i="37"/>
  <c r="B52" i="28" s="1"/>
  <c r="T60" i="39" l="1"/>
  <c r="I60" i="39" s="1"/>
  <c r="H60" i="39" s="1"/>
  <c r="M61" i="39" s="1"/>
  <c r="AA67" i="38"/>
  <c r="AB67" i="38" s="1"/>
  <c r="L54" i="28" s="1"/>
  <c r="U68" i="38"/>
  <c r="T68" i="38"/>
  <c r="T66" i="37"/>
  <c r="U66" i="37"/>
  <c r="AA65" i="37"/>
  <c r="AB65" i="37" s="1"/>
  <c r="K52" i="28" s="1"/>
  <c r="Y60" i="39" l="1"/>
  <c r="L61" i="39"/>
  <c r="Z60" i="39"/>
  <c r="G60" i="39"/>
  <c r="V60" i="39"/>
  <c r="W60" i="39"/>
  <c r="J61" i="39"/>
  <c r="K61" i="39"/>
  <c r="X60" i="39"/>
  <c r="P61" i="39"/>
  <c r="I68" i="38"/>
  <c r="H68" i="38" s="1"/>
  <c r="Z68" i="38" s="1"/>
  <c r="M69" i="38"/>
  <c r="Y66" i="37"/>
  <c r="I66" i="37"/>
  <c r="H66" i="37" s="1"/>
  <c r="X66" i="37" s="1"/>
  <c r="J69" i="37"/>
  <c r="L69" i="38" l="1"/>
  <c r="K69" i="38"/>
  <c r="P69" i="38"/>
  <c r="Y68" i="38"/>
  <c r="G68" i="38"/>
  <c r="C55" i="28" s="1"/>
  <c r="V68" i="38"/>
  <c r="T69" i="38"/>
  <c r="W68" i="38"/>
  <c r="AA68" i="38" s="1"/>
  <c r="AB68" i="38" s="1"/>
  <c r="L55" i="28" s="1"/>
  <c r="X68" i="38"/>
  <c r="AA60" i="39"/>
  <c r="AB60" i="39" s="1"/>
  <c r="T61" i="39"/>
  <c r="V61" i="39" s="1"/>
  <c r="U61" i="39"/>
  <c r="U69" i="38"/>
  <c r="Z66" i="37"/>
  <c r="W66" i="37"/>
  <c r="V66" i="37"/>
  <c r="M67" i="37"/>
  <c r="P67" i="37"/>
  <c r="K67" i="37"/>
  <c r="G66" i="37"/>
  <c r="B53" i="28" s="1"/>
  <c r="I69" i="38" l="1"/>
  <c r="H69" i="38" s="1"/>
  <c r="V69" i="38" s="1"/>
  <c r="W61" i="39"/>
  <c r="I61" i="39"/>
  <c r="H61" i="39" s="1"/>
  <c r="P62" i="39" s="1"/>
  <c r="W69" i="38"/>
  <c r="Z69" i="38"/>
  <c r="X69" i="38"/>
  <c r="G69" i="38"/>
  <c r="C56" i="28" s="1"/>
  <c r="P70" i="38"/>
  <c r="M70" i="38"/>
  <c r="K70" i="38"/>
  <c r="Y69" i="38"/>
  <c r="T67" i="37"/>
  <c r="U67" i="37"/>
  <c r="AA66" i="37"/>
  <c r="AB66" i="37" s="1"/>
  <c r="K53" i="28" s="1"/>
  <c r="J70" i="37"/>
  <c r="Y61" i="39" l="1"/>
  <c r="Z61" i="39"/>
  <c r="X61" i="39"/>
  <c r="AA61" i="39" s="1"/>
  <c r="AB61" i="39" s="1"/>
  <c r="K62" i="39"/>
  <c r="G61" i="39"/>
  <c r="M62" i="39"/>
  <c r="AA69" i="38"/>
  <c r="AB69" i="38" s="1"/>
  <c r="L56" i="28" s="1"/>
  <c r="U70" i="38"/>
  <c r="T70" i="38"/>
  <c r="Y67" i="37"/>
  <c r="I67" i="37"/>
  <c r="H67" i="37" s="1"/>
  <c r="T62" i="39" l="1"/>
  <c r="U62" i="39"/>
  <c r="I62" i="39" s="1"/>
  <c r="H62" i="39" s="1"/>
  <c r="W62" i="39" s="1"/>
  <c r="I70" i="38"/>
  <c r="H70" i="38" s="1"/>
  <c r="Y70" i="38"/>
  <c r="W67" i="37"/>
  <c r="V67" i="37"/>
  <c r="X67" i="37"/>
  <c r="Z67" i="37"/>
  <c r="K68" i="37"/>
  <c r="P68" i="37"/>
  <c r="G67" i="37"/>
  <c r="B54" i="28" s="1"/>
  <c r="M68" i="37"/>
  <c r="J71" i="37"/>
  <c r="V62" i="39" l="1"/>
  <c r="Z62" i="39"/>
  <c r="K63" i="39"/>
  <c r="X62" i="39"/>
  <c r="P63" i="39"/>
  <c r="G62" i="39"/>
  <c r="M63" i="39"/>
  <c r="Y62" i="39"/>
  <c r="K71" i="38"/>
  <c r="G70" i="38"/>
  <c r="C57" i="28" s="1"/>
  <c r="P71" i="38"/>
  <c r="M71" i="38"/>
  <c r="X70" i="38"/>
  <c r="W70" i="38"/>
  <c r="V70" i="38"/>
  <c r="Z70" i="38"/>
  <c r="T68" i="37"/>
  <c r="U68" i="37"/>
  <c r="AA67" i="37"/>
  <c r="AB67" i="37" s="1"/>
  <c r="K54" i="28" s="1"/>
  <c r="U63" i="39" l="1"/>
  <c r="T63" i="39"/>
  <c r="AA62" i="39"/>
  <c r="AB62" i="39" s="1"/>
  <c r="AA70" i="38"/>
  <c r="AB70" i="38" s="1"/>
  <c r="L57" i="28" s="1"/>
  <c r="T71" i="38"/>
  <c r="U71" i="38"/>
  <c r="I68" i="37"/>
  <c r="H68" i="37" s="1"/>
  <c r="Y68" i="37" s="1"/>
  <c r="I63" i="39" l="1"/>
  <c r="H63" i="39" s="1"/>
  <c r="X63" i="39" s="1"/>
  <c r="Y63" i="39"/>
  <c r="Z63" i="39"/>
  <c r="P64" i="39"/>
  <c r="W63" i="39"/>
  <c r="V63" i="39"/>
  <c r="G63" i="39"/>
  <c r="K64" i="39"/>
  <c r="M64" i="39"/>
  <c r="I71" i="38"/>
  <c r="H71" i="38" s="1"/>
  <c r="Y71" i="38"/>
  <c r="X68" i="37"/>
  <c r="V68" i="37"/>
  <c r="W68" i="37"/>
  <c r="Z68" i="37"/>
  <c r="P69" i="37"/>
  <c r="K69" i="37"/>
  <c r="G68" i="37"/>
  <c r="B55" i="28" s="1"/>
  <c r="M69" i="37"/>
  <c r="L69" i="37"/>
  <c r="U64" i="39" l="1"/>
  <c r="AA63" i="39"/>
  <c r="AB63" i="39" s="1"/>
  <c r="T64" i="39"/>
  <c r="W71" i="38"/>
  <c r="K72" i="38"/>
  <c r="P72" i="38"/>
  <c r="M72" i="38"/>
  <c r="J72" i="38"/>
  <c r="G71" i="38"/>
  <c r="C58" i="28" s="1"/>
  <c r="X71" i="38"/>
  <c r="V71" i="38"/>
  <c r="Z71" i="38"/>
  <c r="T69" i="37"/>
  <c r="U69" i="37"/>
  <c r="AA68" i="37"/>
  <c r="AB68" i="37" s="1"/>
  <c r="K55" i="28" s="1"/>
  <c r="T72" i="38" l="1"/>
  <c r="Y64" i="39"/>
  <c r="I64" i="39"/>
  <c r="H64" i="39" s="1"/>
  <c r="X64" i="39" s="1"/>
  <c r="U72" i="38"/>
  <c r="V72" i="38"/>
  <c r="W72" i="38"/>
  <c r="AA71" i="38"/>
  <c r="AB71" i="38" s="1"/>
  <c r="L58" i="28" s="1"/>
  <c r="I69" i="37"/>
  <c r="H69" i="37" s="1"/>
  <c r="X69" i="37" s="1"/>
  <c r="Z64" i="39" l="1"/>
  <c r="V64" i="39"/>
  <c r="M65" i="39"/>
  <c r="G64" i="39"/>
  <c r="P65" i="39"/>
  <c r="K65" i="39"/>
  <c r="L65" i="39"/>
  <c r="W64" i="39"/>
  <c r="I72" i="38"/>
  <c r="H72" i="38" s="1"/>
  <c r="Y72" i="38" s="1"/>
  <c r="Y69" i="37"/>
  <c r="Z69" i="37"/>
  <c r="V69" i="37"/>
  <c r="W69" i="37"/>
  <c r="M70" i="37"/>
  <c r="P70" i="37"/>
  <c r="G69" i="37"/>
  <c r="B56" i="28" s="1"/>
  <c r="K70" i="37"/>
  <c r="AA64" i="39" l="1"/>
  <c r="AB64" i="39" s="1"/>
  <c r="U65" i="39"/>
  <c r="T65" i="39"/>
  <c r="M73" i="38"/>
  <c r="P73" i="38"/>
  <c r="K73" i="38"/>
  <c r="G72" i="38"/>
  <c r="C59" i="28" s="1"/>
  <c r="J73" i="38"/>
  <c r="T73" i="38" s="1"/>
  <c r="L73" i="38"/>
  <c r="X72" i="38"/>
  <c r="Z72" i="38"/>
  <c r="T70" i="37"/>
  <c r="U70" i="37"/>
  <c r="AA69" i="37"/>
  <c r="AB69" i="37" s="1"/>
  <c r="K56" i="28" s="1"/>
  <c r="I65" i="39" l="1"/>
  <c r="H65" i="39" s="1"/>
  <c r="P66" i="39" s="1"/>
  <c r="Y65" i="39"/>
  <c r="Z65" i="39"/>
  <c r="W65" i="39"/>
  <c r="G65" i="39"/>
  <c r="X65" i="39"/>
  <c r="K66" i="39"/>
  <c r="M66" i="39"/>
  <c r="U73" i="38"/>
  <c r="I73" i="38" s="1"/>
  <c r="H73" i="38" s="1"/>
  <c r="X73" i="38" s="1"/>
  <c r="V73" i="38"/>
  <c r="W73" i="38"/>
  <c r="AA72" i="38"/>
  <c r="AB72" i="38" s="1"/>
  <c r="L59" i="28" s="1"/>
  <c r="Y70" i="37"/>
  <c r="I70" i="37"/>
  <c r="H70" i="37" s="1"/>
  <c r="X70" i="37" s="1"/>
  <c r="V65" i="39" l="1"/>
  <c r="T66" i="39"/>
  <c r="U66" i="39"/>
  <c r="AA65" i="39"/>
  <c r="AB65" i="39" s="1"/>
  <c r="Y73" i="38"/>
  <c r="P74" i="38"/>
  <c r="J74" i="38"/>
  <c r="M74" i="38"/>
  <c r="K74" i="38"/>
  <c r="G73" i="38"/>
  <c r="C60" i="28" s="1"/>
  <c r="Z73" i="38"/>
  <c r="V70" i="37"/>
  <c r="Z70" i="37"/>
  <c r="W70" i="37"/>
  <c r="K71" i="37"/>
  <c r="P71" i="37"/>
  <c r="G70" i="37"/>
  <c r="B57" i="28" s="1"/>
  <c r="M71" i="37"/>
  <c r="AA73" i="38" l="1"/>
  <c r="AB73" i="38" s="1"/>
  <c r="L60" i="28" s="1"/>
  <c r="Y66" i="39"/>
  <c r="I66" i="39"/>
  <c r="H66" i="39" s="1"/>
  <c r="K67" i="39" s="1"/>
  <c r="T74" i="38"/>
  <c r="U74" i="38"/>
  <c r="T71" i="37"/>
  <c r="U71" i="37"/>
  <c r="AA70" i="37"/>
  <c r="AB70" i="37" s="1"/>
  <c r="K57" i="28" s="1"/>
  <c r="P67" i="39" l="1"/>
  <c r="X66" i="39"/>
  <c r="G66" i="39"/>
  <c r="Z66" i="39"/>
  <c r="W66" i="39"/>
  <c r="V66" i="39"/>
  <c r="M67" i="39"/>
  <c r="I74" i="38"/>
  <c r="H74" i="38" s="1"/>
  <c r="Z74" i="38" s="1"/>
  <c r="Y71" i="37"/>
  <c r="I71" i="37"/>
  <c r="H71" i="37" s="1"/>
  <c r="X71" i="37" s="1"/>
  <c r="J75" i="37"/>
  <c r="T67" i="39" l="1"/>
  <c r="AA66" i="39"/>
  <c r="AB66" i="39" s="1"/>
  <c r="U67" i="39"/>
  <c r="Y67" i="39" s="1"/>
  <c r="Y74" i="38"/>
  <c r="V74" i="38"/>
  <c r="M75" i="38"/>
  <c r="G74" i="38"/>
  <c r="C61" i="28" s="1"/>
  <c r="P75" i="38"/>
  <c r="K75" i="38"/>
  <c r="X74" i="38"/>
  <c r="W74" i="38"/>
  <c r="Z71" i="37"/>
  <c r="V71" i="37"/>
  <c r="W71" i="37"/>
  <c r="G71" i="37"/>
  <c r="B58" i="28" s="1"/>
  <c r="P72" i="37"/>
  <c r="M72" i="37"/>
  <c r="K72" i="37"/>
  <c r="J72" i="37"/>
  <c r="I67" i="39" l="1"/>
  <c r="H67" i="39" s="1"/>
  <c r="V67" i="39" s="1"/>
  <c r="T75" i="38"/>
  <c r="U75" i="38"/>
  <c r="I75" i="38" s="1"/>
  <c r="H75" i="38" s="1"/>
  <c r="X75" i="38" s="1"/>
  <c r="AA74" i="38"/>
  <c r="AB74" i="38" s="1"/>
  <c r="L61" i="28" s="1"/>
  <c r="T72" i="37"/>
  <c r="U72" i="37"/>
  <c r="AA71" i="37"/>
  <c r="AB71" i="37" s="1"/>
  <c r="K58" i="28" s="1"/>
  <c r="M68" i="39" l="1"/>
  <c r="W67" i="39"/>
  <c r="P68" i="39"/>
  <c r="K68" i="39"/>
  <c r="G67" i="39"/>
  <c r="Z67" i="39"/>
  <c r="X67" i="39"/>
  <c r="V75" i="38"/>
  <c r="Z75" i="38"/>
  <c r="M76" i="38"/>
  <c r="K76" i="38"/>
  <c r="P76" i="38"/>
  <c r="G75" i="38"/>
  <c r="C62" i="28" s="1"/>
  <c r="W75" i="38"/>
  <c r="Y75" i="38"/>
  <c r="W72" i="37"/>
  <c r="V72" i="37"/>
  <c r="I72" i="37"/>
  <c r="H72" i="37" s="1"/>
  <c r="X72" i="37" s="1"/>
  <c r="AA75" i="38" l="1"/>
  <c r="AB75" i="38" s="1"/>
  <c r="L62" i="28" s="1"/>
  <c r="T76" i="38"/>
  <c r="AA67" i="39"/>
  <c r="AB67" i="39" s="1"/>
  <c r="U68" i="39"/>
  <c r="T68" i="39"/>
  <c r="W76" i="38"/>
  <c r="U76" i="38"/>
  <c r="Y76" i="38" s="1"/>
  <c r="V76" i="38"/>
  <c r="Y72" i="37"/>
  <c r="Z72" i="37"/>
  <c r="G72" i="37"/>
  <c r="B59" i="28" s="1"/>
  <c r="P73" i="37"/>
  <c r="M73" i="37"/>
  <c r="K73" i="37"/>
  <c r="J73" i="37"/>
  <c r="L73" i="37"/>
  <c r="J76" i="37"/>
  <c r="I76" i="38" l="1"/>
  <c r="H76" i="38" s="1"/>
  <c r="X76" i="38" s="1"/>
  <c r="I68" i="39"/>
  <c r="H68" i="39" s="1"/>
  <c r="Y68" i="39" s="1"/>
  <c r="M77" i="38"/>
  <c r="K77" i="38"/>
  <c r="P77" i="38"/>
  <c r="T77" i="38" s="1"/>
  <c r="L77" i="38"/>
  <c r="G76" i="38"/>
  <c r="C63" i="28" s="1"/>
  <c r="Z76" i="38"/>
  <c r="AA76" i="38" s="1"/>
  <c r="AB76" i="38" s="1"/>
  <c r="L63" i="28" s="1"/>
  <c r="T73" i="37"/>
  <c r="U73" i="37"/>
  <c r="AA72" i="37"/>
  <c r="AB72" i="37" s="1"/>
  <c r="K59" i="28" s="1"/>
  <c r="V68" i="39" l="1"/>
  <c r="K69" i="39"/>
  <c r="L69" i="39"/>
  <c r="Z68" i="39"/>
  <c r="P69" i="39"/>
  <c r="W68" i="39"/>
  <c r="X68" i="39"/>
  <c r="G68" i="39"/>
  <c r="M69" i="39"/>
  <c r="U77" i="38"/>
  <c r="Y77" i="38" s="1"/>
  <c r="I73" i="37"/>
  <c r="H73" i="37" s="1"/>
  <c r="X73" i="37" s="1"/>
  <c r="U69" i="39" l="1"/>
  <c r="AA68" i="39"/>
  <c r="AB68" i="39" s="1"/>
  <c r="T69" i="39"/>
  <c r="I77" i="38"/>
  <c r="H77" i="38" s="1"/>
  <c r="Y73" i="37"/>
  <c r="V73" i="37"/>
  <c r="W73" i="37"/>
  <c r="Z73" i="37"/>
  <c r="M74" i="37"/>
  <c r="P74" i="37"/>
  <c r="K74" i="37"/>
  <c r="G73" i="37"/>
  <c r="B60" i="28" s="1"/>
  <c r="J74" i="37"/>
  <c r="J77" i="37"/>
  <c r="I69" i="39" l="1"/>
  <c r="H69" i="39" s="1"/>
  <c r="Y69" i="39" s="1"/>
  <c r="G77" i="38"/>
  <c r="C64" i="28" s="1"/>
  <c r="K78" i="38"/>
  <c r="M78" i="38"/>
  <c r="P78" i="38"/>
  <c r="Z77" i="38"/>
  <c r="W77" i="38"/>
  <c r="V77" i="38"/>
  <c r="X77" i="38"/>
  <c r="T74" i="37"/>
  <c r="U74" i="37"/>
  <c r="AA73" i="37"/>
  <c r="AB73" i="37" s="1"/>
  <c r="K60" i="28" s="1"/>
  <c r="W69" i="39" l="1"/>
  <c r="G69" i="39"/>
  <c r="Z69" i="39"/>
  <c r="V69" i="39"/>
  <c r="X69" i="39"/>
  <c r="P70" i="39"/>
  <c r="K70" i="39"/>
  <c r="M70" i="39"/>
  <c r="T78" i="38"/>
  <c r="AA77" i="38"/>
  <c r="AB77" i="38" s="1"/>
  <c r="L64" i="28" s="1"/>
  <c r="U78" i="38"/>
  <c r="I78" i="38" s="1"/>
  <c r="H78" i="38" s="1"/>
  <c r="Z78" i="38" s="1"/>
  <c r="I74" i="37"/>
  <c r="H74" i="37" s="1"/>
  <c r="X74" i="37" s="1"/>
  <c r="U70" i="39" l="1"/>
  <c r="AA69" i="39"/>
  <c r="AB69" i="39" s="1"/>
  <c r="T70" i="39"/>
  <c r="Y70" i="39" s="1"/>
  <c r="W78" i="38"/>
  <c r="V78" i="38"/>
  <c r="X78" i="38"/>
  <c r="K79" i="38"/>
  <c r="P79" i="38"/>
  <c r="M79" i="38"/>
  <c r="G78" i="38"/>
  <c r="C65" i="28" s="1"/>
  <c r="Y78" i="38"/>
  <c r="Y74" i="37"/>
  <c r="V74" i="37"/>
  <c r="W74" i="37"/>
  <c r="Z74" i="37"/>
  <c r="P75" i="37"/>
  <c r="G74" i="37"/>
  <c r="B61" i="28" s="1"/>
  <c r="M75" i="37"/>
  <c r="K75" i="37"/>
  <c r="J78" i="37"/>
  <c r="I70" i="39" l="1"/>
  <c r="H70" i="39" s="1"/>
  <c r="W70" i="39" s="1"/>
  <c r="P71" i="39"/>
  <c r="V70" i="39"/>
  <c r="X70" i="39"/>
  <c r="K71" i="39"/>
  <c r="Z70" i="39"/>
  <c r="M71" i="39"/>
  <c r="G70" i="39"/>
  <c r="AA78" i="38"/>
  <c r="AB78" i="38" s="1"/>
  <c r="L65" i="28" s="1"/>
  <c r="T79" i="38"/>
  <c r="U79" i="38"/>
  <c r="I79" i="38" s="1"/>
  <c r="H79" i="38" s="1"/>
  <c r="Z79" i="38" s="1"/>
  <c r="T75" i="37"/>
  <c r="U75" i="37"/>
  <c r="AA74" i="37"/>
  <c r="AB74" i="37" s="1"/>
  <c r="K61" i="28" s="1"/>
  <c r="T71" i="39" l="1"/>
  <c r="U71" i="39"/>
  <c r="I71" i="39" s="1"/>
  <c r="H71" i="39" s="1"/>
  <c r="W71" i="39" s="1"/>
  <c r="AA70" i="39"/>
  <c r="AB70" i="39" s="1"/>
  <c r="X79" i="38"/>
  <c r="V79" i="38"/>
  <c r="W79" i="38"/>
  <c r="K80" i="38"/>
  <c r="G79" i="38"/>
  <c r="C66" i="28" s="1"/>
  <c r="P80" i="38"/>
  <c r="M80" i="38"/>
  <c r="Y79" i="38"/>
  <c r="Y75" i="37"/>
  <c r="I75" i="37"/>
  <c r="H75" i="37" s="1"/>
  <c r="AA79" i="38" l="1"/>
  <c r="AB79" i="38" s="1"/>
  <c r="L66" i="28" s="1"/>
  <c r="Y71" i="39"/>
  <c r="P72" i="39"/>
  <c r="Z71" i="39"/>
  <c r="X71" i="39"/>
  <c r="V71" i="39"/>
  <c r="G71" i="39"/>
  <c r="J72" i="39"/>
  <c r="K72" i="39"/>
  <c r="M72" i="39"/>
  <c r="T80" i="38"/>
  <c r="U80" i="38"/>
  <c r="Y80" i="38" s="1"/>
  <c r="I80" i="38"/>
  <c r="H80" i="38" s="1"/>
  <c r="V80" i="38" s="1"/>
  <c r="W75" i="37"/>
  <c r="X75" i="37"/>
  <c r="V75" i="37"/>
  <c r="Z75" i="37"/>
  <c r="M76" i="37"/>
  <c r="P76" i="37"/>
  <c r="K76" i="37"/>
  <c r="G75" i="37"/>
  <c r="B62" i="28" s="1"/>
  <c r="J79" i="37"/>
  <c r="T72" i="39" l="1"/>
  <c r="W72" i="39" s="1"/>
  <c r="U72" i="39"/>
  <c r="AA71" i="39"/>
  <c r="AB71" i="39" s="1"/>
  <c r="X80" i="38"/>
  <c r="K81" i="38"/>
  <c r="L81" i="38"/>
  <c r="P81" i="38"/>
  <c r="M81" i="38"/>
  <c r="G80" i="38"/>
  <c r="C67" i="28" s="1"/>
  <c r="W80" i="38"/>
  <c r="Z80" i="38"/>
  <c r="T76" i="37"/>
  <c r="U76" i="37"/>
  <c r="AA75" i="37"/>
  <c r="AB75" i="37" s="1"/>
  <c r="K62" i="28" s="1"/>
  <c r="I72" i="39" l="1"/>
  <c r="H72" i="39" s="1"/>
  <c r="X72" i="39" s="1"/>
  <c r="V72" i="39"/>
  <c r="L73" i="39"/>
  <c r="J73" i="39"/>
  <c r="P73" i="39"/>
  <c r="G72" i="39"/>
  <c r="K73" i="39"/>
  <c r="Z72" i="39"/>
  <c r="AA80" i="38"/>
  <c r="AB80" i="38" s="1"/>
  <c r="L67" i="28" s="1"/>
  <c r="T81" i="38"/>
  <c r="U81" i="38"/>
  <c r="I81" i="38" s="1"/>
  <c r="H81" i="38" s="1"/>
  <c r="Y76" i="37"/>
  <c r="I76" i="37"/>
  <c r="H76" i="37" s="1"/>
  <c r="X76" i="37" s="1"/>
  <c r="Y72" i="39" l="1"/>
  <c r="M73" i="39"/>
  <c r="AA72" i="39"/>
  <c r="AB72" i="39" s="1"/>
  <c r="T73" i="39"/>
  <c r="U73" i="39"/>
  <c r="V81" i="38"/>
  <c r="G81" i="38"/>
  <c r="C68" i="28" s="1"/>
  <c r="P82" i="38"/>
  <c r="K82" i="38"/>
  <c r="M82" i="38"/>
  <c r="Z81" i="38"/>
  <c r="X81" i="38"/>
  <c r="W81" i="38"/>
  <c r="Y81" i="38"/>
  <c r="W76" i="37"/>
  <c r="V76" i="37"/>
  <c r="Z76" i="37"/>
  <c r="P77" i="37"/>
  <c r="G76" i="37"/>
  <c r="B63" i="28" s="1"/>
  <c r="K77" i="37"/>
  <c r="L77" i="37"/>
  <c r="M77" i="37"/>
  <c r="J80" i="37"/>
  <c r="T82" i="38" l="1"/>
  <c r="I73" i="39"/>
  <c r="H73" i="39" s="1"/>
  <c r="Y73" i="39" s="1"/>
  <c r="U82" i="38"/>
  <c r="I82" i="38" s="1"/>
  <c r="H82" i="38" s="1"/>
  <c r="AA81" i="38"/>
  <c r="AB81" i="38" s="1"/>
  <c r="L68" i="28" s="1"/>
  <c r="T77" i="37"/>
  <c r="U77" i="37"/>
  <c r="AA76" i="37"/>
  <c r="AB76" i="37" s="1"/>
  <c r="K63" i="28" s="1"/>
  <c r="Y82" i="38" l="1"/>
  <c r="Z73" i="39"/>
  <c r="X73" i="39"/>
  <c r="W73" i="39"/>
  <c r="K74" i="39"/>
  <c r="J74" i="39"/>
  <c r="M74" i="39"/>
  <c r="V73" i="39"/>
  <c r="G73" i="39"/>
  <c r="P74" i="39"/>
  <c r="W82" i="38"/>
  <c r="K83" i="38"/>
  <c r="G82" i="38"/>
  <c r="C69" i="28" s="1"/>
  <c r="M83" i="38"/>
  <c r="P83" i="38"/>
  <c r="Z82" i="38"/>
  <c r="X82" i="38"/>
  <c r="V82" i="38"/>
  <c r="I77" i="37"/>
  <c r="H77" i="37" s="1"/>
  <c r="X77" i="37" s="1"/>
  <c r="AA73" i="39" l="1"/>
  <c r="AB73" i="39" s="1"/>
  <c r="T74" i="39"/>
  <c r="U74" i="39"/>
  <c r="AA82" i="38"/>
  <c r="AB82" i="38" s="1"/>
  <c r="L69" i="28" s="1"/>
  <c r="U83" i="38"/>
  <c r="T83" i="38"/>
  <c r="Y77" i="37"/>
  <c r="Z77" i="37"/>
  <c r="W77" i="37"/>
  <c r="V77" i="37"/>
  <c r="M78" i="37"/>
  <c r="P78" i="37"/>
  <c r="K78" i="37"/>
  <c r="G77" i="37"/>
  <c r="B64" i="28" s="1"/>
  <c r="J81" i="37"/>
  <c r="I74" i="39" l="1"/>
  <c r="H74" i="39" s="1"/>
  <c r="Y74" i="39" s="1"/>
  <c r="W83" i="38"/>
  <c r="V83" i="38"/>
  <c r="Y83" i="38"/>
  <c r="I83" i="38"/>
  <c r="H83" i="38" s="1"/>
  <c r="T78" i="37"/>
  <c r="U78" i="37"/>
  <c r="AA77" i="37"/>
  <c r="AB77" i="37" s="1"/>
  <c r="K64" i="28" s="1"/>
  <c r="V74" i="39" l="1"/>
  <c r="G74" i="39"/>
  <c r="Z74" i="39"/>
  <c r="X74" i="39"/>
  <c r="P75" i="39"/>
  <c r="M75" i="39"/>
  <c r="K75" i="39"/>
  <c r="W74" i="39"/>
  <c r="X83" i="38"/>
  <c r="P84" i="38"/>
  <c r="K84" i="38"/>
  <c r="G83" i="38"/>
  <c r="C70" i="28" s="1"/>
  <c r="M84" i="38"/>
  <c r="T84" i="38" s="1"/>
  <c r="Z83" i="38"/>
  <c r="AA83" i="38" s="1"/>
  <c r="AB83" i="38" s="1"/>
  <c r="L70" i="28" s="1"/>
  <c r="Y78" i="37"/>
  <c r="I78" i="37"/>
  <c r="H78" i="37" s="1"/>
  <c r="X78" i="37" s="1"/>
  <c r="AA74" i="39" l="1"/>
  <c r="AB74" i="39" s="1"/>
  <c r="U75" i="39"/>
  <c r="T75" i="39"/>
  <c r="U84" i="38"/>
  <c r="I84" i="38" s="1"/>
  <c r="H84" i="38" s="1"/>
  <c r="X84" i="38" s="1"/>
  <c r="W78" i="37"/>
  <c r="V78" i="37"/>
  <c r="Z78" i="37"/>
  <c r="G78" i="37"/>
  <c r="B65" i="28" s="1"/>
  <c r="M79" i="37"/>
  <c r="P79" i="37"/>
  <c r="K79" i="37"/>
  <c r="J82" i="37"/>
  <c r="I75" i="39" l="1"/>
  <c r="H75" i="39" s="1"/>
  <c r="W75" i="39" s="1"/>
  <c r="Y75" i="39"/>
  <c r="W84" i="38"/>
  <c r="Y84" i="38"/>
  <c r="V84" i="38"/>
  <c r="AA84" i="38" s="1"/>
  <c r="AB84" i="38" s="1"/>
  <c r="L71" i="28" s="1"/>
  <c r="G84" i="38"/>
  <c r="C71" i="28" s="1"/>
  <c r="K85" i="38"/>
  <c r="P85" i="38"/>
  <c r="L85" i="38"/>
  <c r="M85" i="38"/>
  <c r="Z84" i="38"/>
  <c r="T79" i="37"/>
  <c r="U79" i="37"/>
  <c r="AA78" i="37"/>
  <c r="AB78" i="37" s="1"/>
  <c r="K65" i="28" s="1"/>
  <c r="K76" i="39" l="1"/>
  <c r="Z75" i="39"/>
  <c r="G75" i="39"/>
  <c r="M76" i="39"/>
  <c r="P76" i="39"/>
  <c r="X75" i="39"/>
  <c r="V75" i="39"/>
  <c r="T85" i="38"/>
  <c r="U85" i="38"/>
  <c r="Y79" i="37"/>
  <c r="I79" i="37"/>
  <c r="H79" i="37" s="1"/>
  <c r="J83" i="37"/>
  <c r="Y85" i="38" l="1"/>
  <c r="AA75" i="39"/>
  <c r="AB75" i="39" s="1"/>
  <c r="U76" i="39"/>
  <c r="T76" i="39"/>
  <c r="W76" i="39" s="1"/>
  <c r="I85" i="38"/>
  <c r="H85" i="38" s="1"/>
  <c r="K86" i="38" s="1"/>
  <c r="P86" i="38"/>
  <c r="G85" i="38"/>
  <c r="C72" i="28" s="1"/>
  <c r="V79" i="37"/>
  <c r="X79" i="37"/>
  <c r="W79" i="37"/>
  <c r="Z79" i="37"/>
  <c r="M80" i="37"/>
  <c r="P80" i="37"/>
  <c r="G79" i="37"/>
  <c r="B66" i="28" s="1"/>
  <c r="K80" i="37"/>
  <c r="M86" i="38" l="1"/>
  <c r="Z85" i="38"/>
  <c r="V85" i="38"/>
  <c r="AA85" i="38" s="1"/>
  <c r="AB85" i="38" s="1"/>
  <c r="L72" i="28" s="1"/>
  <c r="V76" i="39"/>
  <c r="I76" i="39"/>
  <c r="H76" i="39" s="1"/>
  <c r="Z76" i="39" s="1"/>
  <c r="Y76" i="39"/>
  <c r="X85" i="38"/>
  <c r="W85" i="38"/>
  <c r="T86" i="38"/>
  <c r="U86" i="38"/>
  <c r="T80" i="37"/>
  <c r="U80" i="37"/>
  <c r="AA79" i="37"/>
  <c r="AB79" i="37" s="1"/>
  <c r="K66" i="28" s="1"/>
  <c r="J84" i="37"/>
  <c r="K77" i="39" l="1"/>
  <c r="G76" i="39"/>
  <c r="L77" i="39"/>
  <c r="P77" i="39"/>
  <c r="X76" i="39"/>
  <c r="AA76" i="39" s="1"/>
  <c r="AB76" i="39" s="1"/>
  <c r="M77" i="39"/>
  <c r="I86" i="38"/>
  <c r="H86" i="38" s="1"/>
  <c r="X86" i="38" s="1"/>
  <c r="Y86" i="38"/>
  <c r="Y80" i="37"/>
  <c r="I80" i="37"/>
  <c r="H80" i="37" s="1"/>
  <c r="M87" i="38" l="1"/>
  <c r="G86" i="38"/>
  <c r="C73" i="28" s="1"/>
  <c r="Z86" i="38"/>
  <c r="P87" i="38"/>
  <c r="V86" i="38"/>
  <c r="AA86" i="38" s="1"/>
  <c r="AB86" i="38" s="1"/>
  <c r="L73" i="28" s="1"/>
  <c r="K87" i="38"/>
  <c r="U87" i="38" s="1"/>
  <c r="U77" i="39"/>
  <c r="T77" i="39"/>
  <c r="W86" i="38"/>
  <c r="V80" i="37"/>
  <c r="X80" i="37"/>
  <c r="W80" i="37"/>
  <c r="Z80" i="37"/>
  <c r="P81" i="37"/>
  <c r="G80" i="37"/>
  <c r="B67" i="28" s="1"/>
  <c r="K81" i="37"/>
  <c r="L81" i="37"/>
  <c r="M81" i="37"/>
  <c r="T87" i="38" l="1"/>
  <c r="Y87" i="38" s="1"/>
  <c r="I77" i="39"/>
  <c r="H77" i="39" s="1"/>
  <c r="P78" i="39" s="1"/>
  <c r="Y77" i="39"/>
  <c r="I87" i="38"/>
  <c r="H87" i="38" s="1"/>
  <c r="T81" i="37"/>
  <c r="U81" i="37"/>
  <c r="AA80" i="37"/>
  <c r="AB80" i="37" s="1"/>
  <c r="K67" i="28" s="1"/>
  <c r="J85" i="37"/>
  <c r="K78" i="39" l="1"/>
  <c r="V77" i="39"/>
  <c r="W77" i="39"/>
  <c r="G77" i="39"/>
  <c r="M78" i="39"/>
  <c r="Z77" i="39"/>
  <c r="X77" i="39"/>
  <c r="P88" i="38"/>
  <c r="T88" i="38" s="1"/>
  <c r="M88" i="38"/>
  <c r="K88" i="38"/>
  <c r="G87" i="38"/>
  <c r="C74" i="28" s="1"/>
  <c r="W87" i="38"/>
  <c r="V87" i="38"/>
  <c r="X87" i="38"/>
  <c r="Z87" i="38"/>
  <c r="I81" i="37"/>
  <c r="H81" i="37" s="1"/>
  <c r="X81" i="37" s="1"/>
  <c r="U78" i="39" l="1"/>
  <c r="T78" i="39"/>
  <c r="AA77" i="39"/>
  <c r="AB77" i="39" s="1"/>
  <c r="AA87" i="38"/>
  <c r="AB87" i="38" s="1"/>
  <c r="L74" i="28" s="1"/>
  <c r="U88" i="38"/>
  <c r="Y88" i="38" s="1"/>
  <c r="Y81" i="37"/>
  <c r="W81" i="37"/>
  <c r="Z81" i="37"/>
  <c r="M82" i="37"/>
  <c r="V81" i="37"/>
  <c r="P82" i="37"/>
  <c r="K82" i="37"/>
  <c r="G81" i="37"/>
  <c r="B68" i="28" s="1"/>
  <c r="Y78" i="39" l="1"/>
  <c r="I78" i="39"/>
  <c r="H78" i="39" s="1"/>
  <c r="G78" i="39" s="1"/>
  <c r="W78" i="39"/>
  <c r="V78" i="39"/>
  <c r="M79" i="39"/>
  <c r="I88" i="38"/>
  <c r="H88" i="38" s="1"/>
  <c r="T82" i="37"/>
  <c r="U82" i="37"/>
  <c r="AA81" i="37"/>
  <c r="AB81" i="37" s="1"/>
  <c r="K68" i="28" s="1"/>
  <c r="J86" i="37"/>
  <c r="X78" i="39" l="1"/>
  <c r="K79" i="39"/>
  <c r="Z78" i="39"/>
  <c r="AA78" i="39" s="1"/>
  <c r="AB78" i="39" s="1"/>
  <c r="P79" i="39"/>
  <c r="U79" i="39" s="1"/>
  <c r="G88" i="38"/>
  <c r="C75" i="28" s="1"/>
  <c r="L89" i="38"/>
  <c r="M89" i="38"/>
  <c r="J89" i="38"/>
  <c r="K89" i="38"/>
  <c r="P89" i="38"/>
  <c r="Z88" i="38"/>
  <c r="W88" i="38"/>
  <c r="X88" i="38"/>
  <c r="V88" i="38"/>
  <c r="I82" i="37"/>
  <c r="H82" i="37" s="1"/>
  <c r="M83" i="37" s="1"/>
  <c r="T79" i="39" l="1"/>
  <c r="I79" i="39" s="1"/>
  <c r="H79" i="39" s="1"/>
  <c r="T89" i="38"/>
  <c r="U89" i="38"/>
  <c r="I89" i="38"/>
  <c r="H89" i="38" s="1"/>
  <c r="V89" i="38"/>
  <c r="W89" i="38"/>
  <c r="AA88" i="38"/>
  <c r="AB88" i="38" s="1"/>
  <c r="L75" i="28" s="1"/>
  <c r="Y82" i="37"/>
  <c r="P83" i="37"/>
  <c r="G82" i="37"/>
  <c r="B69" i="28" s="1"/>
  <c r="K83" i="37"/>
  <c r="Z82" i="37"/>
  <c r="W82" i="37"/>
  <c r="X82" i="37"/>
  <c r="V82" i="37"/>
  <c r="Y79" i="39" l="1"/>
  <c r="P80" i="39"/>
  <c r="G79" i="39"/>
  <c r="M80" i="39"/>
  <c r="K80" i="39"/>
  <c r="W79" i="39"/>
  <c r="V79" i="39"/>
  <c r="Z79" i="39"/>
  <c r="X79" i="39"/>
  <c r="Y89" i="38"/>
  <c r="X89" i="38"/>
  <c r="AA89" i="38" s="1"/>
  <c r="AB89" i="38" s="1"/>
  <c r="L76" i="28" s="1"/>
  <c r="G89" i="38"/>
  <c r="C76" i="28" s="1"/>
  <c r="K90" i="38"/>
  <c r="T90" i="38" s="1"/>
  <c r="M90" i="38"/>
  <c r="P90" i="38"/>
  <c r="J90" i="38"/>
  <c r="Z89" i="38"/>
  <c r="U83" i="37"/>
  <c r="T83" i="37"/>
  <c r="AA82" i="37"/>
  <c r="AB82" i="37" s="1"/>
  <c r="K69" i="28" s="1"/>
  <c r="J87" i="37"/>
  <c r="T80" i="39" l="1"/>
  <c r="AA79" i="39"/>
  <c r="AB79" i="39" s="1"/>
  <c r="U80" i="39"/>
  <c r="Y80" i="39" s="1"/>
  <c r="W90" i="38"/>
  <c r="U90" i="38"/>
  <c r="V90" i="38"/>
  <c r="I83" i="37"/>
  <c r="H83" i="37" s="1"/>
  <c r="X83" i="37" s="1"/>
  <c r="Y83" i="37"/>
  <c r="I80" i="39" l="1"/>
  <c r="H80" i="39" s="1"/>
  <c r="M81" i="39" s="1"/>
  <c r="P81" i="39"/>
  <c r="L81" i="39"/>
  <c r="I90" i="38"/>
  <c r="H90" i="38" s="1"/>
  <c r="Y90" i="38" s="1"/>
  <c r="M84" i="37"/>
  <c r="Z83" i="37"/>
  <c r="K84" i="37"/>
  <c r="G83" i="37"/>
  <c r="B70" i="28" s="1"/>
  <c r="P84" i="37"/>
  <c r="V83" i="37"/>
  <c r="W83" i="37"/>
  <c r="V80" i="39" l="1"/>
  <c r="G80" i="39"/>
  <c r="W80" i="39"/>
  <c r="Z80" i="39"/>
  <c r="X80" i="39"/>
  <c r="K81" i="39"/>
  <c r="T81" i="39" s="1"/>
  <c r="M91" i="38"/>
  <c r="J91" i="38"/>
  <c r="K91" i="38"/>
  <c r="G90" i="38"/>
  <c r="C77" i="28" s="1"/>
  <c r="P91" i="38"/>
  <c r="Z90" i="38"/>
  <c r="X90" i="38"/>
  <c r="U84" i="37"/>
  <c r="T84" i="37"/>
  <c r="AA83" i="37"/>
  <c r="AB83" i="37" s="1"/>
  <c r="K70" i="28" s="1"/>
  <c r="J88" i="37"/>
  <c r="T91" i="38" l="1"/>
  <c r="U81" i="39"/>
  <c r="I81" i="39" s="1"/>
  <c r="H81" i="39" s="1"/>
  <c r="Z81" i="39" s="1"/>
  <c r="AA80" i="39"/>
  <c r="AB80" i="39" s="1"/>
  <c r="AA90" i="38"/>
  <c r="AB90" i="38" s="1"/>
  <c r="L77" i="28" s="1"/>
  <c r="W91" i="38"/>
  <c r="U91" i="38"/>
  <c r="Y91" i="38" s="1"/>
  <c r="V91" i="38"/>
  <c r="Y84" i="37"/>
  <c r="I84" i="37"/>
  <c r="H84" i="37" s="1"/>
  <c r="Z84" i="37" s="1"/>
  <c r="I91" i="38" l="1"/>
  <c r="H91" i="38" s="1"/>
  <c r="W81" i="39"/>
  <c r="Y81" i="39"/>
  <c r="G81" i="39"/>
  <c r="P82" i="39"/>
  <c r="M82" i="39"/>
  <c r="X81" i="39"/>
  <c r="V81" i="39"/>
  <c r="AA81" i="39" s="1"/>
  <c r="AB81" i="39" s="1"/>
  <c r="K82" i="39"/>
  <c r="Z91" i="38"/>
  <c r="G91" i="38"/>
  <c r="C78" i="28" s="1"/>
  <c r="M92" i="38"/>
  <c r="P92" i="38"/>
  <c r="K92" i="38"/>
  <c r="X91" i="38"/>
  <c r="X84" i="37"/>
  <c r="W84" i="37"/>
  <c r="V84" i="37"/>
  <c r="K85" i="37"/>
  <c r="G84" i="37"/>
  <c r="B71" i="28" s="1"/>
  <c r="L85" i="37"/>
  <c r="M85" i="37"/>
  <c r="P85" i="37"/>
  <c r="T82" i="39" l="1"/>
  <c r="U82" i="39"/>
  <c r="I82" i="39" s="1"/>
  <c r="H82" i="39" s="1"/>
  <c r="V82" i="39" s="1"/>
  <c r="AA91" i="38"/>
  <c r="AB91" i="38" s="1"/>
  <c r="L78" i="28" s="1"/>
  <c r="T92" i="38"/>
  <c r="U92" i="38"/>
  <c r="Y92" i="38" s="1"/>
  <c r="AA84" i="37"/>
  <c r="AB84" i="37" s="1"/>
  <c r="K71" i="28" s="1"/>
  <c r="T85" i="37"/>
  <c r="U85" i="37"/>
  <c r="I92" i="38" l="1"/>
  <c r="H92" i="38" s="1"/>
  <c r="X92" i="38"/>
  <c r="V92" i="38"/>
  <c r="W92" i="38"/>
  <c r="Y82" i="39"/>
  <c r="P83" i="39"/>
  <c r="X82" i="39"/>
  <c r="M83" i="39"/>
  <c r="G82" i="39"/>
  <c r="K83" i="39"/>
  <c r="W82" i="39"/>
  <c r="Z82" i="39"/>
  <c r="M93" i="38"/>
  <c r="L93" i="38"/>
  <c r="K93" i="38"/>
  <c r="T93" i="38" s="1"/>
  <c r="P93" i="38"/>
  <c r="G92" i="38"/>
  <c r="C79" i="28" s="1"/>
  <c r="Z92" i="38"/>
  <c r="Y85" i="37"/>
  <c r="I85" i="37"/>
  <c r="H85" i="37" s="1"/>
  <c r="Z85" i="37" s="1"/>
  <c r="AA92" i="38" l="1"/>
  <c r="AB92" i="38" s="1"/>
  <c r="L79" i="28" s="1"/>
  <c r="AA82" i="39"/>
  <c r="AB82" i="39" s="1"/>
  <c r="T83" i="39"/>
  <c r="W83" i="39" s="1"/>
  <c r="U83" i="39"/>
  <c r="U93" i="38"/>
  <c r="Y93" i="38" s="1"/>
  <c r="I93" i="38"/>
  <c r="H93" i="38" s="1"/>
  <c r="V93" i="38" s="1"/>
  <c r="V85" i="37"/>
  <c r="P86" i="37"/>
  <c r="G85" i="37"/>
  <c r="B72" i="28" s="1"/>
  <c r="K86" i="37"/>
  <c r="W85" i="37"/>
  <c r="M86" i="37"/>
  <c r="X85" i="37"/>
  <c r="V83" i="39" l="1"/>
  <c r="I83" i="39"/>
  <c r="H83" i="39" s="1"/>
  <c r="K84" i="39" s="1"/>
  <c r="Y83" i="39"/>
  <c r="Z93" i="38"/>
  <c r="P94" i="38"/>
  <c r="G93" i="38"/>
  <c r="C80" i="28" s="1"/>
  <c r="K94" i="38"/>
  <c r="M94" i="38"/>
  <c r="T94" i="38" s="1"/>
  <c r="W93" i="38"/>
  <c r="X93" i="38"/>
  <c r="T86" i="37"/>
  <c r="AA85" i="37"/>
  <c r="AB85" i="37" s="1"/>
  <c r="K72" i="28" s="1"/>
  <c r="U86" i="37"/>
  <c r="P84" i="39" l="1"/>
  <c r="Z83" i="39"/>
  <c r="G83" i="39"/>
  <c r="M84" i="39"/>
  <c r="X83" i="39"/>
  <c r="AA93" i="38"/>
  <c r="AB93" i="38" s="1"/>
  <c r="L80" i="28" s="1"/>
  <c r="U94" i="38"/>
  <c r="Y94" i="38" s="1"/>
  <c r="Y86" i="37"/>
  <c r="I86" i="37"/>
  <c r="H86" i="37" s="1"/>
  <c r="X86" i="37" s="1"/>
  <c r="T84" i="39" l="1"/>
  <c r="U84" i="39"/>
  <c r="AA83" i="39"/>
  <c r="AB83" i="39" s="1"/>
  <c r="I94" i="38"/>
  <c r="H94" i="38" s="1"/>
  <c r="P95" i="38" s="1"/>
  <c r="M95" i="38"/>
  <c r="K95" i="38"/>
  <c r="G94" i="38"/>
  <c r="C81" i="28" s="1"/>
  <c r="Z94" i="38"/>
  <c r="W86" i="37"/>
  <c r="V86" i="37"/>
  <c r="Z86" i="37"/>
  <c r="M87" i="37"/>
  <c r="K87" i="37"/>
  <c r="G86" i="37"/>
  <c r="B73" i="28" s="1"/>
  <c r="P87" i="37"/>
  <c r="I84" i="39" l="1"/>
  <c r="H84" i="39" s="1"/>
  <c r="W84" i="39" s="1"/>
  <c r="T95" i="38"/>
  <c r="Y84" i="39"/>
  <c r="W94" i="38"/>
  <c r="X94" i="38"/>
  <c r="V94" i="38"/>
  <c r="AA94" i="38" s="1"/>
  <c r="AB94" i="38" s="1"/>
  <c r="L81" i="28" s="1"/>
  <c r="U95" i="38"/>
  <c r="I95" i="38" s="1"/>
  <c r="H95" i="38" s="1"/>
  <c r="X95" i="38" s="1"/>
  <c r="AA86" i="37"/>
  <c r="AB86" i="37" s="1"/>
  <c r="K73" i="28" s="1"/>
  <c r="T87" i="37"/>
  <c r="U87" i="37"/>
  <c r="J92" i="37"/>
  <c r="X84" i="39" l="1"/>
  <c r="G84" i="39"/>
  <c r="M85" i="39"/>
  <c r="Z84" i="39"/>
  <c r="P85" i="39"/>
  <c r="K85" i="39"/>
  <c r="L85" i="39"/>
  <c r="V84" i="39"/>
  <c r="G95" i="38"/>
  <c r="C82" i="28" s="1"/>
  <c r="M96" i="38"/>
  <c r="P96" i="38"/>
  <c r="K96" i="38"/>
  <c r="J96" i="38"/>
  <c r="T96" i="38" s="1"/>
  <c r="Y95" i="38"/>
  <c r="V95" i="38"/>
  <c r="W95" i="38"/>
  <c r="Z95" i="38"/>
  <c r="Y87" i="37"/>
  <c r="I87" i="37"/>
  <c r="H87" i="37" s="1"/>
  <c r="X87" i="37" s="1"/>
  <c r="T85" i="39" l="1"/>
  <c r="AA84" i="39"/>
  <c r="AB84" i="39" s="1"/>
  <c r="U85" i="39"/>
  <c r="I85" i="39" s="1"/>
  <c r="H85" i="39" s="1"/>
  <c r="W85" i="39" s="1"/>
  <c r="AA95" i="38"/>
  <c r="AB95" i="38" s="1"/>
  <c r="L82" i="28" s="1"/>
  <c r="U96" i="38"/>
  <c r="I96" i="38" s="1"/>
  <c r="H96" i="38" s="1"/>
  <c r="Y96" i="38" s="1"/>
  <c r="V96" i="38"/>
  <c r="Z96" i="38"/>
  <c r="W96" i="38"/>
  <c r="Z87" i="37"/>
  <c r="W87" i="37"/>
  <c r="V87" i="37"/>
  <c r="K88" i="37"/>
  <c r="G87" i="37"/>
  <c r="B74" i="28" s="1"/>
  <c r="P88" i="37"/>
  <c r="M88" i="37"/>
  <c r="Y85" i="39" l="1"/>
  <c r="K86" i="39"/>
  <c r="G85" i="39"/>
  <c r="P86" i="39"/>
  <c r="V85" i="39"/>
  <c r="Z85" i="39"/>
  <c r="X85" i="39"/>
  <c r="AA85" i="39" s="1"/>
  <c r="AB85" i="39" s="1"/>
  <c r="M86" i="39"/>
  <c r="U86" i="39" s="1"/>
  <c r="X96" i="38"/>
  <c r="AA96" i="38" s="1"/>
  <c r="AB96" i="38" s="1"/>
  <c r="L83" i="28" s="1"/>
  <c r="L97" i="38"/>
  <c r="G96" i="38"/>
  <c r="C83" i="28" s="1"/>
  <c r="P97" i="38"/>
  <c r="K97" i="38"/>
  <c r="J97" i="38"/>
  <c r="M97" i="38"/>
  <c r="T88" i="37"/>
  <c r="U88" i="37"/>
  <c r="AA87" i="37"/>
  <c r="AB87" i="37" s="1"/>
  <c r="K74" i="28" s="1"/>
  <c r="J93" i="37"/>
  <c r="T86" i="39" l="1"/>
  <c r="I86" i="39" s="1"/>
  <c r="H86" i="39" s="1"/>
  <c r="X86" i="39" s="1"/>
  <c r="U97" i="38"/>
  <c r="T97" i="38"/>
  <c r="Y88" i="37"/>
  <c r="I88" i="37"/>
  <c r="H88" i="37" s="1"/>
  <c r="X88" i="37" s="1"/>
  <c r="Y86" i="39" l="1"/>
  <c r="W97" i="38"/>
  <c r="V97" i="38"/>
  <c r="I97" i="38"/>
  <c r="H97" i="38" s="1"/>
  <c r="Y97" i="38" s="1"/>
  <c r="M89" i="37"/>
  <c r="L89" i="37"/>
  <c r="G88" i="37"/>
  <c r="B75" i="28" s="1"/>
  <c r="V88" i="37"/>
  <c r="P89" i="37"/>
  <c r="K89" i="37"/>
  <c r="W88" i="37"/>
  <c r="J89" i="37"/>
  <c r="Z88" i="37"/>
  <c r="K87" i="39"/>
  <c r="Z86" i="39"/>
  <c r="V86" i="39"/>
  <c r="G86" i="39"/>
  <c r="M87" i="39"/>
  <c r="W86" i="39"/>
  <c r="P87" i="39"/>
  <c r="K98" i="38" l="1"/>
  <c r="M98" i="38"/>
  <c r="P98" i="38"/>
  <c r="G97" i="38"/>
  <c r="C84" i="28" s="1"/>
  <c r="J98" i="38"/>
  <c r="T98" i="38" s="1"/>
  <c r="X97" i="38"/>
  <c r="Z97" i="38"/>
  <c r="U89" i="37"/>
  <c r="T89" i="37"/>
  <c r="V89" i="37" s="1"/>
  <c r="AA88" i="37"/>
  <c r="AB88" i="37" s="1"/>
  <c r="K75" i="28" s="1"/>
  <c r="U87" i="39"/>
  <c r="AA86" i="39"/>
  <c r="AB86" i="39" s="1"/>
  <c r="T87" i="39"/>
  <c r="J94" i="37"/>
  <c r="AA97" i="38" l="1"/>
  <c r="AB97" i="38" s="1"/>
  <c r="L84" i="28" s="1"/>
  <c r="I89" i="37"/>
  <c r="H89" i="37" s="1"/>
  <c r="X89" i="37" s="1"/>
  <c r="V98" i="38"/>
  <c r="W89" i="37"/>
  <c r="U98" i="38"/>
  <c r="I98" i="38" s="1"/>
  <c r="H98" i="38" s="1"/>
  <c r="W98" i="38"/>
  <c r="I87" i="39"/>
  <c r="H87" i="39" s="1"/>
  <c r="V87" i="39" s="1"/>
  <c r="Y87" i="39"/>
  <c r="Z89" i="37"/>
  <c r="M90" i="37" l="1"/>
  <c r="K90" i="37"/>
  <c r="P90" i="37"/>
  <c r="Y89" i="37"/>
  <c r="AA89" i="37" s="1"/>
  <c r="AB89" i="37" s="1"/>
  <c r="K76" i="28" s="1"/>
  <c r="J90" i="37"/>
  <c r="G89" i="37"/>
  <c r="B76" i="28" s="1"/>
  <c r="Z98" i="38"/>
  <c r="P99" i="38"/>
  <c r="G98" i="38"/>
  <c r="C85" i="28" s="1"/>
  <c r="J99" i="38"/>
  <c r="K99" i="38"/>
  <c r="M99" i="38"/>
  <c r="X98" i="38"/>
  <c r="Y98" i="38"/>
  <c r="P88" i="39"/>
  <c r="K88" i="39"/>
  <c r="G87" i="39"/>
  <c r="Z87" i="39"/>
  <c r="M88" i="39"/>
  <c r="X87" i="39"/>
  <c r="W87" i="39"/>
  <c r="T90" i="37" l="1"/>
  <c r="T99" i="38"/>
  <c r="U90" i="37"/>
  <c r="I90" i="37" s="1"/>
  <c r="H90" i="37" s="1"/>
  <c r="X90" i="37" s="1"/>
  <c r="AA98" i="38"/>
  <c r="AB98" i="38" s="1"/>
  <c r="L85" i="28" s="1"/>
  <c r="U99" i="38"/>
  <c r="Y99" i="38" s="1"/>
  <c r="V99" i="38"/>
  <c r="W99" i="38"/>
  <c r="U88" i="39"/>
  <c r="AA87" i="39"/>
  <c r="AB87" i="39" s="1"/>
  <c r="T88" i="39"/>
  <c r="J95" i="37"/>
  <c r="I99" i="38" l="1"/>
  <c r="H99" i="38" s="1"/>
  <c r="X99" i="38" s="1"/>
  <c r="Z99" i="38"/>
  <c r="AA99" i="38" s="1"/>
  <c r="AB99" i="38" s="1"/>
  <c r="L86" i="28" s="1"/>
  <c r="K100" i="38"/>
  <c r="G99" i="38"/>
  <c r="C86" i="28" s="1"/>
  <c r="M100" i="38"/>
  <c r="P100" i="38"/>
  <c r="V90" i="37"/>
  <c r="W90" i="37"/>
  <c r="Z90" i="37"/>
  <c r="J91" i="37"/>
  <c r="I88" i="39"/>
  <c r="H88" i="39" s="1"/>
  <c r="M89" i="39" s="1"/>
  <c r="Y88" i="39"/>
  <c r="K91" i="37"/>
  <c r="G90" i="37"/>
  <c r="B77" i="28" s="1"/>
  <c r="P91" i="37"/>
  <c r="M91" i="37"/>
  <c r="Y90" i="37"/>
  <c r="T100" i="38" l="1"/>
  <c r="U100" i="38"/>
  <c r="I100" i="38" s="1"/>
  <c r="H100" i="38" s="1"/>
  <c r="AA90" i="37"/>
  <c r="AB90" i="37" s="1"/>
  <c r="K77" i="28" s="1"/>
  <c r="T91" i="37"/>
  <c r="W91" i="37" s="1"/>
  <c r="U91" i="37"/>
  <c r="J89" i="39"/>
  <c r="P89" i="39"/>
  <c r="L89" i="39"/>
  <c r="W88" i="39"/>
  <c r="Z88" i="39"/>
  <c r="K89" i="39"/>
  <c r="X88" i="39"/>
  <c r="G88" i="39"/>
  <c r="V88" i="39"/>
  <c r="Y100" i="38" l="1"/>
  <c r="V100" i="38"/>
  <c r="K101" i="38"/>
  <c r="M101" i="38"/>
  <c r="L101" i="38"/>
  <c r="G100" i="38"/>
  <c r="C87" i="28" s="1"/>
  <c r="P101" i="38"/>
  <c r="T101" i="38"/>
  <c r="X100" i="38"/>
  <c r="W100" i="38"/>
  <c r="Z100" i="38"/>
  <c r="I91" i="37"/>
  <c r="H91" i="37" s="1"/>
  <c r="X91" i="37" s="1"/>
  <c r="V91" i="37"/>
  <c r="AA88" i="39"/>
  <c r="AB88" i="39" s="1"/>
  <c r="U89" i="39"/>
  <c r="T89" i="39"/>
  <c r="W89" i="39" s="1"/>
  <c r="Y91" i="37"/>
  <c r="U101" i="38" l="1"/>
  <c r="I101" i="38" s="1"/>
  <c r="H101" i="38" s="1"/>
  <c r="AA100" i="38"/>
  <c r="AB100" i="38" s="1"/>
  <c r="L87" i="28" s="1"/>
  <c r="M92" i="37"/>
  <c r="K92" i="37"/>
  <c r="P92" i="37"/>
  <c r="Z91" i="37"/>
  <c r="AA91" i="37" s="1"/>
  <c r="AB91" i="37" s="1"/>
  <c r="K78" i="28" s="1"/>
  <c r="G91" i="37"/>
  <c r="B78" i="28" s="1"/>
  <c r="I89" i="39"/>
  <c r="H89" i="39" s="1"/>
  <c r="Y89" i="39" s="1"/>
  <c r="V89" i="39"/>
  <c r="Y101" i="38" l="1"/>
  <c r="P102" i="38"/>
  <c r="K102" i="38"/>
  <c r="M102" i="38"/>
  <c r="G101" i="38"/>
  <c r="C88" i="28" s="1"/>
  <c r="Z101" i="38"/>
  <c r="X101" i="38"/>
  <c r="W101" i="38"/>
  <c r="V101" i="38"/>
  <c r="U92" i="37"/>
  <c r="T92" i="37"/>
  <c r="Z89" i="39"/>
  <c r="P90" i="39"/>
  <c r="G89" i="39"/>
  <c r="J90" i="39"/>
  <c r="K90" i="39"/>
  <c r="M90" i="39"/>
  <c r="X89" i="39"/>
  <c r="T102" i="38" l="1"/>
  <c r="U102" i="38"/>
  <c r="I102" i="38" s="1"/>
  <c r="H102" i="38" s="1"/>
  <c r="AA101" i="38"/>
  <c r="AB101" i="38" s="1"/>
  <c r="L88" i="28" s="1"/>
  <c r="I92" i="37"/>
  <c r="H92" i="37" s="1"/>
  <c r="X92" i="37" s="1"/>
  <c r="Y92" i="37"/>
  <c r="AA89" i="39"/>
  <c r="AB89" i="39" s="1"/>
  <c r="U90" i="39"/>
  <c r="T90" i="39"/>
  <c r="Y102" i="38" l="1"/>
  <c r="Z102" i="38"/>
  <c r="W102" i="38"/>
  <c r="X102" i="38"/>
  <c r="G102" i="38"/>
  <c r="C89" i="28" s="1"/>
  <c r="V102" i="38"/>
  <c r="K103" i="38"/>
  <c r="P103" i="38"/>
  <c r="M103" i="38"/>
  <c r="P93" i="37"/>
  <c r="Z92" i="37"/>
  <c r="V92" i="37"/>
  <c r="W92" i="37"/>
  <c r="M93" i="37"/>
  <c r="L93" i="37"/>
  <c r="G92" i="37"/>
  <c r="B79" i="28" s="1"/>
  <c r="K93" i="37"/>
  <c r="I90" i="39"/>
  <c r="H90" i="39" s="1"/>
  <c r="Y90" i="39" s="1"/>
  <c r="T103" i="38" l="1"/>
  <c r="W90" i="39"/>
  <c r="V90" i="39"/>
  <c r="AA102" i="38"/>
  <c r="AB102" i="38" s="1"/>
  <c r="L89" i="28" s="1"/>
  <c r="U103" i="38"/>
  <c r="Y103" i="38" s="1"/>
  <c r="T93" i="37"/>
  <c r="AA92" i="37"/>
  <c r="AB92" i="37" s="1"/>
  <c r="K79" i="28" s="1"/>
  <c r="U93" i="37"/>
  <c r="Y93" i="37" s="1"/>
  <c r="P91" i="39"/>
  <c r="J91" i="39"/>
  <c r="M91" i="39"/>
  <c r="K91" i="39"/>
  <c r="X90" i="39"/>
  <c r="Z90" i="39"/>
  <c r="G90" i="39"/>
  <c r="I103" i="38" l="1"/>
  <c r="H103" i="38" s="1"/>
  <c r="I93" i="37"/>
  <c r="H93" i="37" s="1"/>
  <c r="X93" i="37" s="1"/>
  <c r="G103" i="38"/>
  <c r="C90" i="28" s="1"/>
  <c r="K104" i="38"/>
  <c r="M104" i="38"/>
  <c r="P104" i="38"/>
  <c r="Z103" i="38"/>
  <c r="V103" i="38"/>
  <c r="X103" i="38"/>
  <c r="W103" i="38"/>
  <c r="U91" i="39"/>
  <c r="AA90" i="39"/>
  <c r="AB90" i="39" s="1"/>
  <c r="T91" i="39"/>
  <c r="W91" i="39" s="1"/>
  <c r="W93" i="37" l="1"/>
  <c r="Z93" i="37"/>
  <c r="K94" i="37"/>
  <c r="M94" i="37"/>
  <c r="P94" i="37"/>
  <c r="V93" i="37"/>
  <c r="G93" i="37"/>
  <c r="B80" i="28" s="1"/>
  <c r="AA103" i="38"/>
  <c r="AB103" i="38" s="1"/>
  <c r="L90" i="28" s="1"/>
  <c r="T104" i="38"/>
  <c r="W104" i="38" s="1"/>
  <c r="U104" i="38"/>
  <c r="I91" i="39"/>
  <c r="H91" i="39" s="1"/>
  <c r="Y91" i="39" s="1"/>
  <c r="V91" i="39"/>
  <c r="AA93" i="37" l="1"/>
  <c r="AB93" i="37" s="1"/>
  <c r="K80" i="28" s="1"/>
  <c r="U94" i="37"/>
  <c r="T94" i="37"/>
  <c r="Y104" i="38"/>
  <c r="V104" i="38"/>
  <c r="I104" i="38"/>
  <c r="H104" i="38" s="1"/>
  <c r="Z91" i="39"/>
  <c r="P92" i="39"/>
  <c r="G91" i="39"/>
  <c r="K92" i="39"/>
  <c r="X91" i="39"/>
  <c r="M92" i="39"/>
  <c r="I94" i="37" l="1"/>
  <c r="H94" i="37" s="1"/>
  <c r="X94" i="37" s="1"/>
  <c r="Y94" i="37"/>
  <c r="L105" i="38"/>
  <c r="P105" i="38"/>
  <c r="G104" i="38"/>
  <c r="C91" i="28" s="1"/>
  <c r="K105" i="38"/>
  <c r="M105" i="38"/>
  <c r="X104" i="38"/>
  <c r="Z104" i="38"/>
  <c r="AA91" i="39"/>
  <c r="AB91" i="39" s="1"/>
  <c r="U92" i="39"/>
  <c r="T92" i="39"/>
  <c r="Z94" i="37" l="1"/>
  <c r="P95" i="37"/>
  <c r="G94" i="37"/>
  <c r="B81" i="28" s="1"/>
  <c r="W94" i="37"/>
  <c r="V94" i="37"/>
  <c r="K95" i="37"/>
  <c r="M95" i="37"/>
  <c r="AA104" i="38"/>
  <c r="AB104" i="38" s="1"/>
  <c r="L91" i="28" s="1"/>
  <c r="T105" i="38"/>
  <c r="U105" i="38"/>
  <c r="I92" i="39"/>
  <c r="H92" i="39" s="1"/>
  <c r="W92" i="39" s="1"/>
  <c r="Y92" i="39"/>
  <c r="AA94" i="37" l="1"/>
  <c r="AB94" i="37" s="1"/>
  <c r="K81" i="28" s="1"/>
  <c r="T95" i="37"/>
  <c r="U95" i="37"/>
  <c r="I105" i="38"/>
  <c r="H105" i="38" s="1"/>
  <c r="V105" i="38" s="1"/>
  <c r="Y105" i="38"/>
  <c r="V92" i="39"/>
  <c r="K93" i="39"/>
  <c r="L93" i="39"/>
  <c r="G92" i="39"/>
  <c r="M93" i="39"/>
  <c r="X92" i="39"/>
  <c r="P93" i="39"/>
  <c r="Z92" i="39"/>
  <c r="I95" i="37"/>
  <c r="H95" i="37" s="1"/>
  <c r="Z95" i="37" s="1"/>
  <c r="Y95" i="37"/>
  <c r="J100" i="37"/>
  <c r="Z105" i="38" l="1"/>
  <c r="X105" i="38"/>
  <c r="P106" i="38"/>
  <c r="G105" i="38"/>
  <c r="C92" i="28" s="1"/>
  <c r="K106" i="38"/>
  <c r="M106" i="38"/>
  <c r="W105" i="38"/>
  <c r="AA92" i="39"/>
  <c r="AB92" i="39" s="1"/>
  <c r="T93" i="39"/>
  <c r="U93" i="39"/>
  <c r="M96" i="37"/>
  <c r="K96" i="37"/>
  <c r="J96" i="37"/>
  <c r="V95" i="37"/>
  <c r="W95" i="37"/>
  <c r="X95" i="37"/>
  <c r="P96" i="37"/>
  <c r="G95" i="37"/>
  <c r="B82" i="28" s="1"/>
  <c r="AA105" i="38" l="1"/>
  <c r="AB105" i="38" s="1"/>
  <c r="L92" i="28" s="1"/>
  <c r="U106" i="38"/>
  <c r="T106" i="38"/>
  <c r="V106" i="38" s="1"/>
  <c r="Y93" i="39"/>
  <c r="I93" i="39"/>
  <c r="H93" i="39" s="1"/>
  <c r="M94" i="39" s="1"/>
  <c r="U96" i="37"/>
  <c r="T96" i="37"/>
  <c r="V96" i="37" s="1"/>
  <c r="AA95" i="37"/>
  <c r="AB95" i="37" s="1"/>
  <c r="K82" i="28" s="1"/>
  <c r="Y106" i="38" l="1"/>
  <c r="I106" i="38"/>
  <c r="H106" i="38" s="1"/>
  <c r="X106" i="38" s="1"/>
  <c r="W106" i="38"/>
  <c r="X93" i="39"/>
  <c r="Z93" i="39"/>
  <c r="G93" i="39"/>
  <c r="V93" i="39"/>
  <c r="K94" i="39"/>
  <c r="P94" i="39"/>
  <c r="W93" i="39"/>
  <c r="I96" i="37"/>
  <c r="H96" i="37" s="1"/>
  <c r="X96" i="37" s="1"/>
  <c r="W96" i="37"/>
  <c r="J101" i="37"/>
  <c r="P107" i="38" l="1"/>
  <c r="K107" i="38"/>
  <c r="G106" i="38"/>
  <c r="C93" i="28" s="1"/>
  <c r="M107" i="38"/>
  <c r="Z106" i="38"/>
  <c r="AA106" i="38" s="1"/>
  <c r="AB106" i="38" s="1"/>
  <c r="L93" i="28" s="1"/>
  <c r="Y96" i="37"/>
  <c r="M97" i="37"/>
  <c r="L97" i="37"/>
  <c r="Z96" i="37"/>
  <c r="K97" i="37"/>
  <c r="G96" i="37"/>
  <c r="B83" i="28" s="1"/>
  <c r="P97" i="37"/>
  <c r="J97" i="37"/>
  <c r="U94" i="39"/>
  <c r="T94" i="39"/>
  <c r="AA93" i="39"/>
  <c r="AB93" i="39" s="1"/>
  <c r="T107" i="38" l="1"/>
  <c r="U107" i="38"/>
  <c r="Y107" i="38" s="1"/>
  <c r="AA96" i="37"/>
  <c r="AB96" i="37" s="1"/>
  <c r="K83" i="28" s="1"/>
  <c r="U97" i="37"/>
  <c r="T97" i="37"/>
  <c r="Y94" i="39"/>
  <c r="I94" i="39"/>
  <c r="H94" i="39" s="1"/>
  <c r="X94" i="39" s="1"/>
  <c r="J102" i="37"/>
  <c r="I107" i="38" l="1"/>
  <c r="H107" i="38" s="1"/>
  <c r="Z107" i="38" s="1"/>
  <c r="I97" i="37"/>
  <c r="H97" i="37" s="1"/>
  <c r="X97" i="37" s="1"/>
  <c r="G94" i="39"/>
  <c r="M95" i="39"/>
  <c r="Z94" i="39"/>
  <c r="K95" i="39"/>
  <c r="P95" i="39"/>
  <c r="V94" i="39"/>
  <c r="W94" i="39"/>
  <c r="G107" i="38" l="1"/>
  <c r="C94" i="28" s="1"/>
  <c r="P108" i="38"/>
  <c r="W107" i="38"/>
  <c r="K108" i="38"/>
  <c r="M108" i="38"/>
  <c r="X107" i="38"/>
  <c r="V107" i="38"/>
  <c r="J98" i="37"/>
  <c r="Z97" i="37"/>
  <c r="V97" i="37"/>
  <c r="W97" i="37"/>
  <c r="M98" i="37"/>
  <c r="G97" i="37"/>
  <c r="B84" i="28" s="1"/>
  <c r="Y97" i="37"/>
  <c r="P98" i="37"/>
  <c r="K98" i="37"/>
  <c r="AA94" i="39"/>
  <c r="AB94" i="39" s="1"/>
  <c r="T95" i="39"/>
  <c r="U95" i="39"/>
  <c r="U108" i="38" l="1"/>
  <c r="AA107" i="38"/>
  <c r="AB107" i="38" s="1"/>
  <c r="L94" i="28" s="1"/>
  <c r="T108" i="38"/>
  <c r="AA97" i="37"/>
  <c r="AB97" i="37" s="1"/>
  <c r="K84" i="28" s="1"/>
  <c r="T98" i="37"/>
  <c r="U98" i="37"/>
  <c r="Y95" i="39"/>
  <c r="I95" i="39"/>
  <c r="H95" i="39" s="1"/>
  <c r="M96" i="39" s="1"/>
  <c r="J103" i="37"/>
  <c r="Y108" i="38" l="1"/>
  <c r="I108" i="38"/>
  <c r="H108" i="38" s="1"/>
  <c r="M109" i="38" s="1"/>
  <c r="I98" i="37"/>
  <c r="H98" i="37" s="1"/>
  <c r="X98" i="37" s="1"/>
  <c r="K96" i="39"/>
  <c r="W95" i="39"/>
  <c r="V95" i="39"/>
  <c r="G95" i="39"/>
  <c r="P96" i="39"/>
  <c r="J96" i="39"/>
  <c r="Z95" i="39"/>
  <c r="X95" i="39"/>
  <c r="Y98" i="37"/>
  <c r="G108" i="38" l="1"/>
  <c r="C95" i="28" s="1"/>
  <c r="V108" i="38"/>
  <c r="W108" i="38"/>
  <c r="K109" i="38"/>
  <c r="Z108" i="38"/>
  <c r="P109" i="38"/>
  <c r="X108" i="38"/>
  <c r="L109" i="38"/>
  <c r="P99" i="37"/>
  <c r="V98" i="37"/>
  <c r="W98" i="37"/>
  <c r="G98" i="37"/>
  <c r="B85" i="28" s="1"/>
  <c r="J99" i="37"/>
  <c r="M99" i="37"/>
  <c r="K99" i="37"/>
  <c r="Z98" i="37"/>
  <c r="U96" i="39"/>
  <c r="T96" i="39"/>
  <c r="W96" i="39" s="1"/>
  <c r="AA95" i="39"/>
  <c r="AB95" i="39" s="1"/>
  <c r="J104" i="37"/>
  <c r="AA108" i="38" l="1"/>
  <c r="AB108" i="38" s="1"/>
  <c r="L95" i="28" s="1"/>
  <c r="U109" i="38"/>
  <c r="T109" i="38"/>
  <c r="AA98" i="37"/>
  <c r="AB98" i="37" s="1"/>
  <c r="K85" i="28" s="1"/>
  <c r="T99" i="37"/>
  <c r="U99" i="37"/>
  <c r="I96" i="39"/>
  <c r="H96" i="39" s="1"/>
  <c r="Z96" i="39" s="1"/>
  <c r="V96" i="39"/>
  <c r="Y109" i="38" l="1"/>
  <c r="I109" i="38"/>
  <c r="H109" i="38" s="1"/>
  <c r="Z109" i="38" s="1"/>
  <c r="K110" i="38"/>
  <c r="X109" i="38"/>
  <c r="G109" i="38"/>
  <c r="C96" i="28" s="1"/>
  <c r="I99" i="37"/>
  <c r="H99" i="37" s="1"/>
  <c r="X99" i="37" s="1"/>
  <c r="Y96" i="39"/>
  <c r="P97" i="39"/>
  <c r="J97" i="39"/>
  <c r="K97" i="39"/>
  <c r="L97" i="39"/>
  <c r="M97" i="39"/>
  <c r="G96" i="39"/>
  <c r="X96" i="39"/>
  <c r="Y99" i="37"/>
  <c r="J105" i="37"/>
  <c r="P110" i="38" l="1"/>
  <c r="M110" i="38"/>
  <c r="T110" i="38" s="1"/>
  <c r="V109" i="38"/>
  <c r="W109" i="38"/>
  <c r="V99" i="37"/>
  <c r="Z99" i="37"/>
  <c r="M100" i="37"/>
  <c r="P100" i="37"/>
  <c r="W99" i="37"/>
  <c r="G99" i="37"/>
  <c r="B86" i="28" s="1"/>
  <c r="K100" i="37"/>
  <c r="AA96" i="39"/>
  <c r="AB96" i="39" s="1"/>
  <c r="T97" i="39"/>
  <c r="U97" i="39"/>
  <c r="U110" i="38" l="1"/>
  <c r="I110" i="38" s="1"/>
  <c r="H110" i="38" s="1"/>
  <c r="P111" i="38" s="1"/>
  <c r="AA99" i="37"/>
  <c r="AB99" i="37" s="1"/>
  <c r="K86" i="28" s="1"/>
  <c r="AA109" i="38"/>
  <c r="AB109" i="38" s="1"/>
  <c r="L96" i="28" s="1"/>
  <c r="T100" i="37"/>
  <c r="U100" i="37"/>
  <c r="I97" i="39"/>
  <c r="H97" i="39" s="1"/>
  <c r="J98" i="39" s="1"/>
  <c r="W97" i="39" l="1"/>
  <c r="V97" i="39"/>
  <c r="Y110" i="38"/>
  <c r="W110" i="38"/>
  <c r="V110" i="38"/>
  <c r="M111" i="38"/>
  <c r="X110" i="38"/>
  <c r="G110" i="38"/>
  <c r="C97" i="28" s="1"/>
  <c r="K111" i="38"/>
  <c r="Z110" i="38"/>
  <c r="Y100" i="37"/>
  <c r="I100" i="37"/>
  <c r="H100" i="37" s="1"/>
  <c r="X100" i="37" s="1"/>
  <c r="Z97" i="39"/>
  <c r="P98" i="39"/>
  <c r="K98" i="39"/>
  <c r="Y97" i="39"/>
  <c r="M98" i="39"/>
  <c r="G97" i="39"/>
  <c r="X97" i="39"/>
  <c r="J106" i="37"/>
  <c r="AA110" i="38" l="1"/>
  <c r="AB110" i="38" s="1"/>
  <c r="L97" i="28" s="1"/>
  <c r="T111" i="38"/>
  <c r="L101" i="37"/>
  <c r="U111" i="38"/>
  <c r="I111" i="38" s="1"/>
  <c r="H111" i="38" s="1"/>
  <c r="P101" i="37"/>
  <c r="K101" i="37"/>
  <c r="W100" i="37"/>
  <c r="Z100" i="37"/>
  <c r="V100" i="37"/>
  <c r="M101" i="37"/>
  <c r="G100" i="37"/>
  <c r="B87" i="28" s="1"/>
  <c r="AA97" i="39"/>
  <c r="AB97" i="39" s="1"/>
  <c r="T98" i="39"/>
  <c r="U98" i="39"/>
  <c r="Y111" i="38" l="1"/>
  <c r="P112" i="38"/>
  <c r="K112" i="38"/>
  <c r="X111" i="38"/>
  <c r="Z111" i="38"/>
  <c r="W111" i="38"/>
  <c r="V111" i="38"/>
  <c r="AA111" i="38" s="1"/>
  <c r="AB111" i="38" s="1"/>
  <c r="L98" i="28" s="1"/>
  <c r="M112" i="38"/>
  <c r="G111" i="38"/>
  <c r="C98" i="28" s="1"/>
  <c r="T101" i="37"/>
  <c r="AA100" i="37"/>
  <c r="AB100" i="37" s="1"/>
  <c r="K87" i="28" s="1"/>
  <c r="U101" i="37"/>
  <c r="I101" i="37" s="1"/>
  <c r="H101" i="37" s="1"/>
  <c r="X101" i="37" s="1"/>
  <c r="I98" i="39"/>
  <c r="H98" i="39" s="1"/>
  <c r="G98" i="39" s="1"/>
  <c r="W98" i="39" l="1"/>
  <c r="V98" i="39"/>
  <c r="T112" i="38"/>
  <c r="U112" i="38"/>
  <c r="Y112" i="38" s="1"/>
  <c r="Z98" i="39"/>
  <c r="Y98" i="39"/>
  <c r="J99" i="39"/>
  <c r="P99" i="39"/>
  <c r="X98" i="39"/>
  <c r="M99" i="39"/>
  <c r="K99" i="39"/>
  <c r="Y101" i="37"/>
  <c r="W101" i="37"/>
  <c r="V101" i="37"/>
  <c r="Z101" i="37"/>
  <c r="P102" i="37"/>
  <c r="M102" i="37"/>
  <c r="G101" i="37"/>
  <c r="B88" i="28" s="1"/>
  <c r="K102" i="37"/>
  <c r="J107" i="37"/>
  <c r="I112" i="38" l="1"/>
  <c r="H112" i="38" s="1"/>
  <c r="W112" i="38" s="1"/>
  <c r="T99" i="39"/>
  <c r="AA98" i="39"/>
  <c r="AB98" i="39" s="1"/>
  <c r="U99" i="39"/>
  <c r="T102" i="37"/>
  <c r="U102" i="37"/>
  <c r="AA101" i="37"/>
  <c r="AB101" i="37" s="1"/>
  <c r="K88" i="28" s="1"/>
  <c r="M113" i="38" l="1"/>
  <c r="K113" i="38"/>
  <c r="J113" i="38"/>
  <c r="L113" i="38"/>
  <c r="P113" i="38"/>
  <c r="Z112" i="38"/>
  <c r="X112" i="38"/>
  <c r="V112" i="38"/>
  <c r="G112" i="38"/>
  <c r="C99" i="28" s="1"/>
  <c r="I99" i="39"/>
  <c r="H99" i="39" s="1"/>
  <c r="Y99" i="39" s="1"/>
  <c r="I102" i="37"/>
  <c r="H102" i="37" s="1"/>
  <c r="X102" i="37" s="1"/>
  <c r="J108" i="37"/>
  <c r="V99" i="39" l="1"/>
  <c r="W99" i="39"/>
  <c r="T113" i="38"/>
  <c r="W113" i="38" s="1"/>
  <c r="AA112" i="38"/>
  <c r="AB112" i="38" s="1"/>
  <c r="L99" i="28" s="1"/>
  <c r="U113" i="38"/>
  <c r="V113" i="38"/>
  <c r="Z99" i="39"/>
  <c r="G99" i="39"/>
  <c r="K100" i="39"/>
  <c r="P100" i="39"/>
  <c r="M100" i="39"/>
  <c r="X99" i="39"/>
  <c r="Y102" i="37"/>
  <c r="Z102" i="37"/>
  <c r="W102" i="37"/>
  <c r="V102" i="37"/>
  <c r="M103" i="37"/>
  <c r="P103" i="37"/>
  <c r="G102" i="37"/>
  <c r="B89" i="28" s="1"/>
  <c r="K103" i="37"/>
  <c r="I113" i="38" l="1"/>
  <c r="H113" i="38" s="1"/>
  <c r="K114" i="38" s="1"/>
  <c r="Y113" i="38"/>
  <c r="X113" i="38"/>
  <c r="P114" i="38"/>
  <c r="M114" i="38"/>
  <c r="Z113" i="38"/>
  <c r="G113" i="38"/>
  <c r="C100" i="28" s="1"/>
  <c r="AA99" i="39"/>
  <c r="AB99" i="39" s="1"/>
  <c r="U100" i="39"/>
  <c r="T100" i="39"/>
  <c r="T103" i="37"/>
  <c r="U103" i="37"/>
  <c r="AA102" i="37"/>
  <c r="AB102" i="37" s="1"/>
  <c r="K89" i="28" s="1"/>
  <c r="AA113" i="38" l="1"/>
  <c r="AB113" i="38" s="1"/>
  <c r="L100" i="28" s="1"/>
  <c r="U114" i="38"/>
  <c r="T114" i="38"/>
  <c r="V114" i="38" s="1"/>
  <c r="I103" i="37"/>
  <c r="H103" i="37" s="1"/>
  <c r="V103" i="37" s="1"/>
  <c r="I100" i="39"/>
  <c r="H100" i="39" s="1"/>
  <c r="Z100" i="39" s="1"/>
  <c r="Y100" i="39"/>
  <c r="Y103" i="37"/>
  <c r="J109" i="37"/>
  <c r="Y114" i="38" l="1"/>
  <c r="W114" i="38"/>
  <c r="I114" i="38"/>
  <c r="H114" i="38" s="1"/>
  <c r="Z114" i="38" s="1"/>
  <c r="M115" i="38"/>
  <c r="X103" i="37"/>
  <c r="K104" i="37"/>
  <c r="P104" i="37"/>
  <c r="Z103" i="37"/>
  <c r="M104" i="37"/>
  <c r="W103" i="37"/>
  <c r="G103" i="37"/>
  <c r="B90" i="28" s="1"/>
  <c r="X100" i="39"/>
  <c r="W100" i="39"/>
  <c r="M101" i="39"/>
  <c r="K101" i="39"/>
  <c r="G100" i="39"/>
  <c r="L101" i="39"/>
  <c r="V100" i="39"/>
  <c r="P101" i="39"/>
  <c r="K115" i="38" l="1"/>
  <c r="P115" i="38"/>
  <c r="U115" i="38" s="1"/>
  <c r="G114" i="38"/>
  <c r="C101" i="28" s="1"/>
  <c r="X114" i="38"/>
  <c r="AA114" i="38" s="1"/>
  <c r="AB114" i="38" s="1"/>
  <c r="L101" i="28" s="1"/>
  <c r="T104" i="37"/>
  <c r="U104" i="37"/>
  <c r="AA103" i="37"/>
  <c r="AB103" i="37" s="1"/>
  <c r="K90" i="28" s="1"/>
  <c r="AA100" i="39"/>
  <c r="AB100" i="39" s="1"/>
  <c r="T101" i="39"/>
  <c r="U101" i="39"/>
  <c r="T115" i="38" l="1"/>
  <c r="Y115" i="38"/>
  <c r="I115" i="38"/>
  <c r="H115" i="38" s="1"/>
  <c r="Z115" i="38" s="1"/>
  <c r="I104" i="37"/>
  <c r="H104" i="37" s="1"/>
  <c r="X104" i="37" s="1"/>
  <c r="Y104" i="37"/>
  <c r="I101" i="39"/>
  <c r="H101" i="39" s="1"/>
  <c r="Z101" i="39" s="1"/>
  <c r="V104" i="37"/>
  <c r="W104" i="37"/>
  <c r="J110" i="37"/>
  <c r="V115" i="38" l="1"/>
  <c r="G115" i="38"/>
  <c r="C102" i="28" s="1"/>
  <c r="P116" i="38"/>
  <c r="M116" i="38"/>
  <c r="K116" i="38"/>
  <c r="X115" i="38"/>
  <c r="W115" i="38"/>
  <c r="Z104" i="37"/>
  <c r="AA104" i="37" s="1"/>
  <c r="AB104" i="37" s="1"/>
  <c r="K91" i="28" s="1"/>
  <c r="P105" i="37"/>
  <c r="K105" i="37"/>
  <c r="G104" i="37"/>
  <c r="B91" i="28" s="1"/>
  <c r="L105" i="37"/>
  <c r="M105" i="37"/>
  <c r="Y101" i="39"/>
  <c r="G101" i="39"/>
  <c r="M102" i="39"/>
  <c r="X101" i="39"/>
  <c r="P102" i="39"/>
  <c r="K102" i="39"/>
  <c r="V101" i="39"/>
  <c r="W101" i="39"/>
  <c r="T116" i="38" l="1"/>
  <c r="U116" i="38"/>
  <c r="AA115" i="38"/>
  <c r="AB115" i="38" s="1"/>
  <c r="L102" i="28" s="1"/>
  <c r="U105" i="37"/>
  <c r="T105" i="37"/>
  <c r="T102" i="39"/>
  <c r="AA101" i="39"/>
  <c r="AB101" i="39" s="1"/>
  <c r="U102" i="39"/>
  <c r="I116" i="38" l="1"/>
  <c r="H116" i="38" s="1"/>
  <c r="X116" i="38" s="1"/>
  <c r="V116" i="38"/>
  <c r="Z116" i="38"/>
  <c r="G116" i="38"/>
  <c r="C103" i="28" s="1"/>
  <c r="L117" i="38"/>
  <c r="P117" i="38"/>
  <c r="M117" i="38"/>
  <c r="K117" i="38"/>
  <c r="Y116" i="38"/>
  <c r="I105" i="37"/>
  <c r="H105" i="37" s="1"/>
  <c r="Y105" i="37" s="1"/>
  <c r="I102" i="39"/>
  <c r="H102" i="39" s="1"/>
  <c r="G102" i="39" s="1"/>
  <c r="J111" i="37"/>
  <c r="W116" i="38" l="1"/>
  <c r="AA116" i="38" s="1"/>
  <c r="AB116" i="38" s="1"/>
  <c r="L103" i="28" s="1"/>
  <c r="U117" i="38"/>
  <c r="T117" i="38"/>
  <c r="M106" i="37"/>
  <c r="P106" i="37"/>
  <c r="K106" i="37"/>
  <c r="G105" i="37"/>
  <c r="B92" i="28" s="1"/>
  <c r="Z105" i="37"/>
  <c r="X105" i="37"/>
  <c r="W105" i="37"/>
  <c r="V105" i="37"/>
  <c r="P103" i="39"/>
  <c r="Y102" i="39"/>
  <c r="V102" i="39"/>
  <c r="W102" i="39"/>
  <c r="Z102" i="39"/>
  <c r="X102" i="39"/>
  <c r="M103" i="39"/>
  <c r="K103" i="39"/>
  <c r="Y117" i="38" l="1"/>
  <c r="I117" i="38"/>
  <c r="H117" i="38" s="1"/>
  <c r="V117" i="38" s="1"/>
  <c r="U106" i="37"/>
  <c r="T106" i="37"/>
  <c r="AA105" i="37"/>
  <c r="AB105" i="37" s="1"/>
  <c r="K92" i="28" s="1"/>
  <c r="AA102" i="39"/>
  <c r="AB102" i="39" s="1"/>
  <c r="U103" i="39"/>
  <c r="T103" i="39"/>
  <c r="Y106" i="37" l="1"/>
  <c r="W117" i="38"/>
  <c r="P118" i="38"/>
  <c r="M118" i="38"/>
  <c r="G117" i="38"/>
  <c r="C104" i="28" s="1"/>
  <c r="K118" i="38"/>
  <c r="X117" i="38"/>
  <c r="Z117" i="38"/>
  <c r="I106" i="37"/>
  <c r="H106" i="37" s="1"/>
  <c r="X106" i="37" s="1"/>
  <c r="I103" i="39"/>
  <c r="H103" i="39" s="1"/>
  <c r="K104" i="39" s="1"/>
  <c r="Y103" i="39"/>
  <c r="V106" i="37"/>
  <c r="W106" i="37"/>
  <c r="J112" i="37"/>
  <c r="T118" i="38" l="1"/>
  <c r="G106" i="37"/>
  <c r="B93" i="28" s="1"/>
  <c r="P107" i="37"/>
  <c r="M107" i="37"/>
  <c r="AA117" i="38"/>
  <c r="AB117" i="38" s="1"/>
  <c r="L104" i="28" s="1"/>
  <c r="W118" i="38"/>
  <c r="V118" i="38"/>
  <c r="U118" i="38"/>
  <c r="Y118" i="38" s="1"/>
  <c r="K107" i="37"/>
  <c r="Z106" i="37"/>
  <c r="AA106" i="37" s="1"/>
  <c r="AB106" i="37" s="1"/>
  <c r="K93" i="28" s="1"/>
  <c r="X103" i="39"/>
  <c r="Z103" i="39"/>
  <c r="M104" i="39"/>
  <c r="V103" i="39"/>
  <c r="P104" i="39"/>
  <c r="G103" i="39"/>
  <c r="W103" i="39"/>
  <c r="T107" i="37" l="1"/>
  <c r="U107" i="37"/>
  <c r="I118" i="38"/>
  <c r="H118" i="38" s="1"/>
  <c r="U104" i="39"/>
  <c r="AA103" i="39"/>
  <c r="AB103" i="39" s="1"/>
  <c r="T104" i="39"/>
  <c r="Y107" i="37" l="1"/>
  <c r="I107" i="37"/>
  <c r="H107" i="37" s="1"/>
  <c r="X107" i="37" s="1"/>
  <c r="G118" i="38"/>
  <c r="C105" i="28" s="1"/>
  <c r="P119" i="38"/>
  <c r="K119" i="38"/>
  <c r="M119" i="38"/>
  <c r="Z118" i="38"/>
  <c r="X118" i="38"/>
  <c r="Y104" i="39"/>
  <c r="I104" i="39"/>
  <c r="H104" i="39" s="1"/>
  <c r="M105" i="39" s="1"/>
  <c r="V104" i="39"/>
  <c r="W104" i="39"/>
  <c r="AA118" i="38" l="1"/>
  <c r="AB118" i="38" s="1"/>
  <c r="L105" i="28" s="1"/>
  <c r="M108" i="37"/>
  <c r="V107" i="37"/>
  <c r="Z107" i="37"/>
  <c r="W107" i="37"/>
  <c r="K108" i="37"/>
  <c r="G107" i="37"/>
  <c r="B94" i="28" s="1"/>
  <c r="P108" i="37"/>
  <c r="T108" i="37" s="1"/>
  <c r="T119" i="38"/>
  <c r="U119" i="38"/>
  <c r="L105" i="39"/>
  <c r="P105" i="39"/>
  <c r="G104" i="39"/>
  <c r="Z104" i="39"/>
  <c r="K105" i="39"/>
  <c r="X104" i="39"/>
  <c r="AA107" i="37" l="1"/>
  <c r="AB107" i="37" s="1"/>
  <c r="K94" i="28" s="1"/>
  <c r="U108" i="37"/>
  <c r="I108" i="37" s="1"/>
  <c r="H108" i="37" s="1"/>
  <c r="I119" i="38"/>
  <c r="H119" i="38" s="1"/>
  <c r="V119" i="38" s="1"/>
  <c r="Y119" i="38"/>
  <c r="AA104" i="39"/>
  <c r="AB104" i="39" s="1"/>
  <c r="T105" i="39"/>
  <c r="U105" i="39"/>
  <c r="Y108" i="37" l="1"/>
  <c r="P120" i="38"/>
  <c r="G119" i="38"/>
  <c r="C106" i="28" s="1"/>
  <c r="M120" i="38"/>
  <c r="W119" i="38"/>
  <c r="X119" i="38"/>
  <c r="K120" i="38"/>
  <c r="Z119" i="38"/>
  <c r="I105" i="39"/>
  <c r="H105" i="39" s="1"/>
  <c r="Y105" i="39" s="1"/>
  <c r="L109" i="37"/>
  <c r="X108" i="37"/>
  <c r="V108" i="37"/>
  <c r="W108" i="37"/>
  <c r="Z108" i="37"/>
  <c r="K109" i="37"/>
  <c r="G108" i="37"/>
  <c r="B95" i="28" s="1"/>
  <c r="M109" i="37"/>
  <c r="P109" i="37"/>
  <c r="J114" i="37"/>
  <c r="U120" i="38" l="1"/>
  <c r="AA119" i="38"/>
  <c r="AB119" i="38" s="1"/>
  <c r="L106" i="28" s="1"/>
  <c r="T120" i="38"/>
  <c r="Y120" i="38" s="1"/>
  <c r="M106" i="39"/>
  <c r="X105" i="39"/>
  <c r="V105" i="39"/>
  <c r="W105" i="39"/>
  <c r="P106" i="39"/>
  <c r="K106" i="39"/>
  <c r="Z105" i="39"/>
  <c r="G105" i="39"/>
  <c r="U109" i="37"/>
  <c r="T109" i="37"/>
  <c r="AA108" i="37"/>
  <c r="AB108" i="37" s="1"/>
  <c r="K95" i="28" s="1"/>
  <c r="I120" i="38" l="1"/>
  <c r="H120" i="38" s="1"/>
  <c r="Z120" i="38" s="1"/>
  <c r="U106" i="39"/>
  <c r="AA105" i="39"/>
  <c r="AB105" i="39" s="1"/>
  <c r="T106" i="39"/>
  <c r="I109" i="37"/>
  <c r="H109" i="37" s="1"/>
  <c r="X109" i="37" s="1"/>
  <c r="V120" i="38" l="1"/>
  <c r="M121" i="38"/>
  <c r="G120" i="38"/>
  <c r="C107" i="28" s="1"/>
  <c r="K121" i="38"/>
  <c r="P121" i="38"/>
  <c r="L121" i="38"/>
  <c r="W120" i="38"/>
  <c r="X120" i="38"/>
  <c r="AA120" i="38" s="1"/>
  <c r="AB120" i="38" s="1"/>
  <c r="L107" i="28" s="1"/>
  <c r="Y106" i="39"/>
  <c r="I106" i="39"/>
  <c r="H106" i="39" s="1"/>
  <c r="K107" i="39" s="1"/>
  <c r="Z109" i="37"/>
  <c r="W109" i="37"/>
  <c r="V109" i="37"/>
  <c r="G109" i="37"/>
  <c r="B96" i="28" s="1"/>
  <c r="M110" i="37"/>
  <c r="V106" i="39"/>
  <c r="W106" i="39"/>
  <c r="P110" i="37"/>
  <c r="K110" i="37"/>
  <c r="Y109" i="37"/>
  <c r="U121" i="38" l="1"/>
  <c r="T121" i="38"/>
  <c r="I121" i="38" s="1"/>
  <c r="H121" i="38" s="1"/>
  <c r="X106" i="39"/>
  <c r="Z106" i="39"/>
  <c r="G106" i="39"/>
  <c r="M107" i="39"/>
  <c r="P107" i="39"/>
  <c r="AA109" i="37"/>
  <c r="AB109" i="37" s="1"/>
  <c r="K96" i="28" s="1"/>
  <c r="T110" i="37"/>
  <c r="U110" i="37"/>
  <c r="J115" i="37"/>
  <c r="Y121" i="38" l="1"/>
  <c r="V121" i="38"/>
  <c r="G121" i="38"/>
  <c r="C108" i="28" s="1"/>
  <c r="W121" i="38"/>
  <c r="X121" i="38"/>
  <c r="K122" i="38"/>
  <c r="P122" i="38"/>
  <c r="M122" i="38"/>
  <c r="Z121" i="38"/>
  <c r="U107" i="39"/>
  <c r="AA106" i="39"/>
  <c r="AB106" i="39" s="1"/>
  <c r="T107" i="39"/>
  <c r="I110" i="37"/>
  <c r="H110" i="37" s="1"/>
  <c r="X110" i="37" s="1"/>
  <c r="Y110" i="37"/>
  <c r="U122" i="38" l="1"/>
  <c r="AA121" i="38"/>
  <c r="AB121" i="38" s="1"/>
  <c r="L108" i="28" s="1"/>
  <c r="T122" i="38"/>
  <c r="I122" i="38" s="1"/>
  <c r="H122" i="38" s="1"/>
  <c r="G122" i="38" s="1"/>
  <c r="C109" i="28" s="1"/>
  <c r="P111" i="37"/>
  <c r="I107" i="39"/>
  <c r="H107" i="39" s="1"/>
  <c r="Z107" i="39" s="1"/>
  <c r="W110" i="37"/>
  <c r="Y107" i="39"/>
  <c r="G110" i="37"/>
  <c r="B97" i="28" s="1"/>
  <c r="M111" i="37"/>
  <c r="K111" i="37"/>
  <c r="Z110" i="37"/>
  <c r="V110" i="37"/>
  <c r="W122" i="38" l="1"/>
  <c r="V122" i="38"/>
  <c r="Y122" i="38"/>
  <c r="P123" i="38"/>
  <c r="J123" i="38"/>
  <c r="Z122" i="38"/>
  <c r="M123" i="38"/>
  <c r="X122" i="38"/>
  <c r="AA122" i="38" s="1"/>
  <c r="AB122" i="38" s="1"/>
  <c r="L109" i="28" s="1"/>
  <c r="K123" i="38"/>
  <c r="AA110" i="37"/>
  <c r="AB110" i="37" s="1"/>
  <c r="K97" i="28" s="1"/>
  <c r="P108" i="39"/>
  <c r="G107" i="39"/>
  <c r="W107" i="39"/>
  <c r="M108" i="39"/>
  <c r="X107" i="39"/>
  <c r="K108" i="39"/>
  <c r="V107" i="39"/>
  <c r="T111" i="37"/>
  <c r="U111" i="37"/>
  <c r="J116" i="37"/>
  <c r="U123" i="38" l="1"/>
  <c r="T123" i="38"/>
  <c r="I123" i="38" s="1"/>
  <c r="H123" i="38" s="1"/>
  <c r="V123" i="38" s="1"/>
  <c r="AA107" i="39"/>
  <c r="AB107" i="39" s="1"/>
  <c r="T108" i="39"/>
  <c r="U108" i="39"/>
  <c r="I111" i="37"/>
  <c r="H111" i="37" s="1"/>
  <c r="G111" i="37" s="1"/>
  <c r="B98" i="28" s="1"/>
  <c r="Y111" i="37"/>
  <c r="Y123" i="38" l="1"/>
  <c r="W123" i="38"/>
  <c r="Z123" i="38"/>
  <c r="G123" i="38"/>
  <c r="C110" i="28" s="1"/>
  <c r="X123" i="38"/>
  <c r="P124" i="38"/>
  <c r="K124" i="38"/>
  <c r="M124" i="38"/>
  <c r="P112" i="37"/>
  <c r="I108" i="39"/>
  <c r="H108" i="39" s="1"/>
  <c r="Z108" i="39" s="1"/>
  <c r="M112" i="37"/>
  <c r="V111" i="37"/>
  <c r="Z111" i="37"/>
  <c r="W111" i="37"/>
  <c r="X111" i="37"/>
  <c r="K112" i="37"/>
  <c r="Y108" i="39"/>
  <c r="J117" i="37"/>
  <c r="AA123" i="38" l="1"/>
  <c r="AB123" i="38" s="1"/>
  <c r="L110" i="28" s="1"/>
  <c r="T112" i="37"/>
  <c r="T124" i="38"/>
  <c r="U124" i="38"/>
  <c r="I124" i="38" s="1"/>
  <c r="H124" i="38" s="1"/>
  <c r="AA111" i="37"/>
  <c r="AB111" i="37" s="1"/>
  <c r="K98" i="28" s="1"/>
  <c r="P109" i="39"/>
  <c r="K109" i="39"/>
  <c r="W108" i="39"/>
  <c r="V108" i="39"/>
  <c r="L109" i="39"/>
  <c r="X108" i="39"/>
  <c r="G108" i="39"/>
  <c r="M109" i="39"/>
  <c r="U112" i="37"/>
  <c r="I112" i="37" l="1"/>
  <c r="H112" i="37" s="1"/>
  <c r="Z112" i="37" s="1"/>
  <c r="Z124" i="38"/>
  <c r="G124" i="38"/>
  <c r="C111" i="28" s="1"/>
  <c r="M125" i="38"/>
  <c r="L125" i="38"/>
  <c r="P125" i="38"/>
  <c r="K125" i="38"/>
  <c r="W124" i="38"/>
  <c r="V124" i="38"/>
  <c r="X124" i="38"/>
  <c r="Y124" i="38"/>
  <c r="U109" i="39"/>
  <c r="AA108" i="39"/>
  <c r="AB108" i="39" s="1"/>
  <c r="Y112" i="37"/>
  <c r="T109" i="39"/>
  <c r="W112" i="37"/>
  <c r="V112" i="37"/>
  <c r="P113" i="37"/>
  <c r="M113" i="37" l="1"/>
  <c r="K113" i="37"/>
  <c r="X112" i="37"/>
  <c r="AA112" i="37" s="1"/>
  <c r="AB112" i="37" s="1"/>
  <c r="K99" i="28" s="1"/>
  <c r="J113" i="37"/>
  <c r="L113" i="37"/>
  <c r="G112" i="37"/>
  <c r="B99" i="28" s="1"/>
  <c r="T125" i="38"/>
  <c r="V125" i="38" s="1"/>
  <c r="U125" i="38"/>
  <c r="Y125" i="38" s="1"/>
  <c r="AA124" i="38"/>
  <c r="AB124" i="38" s="1"/>
  <c r="L111" i="28" s="1"/>
  <c r="I109" i="39"/>
  <c r="H109" i="39" s="1"/>
  <c r="K110" i="39" s="1"/>
  <c r="Y109" i="39"/>
  <c r="J118" i="37"/>
  <c r="U113" i="37" l="1"/>
  <c r="T113" i="37"/>
  <c r="V113" i="37" s="1"/>
  <c r="W125" i="38"/>
  <c r="I125" i="38"/>
  <c r="H125" i="38" s="1"/>
  <c r="X125" i="38" s="1"/>
  <c r="G109" i="39"/>
  <c r="M110" i="39"/>
  <c r="X109" i="39"/>
  <c r="P110" i="39"/>
  <c r="W109" i="39"/>
  <c r="V109" i="39"/>
  <c r="Z109" i="39"/>
  <c r="W113" i="37"/>
  <c r="I113" i="37" l="1"/>
  <c r="H113" i="37" s="1"/>
  <c r="X113" i="37" s="1"/>
  <c r="P126" i="38"/>
  <c r="M126" i="38"/>
  <c r="G125" i="38"/>
  <c r="C112" i="28" s="1"/>
  <c r="Z125" i="38"/>
  <c r="AA125" i="38" s="1"/>
  <c r="AB125" i="38" s="1"/>
  <c r="L112" i="28" s="1"/>
  <c r="K126" i="38"/>
  <c r="AA109" i="39"/>
  <c r="AB109" i="39" s="1"/>
  <c r="U110" i="39"/>
  <c r="T110" i="39"/>
  <c r="Z113" i="37"/>
  <c r="G113" i="37" l="1"/>
  <c r="B100" i="28" s="1"/>
  <c r="P114" i="37"/>
  <c r="M114" i="37"/>
  <c r="K114" i="37"/>
  <c r="T114" i="37" s="1"/>
  <c r="W114" i="37" s="1"/>
  <c r="Y113" i="37"/>
  <c r="AA113" i="37" s="1"/>
  <c r="AB113" i="37" s="1"/>
  <c r="K100" i="28" s="1"/>
  <c r="T126" i="38"/>
  <c r="U126" i="38"/>
  <c r="I110" i="39"/>
  <c r="H110" i="39" s="1"/>
  <c r="W110" i="39" s="1"/>
  <c r="Y110" i="39"/>
  <c r="J119" i="37"/>
  <c r="U114" i="37" l="1"/>
  <c r="I126" i="38"/>
  <c r="H126" i="38" s="1"/>
  <c r="W126" i="38" s="1"/>
  <c r="K111" i="39"/>
  <c r="P111" i="39"/>
  <c r="X110" i="39"/>
  <c r="V110" i="39"/>
  <c r="Z110" i="39"/>
  <c r="G110" i="39"/>
  <c r="M111" i="39"/>
  <c r="V114" i="37"/>
  <c r="I114" i="37"/>
  <c r="H114" i="37" s="1"/>
  <c r="Z114" i="37" s="1"/>
  <c r="Y126" i="38" l="1"/>
  <c r="P127" i="38"/>
  <c r="M127" i="38"/>
  <c r="K127" i="38"/>
  <c r="T127" i="38" s="1"/>
  <c r="X126" i="38"/>
  <c r="V126" i="38"/>
  <c r="G126" i="38"/>
  <c r="C113" i="28" s="1"/>
  <c r="Z126" i="38"/>
  <c r="U111" i="39"/>
  <c r="AA110" i="39"/>
  <c r="AB110" i="39" s="1"/>
  <c r="T111" i="39"/>
  <c r="Y114" i="37"/>
  <c r="K115" i="37"/>
  <c r="G114" i="37"/>
  <c r="B101" i="28" s="1"/>
  <c r="P115" i="37"/>
  <c r="M115" i="37"/>
  <c r="X114" i="37"/>
  <c r="J120" i="37"/>
  <c r="U127" i="38" l="1"/>
  <c r="I127" i="38" s="1"/>
  <c r="H127" i="38" s="1"/>
  <c r="X127" i="38" s="1"/>
  <c r="AA126" i="38"/>
  <c r="AB126" i="38" s="1"/>
  <c r="L113" i="28" s="1"/>
  <c r="Y127" i="38"/>
  <c r="I111" i="39"/>
  <c r="H111" i="39" s="1"/>
  <c r="P112" i="39" s="1"/>
  <c r="Y111" i="39"/>
  <c r="AA114" i="37"/>
  <c r="AB114" i="37" s="1"/>
  <c r="K101" i="28" s="1"/>
  <c r="T115" i="37"/>
  <c r="U115" i="37"/>
  <c r="W127" i="38" l="1"/>
  <c r="G127" i="38"/>
  <c r="C114" i="28" s="1"/>
  <c r="M128" i="38"/>
  <c r="P128" i="38"/>
  <c r="Z127" i="38"/>
  <c r="K128" i="38"/>
  <c r="U128" i="38" s="1"/>
  <c r="V127" i="38"/>
  <c r="K112" i="39"/>
  <c r="X111" i="39"/>
  <c r="V111" i="39"/>
  <c r="W111" i="39"/>
  <c r="M112" i="39"/>
  <c r="G111" i="39"/>
  <c r="Z111" i="39"/>
  <c r="Y115" i="37"/>
  <c r="I115" i="37"/>
  <c r="H115" i="37" s="1"/>
  <c r="Z115" i="37" s="1"/>
  <c r="AA127" i="38" l="1"/>
  <c r="AB127" i="38" s="1"/>
  <c r="L114" i="28" s="1"/>
  <c r="T128" i="38"/>
  <c r="I128" i="38" s="1"/>
  <c r="H128" i="38" s="1"/>
  <c r="U112" i="39"/>
  <c r="AA111" i="39"/>
  <c r="AB111" i="39" s="1"/>
  <c r="T112" i="39"/>
  <c r="W115" i="37"/>
  <c r="K116" i="37"/>
  <c r="G115" i="37"/>
  <c r="B102" i="28" s="1"/>
  <c r="P116" i="37"/>
  <c r="M116" i="37"/>
  <c r="V115" i="37"/>
  <c r="X115" i="37"/>
  <c r="J121" i="37"/>
  <c r="Y128" i="38" l="1"/>
  <c r="K129" i="38"/>
  <c r="X128" i="38"/>
  <c r="V128" i="38"/>
  <c r="L129" i="38"/>
  <c r="W128" i="38"/>
  <c r="M129" i="38"/>
  <c r="P129" i="38"/>
  <c r="G128" i="38"/>
  <c r="C115" i="28" s="1"/>
  <c r="Z128" i="38"/>
  <c r="Y112" i="39"/>
  <c r="I112" i="39"/>
  <c r="H112" i="39" s="1"/>
  <c r="Z112" i="39" s="1"/>
  <c r="T116" i="37"/>
  <c r="AA115" i="37"/>
  <c r="AB115" i="37" s="1"/>
  <c r="K102" i="28" s="1"/>
  <c r="U116" i="37"/>
  <c r="T129" i="38" l="1"/>
  <c r="AA128" i="38"/>
  <c r="AB128" i="38" s="1"/>
  <c r="L115" i="28" s="1"/>
  <c r="U129" i="38"/>
  <c r="Y129" i="38" s="1"/>
  <c r="Y116" i="37"/>
  <c r="W112" i="39"/>
  <c r="J113" i="39"/>
  <c r="G112" i="39"/>
  <c r="X112" i="39"/>
  <c r="M113" i="39"/>
  <c r="P113" i="39"/>
  <c r="V112" i="39"/>
  <c r="K113" i="39"/>
  <c r="L113" i="39"/>
  <c r="I116" i="37"/>
  <c r="H116" i="37" s="1"/>
  <c r="W116" i="37" s="1"/>
  <c r="I129" i="38" l="1"/>
  <c r="H129" i="38" s="1"/>
  <c r="W129" i="38" s="1"/>
  <c r="AA112" i="39"/>
  <c r="AB112" i="39" s="1"/>
  <c r="T113" i="39"/>
  <c r="V113" i="39" s="1"/>
  <c r="U113" i="39"/>
  <c r="L117" i="37"/>
  <c r="M117" i="37"/>
  <c r="V116" i="37"/>
  <c r="K117" i="37"/>
  <c r="P117" i="37"/>
  <c r="Z116" i="37"/>
  <c r="G116" i="37"/>
  <c r="B103" i="28" s="1"/>
  <c r="X116" i="37"/>
  <c r="P130" i="38" l="1"/>
  <c r="G129" i="38"/>
  <c r="C116" i="28" s="1"/>
  <c r="X129" i="38"/>
  <c r="Z129" i="38"/>
  <c r="M130" i="38"/>
  <c r="K130" i="38"/>
  <c r="V129" i="38"/>
  <c r="I113" i="39"/>
  <c r="H113" i="39" s="1"/>
  <c r="M114" i="39" s="1"/>
  <c r="W113" i="39"/>
  <c r="U117" i="37"/>
  <c r="AA116" i="37"/>
  <c r="AB116" i="37" s="1"/>
  <c r="K103" i="28" s="1"/>
  <c r="T117" i="37"/>
  <c r="J122" i="37"/>
  <c r="AA129" i="38" l="1"/>
  <c r="AB129" i="38" s="1"/>
  <c r="L116" i="28" s="1"/>
  <c r="T130" i="38"/>
  <c r="U130" i="38"/>
  <c r="Y113" i="39"/>
  <c r="Z113" i="39"/>
  <c r="P114" i="39"/>
  <c r="K114" i="39"/>
  <c r="G113" i="39"/>
  <c r="X113" i="39"/>
  <c r="I117" i="37"/>
  <c r="H117" i="37" s="1"/>
  <c r="X117" i="37" s="1"/>
  <c r="Y117" i="37"/>
  <c r="Y130" i="38" l="1"/>
  <c r="I130" i="38"/>
  <c r="H130" i="38" s="1"/>
  <c r="U114" i="39"/>
  <c r="AA113" i="39"/>
  <c r="AB113" i="39" s="1"/>
  <c r="T114" i="39"/>
  <c r="W114" i="39" s="1"/>
  <c r="W117" i="37"/>
  <c r="M118" i="37"/>
  <c r="G117" i="37"/>
  <c r="B104" i="28" s="1"/>
  <c r="P118" i="37"/>
  <c r="K118" i="37"/>
  <c r="V117" i="37"/>
  <c r="Z117" i="37"/>
  <c r="K131" i="38" l="1"/>
  <c r="M131" i="38"/>
  <c r="G130" i="38"/>
  <c r="C117" i="28" s="1"/>
  <c r="P131" i="38"/>
  <c r="W130" i="38"/>
  <c r="X130" i="38"/>
  <c r="V130" i="38"/>
  <c r="Z130" i="38"/>
  <c r="I114" i="39"/>
  <c r="H114" i="39" s="1"/>
  <c r="Y114" i="39" s="1"/>
  <c r="T118" i="37"/>
  <c r="V114" i="39"/>
  <c r="AA117" i="37"/>
  <c r="AB117" i="37" s="1"/>
  <c r="K104" i="28" s="1"/>
  <c r="U118" i="37"/>
  <c r="P115" i="39" l="1"/>
  <c r="X114" i="39"/>
  <c r="G114" i="39"/>
  <c r="AA130" i="38"/>
  <c r="AB130" i="38" s="1"/>
  <c r="L117" i="28" s="1"/>
  <c r="T131" i="38"/>
  <c r="M115" i="39"/>
  <c r="K115" i="39"/>
  <c r="U131" i="38"/>
  <c r="I131" i="38" s="1"/>
  <c r="H131" i="38" s="1"/>
  <c r="X131" i="38" s="1"/>
  <c r="Y118" i="37"/>
  <c r="Z114" i="39"/>
  <c r="I118" i="37"/>
  <c r="H118" i="37" s="1"/>
  <c r="X118" i="37" s="1"/>
  <c r="W118" i="37"/>
  <c r="V118" i="37"/>
  <c r="J124" i="37"/>
  <c r="AA114" i="39" l="1"/>
  <c r="AB114" i="39" s="1"/>
  <c r="T115" i="39"/>
  <c r="U115" i="39"/>
  <c r="V131" i="38"/>
  <c r="J132" i="38"/>
  <c r="K132" i="38"/>
  <c r="G131" i="38"/>
  <c r="C118" i="28" s="1"/>
  <c r="M132" i="38"/>
  <c r="P132" i="38"/>
  <c r="Y131" i="38"/>
  <c r="W131" i="38"/>
  <c r="Z131" i="38"/>
  <c r="Z118" i="37"/>
  <c r="AA118" i="37" s="1"/>
  <c r="AB118" i="37" s="1"/>
  <c r="K105" i="28" s="1"/>
  <c r="G118" i="37"/>
  <c r="B105" i="28" s="1"/>
  <c r="K119" i="37"/>
  <c r="P119" i="37"/>
  <c r="M119" i="37"/>
  <c r="I115" i="39" l="1"/>
  <c r="H115" i="39" s="1"/>
  <c r="P116" i="39" s="1"/>
  <c r="Y115" i="39"/>
  <c r="T132" i="38"/>
  <c r="U132" i="38"/>
  <c r="AA131" i="38"/>
  <c r="AB131" i="38" s="1"/>
  <c r="L118" i="28" s="1"/>
  <c r="U119" i="37"/>
  <c r="T119" i="37"/>
  <c r="M116" i="39" l="1"/>
  <c r="G115" i="39"/>
  <c r="W115" i="39"/>
  <c r="V115" i="39"/>
  <c r="X115" i="39"/>
  <c r="Z115" i="39"/>
  <c r="K116" i="39"/>
  <c r="I132" i="38"/>
  <c r="H132" i="38" s="1"/>
  <c r="P133" i="38" s="1"/>
  <c r="I119" i="37"/>
  <c r="H119" i="37" s="1"/>
  <c r="X119" i="37" s="1"/>
  <c r="Y119" i="37"/>
  <c r="Y132" i="38" l="1"/>
  <c r="U116" i="39"/>
  <c r="W132" i="38"/>
  <c r="X132" i="38"/>
  <c r="Z132" i="38"/>
  <c r="V132" i="38"/>
  <c r="K133" i="38"/>
  <c r="AA115" i="39"/>
  <c r="AB115" i="39" s="1"/>
  <c r="T116" i="39"/>
  <c r="Z119" i="37"/>
  <c r="L133" i="38"/>
  <c r="W119" i="37"/>
  <c r="G132" i="38"/>
  <c r="C119" i="28" s="1"/>
  <c r="J133" i="38"/>
  <c r="M133" i="38"/>
  <c r="T133" i="38" s="1"/>
  <c r="M120" i="37"/>
  <c r="G119" i="37"/>
  <c r="B106" i="28" s="1"/>
  <c r="K120" i="37"/>
  <c r="P120" i="37"/>
  <c r="V119" i="37"/>
  <c r="J125" i="37"/>
  <c r="AA132" i="38" l="1"/>
  <c r="AB132" i="38" s="1"/>
  <c r="L119" i="28" s="1"/>
  <c r="Y116" i="39"/>
  <c r="U133" i="38"/>
  <c r="I133" i="38" s="1"/>
  <c r="H133" i="38" s="1"/>
  <c r="AA119" i="37"/>
  <c r="AB119" i="37" s="1"/>
  <c r="K106" i="28" s="1"/>
  <c r="I116" i="39"/>
  <c r="H116" i="39" s="1"/>
  <c r="L117" i="39" s="1"/>
  <c r="U120" i="37"/>
  <c r="T120" i="37"/>
  <c r="Z133" i="38" l="1"/>
  <c r="W133" i="38"/>
  <c r="V133" i="38"/>
  <c r="P134" i="38"/>
  <c r="X133" i="38"/>
  <c r="J134" i="38"/>
  <c r="U134" i="38" s="1"/>
  <c r="Y133" i="38"/>
  <c r="AA133" i="38" s="1"/>
  <c r="AB133" i="38" s="1"/>
  <c r="L120" i="28" s="1"/>
  <c r="I120" i="37"/>
  <c r="H120" i="37" s="1"/>
  <c r="X120" i="37" s="1"/>
  <c r="K134" i="38"/>
  <c r="M134" i="38"/>
  <c r="G133" i="38"/>
  <c r="C120" i="28" s="1"/>
  <c r="W116" i="39"/>
  <c r="K117" i="39"/>
  <c r="Z116" i="39"/>
  <c r="P117" i="39"/>
  <c r="X116" i="39"/>
  <c r="G116" i="39"/>
  <c r="V116" i="39"/>
  <c r="M117" i="39"/>
  <c r="Y120" i="37" l="1"/>
  <c r="P121" i="37"/>
  <c r="W120" i="37"/>
  <c r="M121" i="37"/>
  <c r="G120" i="37"/>
  <c r="B107" i="28" s="1"/>
  <c r="L121" i="37"/>
  <c r="V120" i="37"/>
  <c r="T134" i="38"/>
  <c r="I134" i="38" s="1"/>
  <c r="H134" i="38" s="1"/>
  <c r="Z120" i="37"/>
  <c r="K121" i="37"/>
  <c r="T117" i="39"/>
  <c r="AA116" i="39"/>
  <c r="AB116" i="39" s="1"/>
  <c r="U117" i="39"/>
  <c r="J126" i="37"/>
  <c r="AA120" i="37" l="1"/>
  <c r="AB120" i="37" s="1"/>
  <c r="K107" i="28" s="1"/>
  <c r="T121" i="37"/>
  <c r="P135" i="38"/>
  <c r="X134" i="38"/>
  <c r="K135" i="38"/>
  <c r="U135" i="38" s="1"/>
  <c r="V134" i="38"/>
  <c r="Y134" i="38"/>
  <c r="Z134" i="38"/>
  <c r="U121" i="37"/>
  <c r="W134" i="38"/>
  <c r="G134" i="38"/>
  <c r="C121" i="28" s="1"/>
  <c r="M135" i="38"/>
  <c r="J135" i="38"/>
  <c r="I117" i="39"/>
  <c r="H117" i="39" s="1"/>
  <c r="K118" i="39" s="1"/>
  <c r="I121" i="37"/>
  <c r="H121" i="37" s="1"/>
  <c r="Y121" i="37" s="1"/>
  <c r="T135" i="38" l="1"/>
  <c r="I135" i="38" s="1"/>
  <c r="H135" i="38" s="1"/>
  <c r="AA134" i="38"/>
  <c r="AB134" i="38" s="1"/>
  <c r="L121" i="28" s="1"/>
  <c r="Y117" i="39"/>
  <c r="X117" i="39"/>
  <c r="M118" i="39"/>
  <c r="V117" i="39"/>
  <c r="P118" i="39"/>
  <c r="W117" i="39"/>
  <c r="Z117" i="39"/>
  <c r="G117" i="39"/>
  <c r="G121" i="37"/>
  <c r="B108" i="28" s="1"/>
  <c r="P122" i="37"/>
  <c r="V121" i="37"/>
  <c r="Z121" i="37"/>
  <c r="X121" i="37"/>
  <c r="M122" i="37"/>
  <c r="W121" i="37"/>
  <c r="V135" i="38"/>
  <c r="W135" i="38"/>
  <c r="K122" i="37"/>
  <c r="X135" i="38" l="1"/>
  <c r="P136" i="38"/>
  <c r="G135" i="38"/>
  <c r="C122" i="28" s="1"/>
  <c r="Z135" i="38"/>
  <c r="K136" i="38"/>
  <c r="M136" i="38"/>
  <c r="U136" i="38" s="1"/>
  <c r="Y135" i="38"/>
  <c r="AA135" i="38" s="1"/>
  <c r="AB135" i="38" s="1"/>
  <c r="L122" i="28" s="1"/>
  <c r="U122" i="37"/>
  <c r="AA121" i="37"/>
  <c r="AB121" i="37" s="1"/>
  <c r="K108" i="28" s="1"/>
  <c r="T118" i="39"/>
  <c r="U118" i="39"/>
  <c r="AA117" i="39"/>
  <c r="AB117" i="39" s="1"/>
  <c r="T122" i="37"/>
  <c r="J127" i="37"/>
  <c r="T136" i="38" l="1"/>
  <c r="Y136" i="38" s="1"/>
  <c r="I122" i="37"/>
  <c r="H122" i="37" s="1"/>
  <c r="X122" i="37" s="1"/>
  <c r="Y118" i="39"/>
  <c r="I118" i="39"/>
  <c r="H118" i="39" s="1"/>
  <c r="Z118" i="39" s="1"/>
  <c r="I136" i="38"/>
  <c r="H136" i="38" s="1"/>
  <c r="G136" i="38" s="1"/>
  <c r="C123" i="28" s="1"/>
  <c r="L137" i="38"/>
  <c r="V118" i="39"/>
  <c r="W118" i="39"/>
  <c r="Y122" i="37"/>
  <c r="Z122" i="37"/>
  <c r="V122" i="37"/>
  <c r="W122" i="37"/>
  <c r="P123" i="37"/>
  <c r="K123" i="37"/>
  <c r="V136" i="38" l="1"/>
  <c r="J123" i="37"/>
  <c r="U123" i="37" s="1"/>
  <c r="M123" i="37"/>
  <c r="M137" i="38"/>
  <c r="G122" i="37"/>
  <c r="B109" i="28" s="1"/>
  <c r="P137" i="38"/>
  <c r="Z136" i="38"/>
  <c r="M119" i="39"/>
  <c r="X118" i="39"/>
  <c r="AA118" i="39" s="1"/>
  <c r="AB118" i="39" s="1"/>
  <c r="P119" i="39"/>
  <c r="K119" i="39"/>
  <c r="G118" i="39"/>
  <c r="K137" i="38"/>
  <c r="X136" i="38"/>
  <c r="W136" i="38"/>
  <c r="T123" i="37"/>
  <c r="AA122" i="37"/>
  <c r="AB122" i="37" s="1"/>
  <c r="K109" i="28" s="1"/>
  <c r="U137" i="38" l="1"/>
  <c r="T119" i="39"/>
  <c r="T137" i="38"/>
  <c r="U119" i="39"/>
  <c r="AA136" i="38"/>
  <c r="AB136" i="38" s="1"/>
  <c r="L123" i="28" s="1"/>
  <c r="I137" i="38"/>
  <c r="H137" i="38" s="1"/>
  <c r="V137" i="38" s="1"/>
  <c r="I123" i="37"/>
  <c r="H123" i="37" s="1"/>
  <c r="X123" i="37" s="1"/>
  <c r="J128" i="37"/>
  <c r="Y119" i="39" l="1"/>
  <c r="W137" i="38"/>
  <c r="I119" i="39"/>
  <c r="H119" i="39" s="1"/>
  <c r="W119" i="39" s="1"/>
  <c r="X137" i="38"/>
  <c r="P138" i="38"/>
  <c r="M138" i="38"/>
  <c r="G137" i="38"/>
  <c r="C124" i="28" s="1"/>
  <c r="K138" i="38"/>
  <c r="Z137" i="38"/>
  <c r="Y137" i="38"/>
  <c r="Y123" i="37"/>
  <c r="W123" i="37"/>
  <c r="V123" i="37"/>
  <c r="Z123" i="37"/>
  <c r="P124" i="37"/>
  <c r="K124" i="37"/>
  <c r="G123" i="37"/>
  <c r="B110" i="28" s="1"/>
  <c r="M124" i="37"/>
  <c r="G119" i="39" l="1"/>
  <c r="X119" i="39"/>
  <c r="K120" i="39"/>
  <c r="V119" i="39"/>
  <c r="M120" i="39"/>
  <c r="Z119" i="39"/>
  <c r="P120" i="39"/>
  <c r="AA137" i="38"/>
  <c r="AB137" i="38" s="1"/>
  <c r="L124" i="28" s="1"/>
  <c r="U138" i="38"/>
  <c r="T138" i="38"/>
  <c r="AA123" i="37"/>
  <c r="AB123" i="37" s="1"/>
  <c r="K110" i="28" s="1"/>
  <c r="T124" i="37"/>
  <c r="U124" i="37"/>
  <c r="T120" i="39" l="1"/>
  <c r="AA119" i="39"/>
  <c r="AB119" i="39" s="1"/>
  <c r="U120" i="39"/>
  <c r="Y138" i="38"/>
  <c r="I138" i="38"/>
  <c r="H138" i="38" s="1"/>
  <c r="W138" i="38" s="1"/>
  <c r="Y124" i="37"/>
  <c r="I124" i="37"/>
  <c r="H124" i="37" s="1"/>
  <c r="J129" i="37"/>
  <c r="I120" i="39" l="1"/>
  <c r="H120" i="39" s="1"/>
  <c r="W120" i="39" s="1"/>
  <c r="X138" i="38"/>
  <c r="M139" i="38"/>
  <c r="P139" i="38"/>
  <c r="V138" i="38"/>
  <c r="K139" i="38"/>
  <c r="G138" i="38"/>
  <c r="C125" i="28" s="1"/>
  <c r="Z138" i="38"/>
  <c r="X124" i="37"/>
  <c r="W124" i="37"/>
  <c r="V124" i="37"/>
  <c r="Z124" i="37"/>
  <c r="P125" i="37"/>
  <c r="M125" i="37"/>
  <c r="G124" i="37"/>
  <c r="B111" i="28" s="1"/>
  <c r="L125" i="37"/>
  <c r="K125" i="37"/>
  <c r="Y120" i="39" l="1"/>
  <c r="G120" i="39"/>
  <c r="Z120" i="39"/>
  <c r="M121" i="39"/>
  <c r="L121" i="39"/>
  <c r="P121" i="39"/>
  <c r="K121" i="39"/>
  <c r="V120" i="39"/>
  <c r="X120" i="39"/>
  <c r="T139" i="38"/>
  <c r="AA138" i="38"/>
  <c r="AB138" i="38" s="1"/>
  <c r="L125" i="28" s="1"/>
  <c r="U139" i="38"/>
  <c r="T125" i="37"/>
  <c r="V125" i="37" s="1"/>
  <c r="U125" i="37"/>
  <c r="AA124" i="37"/>
  <c r="AB124" i="37" s="1"/>
  <c r="K111" i="28" s="1"/>
  <c r="AA120" i="39" l="1"/>
  <c r="AB120" i="39" s="1"/>
  <c r="Y139" i="38"/>
  <c r="T121" i="39"/>
  <c r="U121" i="39"/>
  <c r="I139" i="38"/>
  <c r="H139" i="38" s="1"/>
  <c r="W125" i="37"/>
  <c r="I125" i="37"/>
  <c r="H125" i="37" s="1"/>
  <c r="X125" i="37" s="1"/>
  <c r="J130" i="37"/>
  <c r="I121" i="39" l="1"/>
  <c r="H121" i="39" s="1"/>
  <c r="Z121" i="39" s="1"/>
  <c r="K140" i="38"/>
  <c r="W139" i="38"/>
  <c r="P140" i="38"/>
  <c r="G139" i="38"/>
  <c r="C126" i="28" s="1"/>
  <c r="M140" i="38"/>
  <c r="Z139" i="38"/>
  <c r="V139" i="38"/>
  <c r="X139" i="38"/>
  <c r="Y125" i="37"/>
  <c r="Z125" i="37"/>
  <c r="M126" i="37"/>
  <c r="P126" i="37"/>
  <c r="K126" i="37"/>
  <c r="G125" i="37"/>
  <c r="B112" i="28" s="1"/>
  <c r="Y121" i="39" l="1"/>
  <c r="G121" i="39"/>
  <c r="K122" i="39"/>
  <c r="V121" i="39"/>
  <c r="W121" i="39"/>
  <c r="X121" i="39"/>
  <c r="P122" i="39"/>
  <c r="M122" i="39"/>
  <c r="AA139" i="38"/>
  <c r="AB139" i="38" s="1"/>
  <c r="L126" i="28" s="1"/>
  <c r="U140" i="38"/>
  <c r="T140" i="38"/>
  <c r="T126" i="37"/>
  <c r="U126" i="37"/>
  <c r="AA125" i="37"/>
  <c r="AB125" i="37" s="1"/>
  <c r="K112" i="28" s="1"/>
  <c r="T122" i="39" l="1"/>
  <c r="AA121" i="39"/>
  <c r="AB121" i="39" s="1"/>
  <c r="U122" i="39"/>
  <c r="I140" i="38"/>
  <c r="H140" i="38" s="1"/>
  <c r="M141" i="38" s="1"/>
  <c r="Y140" i="38"/>
  <c r="I126" i="37"/>
  <c r="H126" i="37" s="1"/>
  <c r="Z126" i="37" s="1"/>
  <c r="J131" i="37"/>
  <c r="I122" i="39" l="1"/>
  <c r="H122" i="39" s="1"/>
  <c r="Z122" i="39" s="1"/>
  <c r="P141" i="38"/>
  <c r="L141" i="38"/>
  <c r="K141" i="38"/>
  <c r="X140" i="38"/>
  <c r="V140" i="38"/>
  <c r="G140" i="38"/>
  <c r="C127" i="28" s="1"/>
  <c r="Z140" i="38"/>
  <c r="W140" i="38"/>
  <c r="Y126" i="37"/>
  <c r="W126" i="37"/>
  <c r="V126" i="37"/>
  <c r="X126" i="37"/>
  <c r="P127" i="37"/>
  <c r="M127" i="37"/>
  <c r="G126" i="37"/>
  <c r="B113" i="28" s="1"/>
  <c r="K127" i="37"/>
  <c r="V122" i="39" l="1"/>
  <c r="W122" i="39"/>
  <c r="M123" i="39"/>
  <c r="G122" i="39"/>
  <c r="X122" i="39"/>
  <c r="Y122" i="39"/>
  <c r="K123" i="39"/>
  <c r="J123" i="39"/>
  <c r="P123" i="39"/>
  <c r="U141" i="38"/>
  <c r="T141" i="38"/>
  <c r="Y141" i="38" s="1"/>
  <c r="AA140" i="38"/>
  <c r="AB140" i="38" s="1"/>
  <c r="L127" i="28" s="1"/>
  <c r="T127" i="37"/>
  <c r="U127" i="37"/>
  <c r="AA126" i="37"/>
  <c r="AB126" i="37" s="1"/>
  <c r="K113" i="28" s="1"/>
  <c r="U123" i="39" l="1"/>
  <c r="AA122" i="39"/>
  <c r="AB122" i="39" s="1"/>
  <c r="T123" i="39"/>
  <c r="I141" i="38"/>
  <c r="H141" i="38" s="1"/>
  <c r="G141" i="38" s="1"/>
  <c r="C128" i="28" s="1"/>
  <c r="Y127" i="37"/>
  <c r="I127" i="37"/>
  <c r="H127" i="37" s="1"/>
  <c r="X127" i="37" s="1"/>
  <c r="J142" i="38" l="1"/>
  <c r="K142" i="38"/>
  <c r="Z141" i="38"/>
  <c r="W141" i="38"/>
  <c r="X141" i="38"/>
  <c r="I123" i="39"/>
  <c r="H123" i="39" s="1"/>
  <c r="K124" i="39" s="1"/>
  <c r="V141" i="38"/>
  <c r="AA141" i="38" s="1"/>
  <c r="AB141" i="38" s="1"/>
  <c r="L128" i="28" s="1"/>
  <c r="P142" i="38"/>
  <c r="M142" i="38"/>
  <c r="V127" i="37"/>
  <c r="W127" i="37"/>
  <c r="Z127" i="37"/>
  <c r="M128" i="37"/>
  <c r="P128" i="37"/>
  <c r="K128" i="37"/>
  <c r="G127" i="37"/>
  <c r="B114" i="28" s="1"/>
  <c r="U142" i="38" l="1"/>
  <c r="P124" i="39"/>
  <c r="Y123" i="39"/>
  <c r="V123" i="39"/>
  <c r="Z123" i="39"/>
  <c r="W123" i="39"/>
  <c r="M124" i="39"/>
  <c r="G123" i="39"/>
  <c r="X123" i="39"/>
  <c r="T142" i="38"/>
  <c r="V142" i="38" s="1"/>
  <c r="T128" i="37"/>
  <c r="U128" i="37"/>
  <c r="AA127" i="37"/>
  <c r="AB127" i="37" s="1"/>
  <c r="K114" i="28" s="1"/>
  <c r="AA123" i="39" l="1"/>
  <c r="AB123" i="39" s="1"/>
  <c r="U124" i="39"/>
  <c r="T124" i="39"/>
  <c r="W142" i="38"/>
  <c r="I142" i="38"/>
  <c r="H142" i="38" s="1"/>
  <c r="Y142" i="38" s="1"/>
  <c r="Y128" i="37"/>
  <c r="I128" i="37"/>
  <c r="H128" i="37" s="1"/>
  <c r="X128" i="37" s="1"/>
  <c r="Y124" i="39" l="1"/>
  <c r="I124" i="39"/>
  <c r="H124" i="39" s="1"/>
  <c r="K125" i="39" s="1"/>
  <c r="X142" i="38"/>
  <c r="G142" i="38"/>
  <c r="C129" i="28" s="1"/>
  <c r="M143" i="38"/>
  <c r="J143" i="38"/>
  <c r="P143" i="38"/>
  <c r="K143" i="38"/>
  <c r="Z142" i="38"/>
  <c r="V128" i="37"/>
  <c r="W128" i="37"/>
  <c r="Z128" i="37"/>
  <c r="P129" i="37"/>
  <c r="L129" i="37"/>
  <c r="M129" i="37"/>
  <c r="G128" i="37"/>
  <c r="B115" i="28" s="1"/>
  <c r="K129" i="37"/>
  <c r="Z124" i="39" l="1"/>
  <c r="G124" i="39"/>
  <c r="X124" i="39"/>
  <c r="W124" i="39"/>
  <c r="V124" i="39"/>
  <c r="L125" i="39"/>
  <c r="P125" i="39"/>
  <c r="M125" i="39"/>
  <c r="U143" i="38"/>
  <c r="AA142" i="38"/>
  <c r="AB142" i="38" s="1"/>
  <c r="L129" i="28" s="1"/>
  <c r="T143" i="38"/>
  <c r="I143" i="38" s="1"/>
  <c r="H143" i="38" s="1"/>
  <c r="T129" i="37"/>
  <c r="U129" i="37"/>
  <c r="AA128" i="37"/>
  <c r="AB128" i="37" s="1"/>
  <c r="K115" i="28" s="1"/>
  <c r="AA124" i="39" l="1"/>
  <c r="AB124" i="39" s="1"/>
  <c r="U125" i="39"/>
  <c r="T125" i="39"/>
  <c r="V125" i="39" s="1"/>
  <c r="M144" i="38"/>
  <c r="P144" i="38"/>
  <c r="G143" i="38"/>
  <c r="C130" i="28" s="1"/>
  <c r="K144" i="38"/>
  <c r="U144" i="38" s="1"/>
  <c r="X143" i="38"/>
  <c r="W143" i="38"/>
  <c r="Y143" i="38"/>
  <c r="Z143" i="38"/>
  <c r="V143" i="38"/>
  <c r="I129" i="37"/>
  <c r="H129" i="37" s="1"/>
  <c r="Y129" i="37" s="1"/>
  <c r="W125" i="39" l="1"/>
  <c r="Y125" i="39"/>
  <c r="I125" i="39"/>
  <c r="H125" i="39" s="1"/>
  <c r="Z125" i="39" s="1"/>
  <c r="T144" i="38"/>
  <c r="I144" i="38" s="1"/>
  <c r="H144" i="38" s="1"/>
  <c r="AA143" i="38"/>
  <c r="AB143" i="38" s="1"/>
  <c r="L130" i="28" s="1"/>
  <c r="W129" i="37"/>
  <c r="X129" i="37"/>
  <c r="V129" i="37"/>
  <c r="Z129" i="37"/>
  <c r="P130" i="37"/>
  <c r="K130" i="37"/>
  <c r="M130" i="37"/>
  <c r="G129" i="37"/>
  <c r="B116" i="28" s="1"/>
  <c r="K126" i="39" l="1"/>
  <c r="X125" i="39"/>
  <c r="AA125" i="39" s="1"/>
  <c r="AB125" i="39" s="1"/>
  <c r="M126" i="39"/>
  <c r="G125" i="39"/>
  <c r="P126" i="39"/>
  <c r="Z144" i="38"/>
  <c r="K145" i="38"/>
  <c r="P145" i="38"/>
  <c r="G144" i="38"/>
  <c r="C131" i="28" s="1"/>
  <c r="M145" i="38"/>
  <c r="L145" i="38"/>
  <c r="X144" i="38"/>
  <c r="W144" i="38"/>
  <c r="Y144" i="38"/>
  <c r="V144" i="38"/>
  <c r="T130" i="37"/>
  <c r="U130" i="37"/>
  <c r="AA129" i="37"/>
  <c r="AB129" i="37" s="1"/>
  <c r="K116" i="28" s="1"/>
  <c r="T126" i="39" l="1"/>
  <c r="U126" i="39"/>
  <c r="T145" i="38"/>
  <c r="AA144" i="38"/>
  <c r="AB144" i="38" s="1"/>
  <c r="L131" i="28" s="1"/>
  <c r="U145" i="38"/>
  <c r="I130" i="37"/>
  <c r="H130" i="37" s="1"/>
  <c r="X130" i="37" s="1"/>
  <c r="I126" i="39" l="1"/>
  <c r="H126" i="39" s="1"/>
  <c r="X126" i="39" s="1"/>
  <c r="Y145" i="38"/>
  <c r="I145" i="38"/>
  <c r="H145" i="38" s="1"/>
  <c r="Y130" i="37"/>
  <c r="V130" i="37"/>
  <c r="W130" i="37"/>
  <c r="Z130" i="37"/>
  <c r="P131" i="37"/>
  <c r="K131" i="37"/>
  <c r="G130" i="37"/>
  <c r="B117" i="28" s="1"/>
  <c r="M131" i="37"/>
  <c r="Y126" i="39" l="1"/>
  <c r="V126" i="39"/>
  <c r="P127" i="39"/>
  <c r="W126" i="39"/>
  <c r="Z126" i="39"/>
  <c r="M127" i="39"/>
  <c r="G126" i="39"/>
  <c r="K127" i="39"/>
  <c r="K146" i="38"/>
  <c r="G145" i="38"/>
  <c r="C132" i="28" s="1"/>
  <c r="M146" i="38"/>
  <c r="W145" i="38"/>
  <c r="X145" i="38"/>
  <c r="V145" i="38"/>
  <c r="Z145" i="38"/>
  <c r="P146" i="38"/>
  <c r="T131" i="37"/>
  <c r="U131" i="37"/>
  <c r="AA130" i="37"/>
  <c r="AB130" i="37" s="1"/>
  <c r="K117" i="28" s="1"/>
  <c r="J136" i="37"/>
  <c r="T127" i="39" l="1"/>
  <c r="AA126" i="39"/>
  <c r="AB126" i="39" s="1"/>
  <c r="U127" i="39"/>
  <c r="AA145" i="38"/>
  <c r="AB145" i="38" s="1"/>
  <c r="L132" i="28" s="1"/>
  <c r="U146" i="38"/>
  <c r="T146" i="38"/>
  <c r="Y131" i="37"/>
  <c r="I131" i="37"/>
  <c r="H131" i="37" s="1"/>
  <c r="I127" i="39" l="1"/>
  <c r="H127" i="39" s="1"/>
  <c r="M128" i="39" s="1"/>
  <c r="Y127" i="39"/>
  <c r="I146" i="38"/>
  <c r="H146" i="38" s="1"/>
  <c r="Y146" i="38" s="1"/>
  <c r="V146" i="38"/>
  <c r="W146" i="38"/>
  <c r="X131" i="37"/>
  <c r="V131" i="37"/>
  <c r="W131" i="37"/>
  <c r="Z131" i="37"/>
  <c r="P132" i="37"/>
  <c r="M132" i="37"/>
  <c r="G131" i="37"/>
  <c r="B118" i="28" s="1"/>
  <c r="K132" i="37"/>
  <c r="J132" i="37"/>
  <c r="J137" i="37"/>
  <c r="Z127" i="39" l="1"/>
  <c r="P128" i="39"/>
  <c r="V127" i="39"/>
  <c r="G127" i="39"/>
  <c r="W127" i="39"/>
  <c r="X127" i="39"/>
  <c r="K128" i="39"/>
  <c r="P147" i="38"/>
  <c r="X146" i="38"/>
  <c r="K147" i="38"/>
  <c r="M147" i="38"/>
  <c r="G146" i="38"/>
  <c r="C133" i="28" s="1"/>
  <c r="Z146" i="38"/>
  <c r="AA146" i="38" s="1"/>
  <c r="AB146" i="38" s="1"/>
  <c r="L133" i="28" s="1"/>
  <c r="T132" i="37"/>
  <c r="U132" i="37"/>
  <c r="AA131" i="37"/>
  <c r="AB131" i="37" s="1"/>
  <c r="K118" i="28" s="1"/>
  <c r="T128" i="39" l="1"/>
  <c r="AA127" i="39"/>
  <c r="AB127" i="39" s="1"/>
  <c r="U128" i="39"/>
  <c r="T147" i="38"/>
  <c r="U147" i="38"/>
  <c r="Y147" i="38" s="1"/>
  <c r="I132" i="37"/>
  <c r="H132" i="37" s="1"/>
  <c r="X132" i="37" s="1"/>
  <c r="Y128" i="39" l="1"/>
  <c r="I128" i="39"/>
  <c r="H128" i="39" s="1"/>
  <c r="G128" i="39" s="1"/>
  <c r="W128" i="39"/>
  <c r="V128" i="39"/>
  <c r="I147" i="38"/>
  <c r="H147" i="38" s="1"/>
  <c r="V132" i="37"/>
  <c r="W132" i="37"/>
  <c r="Y132" i="37"/>
  <c r="Z132" i="37"/>
  <c r="P133" i="37"/>
  <c r="G132" i="37"/>
  <c r="B119" i="28" s="1"/>
  <c r="M133" i="37"/>
  <c r="L133" i="37"/>
  <c r="J133" i="37"/>
  <c r="K133" i="37"/>
  <c r="J138" i="37"/>
  <c r="P129" i="39" l="1"/>
  <c r="K129" i="39"/>
  <c r="X128" i="39"/>
  <c r="M129" i="39"/>
  <c r="L129" i="39"/>
  <c r="Z128" i="39"/>
  <c r="Z147" i="38"/>
  <c r="G147" i="38"/>
  <c r="C134" i="28" s="1"/>
  <c r="J148" i="38"/>
  <c r="M148" i="38"/>
  <c r="P148" i="38"/>
  <c r="K148" i="38"/>
  <c r="X147" i="38"/>
  <c r="W147" i="38"/>
  <c r="V147" i="38"/>
  <c r="T133" i="37"/>
  <c r="U133" i="37"/>
  <c r="AA132" i="37"/>
  <c r="AB132" i="37" s="1"/>
  <c r="K119" i="28" s="1"/>
  <c r="T129" i="39" l="1"/>
  <c r="AA128" i="39"/>
  <c r="AB128" i="39" s="1"/>
  <c r="U129" i="39"/>
  <c r="I129" i="39" s="1"/>
  <c r="H129" i="39" s="1"/>
  <c r="Z129" i="39" s="1"/>
  <c r="T148" i="38"/>
  <c r="U148" i="38"/>
  <c r="AA147" i="38"/>
  <c r="AB147" i="38" s="1"/>
  <c r="L134" i="28" s="1"/>
  <c r="I133" i="37"/>
  <c r="H133" i="37" s="1"/>
  <c r="Z133" i="37" s="1"/>
  <c r="J139" i="37"/>
  <c r="Y129" i="39" l="1"/>
  <c r="I148" i="38"/>
  <c r="H148" i="38" s="1"/>
  <c r="M149" i="38" s="1"/>
  <c r="V148" i="38"/>
  <c r="X148" i="38"/>
  <c r="P149" i="38"/>
  <c r="K149" i="38"/>
  <c r="L149" i="38"/>
  <c r="G148" i="38"/>
  <c r="C135" i="28" s="1"/>
  <c r="W148" i="38"/>
  <c r="Z148" i="38"/>
  <c r="Y148" i="38"/>
  <c r="V129" i="39"/>
  <c r="M130" i="39"/>
  <c r="P130" i="39"/>
  <c r="X129" i="39"/>
  <c r="K130" i="39"/>
  <c r="G129" i="39"/>
  <c r="W129" i="39"/>
  <c r="Y133" i="37"/>
  <c r="W133" i="37"/>
  <c r="V133" i="37"/>
  <c r="X133" i="37"/>
  <c r="G133" i="37"/>
  <c r="B120" i="28" s="1"/>
  <c r="P134" i="37"/>
  <c r="K134" i="37"/>
  <c r="J134" i="37"/>
  <c r="M134" i="37"/>
  <c r="T149" i="38" l="1"/>
  <c r="V149" i="38" s="1"/>
  <c r="AA148" i="38"/>
  <c r="AB148" i="38" s="1"/>
  <c r="L135" i="28" s="1"/>
  <c r="U149" i="38"/>
  <c r="Y149" i="38" s="1"/>
  <c r="W149" i="38"/>
  <c r="U130" i="39"/>
  <c r="AA129" i="39"/>
  <c r="AB129" i="39" s="1"/>
  <c r="T130" i="39"/>
  <c r="T134" i="37"/>
  <c r="U134" i="37"/>
  <c r="AA133" i="37"/>
  <c r="AB133" i="37" s="1"/>
  <c r="K120" i="28" s="1"/>
  <c r="I149" i="38" l="1"/>
  <c r="H149" i="38" s="1"/>
  <c r="Z149" i="38" s="1"/>
  <c r="I130" i="39"/>
  <c r="H130" i="39" s="1"/>
  <c r="W130" i="39" s="1"/>
  <c r="I134" i="37"/>
  <c r="H134" i="37" s="1"/>
  <c r="X134" i="37" s="1"/>
  <c r="J140" i="37"/>
  <c r="X149" i="38" l="1"/>
  <c r="AA149" i="38" s="1"/>
  <c r="AB149" i="38" s="1"/>
  <c r="L136" i="28" s="1"/>
  <c r="M150" i="38"/>
  <c r="K150" i="38"/>
  <c r="G149" i="38"/>
  <c r="C136" i="28" s="1"/>
  <c r="P150" i="38"/>
  <c r="Y130" i="39"/>
  <c r="P131" i="39"/>
  <c r="X130" i="39"/>
  <c r="K131" i="39"/>
  <c r="V130" i="39"/>
  <c r="Z130" i="39"/>
  <c r="M131" i="39"/>
  <c r="G130" i="39"/>
  <c r="Y134" i="37"/>
  <c r="Z134" i="37"/>
  <c r="V134" i="37"/>
  <c r="W134" i="37"/>
  <c r="J135" i="37"/>
  <c r="P135" i="37"/>
  <c r="G134" i="37"/>
  <c r="B121" i="28" s="1"/>
  <c r="K135" i="37"/>
  <c r="M135" i="37"/>
  <c r="T150" i="38" l="1"/>
  <c r="U150" i="38"/>
  <c r="I150" i="38" s="1"/>
  <c r="H150" i="38" s="1"/>
  <c r="U131" i="39"/>
  <c r="AA130" i="39"/>
  <c r="AB130" i="39" s="1"/>
  <c r="T131" i="39"/>
  <c r="U135" i="37"/>
  <c r="T135" i="37"/>
  <c r="AA134" i="37"/>
  <c r="AB134" i="37" s="1"/>
  <c r="K121" i="28" s="1"/>
  <c r="Y150" i="38" l="1"/>
  <c r="X150" i="38"/>
  <c r="K151" i="38"/>
  <c r="W150" i="38"/>
  <c r="Z150" i="38"/>
  <c r="V150" i="38"/>
  <c r="AA150" i="38" s="1"/>
  <c r="AB150" i="38" s="1"/>
  <c r="L137" i="28" s="1"/>
  <c r="M151" i="38"/>
  <c r="P151" i="38"/>
  <c r="G150" i="38"/>
  <c r="C137" i="28" s="1"/>
  <c r="I131" i="39"/>
  <c r="H131" i="39" s="1"/>
  <c r="X131" i="39" s="1"/>
  <c r="Y131" i="39"/>
  <c r="I135" i="37"/>
  <c r="H135" i="37" s="1"/>
  <c r="X135" i="37" s="1"/>
  <c r="J141" i="37"/>
  <c r="T151" i="38" l="1"/>
  <c r="U151" i="38"/>
  <c r="I151" i="38" s="1"/>
  <c r="H151" i="38" s="1"/>
  <c r="V151" i="38" s="1"/>
  <c r="W131" i="39"/>
  <c r="V131" i="39"/>
  <c r="P132" i="39"/>
  <c r="J132" i="39"/>
  <c r="Z151" i="38"/>
  <c r="G151" i="38"/>
  <c r="C138" i="28" s="1"/>
  <c r="Z131" i="39"/>
  <c r="K132" i="39"/>
  <c r="M132" i="39"/>
  <c r="X151" i="38"/>
  <c r="G131" i="39"/>
  <c r="Y151" i="38"/>
  <c r="Y135" i="37"/>
  <c r="W135" i="37"/>
  <c r="V135" i="37"/>
  <c r="Z135" i="37"/>
  <c r="P136" i="37"/>
  <c r="K136" i="37"/>
  <c r="M136" i="37"/>
  <c r="G135" i="37"/>
  <c r="B122" i="28" s="1"/>
  <c r="P152" i="38" l="1"/>
  <c r="K152" i="38"/>
  <c r="U152" i="38" s="1"/>
  <c r="Y152" i="38" s="1"/>
  <c r="M152" i="38"/>
  <c r="W151" i="38"/>
  <c r="AA131" i="39"/>
  <c r="AB131" i="39" s="1"/>
  <c r="U132" i="39"/>
  <c r="AA151" i="38"/>
  <c r="AB151" i="38" s="1"/>
  <c r="L138" i="28" s="1"/>
  <c r="T152" i="38"/>
  <c r="T132" i="39"/>
  <c r="AA135" i="37"/>
  <c r="AB135" i="37" s="1"/>
  <c r="K122" i="28" s="1"/>
  <c r="T136" i="37"/>
  <c r="U136" i="37"/>
  <c r="I132" i="39" l="1"/>
  <c r="H132" i="39" s="1"/>
  <c r="Y132" i="39" s="1"/>
  <c r="I152" i="38"/>
  <c r="H152" i="38" s="1"/>
  <c r="M153" i="38" s="1"/>
  <c r="Y136" i="37"/>
  <c r="I136" i="37"/>
  <c r="H136" i="37" s="1"/>
  <c r="X136" i="37" s="1"/>
  <c r="V132" i="39" l="1"/>
  <c r="W132" i="39"/>
  <c r="M133" i="39"/>
  <c r="X132" i="39"/>
  <c r="P133" i="39"/>
  <c r="J133" i="39"/>
  <c r="L133" i="39"/>
  <c r="K133" i="39"/>
  <c r="G132" i="39"/>
  <c r="Z132" i="39"/>
  <c r="Z152" i="38"/>
  <c r="P153" i="38"/>
  <c r="V152" i="38"/>
  <c r="W152" i="38"/>
  <c r="K153" i="38"/>
  <c r="X152" i="38"/>
  <c r="G152" i="38"/>
  <c r="C139" i="28" s="1"/>
  <c r="L153" i="38"/>
  <c r="V136" i="37"/>
  <c r="Z136" i="37"/>
  <c r="W136" i="37"/>
  <c r="G136" i="37"/>
  <c r="B123" i="28" s="1"/>
  <c r="P137" i="37"/>
  <c r="K137" i="37"/>
  <c r="M137" i="37"/>
  <c r="L137" i="37"/>
  <c r="AA152" i="38" l="1"/>
  <c r="AB152" i="38" s="1"/>
  <c r="L139" i="28" s="1"/>
  <c r="U153" i="38"/>
  <c r="T133" i="39"/>
  <c r="AA132" i="39"/>
  <c r="AB132" i="39" s="1"/>
  <c r="U133" i="39"/>
  <c r="T153" i="38"/>
  <c r="I153" i="38" s="1"/>
  <c r="H153" i="38" s="1"/>
  <c r="T137" i="37"/>
  <c r="U137" i="37"/>
  <c r="AA136" i="37"/>
  <c r="AB136" i="37" s="1"/>
  <c r="K123" i="28" s="1"/>
  <c r="Y153" i="38" l="1"/>
  <c r="K154" i="38"/>
  <c r="P154" i="38"/>
  <c r="G153" i="38"/>
  <c r="C140" i="28" s="1"/>
  <c r="M154" i="38"/>
  <c r="W153" i="38"/>
  <c r="X153" i="38"/>
  <c r="V153" i="38"/>
  <c r="I133" i="39"/>
  <c r="H133" i="39" s="1"/>
  <c r="Y133" i="39" s="1"/>
  <c r="Z153" i="38"/>
  <c r="I137" i="37"/>
  <c r="H137" i="37" s="1"/>
  <c r="Z137" i="37" s="1"/>
  <c r="T154" i="38" l="1"/>
  <c r="U154" i="38"/>
  <c r="AA153" i="38"/>
  <c r="AB153" i="38" s="1"/>
  <c r="L140" i="28" s="1"/>
  <c r="K134" i="39"/>
  <c r="X133" i="39"/>
  <c r="W133" i="39"/>
  <c r="Z133" i="39"/>
  <c r="V133" i="39"/>
  <c r="J134" i="39"/>
  <c r="P134" i="39"/>
  <c r="M134" i="39"/>
  <c r="G133" i="39"/>
  <c r="I154" i="38"/>
  <c r="H154" i="38" s="1"/>
  <c r="Y154" i="38" s="1"/>
  <c r="Y137" i="37"/>
  <c r="X137" i="37"/>
  <c r="V137" i="37"/>
  <c r="W137" i="37"/>
  <c r="G137" i="37"/>
  <c r="B124" i="28" s="1"/>
  <c r="P138" i="37"/>
  <c r="K138" i="37"/>
  <c r="M138" i="37"/>
  <c r="T134" i="39" l="1"/>
  <c r="AA133" i="39"/>
  <c r="AB133" i="39" s="1"/>
  <c r="U134" i="39"/>
  <c r="G154" i="38"/>
  <c r="C141" i="28" s="1"/>
  <c r="W154" i="38"/>
  <c r="V154" i="38"/>
  <c r="X154" i="38"/>
  <c r="M155" i="38"/>
  <c r="P155" i="38"/>
  <c r="Z154" i="38"/>
  <c r="K155" i="38"/>
  <c r="T138" i="37"/>
  <c r="U138" i="37"/>
  <c r="AA137" i="37"/>
  <c r="AB137" i="37" s="1"/>
  <c r="K124" i="28" s="1"/>
  <c r="T155" i="38" l="1"/>
  <c r="I134" i="39"/>
  <c r="H134" i="39" s="1"/>
  <c r="X134" i="39" s="1"/>
  <c r="AA154" i="38"/>
  <c r="AB154" i="38" s="1"/>
  <c r="L141" i="28" s="1"/>
  <c r="U155" i="38"/>
  <c r="Y155" i="38" s="1"/>
  <c r="I138" i="37"/>
  <c r="H138" i="37" s="1"/>
  <c r="X138" i="37" s="1"/>
  <c r="J144" i="37"/>
  <c r="I155" i="38" l="1"/>
  <c r="H155" i="38" s="1"/>
  <c r="Y134" i="39"/>
  <c r="M135" i="39"/>
  <c r="V134" i="39"/>
  <c r="Z134" i="39"/>
  <c r="W134" i="39"/>
  <c r="J135" i="39"/>
  <c r="K135" i="39"/>
  <c r="G134" i="39"/>
  <c r="P135" i="39"/>
  <c r="K156" i="38"/>
  <c r="G155" i="38"/>
  <c r="C142" i="28" s="1"/>
  <c r="J156" i="38"/>
  <c r="P156" i="38"/>
  <c r="M156" i="38"/>
  <c r="Z155" i="38"/>
  <c r="W155" i="38"/>
  <c r="V155" i="38"/>
  <c r="X155" i="38"/>
  <c r="Y138" i="37"/>
  <c r="W138" i="37"/>
  <c r="Z138" i="37"/>
  <c r="V138" i="37"/>
  <c r="K139" i="37"/>
  <c r="P139" i="37"/>
  <c r="M139" i="37"/>
  <c r="G138" i="37"/>
  <c r="B125" i="28" s="1"/>
  <c r="AA134" i="39" l="1"/>
  <c r="AB134" i="39" s="1"/>
  <c r="T135" i="39"/>
  <c r="U135" i="39"/>
  <c r="T156" i="38"/>
  <c r="V156" i="38" s="1"/>
  <c r="U156" i="38"/>
  <c r="AA155" i="38"/>
  <c r="AB155" i="38" s="1"/>
  <c r="L142" i="28" s="1"/>
  <c r="AA138" i="37"/>
  <c r="AB138" i="37" s="1"/>
  <c r="K125" i="28" s="1"/>
  <c r="T139" i="37"/>
  <c r="U139" i="37"/>
  <c r="W156" i="38" l="1"/>
  <c r="I135" i="39"/>
  <c r="H135" i="39" s="1"/>
  <c r="Z135" i="39" s="1"/>
  <c r="I156" i="38"/>
  <c r="H156" i="38" s="1"/>
  <c r="Y156" i="38" s="1"/>
  <c r="I139" i="37"/>
  <c r="H139" i="37" s="1"/>
  <c r="X139" i="37" s="1"/>
  <c r="Y139" i="37"/>
  <c r="J145" i="37"/>
  <c r="Y135" i="39" l="1"/>
  <c r="W135" i="39"/>
  <c r="V135" i="39"/>
  <c r="X135" i="39"/>
  <c r="M136" i="39"/>
  <c r="G135" i="39"/>
  <c r="K136" i="39"/>
  <c r="P136" i="39"/>
  <c r="X156" i="38"/>
  <c r="J157" i="38"/>
  <c r="G156" i="38"/>
  <c r="C143" i="28" s="1"/>
  <c r="L157" i="38"/>
  <c r="P157" i="38"/>
  <c r="M157" i="38"/>
  <c r="K157" i="38"/>
  <c r="Z156" i="38"/>
  <c r="P140" i="37"/>
  <c r="K140" i="37"/>
  <c r="G139" i="37"/>
  <c r="B126" i="28" s="1"/>
  <c r="M140" i="37"/>
  <c r="V139" i="37"/>
  <c r="W139" i="37"/>
  <c r="Z139" i="37"/>
  <c r="AA135" i="39" l="1"/>
  <c r="AB135" i="39" s="1"/>
  <c r="T136" i="39"/>
  <c r="U136" i="39"/>
  <c r="T157" i="38"/>
  <c r="U157" i="38"/>
  <c r="AA156" i="38"/>
  <c r="AB156" i="38" s="1"/>
  <c r="L143" i="28" s="1"/>
  <c r="T140" i="37"/>
  <c r="U140" i="37"/>
  <c r="AA139" i="37"/>
  <c r="AB139" i="37" s="1"/>
  <c r="K126" i="28" s="1"/>
  <c r="I136" i="39" l="1"/>
  <c r="H136" i="39" s="1"/>
  <c r="V136" i="39" s="1"/>
  <c r="Y136" i="39"/>
  <c r="I140" i="37"/>
  <c r="H140" i="37" s="1"/>
  <c r="X140" i="37" s="1"/>
  <c r="I157" i="38"/>
  <c r="H157" i="38" s="1"/>
  <c r="Y157" i="38" s="1"/>
  <c r="Y140" i="37"/>
  <c r="J146" i="37"/>
  <c r="G140" i="37" l="1"/>
  <c r="B127" i="28" s="1"/>
  <c r="W136" i="39"/>
  <c r="M137" i="39"/>
  <c r="X136" i="39"/>
  <c r="L137" i="39"/>
  <c r="K141" i="37"/>
  <c r="Z136" i="39"/>
  <c r="P137" i="39"/>
  <c r="K137" i="39"/>
  <c r="G136" i="39"/>
  <c r="P141" i="37"/>
  <c r="M141" i="37"/>
  <c r="V140" i="37"/>
  <c r="Z140" i="37"/>
  <c r="W140" i="37"/>
  <c r="L141" i="37"/>
  <c r="X157" i="38"/>
  <c r="J158" i="38"/>
  <c r="K158" i="38"/>
  <c r="P158" i="38"/>
  <c r="G157" i="38"/>
  <c r="C144" i="28" s="1"/>
  <c r="M158" i="38"/>
  <c r="Z157" i="38"/>
  <c r="V157" i="38"/>
  <c r="W157" i="38"/>
  <c r="AA136" i="39" l="1"/>
  <c r="AB136" i="39" s="1"/>
  <c r="T137" i="39"/>
  <c r="U137" i="39"/>
  <c r="T141" i="37"/>
  <c r="U141" i="37"/>
  <c r="I141" i="37" s="1"/>
  <c r="H141" i="37" s="1"/>
  <c r="Y141" i="37" s="1"/>
  <c r="AA140" i="37"/>
  <c r="AB140" i="37" s="1"/>
  <c r="K127" i="28" s="1"/>
  <c r="T158" i="38"/>
  <c r="U158" i="38"/>
  <c r="AA157" i="38"/>
  <c r="AB157" i="38" s="1"/>
  <c r="L144" i="28" s="1"/>
  <c r="I137" i="39" l="1"/>
  <c r="H137" i="39" s="1"/>
  <c r="P138" i="39" s="1"/>
  <c r="I158" i="38"/>
  <c r="H158" i="38" s="1"/>
  <c r="X158" i="38" s="1"/>
  <c r="V141" i="37"/>
  <c r="X141" i="37"/>
  <c r="W141" i="37"/>
  <c r="Z141" i="37"/>
  <c r="P142" i="37"/>
  <c r="G141" i="37"/>
  <c r="B128" i="28" s="1"/>
  <c r="K142" i="37"/>
  <c r="M142" i="37"/>
  <c r="J142" i="37"/>
  <c r="J147" i="37"/>
  <c r="V137" i="39" l="1"/>
  <c r="X137" i="39"/>
  <c r="K138" i="39"/>
  <c r="M138" i="39"/>
  <c r="Z137" i="39"/>
  <c r="W137" i="39"/>
  <c r="G137" i="39"/>
  <c r="Y137" i="39"/>
  <c r="V158" i="38"/>
  <c r="Z158" i="38"/>
  <c r="W158" i="38"/>
  <c r="J159" i="38"/>
  <c r="P159" i="38"/>
  <c r="M159" i="38"/>
  <c r="K159" i="38"/>
  <c r="G158" i="38"/>
  <c r="C145" i="28" s="1"/>
  <c r="Y158" i="38"/>
  <c r="T142" i="37"/>
  <c r="W142" i="37" s="1"/>
  <c r="U142" i="37"/>
  <c r="AA141" i="37"/>
  <c r="AB141" i="37" s="1"/>
  <c r="K128" i="28" s="1"/>
  <c r="U138" i="39" l="1"/>
  <c r="AA137" i="39"/>
  <c r="AB137" i="39" s="1"/>
  <c r="T138" i="39"/>
  <c r="AA158" i="38"/>
  <c r="AB158" i="38" s="1"/>
  <c r="L145" i="28" s="1"/>
  <c r="T159" i="38"/>
  <c r="U159" i="38"/>
  <c r="V142" i="37"/>
  <c r="I142" i="37"/>
  <c r="H142" i="37" s="1"/>
  <c r="X142" i="37" s="1"/>
  <c r="I138" i="39" l="1"/>
  <c r="H138" i="39" s="1"/>
  <c r="Y138" i="39" s="1"/>
  <c r="I159" i="38"/>
  <c r="H159" i="38" s="1"/>
  <c r="Y159" i="38" s="1"/>
  <c r="Y142" i="37"/>
  <c r="Z142" i="37"/>
  <c r="P143" i="37"/>
  <c r="J143" i="37"/>
  <c r="G142" i="37"/>
  <c r="B129" i="28" s="1"/>
  <c r="K143" i="37"/>
  <c r="M143" i="37"/>
  <c r="Z138" i="39" l="1"/>
  <c r="M139" i="39"/>
  <c r="X138" i="39"/>
  <c r="K139" i="39"/>
  <c r="P139" i="39"/>
  <c r="G138" i="39"/>
  <c r="V138" i="39"/>
  <c r="W138" i="39"/>
  <c r="J160" i="38"/>
  <c r="G159" i="38"/>
  <c r="C146" i="28" s="1"/>
  <c r="M160" i="38"/>
  <c r="P160" i="38"/>
  <c r="K160" i="38"/>
  <c r="V159" i="38"/>
  <c r="X159" i="38"/>
  <c r="W159" i="38"/>
  <c r="Z159" i="38"/>
  <c r="AA142" i="37"/>
  <c r="AB142" i="37" s="1"/>
  <c r="K129" i="28" s="1"/>
  <c r="T143" i="37"/>
  <c r="U143" i="37"/>
  <c r="U139" i="39" l="1"/>
  <c r="T139" i="39"/>
  <c r="AA138" i="39"/>
  <c r="AB138" i="39" s="1"/>
  <c r="T160" i="38"/>
  <c r="U160" i="38"/>
  <c r="I160" i="38" s="1"/>
  <c r="H160" i="38" s="1"/>
  <c r="L161" i="38" s="1"/>
  <c r="AA159" i="38"/>
  <c r="AB159" i="38" s="1"/>
  <c r="L146" i="28" s="1"/>
  <c r="W143" i="37"/>
  <c r="V143" i="37"/>
  <c r="I143" i="37"/>
  <c r="H143" i="37" s="1"/>
  <c r="X143" i="37" s="1"/>
  <c r="Y139" i="39" l="1"/>
  <c r="I139" i="39"/>
  <c r="H139" i="39" s="1"/>
  <c r="M140" i="39" s="1"/>
  <c r="V160" i="38"/>
  <c r="Z160" i="38"/>
  <c r="W160" i="38"/>
  <c r="X160" i="38"/>
  <c r="M161" i="38"/>
  <c r="P161" i="38"/>
  <c r="Y160" i="38"/>
  <c r="K161" i="38"/>
  <c r="G160" i="38"/>
  <c r="C147" i="28" s="1"/>
  <c r="Y143" i="37"/>
  <c r="Z143" i="37"/>
  <c r="P144" i="37"/>
  <c r="M144" i="37"/>
  <c r="G143" i="37"/>
  <c r="B130" i="28" s="1"/>
  <c r="K144" i="37"/>
  <c r="J149" i="37"/>
  <c r="P140" i="39" l="1"/>
  <c r="K140" i="39"/>
  <c r="G139" i="39"/>
  <c r="Z139" i="39"/>
  <c r="X139" i="39"/>
  <c r="W139" i="39"/>
  <c r="V139" i="39"/>
  <c r="U161" i="38"/>
  <c r="T161" i="38"/>
  <c r="AA160" i="38"/>
  <c r="AB160" i="38" s="1"/>
  <c r="L147" i="28" s="1"/>
  <c r="AA143" i="37"/>
  <c r="AB143" i="37" s="1"/>
  <c r="K130" i="28" s="1"/>
  <c r="T144" i="37"/>
  <c r="U144" i="37"/>
  <c r="U140" i="39" l="1"/>
  <c r="T140" i="39"/>
  <c r="AA139" i="39"/>
  <c r="AB139" i="39" s="1"/>
  <c r="I161" i="38"/>
  <c r="H161" i="38" s="1"/>
  <c r="Y161" i="38" s="1"/>
  <c r="Y144" i="37"/>
  <c r="I144" i="37"/>
  <c r="H144" i="37" s="1"/>
  <c r="Z144" i="37" s="1"/>
  <c r="J150" i="37"/>
  <c r="J151" i="37"/>
  <c r="I140" i="39" l="1"/>
  <c r="H140" i="39" s="1"/>
  <c r="K141" i="39" s="1"/>
  <c r="Y140" i="39"/>
  <c r="W161" i="38"/>
  <c r="Z161" i="38"/>
  <c r="P162" i="38"/>
  <c r="X161" i="38"/>
  <c r="V161" i="38"/>
  <c r="M162" i="38"/>
  <c r="G161" i="38"/>
  <c r="C148" i="28" s="1"/>
  <c r="K162" i="38"/>
  <c r="X144" i="37"/>
  <c r="W144" i="37"/>
  <c r="V144" i="37"/>
  <c r="P145" i="37"/>
  <c r="M145" i="37"/>
  <c r="K145" i="37"/>
  <c r="G144" i="37"/>
  <c r="B131" i="28" s="1"/>
  <c r="L145" i="37"/>
  <c r="X140" i="39" l="1"/>
  <c r="W140" i="39"/>
  <c r="M141" i="39"/>
  <c r="Z140" i="39"/>
  <c r="V140" i="39"/>
  <c r="G140" i="39"/>
  <c r="P141" i="39"/>
  <c r="L141" i="39"/>
  <c r="T162" i="38"/>
  <c r="AA161" i="38"/>
  <c r="AB161" i="38" s="1"/>
  <c r="L148" i="28" s="1"/>
  <c r="U162" i="38"/>
  <c r="T145" i="37"/>
  <c r="U145" i="37"/>
  <c r="AA144" i="37"/>
  <c r="AB144" i="37" s="1"/>
  <c r="K131" i="28" s="1"/>
  <c r="U141" i="39" l="1"/>
  <c r="AA140" i="39"/>
  <c r="AB140" i="39" s="1"/>
  <c r="T141" i="39"/>
  <c r="I162" i="38"/>
  <c r="H162" i="38" s="1"/>
  <c r="Y162" i="38" s="1"/>
  <c r="Z162" i="38"/>
  <c r="P163" i="38"/>
  <c r="K163" i="38"/>
  <c r="V162" i="38"/>
  <c r="W162" i="38"/>
  <c r="Y145" i="37"/>
  <c r="I145" i="37"/>
  <c r="H145" i="37" s="1"/>
  <c r="X145" i="37" s="1"/>
  <c r="G162" i="38" l="1"/>
  <c r="C149" i="28" s="1"/>
  <c r="X162" i="38"/>
  <c r="M163" i="38"/>
  <c r="I141" i="39"/>
  <c r="H141" i="39" s="1"/>
  <c r="K142" i="39" s="1"/>
  <c r="Y141" i="39"/>
  <c r="T163" i="38"/>
  <c r="AA162" i="38"/>
  <c r="AB162" i="38" s="1"/>
  <c r="L149" i="28" s="1"/>
  <c r="U163" i="38"/>
  <c r="Z145" i="37"/>
  <c r="W145" i="37"/>
  <c r="V145" i="37"/>
  <c r="P146" i="37"/>
  <c r="K146" i="37"/>
  <c r="G145" i="37"/>
  <c r="B132" i="28" s="1"/>
  <c r="M146" i="37"/>
  <c r="P142" i="39" l="1"/>
  <c r="Z141" i="39"/>
  <c r="G141" i="39"/>
  <c r="W141" i="39"/>
  <c r="V141" i="39"/>
  <c r="X141" i="39"/>
  <c r="M142" i="39"/>
  <c r="J142" i="39"/>
  <c r="I163" i="38"/>
  <c r="H163" i="38" s="1"/>
  <c r="W163" i="38" s="1"/>
  <c r="Y163" i="38"/>
  <c r="T146" i="37"/>
  <c r="U146" i="37"/>
  <c r="AA145" i="37"/>
  <c r="AB145" i="37" s="1"/>
  <c r="K132" i="28" s="1"/>
  <c r="J152" i="37"/>
  <c r="AA141" i="39" l="1"/>
  <c r="AB141" i="39" s="1"/>
  <c r="T142" i="39"/>
  <c r="V142" i="39" s="1"/>
  <c r="U142" i="39"/>
  <c r="K164" i="38"/>
  <c r="P164" i="38"/>
  <c r="X163" i="38"/>
  <c r="Z163" i="38"/>
  <c r="V163" i="38"/>
  <c r="M164" i="38"/>
  <c r="G163" i="38"/>
  <c r="C150" i="28" s="1"/>
  <c r="I146" i="37"/>
  <c r="H146" i="37" s="1"/>
  <c r="X146" i="37" s="1"/>
  <c r="W142" i="39" l="1"/>
  <c r="I142" i="39"/>
  <c r="H142" i="39" s="1"/>
  <c r="G142" i="39" s="1"/>
  <c r="AA163" i="38"/>
  <c r="AB163" i="38" s="1"/>
  <c r="L150" i="28" s="1"/>
  <c r="U164" i="38"/>
  <c r="T164" i="38"/>
  <c r="Y146" i="37"/>
  <c r="W146" i="37"/>
  <c r="Z146" i="37"/>
  <c r="V146" i="37"/>
  <c r="M147" i="37"/>
  <c r="P147" i="37"/>
  <c r="K147" i="37"/>
  <c r="G146" i="37"/>
  <c r="B133" i="28" s="1"/>
  <c r="Z142" i="39" l="1"/>
  <c r="K143" i="39"/>
  <c r="M143" i="39"/>
  <c r="P143" i="39"/>
  <c r="J143" i="39"/>
  <c r="X142" i="39"/>
  <c r="Y142" i="39"/>
  <c r="Y164" i="38"/>
  <c r="I164" i="38"/>
  <c r="H164" i="38" s="1"/>
  <c r="X164" i="38" s="1"/>
  <c r="T147" i="37"/>
  <c r="U147" i="37"/>
  <c r="AA146" i="37"/>
  <c r="AB146" i="37" s="1"/>
  <c r="K133" i="28" s="1"/>
  <c r="J153" i="37"/>
  <c r="U143" i="39" l="1"/>
  <c r="T143" i="39"/>
  <c r="V143" i="39" s="1"/>
  <c r="AA142" i="39"/>
  <c r="AB142" i="39" s="1"/>
  <c r="Z164" i="38"/>
  <c r="M165" i="38"/>
  <c r="L165" i="38"/>
  <c r="W164" i="38"/>
  <c r="V164" i="38"/>
  <c r="K165" i="38"/>
  <c r="P165" i="38"/>
  <c r="G164" i="38"/>
  <c r="C151" i="28" s="1"/>
  <c r="Y147" i="37"/>
  <c r="I147" i="37"/>
  <c r="H147" i="37" s="1"/>
  <c r="Y143" i="39" l="1"/>
  <c r="W143" i="39"/>
  <c r="I143" i="39"/>
  <c r="H143" i="39" s="1"/>
  <c r="K144" i="39" s="1"/>
  <c r="AA164" i="38"/>
  <c r="AB164" i="38" s="1"/>
  <c r="L151" i="28" s="1"/>
  <c r="T165" i="38"/>
  <c r="U165" i="38"/>
  <c r="X147" i="37"/>
  <c r="V147" i="37"/>
  <c r="W147" i="37"/>
  <c r="Z147" i="37"/>
  <c r="K148" i="37"/>
  <c r="P148" i="37"/>
  <c r="M148" i="37"/>
  <c r="J148" i="37"/>
  <c r="G147" i="37"/>
  <c r="B134" i="28" s="1"/>
  <c r="G143" i="39" l="1"/>
  <c r="X143" i="39"/>
  <c r="Z143" i="39"/>
  <c r="P144" i="39"/>
  <c r="M144" i="39"/>
  <c r="I165" i="38"/>
  <c r="H165" i="38" s="1"/>
  <c r="W165" i="38" s="1"/>
  <c r="T148" i="37"/>
  <c r="V148" i="37" s="1"/>
  <c r="U148" i="37"/>
  <c r="AA147" i="37"/>
  <c r="AB147" i="37" s="1"/>
  <c r="K134" i="28" s="1"/>
  <c r="J154" i="37"/>
  <c r="AA143" i="39" l="1"/>
  <c r="AB143" i="39" s="1"/>
  <c r="U144" i="39"/>
  <c r="T144" i="39"/>
  <c r="Y165" i="38"/>
  <c r="J166" i="38"/>
  <c r="P166" i="38"/>
  <c r="X165" i="38"/>
  <c r="M166" i="38"/>
  <c r="G165" i="38"/>
  <c r="C152" i="28" s="1"/>
  <c r="Z165" i="38"/>
  <c r="K166" i="38"/>
  <c r="V165" i="38"/>
  <c r="W148" i="37"/>
  <c r="I148" i="37"/>
  <c r="H148" i="37" s="1"/>
  <c r="X148" i="37" s="1"/>
  <c r="Y144" i="39" l="1"/>
  <c r="I144" i="39"/>
  <c r="H144" i="39" s="1"/>
  <c r="G144" i="39" s="1"/>
  <c r="T166" i="38"/>
  <c r="AA165" i="38"/>
  <c r="AB165" i="38" s="1"/>
  <c r="L152" i="28" s="1"/>
  <c r="U166" i="38"/>
  <c r="Y148" i="37"/>
  <c r="Z148" i="37"/>
  <c r="G148" i="37"/>
  <c r="B135" i="28" s="1"/>
  <c r="P149" i="37"/>
  <c r="L149" i="37"/>
  <c r="M149" i="37"/>
  <c r="K149" i="37"/>
  <c r="J155" i="37"/>
  <c r="K145" i="39" l="1"/>
  <c r="V144" i="39"/>
  <c r="X144" i="39"/>
  <c r="L145" i="39"/>
  <c r="M145" i="39"/>
  <c r="W144" i="39"/>
  <c r="Z144" i="39"/>
  <c r="P145" i="39"/>
  <c r="I166" i="38"/>
  <c r="H166" i="38" s="1"/>
  <c r="Z166" i="38" s="1"/>
  <c r="AA148" i="37"/>
  <c r="AB148" i="37" s="1"/>
  <c r="K135" i="28" s="1"/>
  <c r="T149" i="37"/>
  <c r="U149" i="37"/>
  <c r="U145" i="39" l="1"/>
  <c r="AA144" i="39"/>
  <c r="AB144" i="39" s="1"/>
  <c r="T145" i="39"/>
  <c r="X166" i="38"/>
  <c r="G166" i="38"/>
  <c r="C153" i="28" s="1"/>
  <c r="Y166" i="38"/>
  <c r="K167" i="38"/>
  <c r="M167" i="38"/>
  <c r="W166" i="38"/>
  <c r="P167" i="38"/>
  <c r="V166" i="38"/>
  <c r="I149" i="37"/>
  <c r="H149" i="37" s="1"/>
  <c r="X149" i="37" s="1"/>
  <c r="Y145" i="39" l="1"/>
  <c r="I145" i="39"/>
  <c r="H145" i="39" s="1"/>
  <c r="M146" i="39" s="1"/>
  <c r="AA166" i="38"/>
  <c r="AB166" i="38" s="1"/>
  <c r="L153" i="28" s="1"/>
  <c r="U167" i="38"/>
  <c r="T167" i="38"/>
  <c r="Y149" i="37"/>
  <c r="V149" i="37"/>
  <c r="W149" i="37"/>
  <c r="Z149" i="37"/>
  <c r="G149" i="37"/>
  <c r="B136" i="28" s="1"/>
  <c r="P150" i="37"/>
  <c r="K150" i="37"/>
  <c r="M150" i="37"/>
  <c r="I167" i="38" l="1"/>
  <c r="H167" i="38" s="1"/>
  <c r="P168" i="38" s="1"/>
  <c r="G145" i="39"/>
  <c r="V145" i="39"/>
  <c r="P146" i="39"/>
  <c r="W145" i="39"/>
  <c r="X145" i="39"/>
  <c r="K146" i="39"/>
  <c r="Z145" i="39"/>
  <c r="Y167" i="38"/>
  <c r="X167" i="38"/>
  <c r="W167" i="38"/>
  <c r="K168" i="38"/>
  <c r="M168" i="38"/>
  <c r="V167" i="38"/>
  <c r="G167" i="38"/>
  <c r="C154" i="28" s="1"/>
  <c r="Z167" i="38"/>
  <c r="AA149" i="37"/>
  <c r="AB149" i="37" s="1"/>
  <c r="K136" i="28" s="1"/>
  <c r="T150" i="37"/>
  <c r="U150" i="37"/>
  <c r="T146" i="39" l="1"/>
  <c r="U146" i="39"/>
  <c r="AA145" i="39"/>
  <c r="AB145" i="39" s="1"/>
  <c r="U168" i="38"/>
  <c r="AA167" i="38"/>
  <c r="AB167" i="38" s="1"/>
  <c r="L154" i="28" s="1"/>
  <c r="T168" i="38"/>
  <c r="W168" i="38" s="1"/>
  <c r="I150" i="37"/>
  <c r="H150" i="37" s="1"/>
  <c r="X150" i="37" s="1"/>
  <c r="I146" i="39" l="1"/>
  <c r="H146" i="39" s="1"/>
  <c r="W146" i="39" s="1"/>
  <c r="I168" i="38"/>
  <c r="H168" i="38" s="1"/>
  <c r="K169" i="38" s="1"/>
  <c r="Y168" i="38"/>
  <c r="V168" i="38"/>
  <c r="V150" i="37"/>
  <c r="W150" i="37"/>
  <c r="M151" i="37"/>
  <c r="P151" i="37"/>
  <c r="Z150" i="37"/>
  <c r="G150" i="37"/>
  <c r="B137" i="28" s="1"/>
  <c r="Y150" i="37"/>
  <c r="K151" i="37"/>
  <c r="Y146" i="39" l="1"/>
  <c r="M147" i="39"/>
  <c r="Z146" i="39"/>
  <c r="P147" i="39"/>
  <c r="G146" i="39"/>
  <c r="V146" i="39"/>
  <c r="X146" i="39"/>
  <c r="K147" i="39"/>
  <c r="U147" i="39" s="1"/>
  <c r="Z168" i="38"/>
  <c r="X168" i="38"/>
  <c r="AA168" i="38" s="1"/>
  <c r="AB168" i="38" s="1"/>
  <c r="L155" i="28" s="1"/>
  <c r="P169" i="38"/>
  <c r="G168" i="38"/>
  <c r="C155" i="28" s="1"/>
  <c r="M169" i="38"/>
  <c r="L169" i="38"/>
  <c r="T151" i="37"/>
  <c r="AA150" i="37"/>
  <c r="AB150" i="37" s="1"/>
  <c r="K137" i="28" s="1"/>
  <c r="U151" i="37"/>
  <c r="AA146" i="39" l="1"/>
  <c r="AB146" i="39" s="1"/>
  <c r="T147" i="39"/>
  <c r="I147" i="39" s="1"/>
  <c r="H147" i="39" s="1"/>
  <c r="J148" i="39" s="1"/>
  <c r="T169" i="38"/>
  <c r="U169" i="38"/>
  <c r="I169" i="38" s="1"/>
  <c r="H169" i="38" s="1"/>
  <c r="Z169" i="38" s="1"/>
  <c r="I151" i="37"/>
  <c r="H151" i="37" s="1"/>
  <c r="W151" i="37" s="1"/>
  <c r="Y169" i="38"/>
  <c r="Y151" i="37"/>
  <c r="Y147" i="39" l="1"/>
  <c r="V147" i="39"/>
  <c r="W147" i="39"/>
  <c r="X147" i="39"/>
  <c r="Z147" i="39"/>
  <c r="P148" i="39"/>
  <c r="G147" i="39"/>
  <c r="M148" i="39"/>
  <c r="K148" i="39"/>
  <c r="V151" i="37"/>
  <c r="K170" i="38"/>
  <c r="M170" i="38"/>
  <c r="P170" i="38"/>
  <c r="M152" i="37"/>
  <c r="P152" i="37"/>
  <c r="V169" i="38"/>
  <c r="X151" i="37"/>
  <c r="G151" i="37"/>
  <c r="B138" i="28" s="1"/>
  <c r="Z151" i="37"/>
  <c r="K152" i="37"/>
  <c r="W169" i="38"/>
  <c r="X169" i="38"/>
  <c r="G169" i="38"/>
  <c r="C156" i="28" s="1"/>
  <c r="AA147" i="39" l="1"/>
  <c r="AB147" i="39" s="1"/>
  <c r="U148" i="39"/>
  <c r="T148" i="39"/>
  <c r="W148" i="39" s="1"/>
  <c r="AA151" i="37"/>
  <c r="AB151" i="37" s="1"/>
  <c r="K138" i="28" s="1"/>
  <c r="U170" i="38"/>
  <c r="T170" i="38"/>
  <c r="T152" i="37"/>
  <c r="AA169" i="38"/>
  <c r="AB169" i="38" s="1"/>
  <c r="L156" i="28" s="1"/>
  <c r="U152" i="37"/>
  <c r="Y152" i="37" l="1"/>
  <c r="V148" i="39"/>
  <c r="I148" i="39"/>
  <c r="H148" i="39" s="1"/>
  <c r="L149" i="39" s="1"/>
  <c r="Y170" i="38"/>
  <c r="I170" i="38"/>
  <c r="H170" i="38" s="1"/>
  <c r="P171" i="38" s="1"/>
  <c r="I152" i="37"/>
  <c r="H152" i="37" s="1"/>
  <c r="X152" i="37" s="1"/>
  <c r="V170" i="38" l="1"/>
  <c r="Z148" i="39"/>
  <c r="P149" i="39"/>
  <c r="K149" i="39"/>
  <c r="Y148" i="39"/>
  <c r="X148" i="39"/>
  <c r="M149" i="39"/>
  <c r="G148" i="39"/>
  <c r="W170" i="38"/>
  <c r="Z170" i="38"/>
  <c r="G170" i="38"/>
  <c r="C157" i="28" s="1"/>
  <c r="X170" i="38"/>
  <c r="M171" i="38"/>
  <c r="K171" i="38"/>
  <c r="V152" i="37"/>
  <c r="M153" i="37"/>
  <c r="K153" i="37"/>
  <c r="W152" i="37"/>
  <c r="Z152" i="37"/>
  <c r="P153" i="37"/>
  <c r="G152" i="37"/>
  <c r="B139" i="28" s="1"/>
  <c r="L153" i="37"/>
  <c r="AA148" i="39" l="1"/>
  <c r="AB148" i="39" s="1"/>
  <c r="U149" i="39"/>
  <c r="T149" i="39"/>
  <c r="AA170" i="38"/>
  <c r="AB170" i="38" s="1"/>
  <c r="L157" i="28" s="1"/>
  <c r="U171" i="38"/>
  <c r="T171" i="38"/>
  <c r="AA152" i="37"/>
  <c r="AB152" i="37" s="1"/>
  <c r="K139" i="28" s="1"/>
  <c r="T153" i="37"/>
  <c r="U153" i="37"/>
  <c r="I149" i="39" l="1"/>
  <c r="H149" i="39" s="1"/>
  <c r="G149" i="39" s="1"/>
  <c r="Y171" i="38"/>
  <c r="I153" i="37"/>
  <c r="H153" i="37" s="1"/>
  <c r="Z153" i="37" s="1"/>
  <c r="I171" i="38"/>
  <c r="H171" i="38" s="1"/>
  <c r="K172" i="38" s="1"/>
  <c r="Y149" i="39" l="1"/>
  <c r="V149" i="39"/>
  <c r="W149" i="39"/>
  <c r="P150" i="39"/>
  <c r="M150" i="39"/>
  <c r="X149" i="39"/>
  <c r="K150" i="39"/>
  <c r="Z149" i="39"/>
  <c r="Y153" i="37"/>
  <c r="X153" i="37"/>
  <c r="P154" i="37"/>
  <c r="G153" i="37"/>
  <c r="B140" i="28" s="1"/>
  <c r="M154" i="37"/>
  <c r="K154" i="37"/>
  <c r="V153" i="37"/>
  <c r="W153" i="37"/>
  <c r="P172" i="38"/>
  <c r="Z171" i="38"/>
  <c r="M172" i="38"/>
  <c r="X171" i="38"/>
  <c r="W171" i="38"/>
  <c r="G171" i="38"/>
  <c r="C158" i="28" s="1"/>
  <c r="V171" i="38"/>
  <c r="J161" i="37"/>
  <c r="AA149" i="39" l="1"/>
  <c r="AB149" i="39" s="1"/>
  <c r="U150" i="39"/>
  <c r="T150" i="39"/>
  <c r="T154" i="37"/>
  <c r="AA153" i="37"/>
  <c r="AB153" i="37" s="1"/>
  <c r="K140" i="28" s="1"/>
  <c r="U154" i="37"/>
  <c r="T172" i="38"/>
  <c r="U172" i="38"/>
  <c r="Y172" i="38" s="1"/>
  <c r="AA171" i="38"/>
  <c r="AB171" i="38" s="1"/>
  <c r="L158" i="28" s="1"/>
  <c r="Y150" i="39" l="1"/>
  <c r="I150" i="39"/>
  <c r="H150" i="39" s="1"/>
  <c r="V150" i="39" s="1"/>
  <c r="I154" i="37"/>
  <c r="H154" i="37" s="1"/>
  <c r="X154" i="37" s="1"/>
  <c r="I172" i="38"/>
  <c r="H172" i="38" s="1"/>
  <c r="K173" i="38" s="1"/>
  <c r="V172" i="38"/>
  <c r="X172" i="38"/>
  <c r="W154" i="37"/>
  <c r="V154" i="37"/>
  <c r="Z154" i="37"/>
  <c r="J162" i="37"/>
  <c r="Y154" i="37" l="1"/>
  <c r="M155" i="37"/>
  <c r="W172" i="38"/>
  <c r="Z172" i="38"/>
  <c r="AA172" i="38" s="1"/>
  <c r="AB172" i="38" s="1"/>
  <c r="L159" i="28" s="1"/>
  <c r="P155" i="37"/>
  <c r="G154" i="37"/>
  <c r="B141" i="28" s="1"/>
  <c r="K155" i="37"/>
  <c r="T155" i="37" s="1"/>
  <c r="W150" i="39"/>
  <c r="P151" i="39"/>
  <c r="M151" i="39"/>
  <c r="Z150" i="39"/>
  <c r="K151" i="39"/>
  <c r="G150" i="39"/>
  <c r="X150" i="39"/>
  <c r="L173" i="38"/>
  <c r="M173" i="38"/>
  <c r="P173" i="38"/>
  <c r="G172" i="38"/>
  <c r="C159" i="28" s="1"/>
  <c r="AA154" i="37"/>
  <c r="AB154" i="37" s="1"/>
  <c r="K141" i="28" s="1"/>
  <c r="U155" i="37" l="1"/>
  <c r="U173" i="38"/>
  <c r="T173" i="38"/>
  <c r="AA150" i="39"/>
  <c r="AB150" i="39" s="1"/>
  <c r="T151" i="39"/>
  <c r="U151" i="39"/>
  <c r="I173" i="38"/>
  <c r="H173" i="38" s="1"/>
  <c r="V173" i="38" s="1"/>
  <c r="Y173" i="38"/>
  <c r="I155" i="37"/>
  <c r="H155" i="37" s="1"/>
  <c r="X155" i="37" s="1"/>
  <c r="Y155" i="37"/>
  <c r="X173" i="38" l="1"/>
  <c r="G173" i="38"/>
  <c r="C160" i="28" s="1"/>
  <c r="P174" i="38"/>
  <c r="I151" i="39"/>
  <c r="H151" i="39" s="1"/>
  <c r="V151" i="39" s="1"/>
  <c r="Y151" i="39"/>
  <c r="Z173" i="38"/>
  <c r="M156" i="37"/>
  <c r="K174" i="38"/>
  <c r="M174" i="38"/>
  <c r="W173" i="38"/>
  <c r="Z155" i="37"/>
  <c r="V155" i="37"/>
  <c r="W155" i="37"/>
  <c r="J156" i="37"/>
  <c r="K156" i="37"/>
  <c r="G155" i="37"/>
  <c r="B142" i="28" s="1"/>
  <c r="P156" i="37"/>
  <c r="J163" i="37"/>
  <c r="AA173" i="38" l="1"/>
  <c r="AB173" i="38" s="1"/>
  <c r="L160" i="28" s="1"/>
  <c r="U174" i="38"/>
  <c r="M152" i="39"/>
  <c r="K152" i="39"/>
  <c r="P152" i="39"/>
  <c r="W151" i="39"/>
  <c r="Z151" i="39"/>
  <c r="X151" i="39"/>
  <c r="G151" i="39"/>
  <c r="T174" i="38"/>
  <c r="AA155" i="37"/>
  <c r="AB155" i="37" s="1"/>
  <c r="K142" i="28" s="1"/>
  <c r="U156" i="37"/>
  <c r="T156" i="37"/>
  <c r="W156" i="37" s="1"/>
  <c r="I174" i="38"/>
  <c r="H174" i="38" s="1"/>
  <c r="X174" i="38" s="1"/>
  <c r="Y174" i="38"/>
  <c r="T152" i="39" l="1"/>
  <c r="U152" i="39"/>
  <c r="AA151" i="39"/>
  <c r="AB151" i="39" s="1"/>
  <c r="V156" i="37"/>
  <c r="I156" i="37"/>
  <c r="H156" i="37" s="1"/>
  <c r="X156" i="37" s="1"/>
  <c r="G174" i="38"/>
  <c r="C161" i="28" s="1"/>
  <c r="M175" i="38"/>
  <c r="V174" i="38"/>
  <c r="W174" i="38"/>
  <c r="Z174" i="38"/>
  <c r="K175" i="38"/>
  <c r="P175" i="38"/>
  <c r="L157" i="37"/>
  <c r="J157" i="37"/>
  <c r="J164" i="37"/>
  <c r="Y156" i="37" l="1"/>
  <c r="I152" i="39"/>
  <c r="H152" i="39" s="1"/>
  <c r="Z152" i="39" s="1"/>
  <c r="Y152" i="39"/>
  <c r="P157" i="37"/>
  <c r="Z156" i="37"/>
  <c r="AA156" i="37" s="1"/>
  <c r="AB156" i="37" s="1"/>
  <c r="K143" i="28" s="1"/>
  <c r="G156" i="37"/>
  <c r="B143" i="28" s="1"/>
  <c r="K157" i="37"/>
  <c r="M157" i="37"/>
  <c r="AA174" i="38"/>
  <c r="AB174" i="38" s="1"/>
  <c r="L161" i="28" s="1"/>
  <c r="T175" i="38"/>
  <c r="U175" i="38"/>
  <c r="X152" i="39" l="1"/>
  <c r="M153" i="39"/>
  <c r="P153" i="39"/>
  <c r="G152" i="39"/>
  <c r="W152" i="39"/>
  <c r="K153" i="39"/>
  <c r="V152" i="39"/>
  <c r="L153" i="39"/>
  <c r="T157" i="37"/>
  <c r="U157" i="37"/>
  <c r="I157" i="37" s="1"/>
  <c r="H157" i="37" s="1"/>
  <c r="X157" i="37" s="1"/>
  <c r="I175" i="38"/>
  <c r="H175" i="38" s="1"/>
  <c r="V175" i="38" s="1"/>
  <c r="Y175" i="38"/>
  <c r="W175" i="38" l="1"/>
  <c r="U153" i="39"/>
  <c r="AA152" i="39"/>
  <c r="AB152" i="39" s="1"/>
  <c r="T153" i="39"/>
  <c r="I153" i="39" s="1"/>
  <c r="H153" i="39" s="1"/>
  <c r="X153" i="39" s="1"/>
  <c r="Z175" i="38"/>
  <c r="M176" i="38"/>
  <c r="K176" i="38"/>
  <c r="P176" i="38"/>
  <c r="T176" i="38" s="1"/>
  <c r="G175" i="38"/>
  <c r="C162" i="28" s="1"/>
  <c r="X175" i="38"/>
  <c r="Y157" i="37"/>
  <c r="W157" i="37"/>
  <c r="Z157" i="37"/>
  <c r="V157" i="37"/>
  <c r="P158" i="37"/>
  <c r="J158" i="37"/>
  <c r="M158" i="37"/>
  <c r="K158" i="37"/>
  <c r="G157" i="37"/>
  <c r="B144" i="28" s="1"/>
  <c r="J165" i="37"/>
  <c r="AA175" i="38" l="1"/>
  <c r="AB175" i="38" s="1"/>
  <c r="L162" i="28" s="1"/>
  <c r="U176" i="38"/>
  <c r="I176" i="38" s="1"/>
  <c r="H176" i="38" s="1"/>
  <c r="V176" i="38" s="1"/>
  <c r="V153" i="39"/>
  <c r="Y153" i="39"/>
  <c r="Z153" i="39"/>
  <c r="P154" i="39"/>
  <c r="M154" i="39"/>
  <c r="K154" i="39"/>
  <c r="G153" i="39"/>
  <c r="W153" i="39"/>
  <c r="T158" i="37"/>
  <c r="U158" i="37"/>
  <c r="AA157" i="37"/>
  <c r="AB157" i="37" s="1"/>
  <c r="K144" i="28" s="1"/>
  <c r="Y176" i="38" l="1"/>
  <c r="AA153" i="39"/>
  <c r="AB153" i="39" s="1"/>
  <c r="T154" i="39"/>
  <c r="U154" i="39"/>
  <c r="L177" i="38"/>
  <c r="X176" i="38"/>
  <c r="P177" i="38"/>
  <c r="K177" i="38"/>
  <c r="M177" i="38"/>
  <c r="Z176" i="38"/>
  <c r="G176" i="38"/>
  <c r="C163" i="28" s="1"/>
  <c r="W176" i="38"/>
  <c r="I158" i="37"/>
  <c r="H158" i="37" s="1"/>
  <c r="X158" i="37" s="1"/>
  <c r="I154" i="39" l="1"/>
  <c r="H154" i="39" s="1"/>
  <c r="G154" i="39" s="1"/>
  <c r="U177" i="38"/>
  <c r="T177" i="38"/>
  <c r="AA176" i="38"/>
  <c r="AB176" i="38" s="1"/>
  <c r="L163" i="28" s="1"/>
  <c r="Y158" i="37"/>
  <c r="V158" i="37"/>
  <c r="W158" i="37"/>
  <c r="Z158" i="37"/>
  <c r="M159" i="37"/>
  <c r="P159" i="37"/>
  <c r="K159" i="37"/>
  <c r="J159" i="37"/>
  <c r="G158" i="37"/>
  <c r="B145" i="28" s="1"/>
  <c r="Y154" i="39" l="1"/>
  <c r="V154" i="39"/>
  <c r="W154" i="39"/>
  <c r="P155" i="39"/>
  <c r="M155" i="39"/>
  <c r="X154" i="39"/>
  <c r="K155" i="39"/>
  <c r="Z154" i="39"/>
  <c r="Y177" i="38"/>
  <c r="I177" i="38"/>
  <c r="H177" i="38" s="1"/>
  <c r="K178" i="38" s="1"/>
  <c r="T159" i="37"/>
  <c r="U159" i="37"/>
  <c r="AA158" i="37"/>
  <c r="AB158" i="37" s="1"/>
  <c r="K145" i="28" s="1"/>
  <c r="AA154" i="39" l="1"/>
  <c r="AB154" i="39" s="1"/>
  <c r="T155" i="39"/>
  <c r="U155" i="39"/>
  <c r="W177" i="38"/>
  <c r="V177" i="38"/>
  <c r="G177" i="38"/>
  <c r="C164" i="28" s="1"/>
  <c r="X177" i="38"/>
  <c r="Z177" i="38"/>
  <c r="M178" i="38"/>
  <c r="P178" i="38"/>
  <c r="I159" i="37"/>
  <c r="H159" i="37" s="1"/>
  <c r="X159" i="37" s="1"/>
  <c r="J167" i="37"/>
  <c r="I155" i="39" l="1"/>
  <c r="H155" i="39" s="1"/>
  <c r="P156" i="39" s="1"/>
  <c r="Y155" i="39"/>
  <c r="AA177" i="38"/>
  <c r="AB177" i="38" s="1"/>
  <c r="L164" i="28" s="1"/>
  <c r="T178" i="38"/>
  <c r="U178" i="38"/>
  <c r="Y159" i="37"/>
  <c r="V159" i="37"/>
  <c r="W159" i="37"/>
  <c r="Z159" i="37"/>
  <c r="P160" i="37"/>
  <c r="M160" i="37"/>
  <c r="G159" i="37"/>
  <c r="B146" i="28" s="1"/>
  <c r="J160" i="37"/>
  <c r="K160" i="37"/>
  <c r="W155" i="39" l="1"/>
  <c r="M156" i="39"/>
  <c r="J156" i="39"/>
  <c r="V155" i="39"/>
  <c r="G155" i="39"/>
  <c r="X155" i="39"/>
  <c r="Z155" i="39"/>
  <c r="K156" i="39"/>
  <c r="Y178" i="38"/>
  <c r="I178" i="38"/>
  <c r="H178" i="38" s="1"/>
  <c r="T160" i="37"/>
  <c r="U160" i="37"/>
  <c r="AA159" i="37"/>
  <c r="AB159" i="37" s="1"/>
  <c r="K146" i="28" s="1"/>
  <c r="T156" i="39" l="1"/>
  <c r="V156" i="39" s="1"/>
  <c r="U156" i="39"/>
  <c r="AA155" i="39"/>
  <c r="AB155" i="39" s="1"/>
  <c r="X178" i="38"/>
  <c r="M179" i="38"/>
  <c r="P179" i="38"/>
  <c r="G178" i="38"/>
  <c r="C165" i="28" s="1"/>
  <c r="K179" i="38"/>
  <c r="V178" i="38"/>
  <c r="Z178" i="38"/>
  <c r="W178" i="38"/>
  <c r="I160" i="37"/>
  <c r="H160" i="37" s="1"/>
  <c r="Z160" i="37" s="1"/>
  <c r="J168" i="37"/>
  <c r="I156" i="39" l="1"/>
  <c r="H156" i="39" s="1"/>
  <c r="Y156" i="39" s="1"/>
  <c r="W156" i="39"/>
  <c r="AA178" i="38"/>
  <c r="AB178" i="38" s="1"/>
  <c r="L165" i="28" s="1"/>
  <c r="U179" i="38"/>
  <c r="T179" i="38"/>
  <c r="Y160" i="37"/>
  <c r="X160" i="37"/>
  <c r="W160" i="37"/>
  <c r="V160" i="37"/>
  <c r="P161" i="37"/>
  <c r="L161" i="37"/>
  <c r="M161" i="37"/>
  <c r="G160" i="37"/>
  <c r="B147" i="28" s="1"/>
  <c r="K161" i="37"/>
  <c r="L157" i="39" l="1"/>
  <c r="J157" i="39"/>
  <c r="M157" i="39"/>
  <c r="G156" i="39"/>
  <c r="P157" i="39"/>
  <c r="K157" i="39"/>
  <c r="X156" i="39"/>
  <c r="Z156" i="39"/>
  <c r="I179" i="38"/>
  <c r="H179" i="38" s="1"/>
  <c r="K180" i="38" s="1"/>
  <c r="Y179" i="38"/>
  <c r="V179" i="38"/>
  <c r="T161" i="37"/>
  <c r="U161" i="37"/>
  <c r="AA160" i="37"/>
  <c r="AB160" i="37" s="1"/>
  <c r="K147" i="28" s="1"/>
  <c r="T157" i="39" l="1"/>
  <c r="X179" i="38"/>
  <c r="U157" i="39"/>
  <c r="AA156" i="39"/>
  <c r="AB156" i="39" s="1"/>
  <c r="W179" i="38"/>
  <c r="P180" i="38"/>
  <c r="G179" i="38"/>
  <c r="C166" i="28" s="1"/>
  <c r="Z179" i="38"/>
  <c r="M180" i="38"/>
  <c r="I161" i="37"/>
  <c r="H161" i="37" s="1"/>
  <c r="X161" i="37" s="1"/>
  <c r="J169" i="37"/>
  <c r="T180" i="38" l="1"/>
  <c r="I157" i="39"/>
  <c r="H157" i="39" s="1"/>
  <c r="W157" i="39" s="1"/>
  <c r="AA179" i="38"/>
  <c r="AB179" i="38" s="1"/>
  <c r="L166" i="28" s="1"/>
  <c r="U180" i="38"/>
  <c r="I180" i="38" s="1"/>
  <c r="H180" i="38" s="1"/>
  <c r="V180" i="38" s="1"/>
  <c r="Y161" i="37"/>
  <c r="W161" i="37"/>
  <c r="V161" i="37"/>
  <c r="K162" i="37"/>
  <c r="Z161" i="37"/>
  <c r="M162" i="37"/>
  <c r="P162" i="37"/>
  <c r="G161" i="37"/>
  <c r="B148" i="28" s="1"/>
  <c r="Z157" i="39" l="1"/>
  <c r="V157" i="39"/>
  <c r="Y157" i="39"/>
  <c r="K158" i="39"/>
  <c r="G157" i="39"/>
  <c r="X157" i="39"/>
  <c r="P158" i="39"/>
  <c r="M158" i="39"/>
  <c r="J158" i="39"/>
  <c r="L181" i="38"/>
  <c r="W180" i="38"/>
  <c r="Y180" i="38"/>
  <c r="Z180" i="38"/>
  <c r="K181" i="38"/>
  <c r="M181" i="38"/>
  <c r="P181" i="38"/>
  <c r="X180" i="38"/>
  <c r="G180" i="38"/>
  <c r="C167" i="28" s="1"/>
  <c r="U162" i="37"/>
  <c r="AA161" i="37"/>
  <c r="AB161" i="37" s="1"/>
  <c r="K148" i="28" s="1"/>
  <c r="T162" i="37"/>
  <c r="AA157" i="39" l="1"/>
  <c r="AB157" i="39" s="1"/>
  <c r="U158" i="39"/>
  <c r="T158" i="39"/>
  <c r="AA180" i="38"/>
  <c r="AB180" i="38" s="1"/>
  <c r="L167" i="28" s="1"/>
  <c r="U181" i="38"/>
  <c r="T181" i="38"/>
  <c r="Y181" i="38" s="1"/>
  <c r="I162" i="37"/>
  <c r="H162" i="37" s="1"/>
  <c r="X162" i="37" s="1"/>
  <c r="J170" i="37"/>
  <c r="I158" i="39" l="1"/>
  <c r="H158" i="39" s="1"/>
  <c r="Z158" i="39" s="1"/>
  <c r="I181" i="38"/>
  <c r="H181" i="38" s="1"/>
  <c r="X181" i="38" s="1"/>
  <c r="V181" i="38"/>
  <c r="Z181" i="38"/>
  <c r="W181" i="38"/>
  <c r="K182" i="38"/>
  <c r="P182" i="38"/>
  <c r="M182" i="38"/>
  <c r="Y162" i="37"/>
  <c r="P163" i="37"/>
  <c r="G162" i="37"/>
  <c r="B149" i="28" s="1"/>
  <c r="W162" i="37"/>
  <c r="V162" i="37"/>
  <c r="Z162" i="37"/>
  <c r="K163" i="37"/>
  <c r="M163" i="37"/>
  <c r="G181" i="38" l="1"/>
  <c r="C168" i="28" s="1"/>
  <c r="Y158" i="39"/>
  <c r="K159" i="39"/>
  <c r="V158" i="39"/>
  <c r="P159" i="39"/>
  <c r="W158" i="39"/>
  <c r="J159" i="39"/>
  <c r="M159" i="39"/>
  <c r="X158" i="39"/>
  <c r="G158" i="39"/>
  <c r="AA181" i="38"/>
  <c r="AB181" i="38" s="1"/>
  <c r="L168" i="28" s="1"/>
  <c r="U182" i="38"/>
  <c r="T182" i="38"/>
  <c r="AA162" i="37"/>
  <c r="AB162" i="37" s="1"/>
  <c r="K149" i="28" s="1"/>
  <c r="T163" i="37"/>
  <c r="U163" i="37"/>
  <c r="AA158" i="39" l="1"/>
  <c r="AB158" i="39" s="1"/>
  <c r="T159" i="39"/>
  <c r="U159" i="39"/>
  <c r="Y182" i="38"/>
  <c r="I182" i="38"/>
  <c r="H182" i="38" s="1"/>
  <c r="G182" i="38" s="1"/>
  <c r="C169" i="28" s="1"/>
  <c r="I163" i="37"/>
  <c r="H163" i="37" s="1"/>
  <c r="X163" i="37" s="1"/>
  <c r="Y163" i="37"/>
  <c r="J171" i="37"/>
  <c r="P183" i="38" l="1"/>
  <c r="X182" i="38"/>
  <c r="V182" i="38"/>
  <c r="W182" i="38"/>
  <c r="I159" i="39"/>
  <c r="H159" i="39" s="1"/>
  <c r="Z159" i="39" s="1"/>
  <c r="Z182" i="38"/>
  <c r="AA182" i="38" s="1"/>
  <c r="AB182" i="38" s="1"/>
  <c r="L169" i="28" s="1"/>
  <c r="M183" i="38"/>
  <c r="K183" i="38"/>
  <c r="U183" i="38" s="1"/>
  <c r="V163" i="37"/>
  <c r="G163" i="37"/>
  <c r="B150" i="28" s="1"/>
  <c r="Z163" i="37"/>
  <c r="K164" i="37"/>
  <c r="M164" i="37"/>
  <c r="P164" i="37"/>
  <c r="W163" i="37"/>
  <c r="W159" i="39" l="1"/>
  <c r="V159" i="39"/>
  <c r="M160" i="39"/>
  <c r="P160" i="39"/>
  <c r="G159" i="39"/>
  <c r="J160" i="39"/>
  <c r="X159" i="39"/>
  <c r="K160" i="39"/>
  <c r="Y159" i="39"/>
  <c r="T183" i="38"/>
  <c r="I183" i="38" s="1"/>
  <c r="H183" i="38" s="1"/>
  <c r="T164" i="37"/>
  <c r="AA163" i="37"/>
  <c r="AB163" i="37" s="1"/>
  <c r="K150" i="28" s="1"/>
  <c r="U164" i="37"/>
  <c r="U160" i="39" l="1"/>
  <c r="AA159" i="39"/>
  <c r="AB159" i="39" s="1"/>
  <c r="T160" i="39"/>
  <c r="Y183" i="38"/>
  <c r="G183" i="38"/>
  <c r="C170" i="28" s="1"/>
  <c r="P184" i="38"/>
  <c r="K184" i="38"/>
  <c r="M184" i="38"/>
  <c r="X183" i="38"/>
  <c r="W183" i="38"/>
  <c r="V183" i="38"/>
  <c r="Z183" i="38"/>
  <c r="Y164" i="37"/>
  <c r="I164" i="37"/>
  <c r="H164" i="37" s="1"/>
  <c r="X164" i="37" s="1"/>
  <c r="J172" i="37"/>
  <c r="I160" i="39" l="1"/>
  <c r="H160" i="39" s="1"/>
  <c r="V160" i="39" s="1"/>
  <c r="T184" i="38"/>
  <c r="AA183" i="38"/>
  <c r="AB183" i="38" s="1"/>
  <c r="L170" i="28" s="1"/>
  <c r="U184" i="38"/>
  <c r="G164" i="37"/>
  <c r="B151" i="28" s="1"/>
  <c r="L165" i="37"/>
  <c r="P165" i="37"/>
  <c r="M165" i="37"/>
  <c r="K165" i="37"/>
  <c r="Z164" i="37"/>
  <c r="W164" i="37"/>
  <c r="V164" i="37"/>
  <c r="W160" i="39" l="1"/>
  <c r="P161" i="39"/>
  <c r="K161" i="39"/>
  <c r="X160" i="39"/>
  <c r="L161" i="39"/>
  <c r="Y160" i="39"/>
  <c r="G160" i="39"/>
  <c r="M161" i="39"/>
  <c r="Z160" i="39"/>
  <c r="I184" i="38"/>
  <c r="H184" i="38" s="1"/>
  <c r="T165" i="37"/>
  <c r="U165" i="37"/>
  <c r="AA164" i="37"/>
  <c r="AB164" i="37" s="1"/>
  <c r="K151" i="28" s="1"/>
  <c r="T161" i="39" l="1"/>
  <c r="AA160" i="39"/>
  <c r="AB160" i="39" s="1"/>
  <c r="U161" i="39"/>
  <c r="V184" i="38"/>
  <c r="K185" i="38"/>
  <c r="M185" i="38"/>
  <c r="G184" i="38"/>
  <c r="C171" i="28" s="1"/>
  <c r="P185" i="38"/>
  <c r="L185" i="38"/>
  <c r="X184" i="38"/>
  <c r="Z184" i="38"/>
  <c r="W184" i="38"/>
  <c r="Y184" i="38"/>
  <c r="I165" i="37"/>
  <c r="H165" i="37" s="1"/>
  <c r="X165" i="37" s="1"/>
  <c r="J173" i="37"/>
  <c r="I161" i="39" l="1"/>
  <c r="H161" i="39" s="1"/>
  <c r="Y161" i="39" s="1"/>
  <c r="Z165" i="37"/>
  <c r="U185" i="38"/>
  <c r="T185" i="38"/>
  <c r="AA184" i="38"/>
  <c r="AB184" i="38" s="1"/>
  <c r="L171" i="28" s="1"/>
  <c r="G165" i="37"/>
  <c r="B152" i="28" s="1"/>
  <c r="K166" i="37"/>
  <c r="J166" i="37"/>
  <c r="V165" i="37"/>
  <c r="W165" i="37"/>
  <c r="Y165" i="37"/>
  <c r="P166" i="37"/>
  <c r="M166" i="37"/>
  <c r="W161" i="39" l="1"/>
  <c r="P162" i="39"/>
  <c r="X161" i="39"/>
  <c r="M162" i="39"/>
  <c r="V161" i="39"/>
  <c r="K162" i="39"/>
  <c r="G161" i="39"/>
  <c r="Z161" i="39"/>
  <c r="I185" i="38"/>
  <c r="H185" i="38" s="1"/>
  <c r="V185" i="38" s="1"/>
  <c r="AA165" i="37"/>
  <c r="AB165" i="37" s="1"/>
  <c r="K152" i="28" s="1"/>
  <c r="U166" i="37"/>
  <c r="T166" i="37"/>
  <c r="J174" i="37"/>
  <c r="T162" i="39" l="1"/>
  <c r="U162" i="39"/>
  <c r="AA161" i="39"/>
  <c r="AB161" i="39" s="1"/>
  <c r="Y185" i="38"/>
  <c r="K186" i="38"/>
  <c r="P186" i="38"/>
  <c r="G185" i="38"/>
  <c r="C172" i="28" s="1"/>
  <c r="M186" i="38"/>
  <c r="X185" i="38"/>
  <c r="W185" i="38"/>
  <c r="Z185" i="38"/>
  <c r="I166" i="37"/>
  <c r="H166" i="37" s="1"/>
  <c r="Z166" i="37" s="1"/>
  <c r="I162" i="39" l="1"/>
  <c r="H162" i="39" s="1"/>
  <c r="Z162" i="39" s="1"/>
  <c r="V166" i="37"/>
  <c r="W166" i="37"/>
  <c r="Y166" i="37"/>
  <c r="K167" i="37"/>
  <c r="P167" i="37"/>
  <c r="M167" i="37"/>
  <c r="X166" i="37"/>
  <c r="T186" i="38"/>
  <c r="AA185" i="38"/>
  <c r="AB185" i="38" s="1"/>
  <c r="L172" i="28" s="1"/>
  <c r="U186" i="38"/>
  <c r="G166" i="37"/>
  <c r="B153" i="28" s="1"/>
  <c r="J175" i="37"/>
  <c r="X162" i="39" l="1"/>
  <c r="Y162" i="39"/>
  <c r="P163" i="39"/>
  <c r="G162" i="39"/>
  <c r="K163" i="39"/>
  <c r="W162" i="39"/>
  <c r="M163" i="39"/>
  <c r="V162" i="39"/>
  <c r="AA166" i="37"/>
  <c r="AB166" i="37" s="1"/>
  <c r="K153" i="28" s="1"/>
  <c r="U167" i="37"/>
  <c r="Y186" i="38"/>
  <c r="T167" i="37"/>
  <c r="I186" i="38"/>
  <c r="H186" i="38" s="1"/>
  <c r="AA162" i="39" l="1"/>
  <c r="AB162" i="39" s="1"/>
  <c r="U163" i="39"/>
  <c r="T163" i="39"/>
  <c r="I167" i="37"/>
  <c r="H167" i="37" s="1"/>
  <c r="X167" i="37" s="1"/>
  <c r="Y167" i="37"/>
  <c r="M187" i="38"/>
  <c r="J187" i="38"/>
  <c r="K187" i="38"/>
  <c r="G186" i="38"/>
  <c r="C173" i="28" s="1"/>
  <c r="P187" i="38"/>
  <c r="Z186" i="38"/>
  <c r="W186" i="38"/>
  <c r="V186" i="38"/>
  <c r="X186" i="38"/>
  <c r="Y163" i="39" l="1"/>
  <c r="I163" i="39"/>
  <c r="H163" i="39" s="1"/>
  <c r="K164" i="39" s="1"/>
  <c r="G167" i="37"/>
  <c r="B154" i="28" s="1"/>
  <c r="M168" i="37"/>
  <c r="K168" i="37"/>
  <c r="P168" i="37"/>
  <c r="W167" i="37"/>
  <c r="V167" i="37"/>
  <c r="Z167" i="37"/>
  <c r="T187" i="38"/>
  <c r="W187" i="38" s="1"/>
  <c r="AA186" i="38"/>
  <c r="AB186" i="38" s="1"/>
  <c r="L173" i="28" s="1"/>
  <c r="U187" i="38"/>
  <c r="J176" i="37"/>
  <c r="V163" i="39" l="1"/>
  <c r="P164" i="39"/>
  <c r="M164" i="39"/>
  <c r="W163" i="39"/>
  <c r="X163" i="39"/>
  <c r="Z163" i="39"/>
  <c r="G163" i="39"/>
  <c r="U168" i="37"/>
  <c r="AA167" i="37"/>
  <c r="AB167" i="37" s="1"/>
  <c r="K154" i="28" s="1"/>
  <c r="T168" i="37"/>
  <c r="W168" i="37" s="1"/>
  <c r="I187" i="38"/>
  <c r="H187" i="38" s="1"/>
  <c r="X187" i="38" s="1"/>
  <c r="V187" i="38"/>
  <c r="Y187" i="38" l="1"/>
  <c r="T164" i="39"/>
  <c r="AA163" i="39"/>
  <c r="AB163" i="39" s="1"/>
  <c r="U164" i="39"/>
  <c r="Y168" i="37"/>
  <c r="I168" i="37"/>
  <c r="H168" i="37" s="1"/>
  <c r="X168" i="37" s="1"/>
  <c r="V168" i="37"/>
  <c r="Z187" i="38"/>
  <c r="AA187" i="38" s="1"/>
  <c r="AB187" i="38" s="1"/>
  <c r="L174" i="28" s="1"/>
  <c r="P188" i="38"/>
  <c r="K188" i="38"/>
  <c r="M188" i="38"/>
  <c r="G187" i="38"/>
  <c r="C174" i="28" s="1"/>
  <c r="M169" i="37" l="1"/>
  <c r="G168" i="37"/>
  <c r="B155" i="28" s="1"/>
  <c r="P169" i="37"/>
  <c r="L169" i="37"/>
  <c r="Z168" i="37"/>
  <c r="AA168" i="37" s="1"/>
  <c r="AB168" i="37" s="1"/>
  <c r="K155" i="28" s="1"/>
  <c r="Y164" i="39"/>
  <c r="I164" i="39"/>
  <c r="H164" i="39" s="1"/>
  <c r="K165" i="39" s="1"/>
  <c r="K169" i="37"/>
  <c r="U169" i="37" s="1"/>
  <c r="U188" i="38"/>
  <c r="T188" i="38"/>
  <c r="J177" i="37"/>
  <c r="T169" i="37" l="1"/>
  <c r="P165" i="39"/>
  <c r="V164" i="39"/>
  <c r="G164" i="39"/>
  <c r="X164" i="39"/>
  <c r="M165" i="39"/>
  <c r="L165" i="39"/>
  <c r="W164" i="39"/>
  <c r="Z164" i="39"/>
  <c r="I188" i="38"/>
  <c r="H188" i="38" s="1"/>
  <c r="M189" i="38" s="1"/>
  <c r="Y188" i="38"/>
  <c r="I169" i="37"/>
  <c r="H169" i="37" s="1"/>
  <c r="Y169" i="37" s="1"/>
  <c r="U165" i="39" l="1"/>
  <c r="T165" i="39"/>
  <c r="AA164" i="39"/>
  <c r="AB164" i="39" s="1"/>
  <c r="W188" i="38"/>
  <c r="P189" i="38"/>
  <c r="V188" i="38"/>
  <c r="G188" i="38"/>
  <c r="C175" i="28" s="1"/>
  <c r="K189" i="38"/>
  <c r="Z188" i="38"/>
  <c r="L189" i="38"/>
  <c r="X188" i="38"/>
  <c r="V169" i="37"/>
  <c r="G169" i="37"/>
  <c r="B156" i="28" s="1"/>
  <c r="W169" i="37"/>
  <c r="X169" i="37"/>
  <c r="Z169" i="37"/>
  <c r="M170" i="37"/>
  <c r="K170" i="37"/>
  <c r="P170" i="37"/>
  <c r="J178" i="37"/>
  <c r="I165" i="39" l="1"/>
  <c r="H165" i="39" s="1"/>
  <c r="X165" i="39" s="1"/>
  <c r="U189" i="38"/>
  <c r="AA188" i="38"/>
  <c r="AB188" i="38" s="1"/>
  <c r="L175" i="28" s="1"/>
  <c r="T189" i="38"/>
  <c r="I189" i="38" s="1"/>
  <c r="H189" i="38" s="1"/>
  <c r="X189" i="38" s="1"/>
  <c r="AA169" i="37"/>
  <c r="AB169" i="37" s="1"/>
  <c r="K156" i="28" s="1"/>
  <c r="U170" i="37"/>
  <c r="T170" i="37"/>
  <c r="Z165" i="39" l="1"/>
  <c r="W165" i="39"/>
  <c r="G165" i="39"/>
  <c r="V165" i="39"/>
  <c r="Y165" i="39"/>
  <c r="J166" i="39"/>
  <c r="M166" i="39"/>
  <c r="P166" i="39"/>
  <c r="K166" i="39"/>
  <c r="Y189" i="38"/>
  <c r="Y170" i="37"/>
  <c r="I170" i="37"/>
  <c r="H170" i="37" s="1"/>
  <c r="X170" i="37" s="1"/>
  <c r="K190" i="38"/>
  <c r="P190" i="38"/>
  <c r="M190" i="38"/>
  <c r="W189" i="38"/>
  <c r="Z189" i="38"/>
  <c r="G189" i="38"/>
  <c r="C176" i="28" s="1"/>
  <c r="V189" i="38"/>
  <c r="P171" i="37" l="1"/>
  <c r="W170" i="37"/>
  <c r="AA165" i="39"/>
  <c r="AB165" i="39" s="1"/>
  <c r="U166" i="39"/>
  <c r="T166" i="39"/>
  <c r="V170" i="37"/>
  <c r="Z170" i="37"/>
  <c r="K171" i="37"/>
  <c r="M171" i="37"/>
  <c r="G170" i="37"/>
  <c r="B157" i="28" s="1"/>
  <c r="U190" i="38"/>
  <c r="AA189" i="38"/>
  <c r="AB189" i="38" s="1"/>
  <c r="L176" i="28" s="1"/>
  <c r="T190" i="38"/>
  <c r="J179" i="37"/>
  <c r="AA170" i="37" l="1"/>
  <c r="AB170" i="37" s="1"/>
  <c r="K157" i="28" s="1"/>
  <c r="U171" i="37"/>
  <c r="I166" i="39"/>
  <c r="H166" i="39" s="1"/>
  <c r="Y166" i="39" s="1"/>
  <c r="T171" i="37"/>
  <c r="I171" i="37" s="1"/>
  <c r="H171" i="37" s="1"/>
  <c r="X171" i="37" s="1"/>
  <c r="V190" i="38"/>
  <c r="Y190" i="38"/>
  <c r="W190" i="38"/>
  <c r="I190" i="38"/>
  <c r="H190" i="38" s="1"/>
  <c r="Z190" i="38" s="1"/>
  <c r="J180" i="37"/>
  <c r="Z166" i="39" l="1"/>
  <c r="P167" i="39"/>
  <c r="G166" i="39"/>
  <c r="X166" i="39"/>
  <c r="V166" i="39"/>
  <c r="M167" i="39"/>
  <c r="W166" i="39"/>
  <c r="K167" i="39"/>
  <c r="Y171" i="37"/>
  <c r="V171" i="37"/>
  <c r="K191" i="38"/>
  <c r="P191" i="38"/>
  <c r="G190" i="38"/>
  <c r="C177" i="28" s="1"/>
  <c r="M191" i="38"/>
  <c r="X190" i="38"/>
  <c r="AA190" i="38" s="1"/>
  <c r="AB190" i="38" s="1"/>
  <c r="L177" i="28" s="1"/>
  <c r="G171" i="37"/>
  <c r="B158" i="28" s="1"/>
  <c r="M172" i="37"/>
  <c r="P172" i="37"/>
  <c r="K172" i="37"/>
  <c r="W171" i="37"/>
  <c r="Z171" i="37"/>
  <c r="U167" i="39" l="1"/>
  <c r="AA166" i="39"/>
  <c r="AB166" i="39" s="1"/>
  <c r="T167" i="39"/>
  <c r="T191" i="38"/>
  <c r="U191" i="38"/>
  <c r="AA171" i="37"/>
  <c r="AB171" i="37" s="1"/>
  <c r="K158" i="28" s="1"/>
  <c r="T172" i="37"/>
  <c r="U172" i="37"/>
  <c r="I167" i="39" l="1"/>
  <c r="H167" i="39" s="1"/>
  <c r="W167" i="39" s="1"/>
  <c r="Y167" i="39"/>
  <c r="I191" i="38"/>
  <c r="H191" i="38" s="1"/>
  <c r="Y191" i="38"/>
  <c r="Y172" i="37"/>
  <c r="I172" i="37"/>
  <c r="H172" i="37" s="1"/>
  <c r="X172" i="37" s="1"/>
  <c r="J181" i="37"/>
  <c r="M168" i="39" l="1"/>
  <c r="G167" i="39"/>
  <c r="X167" i="39"/>
  <c r="K168" i="39"/>
  <c r="V167" i="39"/>
  <c r="Z167" i="39"/>
  <c r="P168" i="39"/>
  <c r="Z191" i="38"/>
  <c r="X191" i="38"/>
  <c r="V191" i="38"/>
  <c r="M192" i="38"/>
  <c r="K192" i="38"/>
  <c r="G191" i="38"/>
  <c r="C178" i="28" s="1"/>
  <c r="W191" i="38"/>
  <c r="P192" i="38"/>
  <c r="L173" i="37"/>
  <c r="P173" i="37"/>
  <c r="M173" i="37"/>
  <c r="V172" i="37"/>
  <c r="W172" i="37"/>
  <c r="G172" i="37"/>
  <c r="B159" i="28" s="1"/>
  <c r="K173" i="37"/>
  <c r="Z172" i="37"/>
  <c r="AA167" i="39" l="1"/>
  <c r="AB167" i="39" s="1"/>
  <c r="U168" i="39"/>
  <c r="T168" i="39"/>
  <c r="W168" i="39" s="1"/>
  <c r="AA191" i="38"/>
  <c r="AB191" i="38" s="1"/>
  <c r="L178" i="28" s="1"/>
  <c r="U192" i="38"/>
  <c r="T192" i="38"/>
  <c r="AA172" i="37"/>
  <c r="AB172" i="37" s="1"/>
  <c r="K159" i="28" s="1"/>
  <c r="T173" i="37"/>
  <c r="U173" i="37"/>
  <c r="V168" i="39" l="1"/>
  <c r="I168" i="39"/>
  <c r="H168" i="39" s="1"/>
  <c r="G168" i="39" s="1"/>
  <c r="Y168" i="39"/>
  <c r="Y192" i="38"/>
  <c r="I192" i="38"/>
  <c r="H192" i="38" s="1"/>
  <c r="I173" i="37"/>
  <c r="H173" i="37" s="1"/>
  <c r="Z173" i="37" s="1"/>
  <c r="Y173" i="37"/>
  <c r="K169" i="39" l="1"/>
  <c r="L169" i="39"/>
  <c r="X168" i="39"/>
  <c r="M169" i="39"/>
  <c r="P169" i="39"/>
  <c r="Z168" i="39"/>
  <c r="L193" i="38"/>
  <c r="P193" i="38"/>
  <c r="M193" i="38"/>
  <c r="K193" i="38"/>
  <c r="G192" i="38"/>
  <c r="C179" i="28" s="1"/>
  <c r="V192" i="38"/>
  <c r="W192" i="38"/>
  <c r="Z192" i="38"/>
  <c r="X192" i="38"/>
  <c r="G173" i="37"/>
  <c r="B160" i="28" s="1"/>
  <c r="K174" i="37"/>
  <c r="M174" i="37"/>
  <c r="P174" i="37"/>
  <c r="V173" i="37"/>
  <c r="W173" i="37"/>
  <c r="X173" i="37"/>
  <c r="U169" i="39" l="1"/>
  <c r="AA168" i="39"/>
  <c r="AB168" i="39" s="1"/>
  <c r="T169" i="39"/>
  <c r="Y169" i="39" s="1"/>
  <c r="U174" i="37"/>
  <c r="T193" i="38"/>
  <c r="AA192" i="38"/>
  <c r="AB192" i="38" s="1"/>
  <c r="L179" i="28" s="1"/>
  <c r="U193" i="38"/>
  <c r="AA173" i="37"/>
  <c r="AB173" i="37" s="1"/>
  <c r="K160" i="28" s="1"/>
  <c r="T174" i="37"/>
  <c r="I169" i="39" l="1"/>
  <c r="H169" i="39" s="1"/>
  <c r="K170" i="39" s="1"/>
  <c r="I174" i="37"/>
  <c r="H174" i="37" s="1"/>
  <c r="Z174" i="37" s="1"/>
  <c r="I193" i="38"/>
  <c r="H193" i="38" s="1"/>
  <c r="K194" i="38" s="1"/>
  <c r="Y174" i="37"/>
  <c r="Y193" i="38"/>
  <c r="W169" i="39" l="1"/>
  <c r="M170" i="39"/>
  <c r="Z169" i="39"/>
  <c r="P170" i="39"/>
  <c r="V169" i="39"/>
  <c r="G169" i="39"/>
  <c r="X169" i="39"/>
  <c r="V174" i="37"/>
  <c r="M175" i="37"/>
  <c r="K175" i="37"/>
  <c r="G174" i="37"/>
  <c r="B161" i="28" s="1"/>
  <c r="X174" i="37"/>
  <c r="P175" i="37"/>
  <c r="W174" i="37"/>
  <c r="G193" i="38"/>
  <c r="C180" i="28" s="1"/>
  <c r="W193" i="38"/>
  <c r="V193" i="38"/>
  <c r="M194" i="38"/>
  <c r="P194" i="38"/>
  <c r="X193" i="38"/>
  <c r="Z193" i="38"/>
  <c r="U170" i="39" l="1"/>
  <c r="AA169" i="39"/>
  <c r="AB169" i="39" s="1"/>
  <c r="T170" i="39"/>
  <c r="AA174" i="37"/>
  <c r="AB174" i="37" s="1"/>
  <c r="K161" i="28" s="1"/>
  <c r="T175" i="37"/>
  <c r="U175" i="37"/>
  <c r="U194" i="38"/>
  <c r="T194" i="38"/>
  <c r="AA193" i="38"/>
  <c r="AB193" i="38" s="1"/>
  <c r="L180" i="28" s="1"/>
  <c r="Y175" i="37" l="1"/>
  <c r="Y170" i="39"/>
  <c r="I170" i="39"/>
  <c r="H170" i="39" s="1"/>
  <c r="Z170" i="39" s="1"/>
  <c r="I175" i="37"/>
  <c r="H175" i="37" s="1"/>
  <c r="K176" i="37" s="1"/>
  <c r="Y194" i="38"/>
  <c r="I194" i="38"/>
  <c r="H194" i="38" s="1"/>
  <c r="K195" i="38" s="1"/>
  <c r="J185" i="37"/>
  <c r="W170" i="39" l="1"/>
  <c r="M171" i="39"/>
  <c r="X170" i="39"/>
  <c r="P171" i="39"/>
  <c r="G170" i="39"/>
  <c r="K171" i="39"/>
  <c r="V170" i="39"/>
  <c r="M176" i="37"/>
  <c r="U176" i="37" s="1"/>
  <c r="P176" i="37"/>
  <c r="G175" i="37"/>
  <c r="B162" i="28" s="1"/>
  <c r="Z175" i="37"/>
  <c r="V175" i="37"/>
  <c r="W175" i="37"/>
  <c r="X175" i="37"/>
  <c r="G194" i="38"/>
  <c r="C181" i="28" s="1"/>
  <c r="X194" i="38"/>
  <c r="W194" i="38"/>
  <c r="V194" i="38"/>
  <c r="M195" i="38"/>
  <c r="Z194" i="38"/>
  <c r="P195" i="38"/>
  <c r="T176" i="37" l="1"/>
  <c r="AA175" i="37"/>
  <c r="AB175" i="37" s="1"/>
  <c r="K162" i="28" s="1"/>
  <c r="AA170" i="39"/>
  <c r="AB170" i="39" s="1"/>
  <c r="T171" i="39"/>
  <c r="U171" i="39"/>
  <c r="U195" i="38"/>
  <c r="AA194" i="38"/>
  <c r="AB194" i="38" s="1"/>
  <c r="L181" i="28" s="1"/>
  <c r="T195" i="38"/>
  <c r="Y176" i="37"/>
  <c r="I176" i="37"/>
  <c r="H176" i="37" s="1"/>
  <c r="X176" i="37" s="1"/>
  <c r="I171" i="39" l="1"/>
  <c r="H171" i="39" s="1"/>
  <c r="W171" i="39" s="1"/>
  <c r="Y171" i="39"/>
  <c r="M172" i="39"/>
  <c r="X171" i="39"/>
  <c r="I195" i="38"/>
  <c r="H195" i="38" s="1"/>
  <c r="G195" i="38" s="1"/>
  <c r="C182" i="28" s="1"/>
  <c r="Y195" i="38"/>
  <c r="K196" i="38"/>
  <c r="Z176" i="37"/>
  <c r="V176" i="37"/>
  <c r="W176" i="37"/>
  <c r="P177" i="37"/>
  <c r="L177" i="37"/>
  <c r="G176" i="37"/>
  <c r="B163" i="28" s="1"/>
  <c r="K177" i="37"/>
  <c r="M177" i="37"/>
  <c r="P172" i="39" l="1"/>
  <c r="Z171" i="39"/>
  <c r="G171" i="39"/>
  <c r="V171" i="39"/>
  <c r="AA171" i="39" s="1"/>
  <c r="AB171" i="39" s="1"/>
  <c r="K172" i="39"/>
  <c r="U172" i="39" s="1"/>
  <c r="Z195" i="38"/>
  <c r="W195" i="38"/>
  <c r="M196" i="38"/>
  <c r="V195" i="38"/>
  <c r="X195" i="38"/>
  <c r="P196" i="38"/>
  <c r="T177" i="37"/>
  <c r="U177" i="37"/>
  <c r="AA176" i="37"/>
  <c r="AB176" i="37" s="1"/>
  <c r="K163" i="28" s="1"/>
  <c r="J186" i="37"/>
  <c r="T172" i="39" l="1"/>
  <c r="I172" i="39" s="1"/>
  <c r="H172" i="39" s="1"/>
  <c r="G172" i="39" s="1"/>
  <c r="T196" i="38"/>
  <c r="AA195" i="38"/>
  <c r="AB195" i="38" s="1"/>
  <c r="L182" i="28" s="1"/>
  <c r="U196" i="38"/>
  <c r="I196" i="38" s="1"/>
  <c r="H196" i="38" s="1"/>
  <c r="Y177" i="37"/>
  <c r="I177" i="37"/>
  <c r="H177" i="37" s="1"/>
  <c r="Y172" i="39" l="1"/>
  <c r="L173" i="39"/>
  <c r="X172" i="39"/>
  <c r="P173" i="39"/>
  <c r="Z172" i="39"/>
  <c r="K173" i="39"/>
  <c r="V172" i="39"/>
  <c r="W172" i="39"/>
  <c r="M173" i="39"/>
  <c r="Y196" i="38"/>
  <c r="X196" i="38"/>
  <c r="K197" i="38"/>
  <c r="V196" i="38"/>
  <c r="M197" i="38"/>
  <c r="L197" i="38"/>
  <c r="P197" i="38"/>
  <c r="G196" i="38"/>
  <c r="C183" i="28" s="1"/>
  <c r="Z196" i="38"/>
  <c r="W196" i="38"/>
  <c r="X177" i="37"/>
  <c r="V177" i="37"/>
  <c r="Z177" i="37"/>
  <c r="W177" i="37"/>
  <c r="P178" i="37"/>
  <c r="M178" i="37"/>
  <c r="G177" i="37"/>
  <c r="B164" i="28" s="1"/>
  <c r="K178" i="37"/>
  <c r="U173" i="39" l="1"/>
  <c r="AA172" i="39"/>
  <c r="AB172" i="39" s="1"/>
  <c r="T173" i="39"/>
  <c r="U197" i="38"/>
  <c r="AA196" i="38"/>
  <c r="AB196" i="38" s="1"/>
  <c r="L183" i="28" s="1"/>
  <c r="T197" i="38"/>
  <c r="I197" i="38" s="1"/>
  <c r="H197" i="38" s="1"/>
  <c r="Z197" i="38" s="1"/>
  <c r="T178" i="37"/>
  <c r="U178" i="37"/>
  <c r="AA177" i="37"/>
  <c r="AB177" i="37" s="1"/>
  <c r="K164" i="28" s="1"/>
  <c r="Y173" i="39" l="1"/>
  <c r="I173" i="39"/>
  <c r="H173" i="39" s="1"/>
  <c r="W173" i="39" s="1"/>
  <c r="Y197" i="38"/>
  <c r="M198" i="38"/>
  <c r="P198" i="38"/>
  <c r="V197" i="38"/>
  <c r="X197" i="38"/>
  <c r="G197" i="38"/>
  <c r="C184" i="28" s="1"/>
  <c r="W197" i="38"/>
  <c r="K198" i="38"/>
  <c r="I178" i="37"/>
  <c r="H178" i="37" s="1"/>
  <c r="X178" i="37" s="1"/>
  <c r="Y178" i="37"/>
  <c r="J188" i="37"/>
  <c r="P174" i="39" l="1"/>
  <c r="V173" i="39"/>
  <c r="Z173" i="39"/>
  <c r="K174" i="39"/>
  <c r="M174" i="39"/>
  <c r="X173" i="39"/>
  <c r="G173" i="39"/>
  <c r="AA197" i="38"/>
  <c r="AB197" i="38" s="1"/>
  <c r="L184" i="28" s="1"/>
  <c r="T198" i="38"/>
  <c r="W198" i="38" s="1"/>
  <c r="U198" i="38"/>
  <c r="I198" i="38" s="1"/>
  <c r="H198" i="38" s="1"/>
  <c r="Z198" i="38" s="1"/>
  <c r="V198" i="38"/>
  <c r="K179" i="37"/>
  <c r="G178" i="37"/>
  <c r="B165" i="28" s="1"/>
  <c r="W178" i="37"/>
  <c r="V178" i="37"/>
  <c r="M179" i="37"/>
  <c r="P179" i="37"/>
  <c r="Z178" i="37"/>
  <c r="U174" i="39" l="1"/>
  <c r="AA173" i="39"/>
  <c r="AB173" i="39" s="1"/>
  <c r="T174" i="39"/>
  <c r="M199" i="38"/>
  <c r="K199" i="38"/>
  <c r="U199" i="38" s="1"/>
  <c r="G198" i="38"/>
  <c r="C185" i="28" s="1"/>
  <c r="P199" i="38"/>
  <c r="X198" i="38"/>
  <c r="Y198" i="38"/>
  <c r="AA178" i="37"/>
  <c r="AB178" i="37" s="1"/>
  <c r="K165" i="28" s="1"/>
  <c r="T179" i="37"/>
  <c r="U179" i="37"/>
  <c r="J189" i="37"/>
  <c r="T199" i="38" l="1"/>
  <c r="AA198" i="38"/>
  <c r="AB198" i="38" s="1"/>
  <c r="L185" i="28" s="1"/>
  <c r="Y174" i="39"/>
  <c r="I174" i="39"/>
  <c r="H174" i="39" s="1"/>
  <c r="M175" i="39" s="1"/>
  <c r="I199" i="38"/>
  <c r="H199" i="38" s="1"/>
  <c r="X199" i="38" s="1"/>
  <c r="Y199" i="38"/>
  <c r="Y179" i="37"/>
  <c r="I179" i="37"/>
  <c r="H179" i="37" s="1"/>
  <c r="P180" i="37" s="1"/>
  <c r="Z174" i="39" l="1"/>
  <c r="V174" i="39"/>
  <c r="P175" i="39"/>
  <c r="K175" i="39"/>
  <c r="W174" i="39"/>
  <c r="X174" i="39"/>
  <c r="G174" i="39"/>
  <c r="V199" i="38"/>
  <c r="W199" i="38"/>
  <c r="Z199" i="38"/>
  <c r="P200" i="38"/>
  <c r="M200" i="38"/>
  <c r="K200" i="38"/>
  <c r="G199" i="38"/>
  <c r="C186" i="28" s="1"/>
  <c r="V179" i="37"/>
  <c r="W179" i="37"/>
  <c r="Z179" i="37"/>
  <c r="X179" i="37"/>
  <c r="K180" i="37"/>
  <c r="G179" i="37"/>
  <c r="B166" i="28" s="1"/>
  <c r="M180" i="37"/>
  <c r="U175" i="39" l="1"/>
  <c r="T175" i="39"/>
  <c r="AA174" i="39"/>
  <c r="AB174" i="39" s="1"/>
  <c r="AA199" i="38"/>
  <c r="AB199" i="38" s="1"/>
  <c r="L186" i="28" s="1"/>
  <c r="U200" i="38"/>
  <c r="T200" i="38"/>
  <c r="AA179" i="37"/>
  <c r="AB179" i="37" s="1"/>
  <c r="K166" i="28" s="1"/>
  <c r="T180" i="37"/>
  <c r="U180" i="37"/>
  <c r="J190" i="37"/>
  <c r="I175" i="39" l="1"/>
  <c r="H175" i="39" s="1"/>
  <c r="K176" i="39" s="1"/>
  <c r="Y175" i="39"/>
  <c r="Y200" i="38"/>
  <c r="I200" i="38"/>
  <c r="H200" i="38" s="1"/>
  <c r="L201" i="38" s="1"/>
  <c r="I180" i="37"/>
  <c r="H180" i="37" s="1"/>
  <c r="W180" i="37" s="1"/>
  <c r="Y180" i="37"/>
  <c r="M176" i="39" l="1"/>
  <c r="Z175" i="39"/>
  <c r="V175" i="39"/>
  <c r="P176" i="39"/>
  <c r="X175" i="39"/>
  <c r="G175" i="39"/>
  <c r="W175" i="39"/>
  <c r="W200" i="38"/>
  <c r="Z200" i="38"/>
  <c r="V200" i="38"/>
  <c r="K201" i="38"/>
  <c r="M201" i="38"/>
  <c r="X200" i="38"/>
  <c r="G200" i="38"/>
  <c r="C187" i="28" s="1"/>
  <c r="P201" i="38"/>
  <c r="K181" i="37"/>
  <c r="L181" i="37"/>
  <c r="P181" i="37"/>
  <c r="M181" i="37"/>
  <c r="Z180" i="37"/>
  <c r="G180" i="37"/>
  <c r="B167" i="28" s="1"/>
  <c r="V180" i="37"/>
  <c r="X180" i="37"/>
  <c r="U176" i="39" l="1"/>
  <c r="AA175" i="39"/>
  <c r="AB175" i="39" s="1"/>
  <c r="T176" i="39"/>
  <c r="U201" i="38"/>
  <c r="AA200" i="38"/>
  <c r="AB200" i="38" s="1"/>
  <c r="L187" i="28" s="1"/>
  <c r="T201" i="38"/>
  <c r="T181" i="37"/>
  <c r="AA180" i="37"/>
  <c r="AB180" i="37" s="1"/>
  <c r="K167" i="28" s="1"/>
  <c r="U181" i="37"/>
  <c r="J191" i="37"/>
  <c r="Y176" i="39" l="1"/>
  <c r="I176" i="39"/>
  <c r="H176" i="39" s="1"/>
  <c r="V176" i="39" s="1"/>
  <c r="Y201" i="38"/>
  <c r="I201" i="38"/>
  <c r="H201" i="38" s="1"/>
  <c r="Z201" i="38" s="1"/>
  <c r="I181" i="37"/>
  <c r="H181" i="37" s="1"/>
  <c r="X181" i="37" s="1"/>
  <c r="Y181" i="37"/>
  <c r="P177" i="39" l="1"/>
  <c r="M177" i="39"/>
  <c r="Z176" i="39"/>
  <c r="W176" i="39"/>
  <c r="L177" i="39"/>
  <c r="K177" i="39"/>
  <c r="X176" i="39"/>
  <c r="G176" i="39"/>
  <c r="V201" i="38"/>
  <c r="X201" i="38"/>
  <c r="P202" i="38"/>
  <c r="K202" i="38"/>
  <c r="W201" i="38"/>
  <c r="M202" i="38"/>
  <c r="G201" i="38"/>
  <c r="C188" i="28" s="1"/>
  <c r="W181" i="37"/>
  <c r="V181" i="37"/>
  <c r="P182" i="37"/>
  <c r="G181" i="37"/>
  <c r="B168" i="28" s="1"/>
  <c r="Z181" i="37"/>
  <c r="M182" i="37"/>
  <c r="K182" i="37"/>
  <c r="AA176" i="39" l="1"/>
  <c r="AB176" i="39" s="1"/>
  <c r="T177" i="39"/>
  <c r="U177" i="39"/>
  <c r="U202" i="38"/>
  <c r="AA201" i="38"/>
  <c r="AB201" i="38" s="1"/>
  <c r="L188" i="28" s="1"/>
  <c r="T202" i="38"/>
  <c r="I202" i="38" s="1"/>
  <c r="H202" i="38" s="1"/>
  <c r="AA181" i="37"/>
  <c r="AB181" i="37" s="1"/>
  <c r="K168" i="28" s="1"/>
  <c r="U182" i="37"/>
  <c r="T182" i="37"/>
  <c r="Y177" i="39" l="1"/>
  <c r="I177" i="39"/>
  <c r="H177" i="39" s="1"/>
  <c r="Z177" i="39" s="1"/>
  <c r="Y202" i="38"/>
  <c r="G202" i="38"/>
  <c r="C189" i="28" s="1"/>
  <c r="K203" i="38"/>
  <c r="P203" i="38"/>
  <c r="M203" i="38"/>
  <c r="W202" i="38"/>
  <c r="V202" i="38"/>
  <c r="X202" i="38"/>
  <c r="Z202" i="38"/>
  <c r="Y182" i="37"/>
  <c r="I182" i="37"/>
  <c r="H182" i="37" s="1"/>
  <c r="Z182" i="37" s="1"/>
  <c r="J192" i="37"/>
  <c r="P178" i="39" l="1"/>
  <c r="V177" i="39"/>
  <c r="M178" i="39"/>
  <c r="W177" i="39"/>
  <c r="X177" i="39"/>
  <c r="K178" i="39"/>
  <c r="G177" i="39"/>
  <c r="T203" i="38"/>
  <c r="AA202" i="38"/>
  <c r="AB202" i="38" s="1"/>
  <c r="L189" i="28" s="1"/>
  <c r="U203" i="38"/>
  <c r="K183" i="37"/>
  <c r="P183" i="37"/>
  <c r="G182" i="37"/>
  <c r="B169" i="28" s="1"/>
  <c r="X182" i="37"/>
  <c r="W182" i="37"/>
  <c r="M183" i="37"/>
  <c r="V182" i="37"/>
  <c r="I203" i="38" l="1"/>
  <c r="H203" i="38" s="1"/>
  <c r="Z203" i="38" s="1"/>
  <c r="T178" i="39"/>
  <c r="AA177" i="39"/>
  <c r="AB177" i="39" s="1"/>
  <c r="U178" i="39"/>
  <c r="U183" i="37"/>
  <c r="V203" i="38"/>
  <c r="X203" i="38"/>
  <c r="W203" i="38"/>
  <c r="M204" i="38"/>
  <c r="G203" i="38"/>
  <c r="C190" i="28" s="1"/>
  <c r="P204" i="38"/>
  <c r="K204" i="38"/>
  <c r="Y203" i="38"/>
  <c r="AA182" i="37"/>
  <c r="AB182" i="37" s="1"/>
  <c r="K169" i="28" s="1"/>
  <c r="T183" i="37"/>
  <c r="I178" i="39" l="1"/>
  <c r="H178" i="39" s="1"/>
  <c r="K179" i="39" s="1"/>
  <c r="Y178" i="39"/>
  <c r="Y183" i="37"/>
  <c r="I183" i="37"/>
  <c r="H183" i="37" s="1"/>
  <c r="G183" i="37" s="1"/>
  <c r="B170" i="28" s="1"/>
  <c r="T204" i="38"/>
  <c r="U204" i="38"/>
  <c r="AA203" i="38"/>
  <c r="AB203" i="38" s="1"/>
  <c r="L190" i="28" s="1"/>
  <c r="V178" i="39" l="1"/>
  <c r="X178" i="39"/>
  <c r="G178" i="39"/>
  <c r="Z178" i="39"/>
  <c r="W178" i="39"/>
  <c r="M179" i="39"/>
  <c r="P179" i="39"/>
  <c r="I204" i="38"/>
  <c r="H204" i="38" s="1"/>
  <c r="X204" i="38" s="1"/>
  <c r="X183" i="37"/>
  <c r="P184" i="37"/>
  <c r="Z183" i="37"/>
  <c r="W183" i="37"/>
  <c r="V183" i="37"/>
  <c r="K184" i="37"/>
  <c r="M184" i="37"/>
  <c r="Y204" i="38"/>
  <c r="J193" i="37"/>
  <c r="M205" i="38" l="1"/>
  <c r="Z204" i="38"/>
  <c r="G204" i="38"/>
  <c r="C191" i="28" s="1"/>
  <c r="U179" i="39"/>
  <c r="T179" i="39"/>
  <c r="AA178" i="39"/>
  <c r="AB178" i="39" s="1"/>
  <c r="K205" i="38"/>
  <c r="L205" i="38"/>
  <c r="W204" i="38"/>
  <c r="U184" i="37"/>
  <c r="V204" i="38"/>
  <c r="P205" i="38"/>
  <c r="T184" i="37"/>
  <c r="AA183" i="37"/>
  <c r="AB183" i="37" s="1"/>
  <c r="K170" i="28" s="1"/>
  <c r="I179" i="39" l="1"/>
  <c r="H179" i="39" s="1"/>
  <c r="M180" i="39" s="1"/>
  <c r="Y179" i="39"/>
  <c r="U205" i="38"/>
  <c r="AA204" i="38"/>
  <c r="AB204" i="38" s="1"/>
  <c r="L191" i="28" s="1"/>
  <c r="I184" i="37"/>
  <c r="H184" i="37" s="1"/>
  <c r="X184" i="37" s="1"/>
  <c r="T205" i="38"/>
  <c r="Y205" i="38" l="1"/>
  <c r="X179" i="39"/>
  <c r="V179" i="39"/>
  <c r="K180" i="39"/>
  <c r="Z179" i="39"/>
  <c r="P180" i="39"/>
  <c r="U180" i="39" s="1"/>
  <c r="W179" i="39"/>
  <c r="G179" i="39"/>
  <c r="M185" i="37"/>
  <c r="G184" i="37"/>
  <c r="B171" i="28" s="1"/>
  <c r="Z184" i="37"/>
  <c r="P185" i="37"/>
  <c r="V184" i="37"/>
  <c r="W184" i="37"/>
  <c r="Y184" i="37"/>
  <c r="L185" i="37"/>
  <c r="K185" i="37"/>
  <c r="I205" i="38"/>
  <c r="H205" i="38" s="1"/>
  <c r="Z205" i="38" s="1"/>
  <c r="J194" i="37"/>
  <c r="AA179" i="39" l="1"/>
  <c r="AB179" i="39" s="1"/>
  <c r="T180" i="39"/>
  <c r="Y180" i="39" s="1"/>
  <c r="U185" i="37"/>
  <c r="AA184" i="37"/>
  <c r="AB184" i="37" s="1"/>
  <c r="K171" i="28" s="1"/>
  <c r="V205" i="38"/>
  <c r="T185" i="37"/>
  <c r="M206" i="38"/>
  <c r="X205" i="38"/>
  <c r="P206" i="38"/>
  <c r="G205" i="38"/>
  <c r="C192" i="28" s="1"/>
  <c r="K206" i="38"/>
  <c r="W205" i="38"/>
  <c r="I185" i="37" l="1"/>
  <c r="H185" i="37" s="1"/>
  <c r="X185" i="37" s="1"/>
  <c r="I180" i="39"/>
  <c r="H180" i="39" s="1"/>
  <c r="Z180" i="39" s="1"/>
  <c r="T206" i="38"/>
  <c r="AA205" i="38"/>
  <c r="AB205" i="38" s="1"/>
  <c r="L192" i="28" s="1"/>
  <c r="U206" i="38"/>
  <c r="I206" i="38" s="1"/>
  <c r="H206" i="38" s="1"/>
  <c r="Y185" i="37"/>
  <c r="Z185" i="37"/>
  <c r="W185" i="37"/>
  <c r="V185" i="37"/>
  <c r="P186" i="37"/>
  <c r="G185" i="37"/>
  <c r="B172" i="28" s="1"/>
  <c r="M186" i="37"/>
  <c r="K186" i="37"/>
  <c r="J195" i="37"/>
  <c r="V180" i="39" l="1"/>
  <c r="K181" i="39"/>
  <c r="P181" i="39"/>
  <c r="G180" i="39"/>
  <c r="W180" i="39"/>
  <c r="X180" i="39"/>
  <c r="L181" i="39"/>
  <c r="M181" i="39"/>
  <c r="T181" i="39" s="1"/>
  <c r="Y206" i="38"/>
  <c r="X206" i="38"/>
  <c r="Z206" i="38"/>
  <c r="W206" i="38"/>
  <c r="P207" i="38"/>
  <c r="G206" i="38"/>
  <c r="C193" i="28" s="1"/>
  <c r="M207" i="38"/>
  <c r="K207" i="38"/>
  <c r="V206" i="38"/>
  <c r="T186" i="37"/>
  <c r="U186" i="37"/>
  <c r="AA185" i="37"/>
  <c r="AB185" i="37" s="1"/>
  <c r="K172" i="28" s="1"/>
  <c r="AA180" i="39" l="1"/>
  <c r="AB180" i="39" s="1"/>
  <c r="U181" i="39"/>
  <c r="Y181" i="39" s="1"/>
  <c r="AA206" i="38"/>
  <c r="AB206" i="38" s="1"/>
  <c r="L193" i="28" s="1"/>
  <c r="T207" i="38"/>
  <c r="U207" i="38"/>
  <c r="Y186" i="37"/>
  <c r="I186" i="37"/>
  <c r="H186" i="37" s="1"/>
  <c r="Z186" i="37" s="1"/>
  <c r="I181" i="39" l="1"/>
  <c r="H181" i="39" s="1"/>
  <c r="V181" i="39" s="1"/>
  <c r="I207" i="38"/>
  <c r="H207" i="38" s="1"/>
  <c r="X207" i="38" s="1"/>
  <c r="Y207" i="38"/>
  <c r="Z207" i="38"/>
  <c r="W186" i="37"/>
  <c r="X186" i="37"/>
  <c r="V186" i="37"/>
  <c r="P187" i="37"/>
  <c r="K187" i="37"/>
  <c r="M187" i="37"/>
  <c r="J187" i="37"/>
  <c r="G186" i="37"/>
  <c r="B173" i="28" s="1"/>
  <c r="J196" i="37"/>
  <c r="W181" i="39" l="1"/>
  <c r="K182" i="39"/>
  <c r="X181" i="39"/>
  <c r="Z181" i="39"/>
  <c r="M182" i="39"/>
  <c r="G181" i="39"/>
  <c r="P182" i="39"/>
  <c r="P208" i="38"/>
  <c r="M208" i="38"/>
  <c r="K208" i="38"/>
  <c r="G207" i="38"/>
  <c r="C194" i="28" s="1"/>
  <c r="V207" i="38"/>
  <c r="AA207" i="38" s="1"/>
  <c r="AB207" i="38" s="1"/>
  <c r="L194" i="28" s="1"/>
  <c r="W207" i="38"/>
  <c r="T187" i="37"/>
  <c r="V187" i="37" s="1"/>
  <c r="U187" i="37"/>
  <c r="AA186" i="37"/>
  <c r="AB186" i="37" s="1"/>
  <c r="K173" i="28" s="1"/>
  <c r="U208" i="38" l="1"/>
  <c r="U182" i="39"/>
  <c r="AA181" i="39"/>
  <c r="AB181" i="39" s="1"/>
  <c r="T182" i="39"/>
  <c r="Y182" i="39" s="1"/>
  <c r="T208" i="38"/>
  <c r="Y208" i="38"/>
  <c r="I208" i="38"/>
  <c r="H208" i="38" s="1"/>
  <c r="W187" i="37"/>
  <c r="I187" i="37"/>
  <c r="H187" i="37" s="1"/>
  <c r="X187" i="37" s="1"/>
  <c r="J197" i="37"/>
  <c r="I182" i="39" l="1"/>
  <c r="H182" i="39" s="1"/>
  <c r="M183" i="39" s="1"/>
  <c r="P183" i="39"/>
  <c r="X182" i="39"/>
  <c r="Z182" i="39"/>
  <c r="P209" i="38"/>
  <c r="Z208" i="38"/>
  <c r="K209" i="38"/>
  <c r="L209" i="38"/>
  <c r="V208" i="38"/>
  <c r="M209" i="38"/>
  <c r="W208" i="38"/>
  <c r="G208" i="38"/>
  <c r="C195" i="28" s="1"/>
  <c r="X208" i="38"/>
  <c r="Y187" i="37"/>
  <c r="Z187" i="37"/>
  <c r="P188" i="37"/>
  <c r="M188" i="37"/>
  <c r="G187" i="37"/>
  <c r="B174" i="28" s="1"/>
  <c r="K188" i="37"/>
  <c r="G182" i="39" l="1"/>
  <c r="V182" i="39"/>
  <c r="W182" i="39"/>
  <c r="K183" i="39"/>
  <c r="T183" i="39" s="1"/>
  <c r="AA208" i="38"/>
  <c r="AB208" i="38" s="1"/>
  <c r="L195" i="28" s="1"/>
  <c r="U209" i="38"/>
  <c r="T209" i="38"/>
  <c r="T188" i="37"/>
  <c r="U188" i="37"/>
  <c r="AA187" i="37"/>
  <c r="AB187" i="37" s="1"/>
  <c r="K174" i="28" s="1"/>
  <c r="AA182" i="39" l="1"/>
  <c r="AB182" i="39" s="1"/>
  <c r="U183" i="39"/>
  <c r="Y183" i="39" s="1"/>
  <c r="Y209" i="38"/>
  <c r="I209" i="38"/>
  <c r="H209" i="38" s="1"/>
  <c r="Y188" i="37"/>
  <c r="I188" i="37"/>
  <c r="H188" i="37" s="1"/>
  <c r="Z188" i="37" s="1"/>
  <c r="J198" i="37"/>
  <c r="I183" i="39" l="1"/>
  <c r="H183" i="39" s="1"/>
  <c r="Z183" i="39" s="1"/>
  <c r="W183" i="39"/>
  <c r="K184" i="39"/>
  <c r="P184" i="39"/>
  <c r="G183" i="39"/>
  <c r="X183" i="39"/>
  <c r="M184" i="39"/>
  <c r="W209" i="38"/>
  <c r="V209" i="38"/>
  <c r="K210" i="38"/>
  <c r="G209" i="38"/>
  <c r="C196" i="28" s="1"/>
  <c r="M210" i="38"/>
  <c r="X209" i="38"/>
  <c r="Z209" i="38"/>
  <c r="P210" i="38"/>
  <c r="X188" i="37"/>
  <c r="V188" i="37"/>
  <c r="W188" i="37"/>
  <c r="P189" i="37"/>
  <c r="G188" i="37"/>
  <c r="B175" i="28" s="1"/>
  <c r="K189" i="37"/>
  <c r="M189" i="37"/>
  <c r="L189" i="37"/>
  <c r="V183" i="39" l="1"/>
  <c r="U184" i="39"/>
  <c r="AA183" i="39"/>
  <c r="AB183" i="39" s="1"/>
  <c r="T184" i="39"/>
  <c r="U210" i="38"/>
  <c r="AA209" i="38"/>
  <c r="AB209" i="38" s="1"/>
  <c r="L196" i="28" s="1"/>
  <c r="T210" i="38"/>
  <c r="T189" i="37"/>
  <c r="U189" i="37"/>
  <c r="AA188" i="37"/>
  <c r="AB188" i="37" s="1"/>
  <c r="K175" i="28" s="1"/>
  <c r="Y210" i="38" l="1"/>
  <c r="I184" i="39"/>
  <c r="H184" i="39" s="1"/>
  <c r="V184" i="39" s="1"/>
  <c r="I210" i="38"/>
  <c r="H210" i="38" s="1"/>
  <c r="I189" i="37"/>
  <c r="H189" i="37" s="1"/>
  <c r="X189" i="37" s="1"/>
  <c r="Y184" i="39" l="1"/>
  <c r="P185" i="39"/>
  <c r="L185" i="39"/>
  <c r="X184" i="39"/>
  <c r="M185" i="39"/>
  <c r="Z184" i="39"/>
  <c r="G184" i="39"/>
  <c r="K185" i="39"/>
  <c r="W184" i="39"/>
  <c r="Z210" i="38"/>
  <c r="X210" i="38"/>
  <c r="G210" i="38"/>
  <c r="C197" i="28" s="1"/>
  <c r="P211" i="38"/>
  <c r="K211" i="38"/>
  <c r="M211" i="38"/>
  <c r="W210" i="38"/>
  <c r="V210" i="38"/>
  <c r="Y189" i="37"/>
  <c r="Z189" i="37"/>
  <c r="V189" i="37"/>
  <c r="W189" i="37"/>
  <c r="P190" i="37"/>
  <c r="M190" i="37"/>
  <c r="G189" i="37"/>
  <c r="B176" i="28" s="1"/>
  <c r="K190" i="37"/>
  <c r="J199" i="37"/>
  <c r="AA184" i="39" l="1"/>
  <c r="AB184" i="39" s="1"/>
  <c r="T185" i="39"/>
  <c r="U185" i="39"/>
  <c r="AA210" i="38"/>
  <c r="AB210" i="38" s="1"/>
  <c r="L197" i="28" s="1"/>
  <c r="T211" i="38"/>
  <c r="U211" i="38"/>
  <c r="Y211" i="38" s="1"/>
  <c r="T190" i="37"/>
  <c r="W190" i="37" s="1"/>
  <c r="U190" i="37"/>
  <c r="AA189" i="37"/>
  <c r="AB189" i="37" s="1"/>
  <c r="K176" i="28" s="1"/>
  <c r="I185" i="39" l="1"/>
  <c r="H185" i="39" s="1"/>
  <c r="Y185" i="39" s="1"/>
  <c r="I211" i="38"/>
  <c r="H211" i="38" s="1"/>
  <c r="V190" i="37"/>
  <c r="I190" i="37"/>
  <c r="H190" i="37" s="1"/>
  <c r="X190" i="37" s="1"/>
  <c r="X185" i="39" l="1"/>
  <c r="M186" i="39"/>
  <c r="Z185" i="39"/>
  <c r="K186" i="39"/>
  <c r="G185" i="39"/>
  <c r="V185" i="39"/>
  <c r="P186" i="39"/>
  <c r="W185" i="39"/>
  <c r="J212" i="38"/>
  <c r="Z211" i="38"/>
  <c r="X211" i="38"/>
  <c r="K212" i="38"/>
  <c r="M212" i="38"/>
  <c r="G211" i="38"/>
  <c r="C198" i="28" s="1"/>
  <c r="P212" i="38"/>
  <c r="V211" i="38"/>
  <c r="W211" i="38"/>
  <c r="Y190" i="37"/>
  <c r="Z190" i="37"/>
  <c r="P191" i="37"/>
  <c r="M191" i="37"/>
  <c r="K191" i="37"/>
  <c r="G190" i="37"/>
  <c r="B177" i="28" s="1"/>
  <c r="J200" i="37"/>
  <c r="T186" i="39" l="1"/>
  <c r="AA185" i="39"/>
  <c r="AB185" i="39" s="1"/>
  <c r="U186" i="39"/>
  <c r="AA211" i="38"/>
  <c r="AB211" i="38" s="1"/>
  <c r="L198" i="28" s="1"/>
  <c r="T212" i="38"/>
  <c r="U212" i="38"/>
  <c r="AA190" i="37"/>
  <c r="AB190" i="37" s="1"/>
  <c r="K177" i="28" s="1"/>
  <c r="T191" i="37"/>
  <c r="U191" i="37"/>
  <c r="I186" i="39" l="1"/>
  <c r="H186" i="39" s="1"/>
  <c r="V186" i="39" s="1"/>
  <c r="Y186" i="39"/>
  <c r="G186" i="39"/>
  <c r="P187" i="39"/>
  <c r="J187" i="39"/>
  <c r="X186" i="39"/>
  <c r="M187" i="39"/>
  <c r="Z186" i="39"/>
  <c r="I212" i="38"/>
  <c r="H212" i="38" s="1"/>
  <c r="X212" i="38" s="1"/>
  <c r="W212" i="38"/>
  <c r="V212" i="38"/>
  <c r="Y191" i="37"/>
  <c r="I191" i="37"/>
  <c r="H191" i="37" s="1"/>
  <c r="J201" i="37"/>
  <c r="Y212" i="38" l="1"/>
  <c r="K187" i="39"/>
  <c r="T187" i="39" s="1"/>
  <c r="W187" i="39" s="1"/>
  <c r="W186" i="39"/>
  <c r="AA186" i="39" s="1"/>
  <c r="AB186" i="39" s="1"/>
  <c r="U187" i="39"/>
  <c r="Z212" i="38"/>
  <c r="AA212" i="38" s="1"/>
  <c r="AB212" i="38" s="1"/>
  <c r="L199" i="28" s="1"/>
  <c r="K213" i="38"/>
  <c r="M213" i="38"/>
  <c r="L213" i="38"/>
  <c r="G212" i="38"/>
  <c r="C199" i="28" s="1"/>
  <c r="P213" i="38"/>
  <c r="X191" i="37"/>
  <c r="V191" i="37"/>
  <c r="W191" i="37"/>
  <c r="Z191" i="37"/>
  <c r="K192" i="37"/>
  <c r="P192" i="37"/>
  <c r="M192" i="37"/>
  <c r="G191" i="37"/>
  <c r="B178" i="28" s="1"/>
  <c r="V187" i="39" l="1"/>
  <c r="I187" i="39"/>
  <c r="H187" i="39" s="1"/>
  <c r="G187" i="39" s="1"/>
  <c r="T213" i="38"/>
  <c r="U213" i="38"/>
  <c r="T192" i="37"/>
  <c r="U192" i="37"/>
  <c r="AA191" i="37"/>
  <c r="AB191" i="37" s="1"/>
  <c r="K178" i="28" s="1"/>
  <c r="Z187" i="39" l="1"/>
  <c r="K188" i="39"/>
  <c r="Y187" i="39"/>
  <c r="P188" i="39"/>
  <c r="M188" i="39"/>
  <c r="X187" i="39"/>
  <c r="I213" i="38"/>
  <c r="H213" i="38" s="1"/>
  <c r="P214" i="38" s="1"/>
  <c r="V213" i="38"/>
  <c r="W213" i="38"/>
  <c r="Z213" i="38"/>
  <c r="Y192" i="37"/>
  <c r="I192" i="37"/>
  <c r="H192" i="37" s="1"/>
  <c r="X192" i="37" s="1"/>
  <c r="J202" i="37"/>
  <c r="Y213" i="38" l="1"/>
  <c r="X213" i="38"/>
  <c r="M214" i="38"/>
  <c r="G213" i="38"/>
  <c r="C200" i="28" s="1"/>
  <c r="K214" i="38"/>
  <c r="T214" i="38" s="1"/>
  <c r="AA187" i="39"/>
  <c r="AB187" i="39" s="1"/>
  <c r="U188" i="39"/>
  <c r="T188" i="39"/>
  <c r="AA213" i="38"/>
  <c r="AB213" i="38" s="1"/>
  <c r="L200" i="28" s="1"/>
  <c r="Z192" i="37"/>
  <c r="W192" i="37"/>
  <c r="V192" i="37"/>
  <c r="K193" i="37"/>
  <c r="P193" i="37"/>
  <c r="G192" i="37"/>
  <c r="B179" i="28" s="1"/>
  <c r="L193" i="37"/>
  <c r="M193" i="37"/>
  <c r="U214" i="38" l="1"/>
  <c r="Y188" i="39"/>
  <c r="I188" i="39"/>
  <c r="H188" i="39" s="1"/>
  <c r="G188" i="39" s="1"/>
  <c r="I214" i="38"/>
  <c r="H214" i="38" s="1"/>
  <c r="W214" i="38" s="1"/>
  <c r="T193" i="37"/>
  <c r="U193" i="37"/>
  <c r="AA192" i="37"/>
  <c r="AB192" i="37" s="1"/>
  <c r="K179" i="28" s="1"/>
  <c r="X188" i="39" l="1"/>
  <c r="W188" i="39"/>
  <c r="K189" i="39"/>
  <c r="V188" i="39"/>
  <c r="L189" i="39"/>
  <c r="Z188" i="39"/>
  <c r="M189" i="39"/>
  <c r="P189" i="39"/>
  <c r="Y214" i="38"/>
  <c r="K215" i="38"/>
  <c r="M215" i="38"/>
  <c r="G214" i="38"/>
  <c r="C201" i="28" s="1"/>
  <c r="X214" i="38"/>
  <c r="V214" i="38"/>
  <c r="P215" i="38"/>
  <c r="Z214" i="38"/>
  <c r="Y193" i="37"/>
  <c r="I193" i="37"/>
  <c r="H193" i="37" s="1"/>
  <c r="X193" i="37" s="1"/>
  <c r="AA188" i="39" l="1"/>
  <c r="AB188" i="39" s="1"/>
  <c r="U189" i="39"/>
  <c r="T189" i="39"/>
  <c r="AA214" i="38"/>
  <c r="AB214" i="38" s="1"/>
  <c r="L201" i="28" s="1"/>
  <c r="T215" i="38"/>
  <c r="V215" i="38" s="1"/>
  <c r="U215" i="38"/>
  <c r="W193" i="37"/>
  <c r="Z193" i="37"/>
  <c r="V193" i="37"/>
  <c r="G193" i="37"/>
  <c r="B180" i="28" s="1"/>
  <c r="P194" i="37"/>
  <c r="K194" i="37"/>
  <c r="M194" i="37"/>
  <c r="I189" i="39" l="1"/>
  <c r="H189" i="39" s="1"/>
  <c r="Y189" i="39" s="1"/>
  <c r="Y215" i="38"/>
  <c r="W215" i="38"/>
  <c r="I215" i="38"/>
  <c r="H215" i="38" s="1"/>
  <c r="Z215" i="38" s="1"/>
  <c r="T194" i="37"/>
  <c r="U194" i="37"/>
  <c r="AA193" i="37"/>
  <c r="AB193" i="37" s="1"/>
  <c r="K180" i="28" s="1"/>
  <c r="V189" i="39" l="1"/>
  <c r="W189" i="39"/>
  <c r="Z189" i="39"/>
  <c r="M190" i="39"/>
  <c r="P190" i="39"/>
  <c r="G189" i="39"/>
  <c r="K190" i="39"/>
  <c r="X189" i="39"/>
  <c r="G215" i="38"/>
  <c r="C202" i="28" s="1"/>
  <c r="P216" i="38"/>
  <c r="M216" i="38"/>
  <c r="K216" i="38"/>
  <c r="X215" i="38"/>
  <c r="AA215" i="38" s="1"/>
  <c r="AB215" i="38" s="1"/>
  <c r="L202" i="28" s="1"/>
  <c r="I194" i="37"/>
  <c r="H194" i="37" s="1"/>
  <c r="Z194" i="37" s="1"/>
  <c r="AA189" i="39" l="1"/>
  <c r="AB189" i="39" s="1"/>
  <c r="T190" i="39"/>
  <c r="W190" i="39" s="1"/>
  <c r="U190" i="39"/>
  <c r="T216" i="38"/>
  <c r="U216" i="38"/>
  <c r="Y216" i="38" s="1"/>
  <c r="Y194" i="37"/>
  <c r="W194" i="37"/>
  <c r="X194" i="37"/>
  <c r="V194" i="37"/>
  <c r="P195" i="37"/>
  <c r="K195" i="37"/>
  <c r="G194" i="37"/>
  <c r="B181" i="28" s="1"/>
  <c r="M195" i="37"/>
  <c r="Y190" i="39" l="1"/>
  <c r="V190" i="39"/>
  <c r="I190" i="39"/>
  <c r="H190" i="39" s="1"/>
  <c r="X190" i="39" s="1"/>
  <c r="I216" i="38"/>
  <c r="H216" i="38" s="1"/>
  <c r="T195" i="37"/>
  <c r="U195" i="37"/>
  <c r="AA194" i="37"/>
  <c r="AB194" i="37" s="1"/>
  <c r="K181" i="28" s="1"/>
  <c r="P191" i="39" l="1"/>
  <c r="G190" i="39"/>
  <c r="K191" i="39"/>
  <c r="Z190" i="39"/>
  <c r="AA190" i="39" s="1"/>
  <c r="AB190" i="39" s="1"/>
  <c r="M191" i="39"/>
  <c r="M217" i="38"/>
  <c r="G216" i="38"/>
  <c r="C203" i="28" s="1"/>
  <c r="K217" i="38"/>
  <c r="L217" i="38"/>
  <c r="P217" i="38"/>
  <c r="Z216" i="38"/>
  <c r="V216" i="38"/>
  <c r="W216" i="38"/>
  <c r="X216" i="38"/>
  <c r="Y195" i="37"/>
  <c r="I195" i="37"/>
  <c r="H195" i="37" s="1"/>
  <c r="X195" i="37" s="1"/>
  <c r="U191" i="39" l="1"/>
  <c r="T191" i="39"/>
  <c r="T217" i="38"/>
  <c r="AA216" i="38"/>
  <c r="AB216" i="38" s="1"/>
  <c r="L203" i="28" s="1"/>
  <c r="U217" i="38"/>
  <c r="W195" i="37"/>
  <c r="V195" i="37"/>
  <c r="Z195" i="37"/>
  <c r="P196" i="37"/>
  <c r="K196" i="37"/>
  <c r="G195" i="37"/>
  <c r="B182" i="28" s="1"/>
  <c r="M196" i="37"/>
  <c r="I191" i="39" l="1"/>
  <c r="H191" i="39" s="1"/>
  <c r="V191" i="39" s="1"/>
  <c r="Y191" i="39"/>
  <c r="I217" i="38"/>
  <c r="H217" i="38" s="1"/>
  <c r="W217" i="38" s="1"/>
  <c r="G217" i="38"/>
  <c r="C204" i="28" s="1"/>
  <c r="P218" i="38"/>
  <c r="V217" i="38"/>
  <c r="Y217" i="38"/>
  <c r="T196" i="37"/>
  <c r="U196" i="37"/>
  <c r="AA195" i="37"/>
  <c r="AB195" i="37" s="1"/>
  <c r="K182" i="28" s="1"/>
  <c r="M218" i="38" l="1"/>
  <c r="K218" i="38"/>
  <c r="G191" i="39"/>
  <c r="M192" i="39"/>
  <c r="X191" i="39"/>
  <c r="Z191" i="39"/>
  <c r="K192" i="39"/>
  <c r="W191" i="39"/>
  <c r="AA191" i="39" s="1"/>
  <c r="AB191" i="39" s="1"/>
  <c r="P192" i="39"/>
  <c r="X217" i="38"/>
  <c r="Z217" i="38"/>
  <c r="T218" i="38"/>
  <c r="U218" i="38"/>
  <c r="Y218" i="38" s="1"/>
  <c r="AA217" i="38"/>
  <c r="AB217" i="38" s="1"/>
  <c r="L204" i="28" s="1"/>
  <c r="Y196" i="37"/>
  <c r="I196" i="37"/>
  <c r="H196" i="37" s="1"/>
  <c r="T192" i="39" l="1"/>
  <c r="U192" i="39"/>
  <c r="I192" i="39" s="1"/>
  <c r="H192" i="39" s="1"/>
  <c r="X192" i="39" s="1"/>
  <c r="I218" i="38"/>
  <c r="H218" i="38" s="1"/>
  <c r="W196" i="37"/>
  <c r="X196" i="37"/>
  <c r="V196" i="37"/>
  <c r="Z196" i="37"/>
  <c r="P197" i="37"/>
  <c r="K197" i="37"/>
  <c r="M197" i="37"/>
  <c r="L197" i="37"/>
  <c r="G196" i="37"/>
  <c r="B183" i="28" s="1"/>
  <c r="Y192" i="39" l="1"/>
  <c r="P193" i="39"/>
  <c r="Z192" i="39"/>
  <c r="M193" i="39"/>
  <c r="G192" i="39"/>
  <c r="W192" i="39"/>
  <c r="K193" i="39"/>
  <c r="L193" i="39"/>
  <c r="V192" i="39"/>
  <c r="X218" i="38"/>
  <c r="M219" i="38"/>
  <c r="G218" i="38"/>
  <c r="C205" i="28" s="1"/>
  <c r="P219" i="38"/>
  <c r="K219" i="38"/>
  <c r="Z218" i="38"/>
  <c r="W218" i="38"/>
  <c r="V218" i="38"/>
  <c r="T197" i="37"/>
  <c r="U197" i="37"/>
  <c r="AA196" i="37"/>
  <c r="AB196" i="37" s="1"/>
  <c r="K183" i="28" s="1"/>
  <c r="T193" i="39" l="1"/>
  <c r="AA192" i="39"/>
  <c r="AB192" i="39" s="1"/>
  <c r="U193" i="39"/>
  <c r="I193" i="39" s="1"/>
  <c r="H193" i="39" s="1"/>
  <c r="P194" i="39" s="1"/>
  <c r="T219" i="38"/>
  <c r="U219" i="38"/>
  <c r="Y219" i="38" s="1"/>
  <c r="AA218" i="38"/>
  <c r="AB218" i="38" s="1"/>
  <c r="L205" i="28" s="1"/>
  <c r="I197" i="37"/>
  <c r="H197" i="37" s="1"/>
  <c r="Y197" i="37" s="1"/>
  <c r="J208" i="37"/>
  <c r="Y193" i="39" l="1"/>
  <c r="K194" i="39"/>
  <c r="M194" i="39"/>
  <c r="X193" i="39"/>
  <c r="W193" i="39"/>
  <c r="G193" i="39"/>
  <c r="Z193" i="39"/>
  <c r="V193" i="39"/>
  <c r="I219" i="38"/>
  <c r="H219" i="38" s="1"/>
  <c r="X197" i="37"/>
  <c r="V197" i="37"/>
  <c r="W197" i="37"/>
  <c r="Z197" i="37"/>
  <c r="M198" i="37"/>
  <c r="P198" i="37"/>
  <c r="G197" i="37"/>
  <c r="B184" i="28" s="1"/>
  <c r="K198" i="37"/>
  <c r="T194" i="39" l="1"/>
  <c r="U194" i="39"/>
  <c r="Y194" i="39" s="1"/>
  <c r="AA193" i="39"/>
  <c r="AB193" i="39" s="1"/>
  <c r="Z219" i="38"/>
  <c r="K220" i="38"/>
  <c r="P220" i="38"/>
  <c r="G219" i="38"/>
  <c r="C206" i="28" s="1"/>
  <c r="M220" i="38"/>
  <c r="W219" i="38"/>
  <c r="V219" i="38"/>
  <c r="X219" i="38"/>
  <c r="T198" i="37"/>
  <c r="U198" i="37"/>
  <c r="AA197" i="37"/>
  <c r="AB197" i="37" s="1"/>
  <c r="K184" i="28" s="1"/>
  <c r="I194" i="39" l="1"/>
  <c r="H194" i="39" s="1"/>
  <c r="Z194" i="39" s="1"/>
  <c r="AA219" i="38"/>
  <c r="AB219" i="38" s="1"/>
  <c r="L206" i="28" s="1"/>
  <c r="U220" i="38"/>
  <c r="T220" i="38"/>
  <c r="Y198" i="37"/>
  <c r="I198" i="37"/>
  <c r="H198" i="37" s="1"/>
  <c r="Z198" i="37" s="1"/>
  <c r="J209" i="37"/>
  <c r="P195" i="39" l="1"/>
  <c r="G194" i="39"/>
  <c r="W194" i="39"/>
  <c r="V194" i="39"/>
  <c r="X194" i="39"/>
  <c r="M195" i="39"/>
  <c r="K195" i="39"/>
  <c r="I220" i="38"/>
  <c r="H220" i="38" s="1"/>
  <c r="G220" i="38" s="1"/>
  <c r="C207" i="28" s="1"/>
  <c r="Y220" i="38"/>
  <c r="X198" i="37"/>
  <c r="V198" i="37"/>
  <c r="W198" i="37"/>
  <c r="K199" i="37"/>
  <c r="P199" i="37"/>
  <c r="M199" i="37"/>
  <c r="G198" i="37"/>
  <c r="B185" i="28" s="1"/>
  <c r="V220" i="38" l="1"/>
  <c r="W220" i="38"/>
  <c r="Z220" i="38"/>
  <c r="X220" i="38"/>
  <c r="AA220" i="38" s="1"/>
  <c r="AB220" i="38" s="1"/>
  <c r="L207" i="28" s="1"/>
  <c r="J221" i="38"/>
  <c r="T195" i="39"/>
  <c r="U195" i="39"/>
  <c r="AA194" i="39"/>
  <c r="AB194" i="39" s="1"/>
  <c r="P221" i="38"/>
  <c r="K221" i="38"/>
  <c r="M221" i="38"/>
  <c r="L221" i="38"/>
  <c r="T199" i="37"/>
  <c r="U199" i="37"/>
  <c r="AA198" i="37"/>
  <c r="AB198" i="37" s="1"/>
  <c r="K185" i="28" s="1"/>
  <c r="J210" i="37"/>
  <c r="Y195" i="39" l="1"/>
  <c r="I195" i="39"/>
  <c r="H195" i="39" s="1"/>
  <c r="V195" i="39" s="1"/>
  <c r="T221" i="38"/>
  <c r="U221" i="38"/>
  <c r="W221" i="38"/>
  <c r="V221" i="38"/>
  <c r="Y199" i="37"/>
  <c r="I199" i="37"/>
  <c r="H199" i="37" s="1"/>
  <c r="G195" i="39" l="1"/>
  <c r="Z195" i="39"/>
  <c r="W195" i="39"/>
  <c r="P196" i="39"/>
  <c r="M196" i="39"/>
  <c r="X195" i="39"/>
  <c r="K196" i="39"/>
  <c r="I221" i="38"/>
  <c r="H221" i="38" s="1"/>
  <c r="G221" i="38" s="1"/>
  <c r="C208" i="28" s="1"/>
  <c r="X199" i="37"/>
  <c r="V199" i="37"/>
  <c r="Z199" i="37"/>
  <c r="W199" i="37"/>
  <c r="M200" i="37"/>
  <c r="P200" i="37"/>
  <c r="G199" i="37"/>
  <c r="B186" i="28" s="1"/>
  <c r="K200" i="37"/>
  <c r="AA195" i="39" l="1"/>
  <c r="AB195" i="39" s="1"/>
  <c r="T196" i="39"/>
  <c r="U196" i="39"/>
  <c r="Y221" i="38"/>
  <c r="M222" i="38"/>
  <c r="Z221" i="38"/>
  <c r="P222" i="38"/>
  <c r="K222" i="38"/>
  <c r="X221" i="38"/>
  <c r="J222" i="38"/>
  <c r="T200" i="37"/>
  <c r="U200" i="37"/>
  <c r="AA199" i="37"/>
  <c r="AB199" i="37" s="1"/>
  <c r="K186" i="28" s="1"/>
  <c r="J211" i="37"/>
  <c r="U222" i="38" l="1"/>
  <c r="AA221" i="38"/>
  <c r="AB221" i="38" s="1"/>
  <c r="L208" i="28" s="1"/>
  <c r="I196" i="39"/>
  <c r="H196" i="39" s="1"/>
  <c r="V196" i="39" s="1"/>
  <c r="T222" i="38"/>
  <c r="I222" i="38" s="1"/>
  <c r="H222" i="38" s="1"/>
  <c r="Y200" i="37"/>
  <c r="I200" i="37"/>
  <c r="H200" i="37" s="1"/>
  <c r="X200" i="37" s="1"/>
  <c r="Z222" i="38" l="1"/>
  <c r="W222" i="38"/>
  <c r="P197" i="39"/>
  <c r="Y196" i="39"/>
  <c r="G196" i="39"/>
  <c r="Z196" i="39"/>
  <c r="W196" i="39"/>
  <c r="L197" i="39"/>
  <c r="M197" i="39"/>
  <c r="K197" i="39"/>
  <c r="X196" i="39"/>
  <c r="V222" i="38"/>
  <c r="Y222" i="38"/>
  <c r="M223" i="38"/>
  <c r="P223" i="38"/>
  <c r="X222" i="38"/>
  <c r="AA222" i="38" s="1"/>
  <c r="AB222" i="38" s="1"/>
  <c r="L209" i="28" s="1"/>
  <c r="G222" i="38"/>
  <c r="C209" i="28" s="1"/>
  <c r="K223" i="38"/>
  <c r="Z200" i="37"/>
  <c r="V200" i="37"/>
  <c r="W200" i="37"/>
  <c r="K201" i="37"/>
  <c r="P201" i="37"/>
  <c r="M201" i="37"/>
  <c r="G200" i="37"/>
  <c r="B187" i="28" s="1"/>
  <c r="L201" i="37"/>
  <c r="U223" i="38" l="1"/>
  <c r="T197" i="39"/>
  <c r="AA196" i="39"/>
  <c r="AB196" i="39" s="1"/>
  <c r="U197" i="39"/>
  <c r="T223" i="38"/>
  <c r="Y223" i="38" s="1"/>
  <c r="I223" i="38"/>
  <c r="H223" i="38" s="1"/>
  <c r="T201" i="37"/>
  <c r="U201" i="37"/>
  <c r="AA200" i="37"/>
  <c r="AB200" i="37" s="1"/>
  <c r="K187" i="28" s="1"/>
  <c r="I197" i="39" l="1"/>
  <c r="H197" i="39" s="1"/>
  <c r="X197" i="39" s="1"/>
  <c r="G223" i="38"/>
  <c r="C210" i="28" s="1"/>
  <c r="X223" i="38"/>
  <c r="V223" i="38"/>
  <c r="W223" i="38"/>
  <c r="K224" i="38"/>
  <c r="Z223" i="38"/>
  <c r="M224" i="38"/>
  <c r="P224" i="38"/>
  <c r="Y201" i="37"/>
  <c r="I201" i="37"/>
  <c r="H201" i="37" s="1"/>
  <c r="X201" i="37" s="1"/>
  <c r="Y197" i="39" l="1"/>
  <c r="G197" i="39"/>
  <c r="M198" i="39"/>
  <c r="K198" i="39"/>
  <c r="P198" i="39"/>
  <c r="W197" i="39"/>
  <c r="V197" i="39"/>
  <c r="Z197" i="39"/>
  <c r="T224" i="38"/>
  <c r="W224" i="38" s="1"/>
  <c r="U224" i="38"/>
  <c r="AA223" i="38"/>
  <c r="AB223" i="38" s="1"/>
  <c r="L210" i="28" s="1"/>
  <c r="W201" i="37"/>
  <c r="Z201" i="37"/>
  <c r="V201" i="37"/>
  <c r="P202" i="37"/>
  <c r="G201" i="37"/>
  <c r="B188" i="28" s="1"/>
  <c r="K202" i="37"/>
  <c r="M202" i="37"/>
  <c r="J213" i="37"/>
  <c r="T198" i="39" l="1"/>
  <c r="U198" i="39"/>
  <c r="AA197" i="39"/>
  <c r="AB197" i="39" s="1"/>
  <c r="I224" i="38"/>
  <c r="H224" i="38" s="1"/>
  <c r="L225" i="38" s="1"/>
  <c r="V224" i="38"/>
  <c r="Y224" i="38"/>
  <c r="T202" i="37"/>
  <c r="U202" i="37"/>
  <c r="AA201" i="37"/>
  <c r="AB201" i="37" s="1"/>
  <c r="K188" i="28" s="1"/>
  <c r="Y198" i="39" l="1"/>
  <c r="I198" i="39"/>
  <c r="H198" i="39" s="1"/>
  <c r="M199" i="39" s="1"/>
  <c r="G224" i="38"/>
  <c r="C211" i="28" s="1"/>
  <c r="K225" i="38"/>
  <c r="P225" i="38"/>
  <c r="Z224" i="38"/>
  <c r="X224" i="38"/>
  <c r="AA224" i="38" s="1"/>
  <c r="AB224" i="38" s="1"/>
  <c r="L211" i="28" s="1"/>
  <c r="M225" i="38"/>
  <c r="T225" i="38" s="1"/>
  <c r="Y202" i="37"/>
  <c r="I202" i="37"/>
  <c r="H202" i="37" s="1"/>
  <c r="Z202" i="37" s="1"/>
  <c r="J214" i="37"/>
  <c r="V198" i="39" l="1"/>
  <c r="W198" i="39"/>
  <c r="P199" i="39"/>
  <c r="G198" i="39"/>
  <c r="Z198" i="39"/>
  <c r="K199" i="39"/>
  <c r="X198" i="39"/>
  <c r="U225" i="38"/>
  <c r="Y225" i="38" s="1"/>
  <c r="V202" i="37"/>
  <c r="X202" i="37"/>
  <c r="W202" i="37"/>
  <c r="K203" i="37"/>
  <c r="M203" i="37"/>
  <c r="G202" i="37"/>
  <c r="B189" i="28" s="1"/>
  <c r="P203" i="37"/>
  <c r="AA198" i="39" l="1"/>
  <c r="AB198" i="39" s="1"/>
  <c r="T199" i="39"/>
  <c r="U199" i="39"/>
  <c r="I225" i="38"/>
  <c r="H225" i="38" s="1"/>
  <c r="X225" i="38" s="1"/>
  <c r="U203" i="37"/>
  <c r="T203" i="37"/>
  <c r="AA202" i="37"/>
  <c r="AB202" i="37" s="1"/>
  <c r="K189" i="28" s="1"/>
  <c r="J215" i="37"/>
  <c r="I199" i="39" l="1"/>
  <c r="H199" i="39" s="1"/>
  <c r="Z199" i="39" s="1"/>
  <c r="Y199" i="39"/>
  <c r="P200" i="39"/>
  <c r="G225" i="38"/>
  <c r="C212" i="28" s="1"/>
  <c r="Z225" i="38"/>
  <c r="V225" i="38"/>
  <c r="W225" i="38"/>
  <c r="P226" i="38"/>
  <c r="M226" i="38"/>
  <c r="K226" i="38"/>
  <c r="I203" i="37"/>
  <c r="H203" i="37" s="1"/>
  <c r="X203" i="37" s="1"/>
  <c r="Y203" i="37"/>
  <c r="V199" i="39" l="1"/>
  <c r="M200" i="39"/>
  <c r="G199" i="39"/>
  <c r="W199" i="39"/>
  <c r="K200" i="39"/>
  <c r="X199" i="39"/>
  <c r="U226" i="38"/>
  <c r="T226" i="38"/>
  <c r="AA225" i="38"/>
  <c r="AB225" i="38" s="1"/>
  <c r="L212" i="28" s="1"/>
  <c r="P204" i="37"/>
  <c r="K204" i="37"/>
  <c r="M204" i="37"/>
  <c r="W203" i="37"/>
  <c r="V203" i="37"/>
  <c r="G203" i="37"/>
  <c r="B190" i="28" s="1"/>
  <c r="Z203" i="37"/>
  <c r="T200" i="39" l="1"/>
  <c r="U200" i="39"/>
  <c r="AA199" i="39"/>
  <c r="AB199" i="39" s="1"/>
  <c r="Y226" i="38"/>
  <c r="I226" i="38"/>
  <c r="H226" i="38" s="1"/>
  <c r="Z226" i="38" s="1"/>
  <c r="T204" i="37"/>
  <c r="U204" i="37"/>
  <c r="AA203" i="37"/>
  <c r="AB203" i="37" s="1"/>
  <c r="K190" i="28" s="1"/>
  <c r="J216" i="37"/>
  <c r="Y200" i="39" l="1"/>
  <c r="I200" i="39"/>
  <c r="H200" i="39" s="1"/>
  <c r="Z200" i="39" s="1"/>
  <c r="V226" i="38"/>
  <c r="W226" i="38"/>
  <c r="K227" i="38"/>
  <c r="G226" i="38"/>
  <c r="C213" i="28" s="1"/>
  <c r="M227" i="38"/>
  <c r="X226" i="38"/>
  <c r="P227" i="38"/>
  <c r="I204" i="37"/>
  <c r="H204" i="37" s="1"/>
  <c r="W204" i="37" s="1"/>
  <c r="Y204" i="37"/>
  <c r="L201" i="39" l="1"/>
  <c r="M201" i="39"/>
  <c r="K201" i="39"/>
  <c r="G200" i="39"/>
  <c r="X200" i="39"/>
  <c r="P201" i="39"/>
  <c r="V200" i="39"/>
  <c r="W200" i="39"/>
  <c r="L205" i="37"/>
  <c r="U227" i="38"/>
  <c r="T227" i="38"/>
  <c r="Z204" i="37"/>
  <c r="P205" i="37"/>
  <c r="AA226" i="38"/>
  <c r="AB226" i="38" s="1"/>
  <c r="L213" i="28" s="1"/>
  <c r="M205" i="37"/>
  <c r="G204" i="37"/>
  <c r="B191" i="28" s="1"/>
  <c r="X204" i="37"/>
  <c r="K205" i="37"/>
  <c r="V204" i="37"/>
  <c r="AA200" i="39" l="1"/>
  <c r="AB200" i="39" s="1"/>
  <c r="T201" i="39"/>
  <c r="U201" i="39"/>
  <c r="U205" i="37"/>
  <c r="Y227" i="38"/>
  <c r="I227" i="38"/>
  <c r="H227" i="38" s="1"/>
  <c r="V227" i="38" s="1"/>
  <c r="T205" i="37"/>
  <c r="AA204" i="37"/>
  <c r="AB204" i="37" s="1"/>
  <c r="K191" i="28" s="1"/>
  <c r="I201" i="39" l="1"/>
  <c r="H201" i="39" s="1"/>
  <c r="W201" i="39" s="1"/>
  <c r="Y201" i="39"/>
  <c r="I205" i="37"/>
  <c r="H205" i="37" s="1"/>
  <c r="X205" i="37" s="1"/>
  <c r="K228" i="38"/>
  <c r="P228" i="38"/>
  <c r="M228" i="38"/>
  <c r="G227" i="38"/>
  <c r="C214" i="28" s="1"/>
  <c r="X227" i="38"/>
  <c r="Z227" i="38"/>
  <c r="W227" i="38"/>
  <c r="Y205" i="37"/>
  <c r="Z205" i="37"/>
  <c r="V205" i="37"/>
  <c r="Z201" i="39" l="1"/>
  <c r="V201" i="39"/>
  <c r="M206" i="37"/>
  <c r="W205" i="37"/>
  <c r="G205" i="37"/>
  <c r="B192" i="28" s="1"/>
  <c r="K206" i="37"/>
  <c r="P206" i="37"/>
  <c r="G201" i="39"/>
  <c r="P202" i="39"/>
  <c r="M202" i="39"/>
  <c r="X201" i="39"/>
  <c r="K202" i="39"/>
  <c r="AA227" i="38"/>
  <c r="AB227" i="38" s="1"/>
  <c r="L214" i="28" s="1"/>
  <c r="T228" i="38"/>
  <c r="U228" i="38"/>
  <c r="Y228" i="38" s="1"/>
  <c r="AA205" i="37"/>
  <c r="AB205" i="37" s="1"/>
  <c r="K192" i="28" s="1"/>
  <c r="AA201" i="39" l="1"/>
  <c r="AB201" i="39" s="1"/>
  <c r="T206" i="37"/>
  <c r="U206" i="37"/>
  <c r="U202" i="39"/>
  <c r="T202" i="39"/>
  <c r="I228" i="38"/>
  <c r="H228" i="38" s="1"/>
  <c r="Y206" i="37"/>
  <c r="I206" i="37"/>
  <c r="H206" i="37" s="1"/>
  <c r="X206" i="37" s="1"/>
  <c r="Y202" i="39" l="1"/>
  <c r="I202" i="39"/>
  <c r="H202" i="39" s="1"/>
  <c r="M203" i="39" s="1"/>
  <c r="P229" i="38"/>
  <c r="L229" i="38"/>
  <c r="G228" i="38"/>
  <c r="C215" i="28" s="1"/>
  <c r="K229" i="38"/>
  <c r="M229" i="38"/>
  <c r="W228" i="38"/>
  <c r="Z228" i="38"/>
  <c r="X228" i="38"/>
  <c r="V228" i="38"/>
  <c r="G206" i="37"/>
  <c r="B193" i="28" s="1"/>
  <c r="Z206" i="37"/>
  <c r="K207" i="37"/>
  <c r="P207" i="37"/>
  <c r="W206" i="37"/>
  <c r="M207" i="37"/>
  <c r="V206" i="37"/>
  <c r="Z202" i="39" l="1"/>
  <c r="W202" i="39"/>
  <c r="K203" i="39"/>
  <c r="G202" i="39"/>
  <c r="P203" i="39"/>
  <c r="V202" i="39"/>
  <c r="X202" i="39"/>
  <c r="T203" i="39"/>
  <c r="U229" i="38"/>
  <c r="AA228" i="38"/>
  <c r="AB228" i="38" s="1"/>
  <c r="L215" i="28" s="1"/>
  <c r="T229" i="38"/>
  <c r="AA206" i="37"/>
  <c r="AB206" i="37" s="1"/>
  <c r="K193" i="28" s="1"/>
  <c r="U207" i="37"/>
  <c r="T207" i="37"/>
  <c r="AA202" i="39" l="1"/>
  <c r="AB202" i="39" s="1"/>
  <c r="U203" i="39"/>
  <c r="I203" i="39" s="1"/>
  <c r="H203" i="39" s="1"/>
  <c r="V203" i="39" s="1"/>
  <c r="Y229" i="38"/>
  <c r="I229" i="38"/>
  <c r="H229" i="38" s="1"/>
  <c r="W229" i="38" s="1"/>
  <c r="Y207" i="37"/>
  <c r="I207" i="37"/>
  <c r="H207" i="37" s="1"/>
  <c r="X207" i="37" s="1"/>
  <c r="Y203" i="39" l="1"/>
  <c r="X203" i="39"/>
  <c r="Z203" i="39"/>
  <c r="W203" i="39"/>
  <c r="K204" i="39"/>
  <c r="P204" i="39"/>
  <c r="G203" i="39"/>
  <c r="M204" i="39"/>
  <c r="V229" i="38"/>
  <c r="G229" i="38"/>
  <c r="C216" i="28" s="1"/>
  <c r="K230" i="38"/>
  <c r="M230" i="38"/>
  <c r="P230" i="38"/>
  <c r="X229" i="38"/>
  <c r="Z229" i="38"/>
  <c r="V207" i="37"/>
  <c r="P208" i="37"/>
  <c r="G207" i="37"/>
  <c r="B194" i="28" s="1"/>
  <c r="K208" i="37"/>
  <c r="M208" i="37"/>
  <c r="Z207" i="37"/>
  <c r="W207" i="37"/>
  <c r="J219" i="37"/>
  <c r="AA203" i="39" l="1"/>
  <c r="AB203" i="39" s="1"/>
  <c r="T204" i="39"/>
  <c r="U204" i="39"/>
  <c r="T230" i="38"/>
  <c r="U230" i="38"/>
  <c r="AA229" i="38"/>
  <c r="AB229" i="38" s="1"/>
  <c r="L216" i="28" s="1"/>
  <c r="AA207" i="37"/>
  <c r="AB207" i="37" s="1"/>
  <c r="K194" i="28" s="1"/>
  <c r="U208" i="37"/>
  <c r="T208" i="37"/>
  <c r="Y230" i="38" l="1"/>
  <c r="Y204" i="39"/>
  <c r="I204" i="39"/>
  <c r="H204" i="39" s="1"/>
  <c r="V204" i="39" s="1"/>
  <c r="I230" i="38"/>
  <c r="H230" i="38" s="1"/>
  <c r="I208" i="37"/>
  <c r="H208" i="37" s="1"/>
  <c r="X208" i="37" s="1"/>
  <c r="Y208" i="37"/>
  <c r="J220" i="37"/>
  <c r="V208" i="37" l="1"/>
  <c r="P209" i="37"/>
  <c r="K205" i="39"/>
  <c r="L205" i="39"/>
  <c r="X204" i="39"/>
  <c r="G204" i="39"/>
  <c r="P205" i="39"/>
  <c r="M205" i="39"/>
  <c r="W204" i="39"/>
  <c r="Z204" i="39"/>
  <c r="X230" i="38"/>
  <c r="P231" i="38"/>
  <c r="M231" i="38"/>
  <c r="G230" i="38"/>
  <c r="C217" i="28" s="1"/>
  <c r="K231" i="38"/>
  <c r="Z230" i="38"/>
  <c r="V230" i="38"/>
  <c r="W230" i="38"/>
  <c r="K209" i="37"/>
  <c r="Z208" i="37"/>
  <c r="M209" i="37"/>
  <c r="G208" i="37"/>
  <c r="B195" i="28" s="1"/>
  <c r="L209" i="37"/>
  <c r="W208" i="37"/>
  <c r="T205" i="39" l="1"/>
  <c r="AA204" i="39"/>
  <c r="AB204" i="39" s="1"/>
  <c r="U205" i="39"/>
  <c r="Y205" i="39" s="1"/>
  <c r="AA230" i="38"/>
  <c r="AB230" i="38" s="1"/>
  <c r="L217" i="28" s="1"/>
  <c r="U231" i="38"/>
  <c r="T231" i="38"/>
  <c r="AA208" i="37"/>
  <c r="AB208" i="37" s="1"/>
  <c r="K195" i="28" s="1"/>
  <c r="U209" i="37"/>
  <c r="T209" i="37"/>
  <c r="I205" i="39" l="1"/>
  <c r="H205" i="39" s="1"/>
  <c r="K206" i="39" s="1"/>
  <c r="Y231" i="38"/>
  <c r="I231" i="38"/>
  <c r="H231" i="38" s="1"/>
  <c r="K232" i="38" s="1"/>
  <c r="Y209" i="37"/>
  <c r="I209" i="37"/>
  <c r="H209" i="37" s="1"/>
  <c r="X209" i="37" s="1"/>
  <c r="G205" i="39" l="1"/>
  <c r="M206" i="39"/>
  <c r="P206" i="39"/>
  <c r="Z205" i="39"/>
  <c r="W205" i="39"/>
  <c r="X205" i="39"/>
  <c r="V205" i="39"/>
  <c r="M232" i="38"/>
  <c r="U232" i="38" s="1"/>
  <c r="V231" i="38"/>
  <c r="G231" i="38"/>
  <c r="C218" i="28" s="1"/>
  <c r="P232" i="38"/>
  <c r="Z231" i="38"/>
  <c r="W231" i="38"/>
  <c r="X231" i="38"/>
  <c r="W209" i="37"/>
  <c r="M210" i="37"/>
  <c r="G209" i="37"/>
  <c r="B196" i="28" s="1"/>
  <c r="Z209" i="37"/>
  <c r="K210" i="37"/>
  <c r="P210" i="37"/>
  <c r="V209" i="37"/>
  <c r="T232" i="38" l="1"/>
  <c r="AA205" i="39"/>
  <c r="AB205" i="39" s="1"/>
  <c r="T206" i="39"/>
  <c r="U206" i="39"/>
  <c r="Y206" i="39" s="1"/>
  <c r="AA231" i="38"/>
  <c r="AB231" i="38" s="1"/>
  <c r="L218" i="28" s="1"/>
  <c r="Y232" i="38"/>
  <c r="T210" i="37"/>
  <c r="AA209" i="37"/>
  <c r="AB209" i="37" s="1"/>
  <c r="K196" i="28" s="1"/>
  <c r="I232" i="38"/>
  <c r="H232" i="38" s="1"/>
  <c r="U210" i="37"/>
  <c r="I210" i="37" l="1"/>
  <c r="H210" i="37" s="1"/>
  <c r="Z210" i="37" s="1"/>
  <c r="I206" i="39"/>
  <c r="H206" i="39" s="1"/>
  <c r="G206" i="39" s="1"/>
  <c r="M207" i="39"/>
  <c r="Z206" i="39"/>
  <c r="V206" i="39"/>
  <c r="L233" i="38"/>
  <c r="X232" i="38"/>
  <c r="Z232" i="38"/>
  <c r="V232" i="38"/>
  <c r="P233" i="38"/>
  <c r="K233" i="38"/>
  <c r="M233" i="38"/>
  <c r="G232" i="38"/>
  <c r="C219" i="28" s="1"/>
  <c r="W232" i="38"/>
  <c r="Y210" i="37"/>
  <c r="X210" i="37"/>
  <c r="W210" i="37"/>
  <c r="P211" i="37"/>
  <c r="M211" i="37"/>
  <c r="K211" i="37"/>
  <c r="V210" i="37"/>
  <c r="G210" i="37"/>
  <c r="B197" i="28" s="1"/>
  <c r="P207" i="39" l="1"/>
  <c r="K207" i="39"/>
  <c r="X206" i="39"/>
  <c r="W206" i="39"/>
  <c r="U207" i="39"/>
  <c r="T207" i="39"/>
  <c r="AA232" i="38"/>
  <c r="AB232" i="38" s="1"/>
  <c r="L219" i="28" s="1"/>
  <c r="U233" i="38"/>
  <c r="T233" i="38"/>
  <c r="AA210" i="37"/>
  <c r="AB210" i="37" s="1"/>
  <c r="K197" i="28" s="1"/>
  <c r="T211" i="37"/>
  <c r="U211" i="37"/>
  <c r="AA206" i="39" l="1"/>
  <c r="AB206" i="39" s="1"/>
  <c r="Y207" i="39"/>
  <c r="I207" i="39"/>
  <c r="H207" i="39" s="1"/>
  <c r="W207" i="39" s="1"/>
  <c r="Y233" i="38"/>
  <c r="I233" i="38"/>
  <c r="H233" i="38" s="1"/>
  <c r="Y211" i="37"/>
  <c r="I211" i="37"/>
  <c r="H211" i="37" s="1"/>
  <c r="X211" i="37" s="1"/>
  <c r="J223" i="37"/>
  <c r="K208" i="39" l="1"/>
  <c r="P208" i="39"/>
  <c r="M208" i="39"/>
  <c r="G207" i="39"/>
  <c r="V207" i="39"/>
  <c r="Z207" i="39"/>
  <c r="X207" i="39"/>
  <c r="K234" i="38"/>
  <c r="G233" i="38"/>
  <c r="C220" i="28" s="1"/>
  <c r="P234" i="38"/>
  <c r="M234" i="38"/>
  <c r="X233" i="38"/>
  <c r="W233" i="38"/>
  <c r="Z233" i="38"/>
  <c r="V233" i="38"/>
  <c r="J212" i="37"/>
  <c r="M212" i="37"/>
  <c r="G211" i="37"/>
  <c r="B198" i="28" s="1"/>
  <c r="K212" i="37"/>
  <c r="P212" i="37"/>
  <c r="W211" i="37"/>
  <c r="Z211" i="37"/>
  <c r="V211" i="37"/>
  <c r="T234" i="38" l="1"/>
  <c r="AA207" i="39"/>
  <c r="AB207" i="39" s="1"/>
  <c r="T208" i="39"/>
  <c r="U208" i="39"/>
  <c r="AA233" i="38"/>
  <c r="AB233" i="38" s="1"/>
  <c r="L220" i="28" s="1"/>
  <c r="U234" i="38"/>
  <c r="Y234" i="38" s="1"/>
  <c r="U212" i="37"/>
  <c r="AA211" i="37"/>
  <c r="AB211" i="37" s="1"/>
  <c r="K198" i="28" s="1"/>
  <c r="T212" i="37"/>
  <c r="W212" i="37" s="1"/>
  <c r="Y208" i="39" l="1"/>
  <c r="I208" i="39"/>
  <c r="H208" i="39" s="1"/>
  <c r="G208" i="39" s="1"/>
  <c r="I234" i="38"/>
  <c r="H234" i="38" s="1"/>
  <c r="V212" i="37"/>
  <c r="I212" i="37"/>
  <c r="H212" i="37" s="1"/>
  <c r="X212" i="37" s="1"/>
  <c r="J224" i="37"/>
  <c r="P209" i="39" l="1"/>
  <c r="V208" i="39"/>
  <c r="X208" i="39"/>
  <c r="M209" i="39"/>
  <c r="W208" i="39"/>
  <c r="L209" i="39"/>
  <c r="Z208" i="39"/>
  <c r="K209" i="39"/>
  <c r="Y212" i="37"/>
  <c r="P235" i="38"/>
  <c r="K235" i="38"/>
  <c r="G234" i="38"/>
  <c r="C221" i="28" s="1"/>
  <c r="M235" i="38"/>
  <c r="Z234" i="38"/>
  <c r="W234" i="38"/>
  <c r="X234" i="38"/>
  <c r="V234" i="38"/>
  <c r="Z212" i="37"/>
  <c r="G212" i="37"/>
  <c r="B199" i="28" s="1"/>
  <c r="L213" i="37"/>
  <c r="P213" i="37"/>
  <c r="M213" i="37"/>
  <c r="K213" i="37"/>
  <c r="AA212" i="37" l="1"/>
  <c r="AB212" i="37" s="1"/>
  <c r="K199" i="28" s="1"/>
  <c r="AA208" i="39"/>
  <c r="AB208" i="39" s="1"/>
  <c r="U209" i="39"/>
  <c r="T209" i="39"/>
  <c r="T235" i="38"/>
  <c r="U235" i="38"/>
  <c r="AA234" i="38"/>
  <c r="AB234" i="38" s="1"/>
  <c r="L221" i="28" s="1"/>
  <c r="T213" i="37"/>
  <c r="U213" i="37"/>
  <c r="I213" i="37" l="1"/>
  <c r="H213" i="37" s="1"/>
  <c r="Y209" i="39"/>
  <c r="I209" i="39"/>
  <c r="H209" i="39" s="1"/>
  <c r="W209" i="39" s="1"/>
  <c r="Y235" i="38"/>
  <c r="Y213" i="37"/>
  <c r="I235" i="38"/>
  <c r="H235" i="38" s="1"/>
  <c r="X213" i="37"/>
  <c r="M214" i="37"/>
  <c r="K214" i="37"/>
  <c r="G213" i="37"/>
  <c r="B200" i="28" s="1"/>
  <c r="P214" i="37"/>
  <c r="Z213" i="37"/>
  <c r="W213" i="37"/>
  <c r="V213" i="37"/>
  <c r="J225" i="37"/>
  <c r="P210" i="39" l="1"/>
  <c r="V209" i="39"/>
  <c r="G209" i="39"/>
  <c r="Z209" i="39"/>
  <c r="K210" i="39"/>
  <c r="X209" i="39"/>
  <c r="M210" i="39"/>
  <c r="V235" i="38"/>
  <c r="M236" i="38"/>
  <c r="P236" i="38"/>
  <c r="K236" i="38"/>
  <c r="G235" i="38"/>
  <c r="C222" i="28" s="1"/>
  <c r="W235" i="38"/>
  <c r="X235" i="38"/>
  <c r="Z235" i="38"/>
  <c r="U214" i="37"/>
  <c r="AA213" i="37"/>
  <c r="AB213" i="37" s="1"/>
  <c r="K200" i="28" s="1"/>
  <c r="T214" i="37"/>
  <c r="I214" i="37" l="1"/>
  <c r="H214" i="37" s="1"/>
  <c r="Z214" i="37" s="1"/>
  <c r="U210" i="39"/>
  <c r="AA209" i="39"/>
  <c r="AB209" i="39" s="1"/>
  <c r="T210" i="39"/>
  <c r="T236" i="38"/>
  <c r="U236" i="38"/>
  <c r="Y236" i="38" s="1"/>
  <c r="AA235" i="38"/>
  <c r="AB235" i="38" s="1"/>
  <c r="L222" i="28" s="1"/>
  <c r="Y214" i="37"/>
  <c r="W214" i="37"/>
  <c r="X214" i="37"/>
  <c r="V214" i="37"/>
  <c r="M215" i="37"/>
  <c r="P215" i="37"/>
  <c r="K215" i="37"/>
  <c r="G214" i="37"/>
  <c r="B201" i="28" s="1"/>
  <c r="J226" i="37"/>
  <c r="Y210" i="39" l="1"/>
  <c r="I210" i="39"/>
  <c r="H210" i="39" s="1"/>
  <c r="X210" i="39" s="1"/>
  <c r="I236" i="38"/>
  <c r="H236" i="38" s="1"/>
  <c r="X236" i="38" s="1"/>
  <c r="Z236" i="38"/>
  <c r="T215" i="37"/>
  <c r="U215" i="37"/>
  <c r="AA214" i="37"/>
  <c r="AB214" i="37" s="1"/>
  <c r="K201" i="28" s="1"/>
  <c r="W210" i="39" l="1"/>
  <c r="V210" i="39"/>
  <c r="Z210" i="39"/>
  <c r="K211" i="39"/>
  <c r="P211" i="39"/>
  <c r="M211" i="39"/>
  <c r="G210" i="39"/>
  <c r="L237" i="38"/>
  <c r="K237" i="38"/>
  <c r="P237" i="38"/>
  <c r="G236" i="38"/>
  <c r="C223" i="28" s="1"/>
  <c r="M237" i="38"/>
  <c r="V236" i="38"/>
  <c r="W236" i="38"/>
  <c r="Y215" i="37"/>
  <c r="I215" i="37"/>
  <c r="H215" i="37" s="1"/>
  <c r="X215" i="37" s="1"/>
  <c r="AA210" i="39" l="1"/>
  <c r="AB210" i="39" s="1"/>
  <c r="U211" i="39"/>
  <c r="T211" i="39"/>
  <c r="T237" i="38"/>
  <c r="AA236" i="38"/>
  <c r="AB236" i="38" s="1"/>
  <c r="L223" i="28" s="1"/>
  <c r="U237" i="38"/>
  <c r="I237" i="38"/>
  <c r="H237" i="38" s="1"/>
  <c r="V237" i="38" s="1"/>
  <c r="Y237" i="38"/>
  <c r="V215" i="37"/>
  <c r="W215" i="37"/>
  <c r="G215" i="37"/>
  <c r="B202" i="28" s="1"/>
  <c r="P216" i="37"/>
  <c r="Z215" i="37"/>
  <c r="K216" i="37"/>
  <c r="M216" i="37"/>
  <c r="J227" i="37"/>
  <c r="Y211" i="39" l="1"/>
  <c r="I211" i="39"/>
  <c r="H211" i="39" s="1"/>
  <c r="V211" i="39" s="1"/>
  <c r="X237" i="38"/>
  <c r="W237" i="38"/>
  <c r="Z237" i="38"/>
  <c r="M238" i="38"/>
  <c r="G237" i="38"/>
  <c r="C224" i="28" s="1"/>
  <c r="K238" i="38"/>
  <c r="P238" i="38"/>
  <c r="AA215" i="37"/>
  <c r="AB215" i="37" s="1"/>
  <c r="K202" i="28" s="1"/>
  <c r="T216" i="37"/>
  <c r="U216" i="37"/>
  <c r="G211" i="39" l="1"/>
  <c r="K212" i="39"/>
  <c r="M212" i="39"/>
  <c r="Z211" i="39"/>
  <c r="W211" i="39"/>
  <c r="X211" i="39"/>
  <c r="J212" i="39"/>
  <c r="P212" i="39"/>
  <c r="AA237" i="38"/>
  <c r="AB237" i="38" s="1"/>
  <c r="L224" i="28" s="1"/>
  <c r="T238" i="38"/>
  <c r="U238" i="38"/>
  <c r="Y238" i="38" s="1"/>
  <c r="I216" i="37"/>
  <c r="H216" i="37" s="1"/>
  <c r="X216" i="37" s="1"/>
  <c r="Y216" i="37"/>
  <c r="U212" i="39" l="1"/>
  <c r="AA211" i="39"/>
  <c r="AB211" i="39" s="1"/>
  <c r="T212" i="39"/>
  <c r="V212" i="39" s="1"/>
  <c r="I238" i="38"/>
  <c r="H238" i="38" s="1"/>
  <c r="M239" i="38" s="1"/>
  <c r="L217" i="37"/>
  <c r="M217" i="37"/>
  <c r="P217" i="37"/>
  <c r="W216" i="37"/>
  <c r="V216" i="37"/>
  <c r="G216" i="37"/>
  <c r="B203" i="28" s="1"/>
  <c r="K217" i="37"/>
  <c r="Z216" i="37"/>
  <c r="J228" i="37"/>
  <c r="I212" i="39" l="1"/>
  <c r="H212" i="39" s="1"/>
  <c r="G212" i="39" s="1"/>
  <c r="W212" i="39"/>
  <c r="W238" i="38"/>
  <c r="P239" i="38"/>
  <c r="X238" i="38"/>
  <c r="K239" i="38"/>
  <c r="T239" i="38" s="1"/>
  <c r="G238" i="38"/>
  <c r="C225" i="28" s="1"/>
  <c r="V238" i="38"/>
  <c r="Z238" i="38"/>
  <c r="T217" i="37"/>
  <c r="U217" i="37"/>
  <c r="AA216" i="37"/>
  <c r="AB216" i="37" s="1"/>
  <c r="K203" i="28" s="1"/>
  <c r="Y212" i="39" l="1"/>
  <c r="M213" i="39"/>
  <c r="L213" i="39"/>
  <c r="P213" i="39"/>
  <c r="K213" i="39"/>
  <c r="Z212" i="39"/>
  <c r="X212" i="39"/>
  <c r="U239" i="38"/>
  <c r="I239" i="38" s="1"/>
  <c r="H239" i="38" s="1"/>
  <c r="AA238" i="38"/>
  <c r="AB238" i="38" s="1"/>
  <c r="L225" i="28" s="1"/>
  <c r="I217" i="37"/>
  <c r="H217" i="37" s="1"/>
  <c r="X217" i="37" s="1"/>
  <c r="Y217" i="37"/>
  <c r="J229" i="37"/>
  <c r="Y239" i="38" l="1"/>
  <c r="U213" i="39"/>
  <c r="T213" i="39"/>
  <c r="AA212" i="39"/>
  <c r="AB212" i="39" s="1"/>
  <c r="V239" i="38"/>
  <c r="X239" i="38"/>
  <c r="M240" i="38"/>
  <c r="K240" i="38"/>
  <c r="G239" i="38"/>
  <c r="C226" i="28" s="1"/>
  <c r="Z239" i="38"/>
  <c r="W239" i="38"/>
  <c r="P240" i="38"/>
  <c r="Z217" i="37"/>
  <c r="G217" i="37"/>
  <c r="B204" i="28" s="1"/>
  <c r="P218" i="37"/>
  <c r="M218" i="37"/>
  <c r="K218" i="37"/>
  <c r="W217" i="37"/>
  <c r="V217" i="37"/>
  <c r="U240" i="38" l="1"/>
  <c r="AA239" i="38"/>
  <c r="AB239" i="38" s="1"/>
  <c r="L226" i="28" s="1"/>
  <c r="I213" i="39"/>
  <c r="H213" i="39" s="1"/>
  <c r="X213" i="39" s="1"/>
  <c r="T240" i="38"/>
  <c r="Y240" i="38" s="1"/>
  <c r="T218" i="37"/>
  <c r="AA217" i="37"/>
  <c r="AB217" i="37" s="1"/>
  <c r="K204" i="28" s="1"/>
  <c r="U218" i="37"/>
  <c r="J230" i="37"/>
  <c r="I240" i="38" l="1"/>
  <c r="H240" i="38" s="1"/>
  <c r="G240" i="38" s="1"/>
  <c r="C227" i="28" s="1"/>
  <c r="V213" i="39"/>
  <c r="Z213" i="39"/>
  <c r="P214" i="39"/>
  <c r="W213" i="39"/>
  <c r="M214" i="39"/>
  <c r="Y213" i="39"/>
  <c r="G213" i="39"/>
  <c r="K214" i="39"/>
  <c r="P241" i="38"/>
  <c r="W240" i="38"/>
  <c r="M241" i="38"/>
  <c r="Z240" i="38"/>
  <c r="L241" i="38"/>
  <c r="K241" i="38"/>
  <c r="T241" i="38" s="1"/>
  <c r="I218" i="37"/>
  <c r="H218" i="37" s="1"/>
  <c r="M219" i="37" s="1"/>
  <c r="Y218" i="37"/>
  <c r="X240" i="38" l="1"/>
  <c r="V240" i="38"/>
  <c r="U214" i="39"/>
  <c r="AA213" i="39"/>
  <c r="AB213" i="39" s="1"/>
  <c r="T214" i="39"/>
  <c r="U241" i="38"/>
  <c r="Y241" i="38" s="1"/>
  <c r="K219" i="37"/>
  <c r="P219" i="37"/>
  <c r="X218" i="37"/>
  <c r="Z218" i="37"/>
  <c r="V218" i="37"/>
  <c r="W218" i="37"/>
  <c r="G218" i="37"/>
  <c r="B205" i="28" s="1"/>
  <c r="J231" i="37"/>
  <c r="AA240" i="38" l="1"/>
  <c r="AB240" i="38" s="1"/>
  <c r="L227" i="28" s="1"/>
  <c r="I241" i="38"/>
  <c r="H241" i="38" s="1"/>
  <c r="P242" i="38" s="1"/>
  <c r="I214" i="39"/>
  <c r="H214" i="39" s="1"/>
  <c r="Y214" i="39" s="1"/>
  <c r="W241" i="38"/>
  <c r="V241" i="38"/>
  <c r="M242" i="38"/>
  <c r="T219" i="37"/>
  <c r="K242" i="38"/>
  <c r="G241" i="38"/>
  <c r="C228" i="28" s="1"/>
  <c r="U219" i="37"/>
  <c r="AA218" i="37"/>
  <c r="AB218" i="37" s="1"/>
  <c r="K205" i="28" s="1"/>
  <c r="Z241" i="38" l="1"/>
  <c r="X241" i="38"/>
  <c r="K215" i="39"/>
  <c r="Z214" i="39"/>
  <c r="W214" i="39"/>
  <c r="X214" i="39"/>
  <c r="G214" i="39"/>
  <c r="P215" i="39"/>
  <c r="V214" i="39"/>
  <c r="M215" i="39"/>
  <c r="T242" i="38"/>
  <c r="Y242" i="38" s="1"/>
  <c r="AA241" i="38"/>
  <c r="AB241" i="38" s="1"/>
  <c r="L228" i="28" s="1"/>
  <c r="Y219" i="37"/>
  <c r="U242" i="38"/>
  <c r="I219" i="37"/>
  <c r="H219" i="37" s="1"/>
  <c r="X219" i="37" s="1"/>
  <c r="I242" i="38"/>
  <c r="H242" i="38" s="1"/>
  <c r="V242" i="38" s="1"/>
  <c r="U215" i="39" l="1"/>
  <c r="AA214" i="39"/>
  <c r="AB214" i="39" s="1"/>
  <c r="T215" i="39"/>
  <c r="W215" i="39" s="1"/>
  <c r="V219" i="37"/>
  <c r="W219" i="37"/>
  <c r="J243" i="38"/>
  <c r="Z219" i="37"/>
  <c r="AA219" i="37" s="1"/>
  <c r="AB219" i="37" s="1"/>
  <c r="K206" i="28" s="1"/>
  <c r="P243" i="38"/>
  <c r="P220" i="37"/>
  <c r="X242" i="38"/>
  <c r="W242" i="38"/>
  <c r="K220" i="37"/>
  <c r="M243" i="38"/>
  <c r="G219" i="37"/>
  <c r="B206" i="28" s="1"/>
  <c r="M220" i="37"/>
  <c r="G242" i="38"/>
  <c r="C229" i="28" s="1"/>
  <c r="Z242" i="38"/>
  <c r="K243" i="38"/>
  <c r="J232" i="37"/>
  <c r="I215" i="39" l="1"/>
  <c r="H215" i="39" s="1"/>
  <c r="X215" i="39" s="1"/>
  <c r="Y215" i="39"/>
  <c r="V215" i="39"/>
  <c r="T220" i="37"/>
  <c r="AA242" i="38"/>
  <c r="AB242" i="38" s="1"/>
  <c r="L229" i="28" s="1"/>
  <c r="U243" i="38"/>
  <c r="T243" i="38"/>
  <c r="W243" i="38" s="1"/>
  <c r="U220" i="37"/>
  <c r="V243" i="38" l="1"/>
  <c r="G215" i="39"/>
  <c r="K216" i="39"/>
  <c r="M216" i="39"/>
  <c r="Z215" i="39"/>
  <c r="AA215" i="39" s="1"/>
  <c r="AB215" i="39" s="1"/>
  <c r="P216" i="39"/>
  <c r="I220" i="37"/>
  <c r="H220" i="37" s="1"/>
  <c r="Z220" i="37" s="1"/>
  <c r="Y220" i="37"/>
  <c r="I243" i="38"/>
  <c r="H243" i="38" s="1"/>
  <c r="Y243" i="38" s="1"/>
  <c r="J233" i="37"/>
  <c r="K221" i="37" l="1"/>
  <c r="J221" i="37"/>
  <c r="L221" i="37"/>
  <c r="V220" i="37"/>
  <c r="M221" i="37"/>
  <c r="X220" i="37"/>
  <c r="W220" i="37"/>
  <c r="P221" i="37"/>
  <c r="G220" i="37"/>
  <c r="B207" i="28" s="1"/>
  <c r="U216" i="39"/>
  <c r="T216" i="39"/>
  <c r="M244" i="38"/>
  <c r="X243" i="38"/>
  <c r="P244" i="38"/>
  <c r="K244" i="38"/>
  <c r="G243" i="38"/>
  <c r="C230" i="28" s="1"/>
  <c r="Z243" i="38"/>
  <c r="J244" i="38"/>
  <c r="AA220" i="37" l="1"/>
  <c r="AB220" i="37" s="1"/>
  <c r="K207" i="28" s="1"/>
  <c r="U221" i="37"/>
  <c r="T221" i="37"/>
  <c r="I221" i="37" s="1"/>
  <c r="H221" i="37" s="1"/>
  <c r="X221" i="37" s="1"/>
  <c r="I216" i="39"/>
  <c r="H216" i="39" s="1"/>
  <c r="P217" i="39" s="1"/>
  <c r="Y216" i="39"/>
  <c r="V216" i="39"/>
  <c r="U244" i="38"/>
  <c r="AA243" i="38"/>
  <c r="AB243" i="38" s="1"/>
  <c r="L230" i="28" s="1"/>
  <c r="T244" i="38"/>
  <c r="W221" i="37"/>
  <c r="V221" i="37"/>
  <c r="L217" i="39" l="1"/>
  <c r="M217" i="39"/>
  <c r="W216" i="39"/>
  <c r="Z216" i="39"/>
  <c r="G216" i="39"/>
  <c r="X216" i="39"/>
  <c r="AA216" i="39" s="1"/>
  <c r="AB216" i="39" s="1"/>
  <c r="K217" i="39"/>
  <c r="T217" i="39" s="1"/>
  <c r="Y221" i="37"/>
  <c r="I244" i="38"/>
  <c r="H244" i="38" s="1"/>
  <c r="W244" i="38" s="1"/>
  <c r="J222" i="37"/>
  <c r="P222" i="37"/>
  <c r="K222" i="37"/>
  <c r="Z221" i="37"/>
  <c r="M222" i="37"/>
  <c r="G221" i="37"/>
  <c r="B208" i="28" s="1"/>
  <c r="J234" i="37"/>
  <c r="U217" i="39" l="1"/>
  <c r="Y217" i="39" s="1"/>
  <c r="Y244" i="38"/>
  <c r="AA221" i="37"/>
  <c r="AB221" i="37" s="1"/>
  <c r="K208" i="28" s="1"/>
  <c r="X244" i="38"/>
  <c r="G244" i="38"/>
  <c r="C231" i="28" s="1"/>
  <c r="L245" i="38"/>
  <c r="M245" i="38"/>
  <c r="P245" i="38"/>
  <c r="K245" i="38"/>
  <c r="V244" i="38"/>
  <c r="Z244" i="38"/>
  <c r="T222" i="37"/>
  <c r="U222" i="37"/>
  <c r="J235" i="37"/>
  <c r="I217" i="39" l="1"/>
  <c r="H217" i="39" s="1"/>
  <c r="P218" i="39" s="1"/>
  <c r="T245" i="38"/>
  <c r="AA244" i="38"/>
  <c r="AB244" i="38" s="1"/>
  <c r="L231" i="28" s="1"/>
  <c r="U245" i="38"/>
  <c r="I222" i="37"/>
  <c r="H222" i="37" s="1"/>
  <c r="X222" i="37" s="1"/>
  <c r="Y222" i="37"/>
  <c r="Z222" i="37"/>
  <c r="V222" i="37"/>
  <c r="X217" i="39" l="1"/>
  <c r="M218" i="39"/>
  <c r="K218" i="39"/>
  <c r="T218" i="39" s="1"/>
  <c r="Z217" i="39"/>
  <c r="V217" i="39"/>
  <c r="W217" i="39"/>
  <c r="G217" i="39"/>
  <c r="I245" i="38"/>
  <c r="H245" i="38" s="1"/>
  <c r="Z245" i="38" s="1"/>
  <c r="V245" i="38"/>
  <c r="W245" i="38"/>
  <c r="M223" i="37"/>
  <c r="G222" i="37"/>
  <c r="B209" i="28" s="1"/>
  <c r="P223" i="37"/>
  <c r="K223" i="37"/>
  <c r="W222" i="37"/>
  <c r="AA222" i="37" s="1"/>
  <c r="AB222" i="37" s="1"/>
  <c r="K209" i="28" s="1"/>
  <c r="K246" i="38" l="1"/>
  <c r="X245" i="38"/>
  <c r="U218" i="39"/>
  <c r="I218" i="39" s="1"/>
  <c r="H218" i="39" s="1"/>
  <c r="AA217" i="39"/>
  <c r="AB217" i="39" s="1"/>
  <c r="U223" i="37"/>
  <c r="G245" i="38"/>
  <c r="C232" i="28" s="1"/>
  <c r="M246" i="38"/>
  <c r="T246" i="38" s="1"/>
  <c r="V246" i="38" s="1"/>
  <c r="P246" i="38"/>
  <c r="Y245" i="38"/>
  <c r="T223" i="37"/>
  <c r="Y223" i="37" l="1"/>
  <c r="AA245" i="38"/>
  <c r="AB245" i="38" s="1"/>
  <c r="L232" i="28" s="1"/>
  <c r="Y218" i="39"/>
  <c r="V218" i="39"/>
  <c r="P219" i="39"/>
  <c r="X218" i="39"/>
  <c r="K219" i="39"/>
  <c r="W218" i="39"/>
  <c r="G218" i="39"/>
  <c r="M219" i="39"/>
  <c r="Z218" i="39"/>
  <c r="U246" i="38"/>
  <c r="I246" i="38" s="1"/>
  <c r="H246" i="38" s="1"/>
  <c r="M247" i="38" s="1"/>
  <c r="I223" i="37"/>
  <c r="H223" i="37" s="1"/>
  <c r="X223" i="37" s="1"/>
  <c r="W246" i="38"/>
  <c r="Y246" i="38"/>
  <c r="Z246" i="38"/>
  <c r="Z223" i="37"/>
  <c r="V223" i="37"/>
  <c r="W223" i="37"/>
  <c r="J236" i="37"/>
  <c r="X246" i="38" l="1"/>
  <c r="K247" i="38"/>
  <c r="P247" i="38"/>
  <c r="G246" i="38"/>
  <c r="C233" i="28" s="1"/>
  <c r="M224" i="37"/>
  <c r="P224" i="37"/>
  <c r="AA218" i="39"/>
  <c r="AB218" i="39" s="1"/>
  <c r="K224" i="37"/>
  <c r="T224" i="37" s="1"/>
  <c r="G223" i="37"/>
  <c r="B210" i="28" s="1"/>
  <c r="T219" i="39"/>
  <c r="U219" i="39"/>
  <c r="AA246" i="38"/>
  <c r="AB246" i="38" s="1"/>
  <c r="L233" i="28" s="1"/>
  <c r="T247" i="38"/>
  <c r="U247" i="38"/>
  <c r="I247" i="38" s="1"/>
  <c r="H247" i="38" s="1"/>
  <c r="AA223" i="37"/>
  <c r="AB223" i="37" s="1"/>
  <c r="K210" i="28" s="1"/>
  <c r="Y219" i="39" l="1"/>
  <c r="U224" i="37"/>
  <c r="I219" i="39"/>
  <c r="H219" i="39" s="1"/>
  <c r="W219" i="39" s="1"/>
  <c r="W247" i="38"/>
  <c r="Z247" i="38"/>
  <c r="M248" i="38"/>
  <c r="G247" i="38"/>
  <c r="C234" i="28" s="1"/>
  <c r="X247" i="38"/>
  <c r="P248" i="38"/>
  <c r="K248" i="38"/>
  <c r="V247" i="38"/>
  <c r="Y247" i="38"/>
  <c r="Y224" i="37"/>
  <c r="I224" i="37"/>
  <c r="H224" i="37" s="1"/>
  <c r="X224" i="37" s="1"/>
  <c r="J237" i="37"/>
  <c r="T248" i="38" l="1"/>
  <c r="X219" i="39"/>
  <c r="V219" i="39"/>
  <c r="K220" i="39"/>
  <c r="G219" i="39"/>
  <c r="Z219" i="39"/>
  <c r="M220" i="39"/>
  <c r="P220" i="39"/>
  <c r="T220" i="39" s="1"/>
  <c r="AA247" i="38"/>
  <c r="AB247" i="38" s="1"/>
  <c r="L234" i="28" s="1"/>
  <c r="U248" i="38"/>
  <c r="Y248" i="38" s="1"/>
  <c r="V224" i="37"/>
  <c r="W224" i="37"/>
  <c r="Z224" i="37"/>
  <c r="P225" i="37"/>
  <c r="M225" i="37"/>
  <c r="L225" i="37"/>
  <c r="K225" i="37"/>
  <c r="G224" i="37"/>
  <c r="B211" i="28" s="1"/>
  <c r="U220" i="39" l="1"/>
  <c r="Y220" i="39" s="1"/>
  <c r="AA219" i="39"/>
  <c r="AB219" i="39" s="1"/>
  <c r="I248" i="38"/>
  <c r="H248" i="38" s="1"/>
  <c r="X248" i="38" s="1"/>
  <c r="V248" i="38"/>
  <c r="W248" i="38"/>
  <c r="Z248" i="38"/>
  <c r="M249" i="38"/>
  <c r="K249" i="38"/>
  <c r="T225" i="37"/>
  <c r="U225" i="37"/>
  <c r="AA224" i="37"/>
  <c r="AB224" i="37" s="1"/>
  <c r="K211" i="28" s="1"/>
  <c r="I220" i="39" l="1"/>
  <c r="H220" i="39" s="1"/>
  <c r="K221" i="39" s="1"/>
  <c r="L249" i="38"/>
  <c r="G248" i="38"/>
  <c r="C235" i="28" s="1"/>
  <c r="P249" i="38"/>
  <c r="W220" i="39"/>
  <c r="J221" i="39"/>
  <c r="P221" i="39"/>
  <c r="X220" i="39"/>
  <c r="G220" i="39"/>
  <c r="L221" i="39"/>
  <c r="M221" i="39"/>
  <c r="V220" i="39"/>
  <c r="Z220" i="39"/>
  <c r="AA248" i="38"/>
  <c r="AB248" i="38" s="1"/>
  <c r="L235" i="28" s="1"/>
  <c r="U249" i="38"/>
  <c r="T249" i="38"/>
  <c r="Y249" i="38" s="1"/>
  <c r="I225" i="37"/>
  <c r="H225" i="37" s="1"/>
  <c r="Y225" i="37" s="1"/>
  <c r="J238" i="37"/>
  <c r="U221" i="39" l="1"/>
  <c r="T221" i="39"/>
  <c r="V221" i="39" s="1"/>
  <c r="AA220" i="39"/>
  <c r="AB220" i="39" s="1"/>
  <c r="I249" i="38"/>
  <c r="H249" i="38" s="1"/>
  <c r="W249" i="38" s="1"/>
  <c r="V225" i="37"/>
  <c r="X225" i="37"/>
  <c r="Z225" i="37"/>
  <c r="W225" i="37"/>
  <c r="P226" i="37"/>
  <c r="K226" i="37"/>
  <c r="G225" i="37"/>
  <c r="B212" i="28" s="1"/>
  <c r="M226" i="37"/>
  <c r="I221" i="39" l="1"/>
  <c r="H221" i="39" s="1"/>
  <c r="Z221" i="39" s="1"/>
  <c r="W221" i="39"/>
  <c r="Z249" i="38"/>
  <c r="G249" i="38"/>
  <c r="C236" i="28" s="1"/>
  <c r="M250" i="38"/>
  <c r="K250" i="38"/>
  <c r="X249" i="38"/>
  <c r="P250" i="38"/>
  <c r="V249" i="38"/>
  <c r="T226" i="37"/>
  <c r="U226" i="37"/>
  <c r="AA225" i="37"/>
  <c r="AB225" i="37" s="1"/>
  <c r="K212" i="28" s="1"/>
  <c r="J239" i="37"/>
  <c r="P222" i="39" l="1"/>
  <c r="G221" i="39"/>
  <c r="X221" i="39"/>
  <c r="M222" i="39"/>
  <c r="Y221" i="39"/>
  <c r="J222" i="39"/>
  <c r="K222" i="39"/>
  <c r="U222" i="39" s="1"/>
  <c r="AA249" i="38"/>
  <c r="AB249" i="38" s="1"/>
  <c r="L236" i="28" s="1"/>
  <c r="T250" i="38"/>
  <c r="U250" i="38"/>
  <c r="I226" i="37"/>
  <c r="H226" i="37" s="1"/>
  <c r="X226" i="37" s="1"/>
  <c r="AA221" i="39" l="1"/>
  <c r="AB221" i="39" s="1"/>
  <c r="T222" i="39"/>
  <c r="I222" i="39" s="1"/>
  <c r="H222" i="39" s="1"/>
  <c r="Z222" i="39" s="1"/>
  <c r="I250" i="38"/>
  <c r="H250" i="38" s="1"/>
  <c r="W250" i="38" s="1"/>
  <c r="X250" i="38"/>
  <c r="M251" i="38"/>
  <c r="G250" i="38"/>
  <c r="C237" i="28" s="1"/>
  <c r="K251" i="38"/>
  <c r="P251" i="38"/>
  <c r="Z250" i="38"/>
  <c r="V250" i="38"/>
  <c r="V226" i="37"/>
  <c r="W226" i="37"/>
  <c r="Y226" i="37"/>
  <c r="Z226" i="37"/>
  <c r="P227" i="37"/>
  <c r="M227" i="37"/>
  <c r="G226" i="37"/>
  <c r="B213" i="28" s="1"/>
  <c r="K227" i="37"/>
  <c r="J240" i="37"/>
  <c r="V222" i="39" l="1"/>
  <c r="W222" i="39"/>
  <c r="Y222" i="39"/>
  <c r="P223" i="39"/>
  <c r="M223" i="39"/>
  <c r="G222" i="39"/>
  <c r="K223" i="39"/>
  <c r="X222" i="39"/>
  <c r="Y250" i="38"/>
  <c r="U251" i="38"/>
  <c r="T251" i="38"/>
  <c r="W251" i="38" s="1"/>
  <c r="AA250" i="38"/>
  <c r="AB250" i="38" s="1"/>
  <c r="L237" i="28" s="1"/>
  <c r="T227" i="37"/>
  <c r="U227" i="37"/>
  <c r="AA226" i="37"/>
  <c r="AB226" i="37" s="1"/>
  <c r="K213" i="28" s="1"/>
  <c r="AA222" i="39" l="1"/>
  <c r="AB222" i="39" s="1"/>
  <c r="T223" i="39"/>
  <c r="U223" i="39"/>
  <c r="Y251" i="38"/>
  <c r="I251" i="38"/>
  <c r="H251" i="38" s="1"/>
  <c r="Z251" i="38" s="1"/>
  <c r="V251" i="38"/>
  <c r="Y227" i="37"/>
  <c r="I227" i="37"/>
  <c r="H227" i="37" s="1"/>
  <c r="J241" i="37"/>
  <c r="Y223" i="39" l="1"/>
  <c r="I223" i="39"/>
  <c r="H223" i="39" s="1"/>
  <c r="P252" i="38"/>
  <c r="G251" i="38"/>
  <c r="C238" i="28" s="1"/>
  <c r="X251" i="38"/>
  <c r="AA251" i="38" s="1"/>
  <c r="AB251" i="38" s="1"/>
  <c r="L238" i="28" s="1"/>
  <c r="K252" i="38"/>
  <c r="M252" i="38"/>
  <c r="X227" i="37"/>
  <c r="V227" i="37"/>
  <c r="Z227" i="37"/>
  <c r="W227" i="37"/>
  <c r="K228" i="37"/>
  <c r="P228" i="37"/>
  <c r="G227" i="37"/>
  <c r="B214" i="28" s="1"/>
  <c r="M228" i="37"/>
  <c r="Z223" i="39" l="1"/>
  <c r="P224" i="39"/>
  <c r="K224" i="39"/>
  <c r="G223" i="39"/>
  <c r="M224" i="39"/>
  <c r="V223" i="39"/>
  <c r="X223" i="39"/>
  <c r="W223" i="39"/>
  <c r="T252" i="38"/>
  <c r="U252" i="38"/>
  <c r="I252" i="38" s="1"/>
  <c r="H252" i="38" s="1"/>
  <c r="T228" i="37"/>
  <c r="U228" i="37"/>
  <c r="AA227" i="37"/>
  <c r="AB227" i="37" s="1"/>
  <c r="K214" i="28" s="1"/>
  <c r="T224" i="39" l="1"/>
  <c r="V224" i="39" s="1"/>
  <c r="AA223" i="39"/>
  <c r="AB223" i="39" s="1"/>
  <c r="U224" i="39"/>
  <c r="G252" i="38"/>
  <c r="C239" i="28" s="1"/>
  <c r="L253" i="38"/>
  <c r="V252" i="38"/>
  <c r="W252" i="38"/>
  <c r="Z252" i="38"/>
  <c r="P253" i="38"/>
  <c r="X252" i="38"/>
  <c r="K253" i="38"/>
  <c r="M253" i="38"/>
  <c r="Y252" i="38"/>
  <c r="Y228" i="37"/>
  <c r="I228" i="37"/>
  <c r="H228" i="37" s="1"/>
  <c r="X228" i="37" s="1"/>
  <c r="J242" i="37"/>
  <c r="I224" i="39" l="1"/>
  <c r="H224" i="39" s="1"/>
  <c r="X224" i="39" s="1"/>
  <c r="W224" i="39"/>
  <c r="Y224" i="39"/>
  <c r="U253" i="38"/>
  <c r="AA252" i="38"/>
  <c r="AB252" i="38" s="1"/>
  <c r="L239" i="28" s="1"/>
  <c r="T253" i="38"/>
  <c r="I253" i="38" s="1"/>
  <c r="H253" i="38" s="1"/>
  <c r="Y253" i="38"/>
  <c r="W228" i="37"/>
  <c r="Z228" i="37"/>
  <c r="V228" i="37"/>
  <c r="P229" i="37"/>
  <c r="M229" i="37"/>
  <c r="K229" i="37"/>
  <c r="L229" i="37"/>
  <c r="G228" i="37"/>
  <c r="B215" i="28" s="1"/>
  <c r="Z224" i="39" l="1"/>
  <c r="AA224" i="39" s="1"/>
  <c r="AB224" i="39" s="1"/>
  <c r="L225" i="39"/>
  <c r="M225" i="39"/>
  <c r="P225" i="39"/>
  <c r="G224" i="39"/>
  <c r="K225" i="39"/>
  <c r="M254" i="38"/>
  <c r="Z253" i="38"/>
  <c r="K254" i="38"/>
  <c r="W253" i="38"/>
  <c r="P254" i="38"/>
  <c r="X253" i="38"/>
  <c r="V253" i="38"/>
  <c r="G253" i="38"/>
  <c r="C240" i="28" s="1"/>
  <c r="T229" i="37"/>
  <c r="U229" i="37"/>
  <c r="AA228" i="37"/>
  <c r="AB228" i="37" s="1"/>
  <c r="K215" i="28" s="1"/>
  <c r="T225" i="39" l="1"/>
  <c r="U225" i="39"/>
  <c r="Y225" i="39" s="1"/>
  <c r="T254" i="38"/>
  <c r="AA253" i="38"/>
  <c r="AB253" i="38" s="1"/>
  <c r="L240" i="28" s="1"/>
  <c r="U254" i="38"/>
  <c r="Y254" i="38" s="1"/>
  <c r="Y229" i="37"/>
  <c r="I229" i="37"/>
  <c r="H229" i="37" s="1"/>
  <c r="I254" i="38" l="1"/>
  <c r="H254" i="38" s="1"/>
  <c r="V254" i="38" s="1"/>
  <c r="I225" i="39"/>
  <c r="H225" i="39" s="1"/>
  <c r="K226" i="39" s="1"/>
  <c r="M255" i="38"/>
  <c r="K255" i="38"/>
  <c r="X254" i="38"/>
  <c r="P255" i="38"/>
  <c r="Z254" i="38"/>
  <c r="G254" i="38"/>
  <c r="C241" i="28" s="1"/>
  <c r="W254" i="38"/>
  <c r="X229" i="37"/>
  <c r="W229" i="37"/>
  <c r="V229" i="37"/>
  <c r="Z229" i="37"/>
  <c r="P230" i="37"/>
  <c r="M230" i="37"/>
  <c r="K230" i="37"/>
  <c r="G229" i="37"/>
  <c r="B216" i="28" s="1"/>
  <c r="X225" i="39" l="1"/>
  <c r="V225" i="39"/>
  <c r="Z225" i="39"/>
  <c r="W225" i="39"/>
  <c r="P226" i="39"/>
  <c r="M226" i="39"/>
  <c r="G225" i="39"/>
  <c r="AA254" i="38"/>
  <c r="AB254" i="38" s="1"/>
  <c r="L241" i="28" s="1"/>
  <c r="T255" i="38"/>
  <c r="U255" i="38"/>
  <c r="T230" i="37"/>
  <c r="U230" i="37"/>
  <c r="AA229" i="37"/>
  <c r="AB229" i="37" s="1"/>
  <c r="K216" i="28" s="1"/>
  <c r="AA225" i="39" l="1"/>
  <c r="AB225" i="39" s="1"/>
  <c r="U226" i="39"/>
  <c r="T226" i="39"/>
  <c r="Y255" i="38"/>
  <c r="I255" i="38"/>
  <c r="H255" i="38" s="1"/>
  <c r="V255" i="38" s="1"/>
  <c r="Y230" i="37"/>
  <c r="I230" i="37"/>
  <c r="H230" i="37" s="1"/>
  <c r="X230" i="37" s="1"/>
  <c r="Y226" i="39" l="1"/>
  <c r="I226" i="39"/>
  <c r="H226" i="39" s="1"/>
  <c r="Z226" i="39" s="1"/>
  <c r="W255" i="38"/>
  <c r="Z255" i="38"/>
  <c r="P256" i="38"/>
  <c r="M256" i="38"/>
  <c r="K256" i="38"/>
  <c r="X255" i="38"/>
  <c r="G255" i="38"/>
  <c r="C242" i="28" s="1"/>
  <c r="Z230" i="37"/>
  <c r="W230" i="37"/>
  <c r="V230" i="37"/>
  <c r="G230" i="37"/>
  <c r="B217" i="28" s="1"/>
  <c r="P231" i="37"/>
  <c r="K231" i="37"/>
  <c r="M231" i="37"/>
  <c r="J245" i="37"/>
  <c r="W226" i="39" l="1"/>
  <c r="V226" i="39"/>
  <c r="P227" i="39"/>
  <c r="G226" i="39"/>
  <c r="M227" i="39"/>
  <c r="K227" i="39"/>
  <c r="X226" i="39"/>
  <c r="U256" i="38"/>
  <c r="AA255" i="38"/>
  <c r="AB255" i="38" s="1"/>
  <c r="L242" i="28" s="1"/>
  <c r="T256" i="38"/>
  <c r="T231" i="37"/>
  <c r="U231" i="37"/>
  <c r="AA230" i="37"/>
  <c r="AB230" i="37" s="1"/>
  <c r="K217" i="28" s="1"/>
  <c r="I256" i="38" l="1"/>
  <c r="H256" i="38" s="1"/>
  <c r="AA226" i="39"/>
  <c r="AB226" i="39" s="1"/>
  <c r="T227" i="39"/>
  <c r="U227" i="39"/>
  <c r="Y256" i="38"/>
  <c r="L257" i="38"/>
  <c r="V256" i="38"/>
  <c r="G256" i="38"/>
  <c r="C243" i="28" s="1"/>
  <c r="W256" i="38"/>
  <c r="K257" i="38"/>
  <c r="Z256" i="38"/>
  <c r="X256" i="38"/>
  <c r="M257" i="38"/>
  <c r="P257" i="38"/>
  <c r="Y231" i="37"/>
  <c r="I231" i="37"/>
  <c r="H231" i="37" s="1"/>
  <c r="X231" i="37" s="1"/>
  <c r="J246" i="37"/>
  <c r="Y227" i="39" l="1"/>
  <c r="I227" i="39"/>
  <c r="H227" i="39" s="1"/>
  <c r="K228" i="39" s="1"/>
  <c r="T257" i="38"/>
  <c r="AA256" i="38"/>
  <c r="AB256" i="38" s="1"/>
  <c r="L243" i="28" s="1"/>
  <c r="U257" i="38"/>
  <c r="W231" i="37"/>
  <c r="V231" i="37"/>
  <c r="Z231" i="37"/>
  <c r="G231" i="37"/>
  <c r="B218" i="28" s="1"/>
  <c r="P232" i="37"/>
  <c r="M232" i="37"/>
  <c r="K232" i="37"/>
  <c r="I257" i="38" l="1"/>
  <c r="H257" i="38" s="1"/>
  <c r="Z227" i="39"/>
  <c r="V227" i="39"/>
  <c r="G227" i="39"/>
  <c r="P228" i="39"/>
  <c r="W227" i="39"/>
  <c r="M228" i="39"/>
  <c r="X227" i="39"/>
  <c r="Y257" i="38"/>
  <c r="X257" i="38"/>
  <c r="K258" i="38"/>
  <c r="W257" i="38"/>
  <c r="G257" i="38"/>
  <c r="C244" i="28" s="1"/>
  <c r="V257" i="38"/>
  <c r="Z257" i="38"/>
  <c r="M258" i="38"/>
  <c r="P258" i="38"/>
  <c r="T232" i="37"/>
  <c r="U232" i="37"/>
  <c r="AA231" i="37"/>
  <c r="AB231" i="37" s="1"/>
  <c r="K218" i="28" s="1"/>
  <c r="J247" i="37"/>
  <c r="U228" i="39" l="1"/>
  <c r="T228" i="39"/>
  <c r="AA227" i="39"/>
  <c r="AB227" i="39" s="1"/>
  <c r="U258" i="38"/>
  <c r="AA257" i="38"/>
  <c r="AB257" i="38" s="1"/>
  <c r="L244" i="28" s="1"/>
  <c r="T258" i="38"/>
  <c r="Y232" i="37"/>
  <c r="I232" i="37"/>
  <c r="H232" i="37" s="1"/>
  <c r="Y228" i="39" l="1"/>
  <c r="I228" i="39"/>
  <c r="H228" i="39" s="1"/>
  <c r="G228" i="39" s="1"/>
  <c r="I258" i="38"/>
  <c r="H258" i="38" s="1"/>
  <c r="P259" i="38" s="1"/>
  <c r="Y258" i="38"/>
  <c r="K259" i="38"/>
  <c r="M259" i="38"/>
  <c r="Z258" i="38"/>
  <c r="V258" i="38"/>
  <c r="W258" i="38"/>
  <c r="X232" i="37"/>
  <c r="W232" i="37"/>
  <c r="V232" i="37"/>
  <c r="Z232" i="37"/>
  <c r="K233" i="37"/>
  <c r="P233" i="37"/>
  <c r="M233" i="37"/>
  <c r="L233" i="37"/>
  <c r="G232" i="37"/>
  <c r="B219" i="28" s="1"/>
  <c r="G258" i="38" l="1"/>
  <c r="C245" i="28" s="1"/>
  <c r="X258" i="38"/>
  <c r="W228" i="39"/>
  <c r="X228" i="39"/>
  <c r="V228" i="39"/>
  <c r="M229" i="39"/>
  <c r="K229" i="39"/>
  <c r="L229" i="39"/>
  <c r="P229" i="39"/>
  <c r="Z228" i="39"/>
  <c r="U259" i="38"/>
  <c r="T259" i="38"/>
  <c r="AA258" i="38"/>
  <c r="AB258" i="38" s="1"/>
  <c r="L245" i="28" s="1"/>
  <c r="T233" i="37"/>
  <c r="U233" i="37"/>
  <c r="AA232" i="37"/>
  <c r="AB232" i="37" s="1"/>
  <c r="K219" i="28" s="1"/>
  <c r="J248" i="37"/>
  <c r="U229" i="39" l="1"/>
  <c r="AA228" i="39"/>
  <c r="AB228" i="39" s="1"/>
  <c r="T229" i="39"/>
  <c r="Y259" i="38"/>
  <c r="I259" i="38"/>
  <c r="H259" i="38" s="1"/>
  <c r="K260" i="38" s="1"/>
  <c r="Y233" i="37"/>
  <c r="I233" i="37"/>
  <c r="H233" i="37" s="1"/>
  <c r="X233" i="37" s="1"/>
  <c r="I229" i="39" l="1"/>
  <c r="H229" i="39" s="1"/>
  <c r="Z229" i="39" s="1"/>
  <c r="Y229" i="39"/>
  <c r="W259" i="38"/>
  <c r="G259" i="38"/>
  <c r="C246" i="28" s="1"/>
  <c r="X259" i="38"/>
  <c r="M260" i="38"/>
  <c r="U260" i="38" s="1"/>
  <c r="Z259" i="38"/>
  <c r="P260" i="38"/>
  <c r="V259" i="38"/>
  <c r="W233" i="37"/>
  <c r="V233" i="37"/>
  <c r="Z233" i="37"/>
  <c r="P234" i="37"/>
  <c r="K234" i="37"/>
  <c r="M234" i="37"/>
  <c r="G233" i="37"/>
  <c r="B220" i="28" s="1"/>
  <c r="W229" i="39" l="1"/>
  <c r="M230" i="39"/>
  <c r="K230" i="39"/>
  <c r="G229" i="39"/>
  <c r="X229" i="39"/>
  <c r="P230" i="39"/>
  <c r="V229" i="39"/>
  <c r="AA259" i="38"/>
  <c r="AB259" i="38" s="1"/>
  <c r="L246" i="28" s="1"/>
  <c r="T260" i="38"/>
  <c r="Y260" i="38" s="1"/>
  <c r="T234" i="37"/>
  <c r="U234" i="37"/>
  <c r="AA233" i="37"/>
  <c r="AB233" i="37" s="1"/>
  <c r="K220" i="28" s="1"/>
  <c r="J249" i="37"/>
  <c r="AA229" i="39" l="1"/>
  <c r="AB229" i="39" s="1"/>
  <c r="T230" i="39"/>
  <c r="U230" i="39"/>
  <c r="I260" i="38"/>
  <c r="H260" i="38" s="1"/>
  <c r="Y234" i="37"/>
  <c r="I234" i="37"/>
  <c r="H234" i="37" s="1"/>
  <c r="X234" i="37" s="1"/>
  <c r="Y230" i="39" l="1"/>
  <c r="I230" i="39"/>
  <c r="H230" i="39" s="1"/>
  <c r="W230" i="39" s="1"/>
  <c r="V260" i="38"/>
  <c r="L261" i="38"/>
  <c r="M261" i="38"/>
  <c r="P261" i="38"/>
  <c r="Z260" i="38"/>
  <c r="G260" i="38"/>
  <c r="C247" i="28" s="1"/>
  <c r="X260" i="38"/>
  <c r="W260" i="38"/>
  <c r="K261" i="38"/>
  <c r="W234" i="37"/>
  <c r="V234" i="37"/>
  <c r="Z234" i="37"/>
  <c r="P235" i="37"/>
  <c r="K235" i="37"/>
  <c r="M235" i="37"/>
  <c r="G234" i="37"/>
  <c r="B221" i="28" s="1"/>
  <c r="V230" i="39" l="1"/>
  <c r="K231" i="39"/>
  <c r="X230" i="39"/>
  <c r="Z230" i="39"/>
  <c r="M231" i="39"/>
  <c r="P231" i="39"/>
  <c r="G230" i="39"/>
  <c r="T261" i="38"/>
  <c r="U261" i="38"/>
  <c r="AA260" i="38"/>
  <c r="AB260" i="38" s="1"/>
  <c r="L247" i="28" s="1"/>
  <c r="T235" i="37"/>
  <c r="U235" i="37"/>
  <c r="AA234" i="37"/>
  <c r="AB234" i="37" s="1"/>
  <c r="K221" i="28" s="1"/>
  <c r="J250" i="37"/>
  <c r="U231" i="39" l="1"/>
  <c r="AA230" i="39"/>
  <c r="AB230" i="39" s="1"/>
  <c r="T231" i="39"/>
  <c r="Y261" i="38"/>
  <c r="I261" i="38"/>
  <c r="H261" i="38" s="1"/>
  <c r="Y235" i="37"/>
  <c r="I235" i="37"/>
  <c r="H235" i="37" s="1"/>
  <c r="X235" i="37" s="1"/>
  <c r="Y231" i="39" l="1"/>
  <c r="I231" i="39"/>
  <c r="H231" i="39" s="1"/>
  <c r="K232" i="39" s="1"/>
  <c r="G261" i="38"/>
  <c r="C248" i="28" s="1"/>
  <c r="M262" i="38"/>
  <c r="X261" i="38"/>
  <c r="V261" i="38"/>
  <c r="Z261" i="38"/>
  <c r="K262" i="38"/>
  <c r="P262" i="38"/>
  <c r="W261" i="38"/>
  <c r="V235" i="37"/>
  <c r="Z235" i="37"/>
  <c r="W235" i="37"/>
  <c r="P236" i="37"/>
  <c r="K236" i="37"/>
  <c r="M236" i="37"/>
  <c r="G235" i="37"/>
  <c r="B222" i="28" s="1"/>
  <c r="J251" i="37"/>
  <c r="Z231" i="39" l="1"/>
  <c r="P232" i="39"/>
  <c r="M232" i="39"/>
  <c r="G231" i="39"/>
  <c r="X231" i="39"/>
  <c r="V231" i="39"/>
  <c r="W231" i="39"/>
  <c r="AA261" i="38"/>
  <c r="AB261" i="38" s="1"/>
  <c r="L248" i="28" s="1"/>
  <c r="T262" i="38"/>
  <c r="U262" i="38"/>
  <c r="T236" i="37"/>
  <c r="U236" i="37"/>
  <c r="AA235" i="37"/>
  <c r="AB235" i="37" s="1"/>
  <c r="K222" i="28" s="1"/>
  <c r="T232" i="39" l="1"/>
  <c r="AA231" i="39"/>
  <c r="AB231" i="39" s="1"/>
  <c r="U232" i="39"/>
  <c r="I262" i="38"/>
  <c r="H262" i="38" s="1"/>
  <c r="V262" i="38" s="1"/>
  <c r="Y236" i="37"/>
  <c r="I236" i="37"/>
  <c r="H236" i="37" s="1"/>
  <c r="Z236" i="37" s="1"/>
  <c r="I232" i="39" l="1"/>
  <c r="H232" i="39" s="1"/>
  <c r="G232" i="39" s="1"/>
  <c r="Y232" i="39"/>
  <c r="K233" i="39"/>
  <c r="Y262" i="38"/>
  <c r="G262" i="38"/>
  <c r="C249" i="28" s="1"/>
  <c r="M263" i="38"/>
  <c r="P263" i="38"/>
  <c r="K263" i="38"/>
  <c r="X262" i="38"/>
  <c r="W262" i="38"/>
  <c r="Z262" i="38"/>
  <c r="X236" i="37"/>
  <c r="V236" i="37"/>
  <c r="W236" i="37"/>
  <c r="P237" i="37"/>
  <c r="G236" i="37"/>
  <c r="B223" i="28" s="1"/>
  <c r="M237" i="37"/>
  <c r="K237" i="37"/>
  <c r="L237" i="37"/>
  <c r="Z232" i="39" l="1"/>
  <c r="W232" i="39"/>
  <c r="P233" i="39"/>
  <c r="M233" i="39"/>
  <c r="X232" i="39"/>
  <c r="V232" i="39"/>
  <c r="L233" i="39"/>
  <c r="AA262" i="38"/>
  <c r="AB262" i="38" s="1"/>
  <c r="L249" i="28" s="1"/>
  <c r="T263" i="38"/>
  <c r="V263" i="38" s="1"/>
  <c r="U263" i="38"/>
  <c r="T237" i="37"/>
  <c r="U237" i="37"/>
  <c r="AA236" i="37"/>
  <c r="AB236" i="37" s="1"/>
  <c r="K223" i="28" s="1"/>
  <c r="J252" i="37"/>
  <c r="U233" i="39" l="1"/>
  <c r="AA232" i="39"/>
  <c r="AB232" i="39" s="1"/>
  <c r="T233" i="39"/>
  <c r="Y233" i="39" s="1"/>
  <c r="W263" i="38"/>
  <c r="Y263" i="38"/>
  <c r="I263" i="38"/>
  <c r="H263" i="38" s="1"/>
  <c r="Y237" i="37"/>
  <c r="I237" i="37"/>
  <c r="H237" i="37" s="1"/>
  <c r="X237" i="37" s="1"/>
  <c r="I233" i="39" l="1"/>
  <c r="H233" i="39" s="1"/>
  <c r="X233" i="39" s="1"/>
  <c r="G263" i="38"/>
  <c r="C250" i="28" s="1"/>
  <c r="M264" i="38"/>
  <c r="P264" i="38"/>
  <c r="K264" i="38"/>
  <c r="Z263" i="38"/>
  <c r="X263" i="38"/>
  <c r="Z237" i="37"/>
  <c r="W237" i="37"/>
  <c r="V237" i="37"/>
  <c r="P238" i="37"/>
  <c r="G237" i="37"/>
  <c r="B224" i="28" s="1"/>
  <c r="M238" i="37"/>
  <c r="K238" i="37"/>
  <c r="W233" i="39" l="1"/>
  <c r="M234" i="39"/>
  <c r="V233" i="39"/>
  <c r="P234" i="39"/>
  <c r="G233" i="39"/>
  <c r="Z233" i="39"/>
  <c r="K234" i="39"/>
  <c r="T234" i="39" s="1"/>
  <c r="AA263" i="38"/>
  <c r="AB263" i="38" s="1"/>
  <c r="L250" i="28" s="1"/>
  <c r="T264" i="38"/>
  <c r="U264" i="38"/>
  <c r="I264" i="38" s="1"/>
  <c r="H264" i="38" s="1"/>
  <c r="T238" i="37"/>
  <c r="U238" i="37"/>
  <c r="AA237" i="37"/>
  <c r="AB237" i="37" s="1"/>
  <c r="K224" i="28" s="1"/>
  <c r="J253" i="37"/>
  <c r="AA233" i="39" l="1"/>
  <c r="AB233" i="39" s="1"/>
  <c r="U234" i="39"/>
  <c r="Y234" i="39" s="1"/>
  <c r="G264" i="38"/>
  <c r="C251" i="28" s="1"/>
  <c r="P265" i="38"/>
  <c r="L265" i="38"/>
  <c r="M265" i="38"/>
  <c r="K265" i="38"/>
  <c r="Y264" i="38"/>
  <c r="Z264" i="38"/>
  <c r="X264" i="38"/>
  <c r="W264" i="38"/>
  <c r="V264" i="38"/>
  <c r="Y238" i="37"/>
  <c r="I238" i="37"/>
  <c r="H238" i="37" s="1"/>
  <c r="Z238" i="37" s="1"/>
  <c r="I234" i="39" l="1"/>
  <c r="H234" i="39" s="1"/>
  <c r="M235" i="39" s="1"/>
  <c r="X234" i="39"/>
  <c r="K235" i="39"/>
  <c r="V234" i="39"/>
  <c r="Z234" i="39"/>
  <c r="W234" i="39"/>
  <c r="T265" i="38"/>
  <c r="U265" i="38"/>
  <c r="AA264" i="38"/>
  <c r="AB264" i="38" s="1"/>
  <c r="L251" i="28" s="1"/>
  <c r="W238" i="37"/>
  <c r="V238" i="37"/>
  <c r="X238" i="37"/>
  <c r="K239" i="37"/>
  <c r="P239" i="37"/>
  <c r="M239" i="37"/>
  <c r="G238" i="37"/>
  <c r="B225" i="28" s="1"/>
  <c r="P235" i="39" l="1"/>
  <c r="G234" i="39"/>
  <c r="Y265" i="38"/>
  <c r="AA234" i="39"/>
  <c r="AB234" i="39" s="1"/>
  <c r="U235" i="39"/>
  <c r="T235" i="39"/>
  <c r="I265" i="38"/>
  <c r="H265" i="38" s="1"/>
  <c r="T239" i="37"/>
  <c r="U239" i="37"/>
  <c r="AA238" i="37"/>
  <c r="AB238" i="37" s="1"/>
  <c r="K225" i="28" s="1"/>
  <c r="J254" i="37"/>
  <c r="I235" i="39" l="1"/>
  <c r="H235" i="39" s="1"/>
  <c r="X235" i="39" s="1"/>
  <c r="Y235" i="39"/>
  <c r="Z265" i="38"/>
  <c r="P266" i="38"/>
  <c r="K266" i="38"/>
  <c r="G265" i="38"/>
  <c r="C252" i="28" s="1"/>
  <c r="M266" i="38"/>
  <c r="X265" i="38"/>
  <c r="W265" i="38"/>
  <c r="V265" i="38"/>
  <c r="Y239" i="37"/>
  <c r="I239" i="37"/>
  <c r="H239" i="37" s="1"/>
  <c r="AA265" i="38" l="1"/>
  <c r="AB265" i="38" s="1"/>
  <c r="L252" i="28" s="1"/>
  <c r="V235" i="39"/>
  <c r="W235" i="39"/>
  <c r="K236" i="39"/>
  <c r="Z235" i="39"/>
  <c r="P236" i="39"/>
  <c r="G235" i="39"/>
  <c r="M236" i="39"/>
  <c r="T266" i="38"/>
  <c r="U266" i="38"/>
  <c r="X239" i="37"/>
  <c r="W239" i="37"/>
  <c r="V239" i="37"/>
  <c r="Z239" i="37"/>
  <c r="K240" i="37"/>
  <c r="P240" i="37"/>
  <c r="M240" i="37"/>
  <c r="G239" i="37"/>
  <c r="B226" i="28" s="1"/>
  <c r="J255" i="37"/>
  <c r="AA235" i="39" l="1"/>
  <c r="AB235" i="39" s="1"/>
  <c r="U236" i="39"/>
  <c r="T236" i="39"/>
  <c r="I266" i="38"/>
  <c r="H266" i="38" s="1"/>
  <c r="W266" i="38" s="1"/>
  <c r="Y266" i="38"/>
  <c r="T240" i="37"/>
  <c r="U240" i="37"/>
  <c r="AA239" i="37"/>
  <c r="AB239" i="37" s="1"/>
  <c r="K226" i="28" s="1"/>
  <c r="I236" i="39" l="1"/>
  <c r="H236" i="39" s="1"/>
  <c r="V236" i="39" s="1"/>
  <c r="Y236" i="39"/>
  <c r="W236" i="39"/>
  <c r="M267" i="38"/>
  <c r="P267" i="38"/>
  <c r="K267" i="38"/>
  <c r="U267" i="38" s="1"/>
  <c r="X266" i="38"/>
  <c r="V266" i="38"/>
  <c r="Z266" i="38"/>
  <c r="G266" i="38"/>
  <c r="C253" i="28" s="1"/>
  <c r="I240" i="37"/>
  <c r="H240" i="37" s="1"/>
  <c r="X240" i="37" s="1"/>
  <c r="Y240" i="37"/>
  <c r="J256" i="37"/>
  <c r="AA266" i="38" l="1"/>
  <c r="AB266" i="38" s="1"/>
  <c r="L253" i="28" s="1"/>
  <c r="T267" i="38"/>
  <c r="L237" i="39"/>
  <c r="P237" i="39"/>
  <c r="X236" i="39"/>
  <c r="K237" i="39"/>
  <c r="M237" i="39"/>
  <c r="Z236" i="39"/>
  <c r="G236" i="39"/>
  <c r="Y267" i="38"/>
  <c r="I267" i="38"/>
  <c r="H267" i="38" s="1"/>
  <c r="Z267" i="38" s="1"/>
  <c r="V240" i="37"/>
  <c r="W240" i="37"/>
  <c r="M241" i="37"/>
  <c r="P241" i="37"/>
  <c r="L241" i="37"/>
  <c r="K241" i="37"/>
  <c r="G240" i="37"/>
  <c r="B227" i="28" s="1"/>
  <c r="Z240" i="37"/>
  <c r="P268" i="38" l="1"/>
  <c r="T237" i="39"/>
  <c r="AA236" i="39"/>
  <c r="AB236" i="39" s="1"/>
  <c r="U237" i="39"/>
  <c r="Y237" i="39" s="1"/>
  <c r="V267" i="38"/>
  <c r="M268" i="38"/>
  <c r="K268" i="38"/>
  <c r="G267" i="38"/>
  <c r="C254" i="28" s="1"/>
  <c r="W267" i="38"/>
  <c r="X267" i="38"/>
  <c r="AA240" i="37"/>
  <c r="AB240" i="37" s="1"/>
  <c r="K227" i="28" s="1"/>
  <c r="U241" i="37"/>
  <c r="T241" i="37"/>
  <c r="AA267" i="38" l="1"/>
  <c r="AB267" i="38" s="1"/>
  <c r="L254" i="28" s="1"/>
  <c r="I237" i="39"/>
  <c r="H237" i="39" s="1"/>
  <c r="M238" i="39" s="1"/>
  <c r="T268" i="38"/>
  <c r="U268" i="38"/>
  <c r="Y268" i="38" s="1"/>
  <c r="Y241" i="37"/>
  <c r="I241" i="37"/>
  <c r="H241" i="37" s="1"/>
  <c r="X241" i="37" s="1"/>
  <c r="J257" i="37"/>
  <c r="W237" i="39" l="1"/>
  <c r="K238" i="39"/>
  <c r="G237" i="39"/>
  <c r="X237" i="39"/>
  <c r="V237" i="39"/>
  <c r="P238" i="39"/>
  <c r="T238" i="39" s="1"/>
  <c r="Z237" i="39"/>
  <c r="I268" i="38"/>
  <c r="H268" i="38" s="1"/>
  <c r="G268" i="38" s="1"/>
  <c r="C255" i="28" s="1"/>
  <c r="G241" i="37"/>
  <c r="B228" i="28" s="1"/>
  <c r="K242" i="37"/>
  <c r="W241" i="37"/>
  <c r="Z241" i="37"/>
  <c r="V241" i="37"/>
  <c r="M242" i="37"/>
  <c r="P242" i="37"/>
  <c r="Z268" i="38" l="1"/>
  <c r="U238" i="39"/>
  <c r="Y238" i="39" s="1"/>
  <c r="V268" i="38"/>
  <c r="X268" i="38"/>
  <c r="L269" i="38"/>
  <c r="K269" i="38"/>
  <c r="T269" i="38" s="1"/>
  <c r="W268" i="38"/>
  <c r="M269" i="38"/>
  <c r="U269" i="38" s="1"/>
  <c r="I269" i="38" s="1"/>
  <c r="H269" i="38" s="1"/>
  <c r="AA237" i="39"/>
  <c r="AB237" i="39" s="1"/>
  <c r="P269" i="38"/>
  <c r="AA241" i="37"/>
  <c r="AB241" i="37" s="1"/>
  <c r="K228" i="28" s="1"/>
  <c r="U242" i="37"/>
  <c r="T242" i="37"/>
  <c r="J258" i="37"/>
  <c r="AA268" i="38" l="1"/>
  <c r="AB268" i="38" s="1"/>
  <c r="L255" i="28" s="1"/>
  <c r="I238" i="39"/>
  <c r="H238" i="39" s="1"/>
  <c r="W238" i="39" s="1"/>
  <c r="Y269" i="38"/>
  <c r="K270" i="38"/>
  <c r="P270" i="38"/>
  <c r="M270" i="38"/>
  <c r="G269" i="38"/>
  <c r="C256" i="28" s="1"/>
  <c r="Z269" i="38"/>
  <c r="X269" i="38"/>
  <c r="W269" i="38"/>
  <c r="V269" i="38"/>
  <c r="I242" i="37"/>
  <c r="H242" i="37" s="1"/>
  <c r="X242" i="37" s="1"/>
  <c r="X238" i="39" l="1"/>
  <c r="Z238" i="39"/>
  <c r="V238" i="39"/>
  <c r="K239" i="39"/>
  <c r="G238" i="39"/>
  <c r="P239" i="39"/>
  <c r="M239" i="39"/>
  <c r="T270" i="38"/>
  <c r="AA269" i="38"/>
  <c r="AB269" i="38" s="1"/>
  <c r="L256" i="28" s="1"/>
  <c r="U270" i="38"/>
  <c r="V242" i="37"/>
  <c r="W242" i="37"/>
  <c r="Y242" i="37"/>
  <c r="P243" i="37"/>
  <c r="K243" i="37"/>
  <c r="J243" i="37"/>
  <c r="G242" i="37"/>
  <c r="B229" i="28" s="1"/>
  <c r="Z242" i="37"/>
  <c r="M243" i="37"/>
  <c r="J259" i="37"/>
  <c r="T239" i="39" l="1"/>
  <c r="AA238" i="39"/>
  <c r="AB238" i="39" s="1"/>
  <c r="U239" i="39"/>
  <c r="Y239" i="39" s="1"/>
  <c r="I270" i="38"/>
  <c r="H270" i="38" s="1"/>
  <c r="M271" i="38" s="1"/>
  <c r="Y270" i="38"/>
  <c r="AA242" i="37"/>
  <c r="AB242" i="37" s="1"/>
  <c r="K229" i="28" s="1"/>
  <c r="U243" i="37"/>
  <c r="T243" i="37"/>
  <c r="W243" i="37" s="1"/>
  <c r="I239" i="39" l="1"/>
  <c r="H239" i="39" s="1"/>
  <c r="G239" i="39" s="1"/>
  <c r="G270" i="38"/>
  <c r="C257" i="28" s="1"/>
  <c r="Z270" i="38"/>
  <c r="P271" i="38"/>
  <c r="K271" i="38"/>
  <c r="U271" i="38" s="1"/>
  <c r="X270" i="38"/>
  <c r="V270" i="38"/>
  <c r="W270" i="38"/>
  <c r="AA270" i="38" s="1"/>
  <c r="AB270" i="38" s="1"/>
  <c r="L257" i="28" s="1"/>
  <c r="I243" i="37"/>
  <c r="H243" i="37" s="1"/>
  <c r="X243" i="37" s="1"/>
  <c r="V243" i="37"/>
  <c r="T271" i="38" l="1"/>
  <c r="Z239" i="39"/>
  <c r="P240" i="39"/>
  <c r="V239" i="39"/>
  <c r="K240" i="39"/>
  <c r="X239" i="39"/>
  <c r="W239" i="39"/>
  <c r="M240" i="39"/>
  <c r="Y271" i="38"/>
  <c r="I271" i="38"/>
  <c r="H271" i="38" s="1"/>
  <c r="Z243" i="37"/>
  <c r="M244" i="37"/>
  <c r="G243" i="37"/>
  <c r="B230" i="28" s="1"/>
  <c r="K244" i="37"/>
  <c r="J244" i="37"/>
  <c r="P244" i="37"/>
  <c r="Y243" i="37"/>
  <c r="J260" i="37"/>
  <c r="U240" i="39" l="1"/>
  <c r="AA239" i="39"/>
  <c r="AB239" i="39" s="1"/>
  <c r="T240" i="39"/>
  <c r="I240" i="39" s="1"/>
  <c r="H240" i="39" s="1"/>
  <c r="K272" i="38"/>
  <c r="G271" i="38"/>
  <c r="C258" i="28" s="1"/>
  <c r="M272" i="38"/>
  <c r="Z271" i="38"/>
  <c r="V271" i="38"/>
  <c r="X271" i="38"/>
  <c r="W271" i="38"/>
  <c r="P272" i="38"/>
  <c r="AA243" i="37"/>
  <c r="AB243" i="37" s="1"/>
  <c r="K230" i="28" s="1"/>
  <c r="U244" i="37"/>
  <c r="T244" i="37"/>
  <c r="Y240" i="39" l="1"/>
  <c r="G240" i="39"/>
  <c r="P241" i="39"/>
  <c r="M241" i="39"/>
  <c r="V240" i="39"/>
  <c r="L241" i="39"/>
  <c r="Z240" i="39"/>
  <c r="W240" i="39"/>
  <c r="K241" i="39"/>
  <c r="X240" i="39"/>
  <c r="AA271" i="38"/>
  <c r="AB271" i="38" s="1"/>
  <c r="L258" i="28" s="1"/>
  <c r="U272" i="38"/>
  <c r="T272" i="38"/>
  <c r="I244" i="37"/>
  <c r="H244" i="37" s="1"/>
  <c r="X244" i="37" s="1"/>
  <c r="J261" i="37"/>
  <c r="AA240" i="39" l="1"/>
  <c r="AB240" i="39" s="1"/>
  <c r="U241" i="39"/>
  <c r="T241" i="39"/>
  <c r="Y244" i="37"/>
  <c r="Y272" i="38"/>
  <c r="L245" i="37"/>
  <c r="I272" i="38"/>
  <c r="H272" i="38" s="1"/>
  <c r="P245" i="37"/>
  <c r="K245" i="37"/>
  <c r="W244" i="37"/>
  <c r="V244" i="37"/>
  <c r="G244" i="37"/>
  <c r="B231" i="28" s="1"/>
  <c r="Z244" i="37"/>
  <c r="M245" i="37"/>
  <c r="I241" i="39" l="1"/>
  <c r="H241" i="39" s="1"/>
  <c r="G241" i="39" s="1"/>
  <c r="Y241" i="39"/>
  <c r="M242" i="39"/>
  <c r="Z241" i="39"/>
  <c r="P242" i="39"/>
  <c r="W241" i="39"/>
  <c r="V241" i="39"/>
  <c r="K242" i="39"/>
  <c r="X241" i="39"/>
  <c r="L273" i="38"/>
  <c r="G272" i="38"/>
  <c r="C259" i="28" s="1"/>
  <c r="M273" i="38"/>
  <c r="K273" i="38"/>
  <c r="W272" i="38"/>
  <c r="P273" i="38"/>
  <c r="X272" i="38"/>
  <c r="V272" i="38"/>
  <c r="T245" i="37"/>
  <c r="Z272" i="38"/>
  <c r="AA244" i="37"/>
  <c r="AB244" i="37" s="1"/>
  <c r="K231" i="28" s="1"/>
  <c r="U245" i="37"/>
  <c r="J262" i="37"/>
  <c r="T242" i="39" l="1"/>
  <c r="U242" i="39"/>
  <c r="AA241" i="39"/>
  <c r="AB241" i="39" s="1"/>
  <c r="I245" i="37"/>
  <c r="H245" i="37" s="1"/>
  <c r="X245" i="37" s="1"/>
  <c r="AA272" i="38"/>
  <c r="AB272" i="38" s="1"/>
  <c r="L259" i="28" s="1"/>
  <c r="U273" i="38"/>
  <c r="T273" i="38"/>
  <c r="I242" i="39" l="1"/>
  <c r="H242" i="39" s="1"/>
  <c r="G242" i="39" s="1"/>
  <c r="Y245" i="37"/>
  <c r="P246" i="37"/>
  <c r="V245" i="37"/>
  <c r="W245" i="37"/>
  <c r="M246" i="37"/>
  <c r="K246" i="37"/>
  <c r="T246" i="37" s="1"/>
  <c r="Z245" i="37"/>
  <c r="G245" i="37"/>
  <c r="B232" i="28" s="1"/>
  <c r="Y273" i="38"/>
  <c r="I273" i="38"/>
  <c r="H273" i="38" s="1"/>
  <c r="Z273" i="38" s="1"/>
  <c r="W273" i="38" l="1"/>
  <c r="Z242" i="39"/>
  <c r="M243" i="39"/>
  <c r="X242" i="39"/>
  <c r="W242" i="39"/>
  <c r="K243" i="39"/>
  <c r="P243" i="39"/>
  <c r="Y242" i="39"/>
  <c r="J243" i="39"/>
  <c r="V242" i="39"/>
  <c r="AA245" i="37"/>
  <c r="AB245" i="37" s="1"/>
  <c r="K232" i="28" s="1"/>
  <c r="U246" i="37"/>
  <c r="Y246" i="37" s="1"/>
  <c r="V273" i="38"/>
  <c r="P274" i="38"/>
  <c r="G273" i="38"/>
  <c r="C260" i="28" s="1"/>
  <c r="X273" i="38"/>
  <c r="AA273" i="38" s="1"/>
  <c r="AB273" i="38" s="1"/>
  <c r="L260" i="28" s="1"/>
  <c r="K274" i="38"/>
  <c r="M274" i="38"/>
  <c r="J263" i="37"/>
  <c r="AA242" i="39" l="1"/>
  <c r="AB242" i="39" s="1"/>
  <c r="T243" i="39"/>
  <c r="V243" i="39" s="1"/>
  <c r="U243" i="39"/>
  <c r="I246" i="37"/>
  <c r="H246" i="37" s="1"/>
  <c r="X246" i="37" s="1"/>
  <c r="U274" i="38"/>
  <c r="T274" i="38"/>
  <c r="V246" i="37"/>
  <c r="W246" i="37"/>
  <c r="P247" i="37" l="1"/>
  <c r="G246" i="37"/>
  <c r="B233" i="28" s="1"/>
  <c r="K247" i="37"/>
  <c r="M247" i="37"/>
  <c r="U247" i="37" s="1"/>
  <c r="Z246" i="37"/>
  <c r="AA246" i="37" s="1"/>
  <c r="AB246" i="37" s="1"/>
  <c r="K233" i="28" s="1"/>
  <c r="I243" i="39"/>
  <c r="H243" i="39" s="1"/>
  <c r="Z243" i="39" s="1"/>
  <c r="W243" i="39"/>
  <c r="Y274" i="38"/>
  <c r="I274" i="38"/>
  <c r="H274" i="38" s="1"/>
  <c r="W274" i="38" s="1"/>
  <c r="T247" i="37" l="1"/>
  <c r="M244" i="39"/>
  <c r="Y243" i="39"/>
  <c r="X243" i="39"/>
  <c r="AA243" i="39" s="1"/>
  <c r="AB243" i="39" s="1"/>
  <c r="G243" i="39"/>
  <c r="P244" i="39"/>
  <c r="J244" i="39"/>
  <c r="K244" i="39"/>
  <c r="U244" i="39" s="1"/>
  <c r="P275" i="38"/>
  <c r="M275" i="38"/>
  <c r="K275" i="38"/>
  <c r="X274" i="38"/>
  <c r="G274" i="38"/>
  <c r="C261" i="28" s="1"/>
  <c r="V274" i="38"/>
  <c r="Z274" i="38"/>
  <c r="Y247" i="37"/>
  <c r="I247" i="37"/>
  <c r="H247" i="37" s="1"/>
  <c r="X247" i="37" s="1"/>
  <c r="J264" i="37"/>
  <c r="T244" i="39" l="1"/>
  <c r="I244" i="39" s="1"/>
  <c r="H244" i="39" s="1"/>
  <c r="W244" i="39" s="1"/>
  <c r="T275" i="38"/>
  <c r="AA274" i="38"/>
  <c r="AB274" i="38" s="1"/>
  <c r="L261" i="28" s="1"/>
  <c r="U275" i="38"/>
  <c r="W247" i="37"/>
  <c r="Z247" i="37"/>
  <c r="V247" i="37"/>
  <c r="M248" i="37"/>
  <c r="P248" i="37"/>
  <c r="G247" i="37"/>
  <c r="B234" i="28" s="1"/>
  <c r="K248" i="37"/>
  <c r="Z244" i="39" l="1"/>
  <c r="V244" i="39"/>
  <c r="K245" i="39"/>
  <c r="M245" i="39"/>
  <c r="G244" i="39"/>
  <c r="P245" i="39"/>
  <c r="L245" i="39"/>
  <c r="X244" i="39"/>
  <c r="Y244" i="39"/>
  <c r="Y275" i="38"/>
  <c r="I275" i="38"/>
  <c r="H275" i="38" s="1"/>
  <c r="Z275" i="38" s="1"/>
  <c r="T248" i="37"/>
  <c r="U248" i="37"/>
  <c r="AA247" i="37"/>
  <c r="AB247" i="37" s="1"/>
  <c r="K234" i="28" s="1"/>
  <c r="AA244" i="39" l="1"/>
  <c r="AB244" i="39" s="1"/>
  <c r="U245" i="39"/>
  <c r="T245" i="39"/>
  <c r="W275" i="38"/>
  <c r="V275" i="38"/>
  <c r="X275" i="38"/>
  <c r="M276" i="38"/>
  <c r="G275" i="38"/>
  <c r="C262" i="28" s="1"/>
  <c r="K276" i="38"/>
  <c r="P276" i="38"/>
  <c r="Y248" i="37"/>
  <c r="I248" i="37"/>
  <c r="H248" i="37" s="1"/>
  <c r="J265" i="37"/>
  <c r="I245" i="39" l="1"/>
  <c r="H245" i="39" s="1"/>
  <c r="Y245" i="39" s="1"/>
  <c r="AA275" i="38"/>
  <c r="AB275" i="38" s="1"/>
  <c r="L262" i="28" s="1"/>
  <c r="T276" i="38"/>
  <c r="U276" i="38"/>
  <c r="I276" i="38" s="1"/>
  <c r="H276" i="38" s="1"/>
  <c r="W248" i="37"/>
  <c r="X248" i="37"/>
  <c r="V248" i="37"/>
  <c r="Z248" i="37"/>
  <c r="L249" i="37"/>
  <c r="P249" i="37"/>
  <c r="K249" i="37"/>
  <c r="M249" i="37"/>
  <c r="G248" i="37"/>
  <c r="B235" i="28" s="1"/>
  <c r="G245" i="39" l="1"/>
  <c r="P246" i="39"/>
  <c r="W245" i="39"/>
  <c r="M246" i="39"/>
  <c r="X245" i="39"/>
  <c r="V245" i="39"/>
  <c r="Z245" i="39"/>
  <c r="K246" i="39"/>
  <c r="Y276" i="38"/>
  <c r="P277" i="38"/>
  <c r="M277" i="38"/>
  <c r="Z276" i="38"/>
  <c r="G276" i="38"/>
  <c r="C263" i="28" s="1"/>
  <c r="K277" i="38"/>
  <c r="L277" i="38"/>
  <c r="X276" i="38"/>
  <c r="W276" i="38"/>
  <c r="V276" i="38"/>
  <c r="T249" i="37"/>
  <c r="U249" i="37"/>
  <c r="AA248" i="37"/>
  <c r="AB248" i="37" s="1"/>
  <c r="K235" i="28" s="1"/>
  <c r="U246" i="39" l="1"/>
  <c r="AA245" i="39"/>
  <c r="AB245" i="39" s="1"/>
  <c r="T246" i="39"/>
  <c r="U277" i="38"/>
  <c r="AA276" i="38"/>
  <c r="AB276" i="38" s="1"/>
  <c r="L263" i="28" s="1"/>
  <c r="T277" i="38"/>
  <c r="I277" i="38" s="1"/>
  <c r="H277" i="38" s="1"/>
  <c r="X277" i="38" s="1"/>
  <c r="I249" i="37"/>
  <c r="H249" i="37" s="1"/>
  <c r="Z249" i="37" s="1"/>
  <c r="Y246" i="39" l="1"/>
  <c r="I246" i="39"/>
  <c r="H246" i="39" s="1"/>
  <c r="M247" i="39" s="1"/>
  <c r="W246" i="39"/>
  <c r="Y277" i="38"/>
  <c r="W277" i="38"/>
  <c r="Z277" i="38"/>
  <c r="V277" i="38"/>
  <c r="AA277" i="38" s="1"/>
  <c r="AB277" i="38" s="1"/>
  <c r="L264" i="28" s="1"/>
  <c r="K278" i="38"/>
  <c r="G277" i="38"/>
  <c r="C264" i="28" s="1"/>
  <c r="P278" i="38"/>
  <c r="M278" i="38"/>
  <c r="Y249" i="37"/>
  <c r="X249" i="37"/>
  <c r="V249" i="37"/>
  <c r="W249" i="37"/>
  <c r="M250" i="37"/>
  <c r="P250" i="37"/>
  <c r="G249" i="37"/>
  <c r="B236" i="28" s="1"/>
  <c r="K250" i="37"/>
  <c r="J266" i="37"/>
  <c r="G246" i="39" l="1"/>
  <c r="V246" i="39"/>
  <c r="X246" i="39"/>
  <c r="Z246" i="39"/>
  <c r="P247" i="39"/>
  <c r="K247" i="39"/>
  <c r="U278" i="38"/>
  <c r="T278" i="38"/>
  <c r="T250" i="37"/>
  <c r="U250" i="37"/>
  <c r="AA249" i="37"/>
  <c r="AB249" i="37" s="1"/>
  <c r="K236" i="28" s="1"/>
  <c r="T247" i="39" l="1"/>
  <c r="U247" i="39"/>
  <c r="AA246" i="39"/>
  <c r="AB246" i="39" s="1"/>
  <c r="Y278" i="38"/>
  <c r="I278" i="38"/>
  <c r="H278" i="38" s="1"/>
  <c r="I250" i="37"/>
  <c r="H250" i="37" s="1"/>
  <c r="X250" i="37" s="1"/>
  <c r="I247" i="39" l="1"/>
  <c r="H247" i="39" s="1"/>
  <c r="W247" i="39" s="1"/>
  <c r="Y247" i="39"/>
  <c r="W278" i="38"/>
  <c r="V278" i="38"/>
  <c r="X278" i="38"/>
  <c r="Z278" i="38"/>
  <c r="P279" i="38"/>
  <c r="K279" i="38"/>
  <c r="M279" i="38"/>
  <c r="G278" i="38"/>
  <c r="C265" i="28" s="1"/>
  <c r="Y250" i="37"/>
  <c r="W250" i="37"/>
  <c r="V250" i="37"/>
  <c r="Z250" i="37"/>
  <c r="P251" i="37"/>
  <c r="K251" i="37"/>
  <c r="M251" i="37"/>
  <c r="G250" i="37"/>
  <c r="B237" i="28" s="1"/>
  <c r="J267" i="37"/>
  <c r="X247" i="39" l="1"/>
  <c r="V247" i="39"/>
  <c r="Z247" i="39"/>
  <c r="K248" i="39"/>
  <c r="P248" i="39"/>
  <c r="M248" i="39"/>
  <c r="G247" i="39"/>
  <c r="U279" i="38"/>
  <c r="AA278" i="38"/>
  <c r="AB278" i="38" s="1"/>
  <c r="L265" i="28" s="1"/>
  <c r="T279" i="38"/>
  <c r="T251" i="37"/>
  <c r="U251" i="37"/>
  <c r="AA250" i="37"/>
  <c r="AB250" i="37" s="1"/>
  <c r="K237" i="28" s="1"/>
  <c r="U248" i="39" l="1"/>
  <c r="T248" i="39"/>
  <c r="AA247" i="39"/>
  <c r="AB247" i="39" s="1"/>
  <c r="Y279" i="38"/>
  <c r="I279" i="38"/>
  <c r="H279" i="38" s="1"/>
  <c r="Y251" i="37"/>
  <c r="I251" i="37"/>
  <c r="H251" i="37" s="1"/>
  <c r="X251" i="37" s="1"/>
  <c r="I248" i="39" l="1"/>
  <c r="H248" i="39" s="1"/>
  <c r="M249" i="39" s="1"/>
  <c r="Y248" i="39"/>
  <c r="W248" i="39"/>
  <c r="X248" i="39"/>
  <c r="K249" i="39"/>
  <c r="L249" i="39"/>
  <c r="G248" i="39"/>
  <c r="W279" i="38"/>
  <c r="K280" i="38"/>
  <c r="G279" i="38"/>
  <c r="C266" i="28" s="1"/>
  <c r="P280" i="38"/>
  <c r="Z279" i="38"/>
  <c r="V279" i="38"/>
  <c r="M280" i="38"/>
  <c r="X279" i="38"/>
  <c r="W251" i="37"/>
  <c r="V251" i="37"/>
  <c r="Z251" i="37"/>
  <c r="K252" i="37"/>
  <c r="P252" i="37"/>
  <c r="G251" i="37"/>
  <c r="B238" i="28" s="1"/>
  <c r="M252" i="37"/>
  <c r="J268" i="37"/>
  <c r="Z248" i="39" l="1"/>
  <c r="P249" i="39"/>
  <c r="V248" i="39"/>
  <c r="AA248" i="39" s="1"/>
  <c r="AB248" i="39" s="1"/>
  <c r="U249" i="39"/>
  <c r="T249" i="39"/>
  <c r="U280" i="38"/>
  <c r="AA279" i="38"/>
  <c r="AB279" i="38" s="1"/>
  <c r="L266" i="28" s="1"/>
  <c r="T280" i="38"/>
  <c r="T252" i="37"/>
  <c r="U252" i="37"/>
  <c r="AA251" i="37"/>
  <c r="AB251" i="37" s="1"/>
  <c r="K238" i="28" s="1"/>
  <c r="I249" i="39" l="1"/>
  <c r="H249" i="39" s="1"/>
  <c r="K250" i="39" s="1"/>
  <c r="Y249" i="39"/>
  <c r="Y280" i="38"/>
  <c r="I280" i="38"/>
  <c r="H280" i="38" s="1"/>
  <c r="V280" i="38" s="1"/>
  <c r="Y252" i="37"/>
  <c r="I252" i="37"/>
  <c r="H252" i="37" s="1"/>
  <c r="X252" i="37" s="1"/>
  <c r="G249" i="39" l="1"/>
  <c r="W249" i="39"/>
  <c r="Z249" i="39"/>
  <c r="M250" i="39"/>
  <c r="P250" i="39"/>
  <c r="X249" i="39"/>
  <c r="V249" i="39"/>
  <c r="W280" i="38"/>
  <c r="X280" i="38"/>
  <c r="K281" i="38"/>
  <c r="Z280" i="38"/>
  <c r="G280" i="38"/>
  <c r="C267" i="28" s="1"/>
  <c r="M281" i="38"/>
  <c r="L281" i="38"/>
  <c r="P281" i="38"/>
  <c r="W252" i="37"/>
  <c r="V252" i="37"/>
  <c r="Z252" i="37"/>
  <c r="P253" i="37"/>
  <c r="M253" i="37"/>
  <c r="G252" i="37"/>
  <c r="B239" i="28" s="1"/>
  <c r="K253" i="37"/>
  <c r="L253" i="37"/>
  <c r="U250" i="39" l="1"/>
  <c r="AA249" i="39"/>
  <c r="AB249" i="39" s="1"/>
  <c r="T250" i="39"/>
  <c r="U281" i="38"/>
  <c r="T281" i="38"/>
  <c r="AA280" i="38"/>
  <c r="AB280" i="38" s="1"/>
  <c r="L267" i="28" s="1"/>
  <c r="T253" i="37"/>
  <c r="U253" i="37"/>
  <c r="AA252" i="37"/>
  <c r="AB252" i="37" s="1"/>
  <c r="K239" i="28" s="1"/>
  <c r="J269" i="37"/>
  <c r="I250" i="39" l="1"/>
  <c r="H250" i="39" s="1"/>
  <c r="W250" i="39" s="1"/>
  <c r="Y250" i="39"/>
  <c r="Y281" i="38"/>
  <c r="I281" i="38"/>
  <c r="H281" i="38" s="1"/>
  <c r="Y253" i="37"/>
  <c r="I253" i="37"/>
  <c r="H253" i="37" s="1"/>
  <c r="X253" i="37" s="1"/>
  <c r="M251" i="39" l="1"/>
  <c r="G250" i="39"/>
  <c r="K251" i="39"/>
  <c r="X250" i="39"/>
  <c r="P251" i="39"/>
  <c r="Z250" i="39"/>
  <c r="V250" i="39"/>
  <c r="AA250" i="39" s="1"/>
  <c r="AB250" i="39" s="1"/>
  <c r="G281" i="38"/>
  <c r="C268" i="28" s="1"/>
  <c r="M282" i="38"/>
  <c r="K282" i="38"/>
  <c r="P282" i="38"/>
  <c r="Z281" i="38"/>
  <c r="W281" i="38"/>
  <c r="X281" i="38"/>
  <c r="V281" i="38"/>
  <c r="Z253" i="37"/>
  <c r="V253" i="37"/>
  <c r="W253" i="37"/>
  <c r="G253" i="37"/>
  <c r="B240" i="28" s="1"/>
  <c r="P254" i="37"/>
  <c r="K254" i="37"/>
  <c r="M254" i="37"/>
  <c r="T251" i="39" l="1"/>
  <c r="V251" i="39" s="1"/>
  <c r="U251" i="39"/>
  <c r="I251" i="39" s="1"/>
  <c r="H251" i="39" s="1"/>
  <c r="K252" i="39" s="1"/>
  <c r="U282" i="38"/>
  <c r="AA281" i="38"/>
  <c r="AB281" i="38" s="1"/>
  <c r="L268" i="28" s="1"/>
  <c r="T282" i="38"/>
  <c r="T254" i="37"/>
  <c r="U254" i="37"/>
  <c r="AA253" i="37"/>
  <c r="AB253" i="37" s="1"/>
  <c r="K240" i="28" s="1"/>
  <c r="J270" i="37"/>
  <c r="W251" i="39" l="1"/>
  <c r="X251" i="39"/>
  <c r="Z251" i="39"/>
  <c r="M252" i="39"/>
  <c r="G251" i="39"/>
  <c r="P252" i="39"/>
  <c r="U252" i="39" s="1"/>
  <c r="Y251" i="39"/>
  <c r="Y282" i="38"/>
  <c r="I282" i="38"/>
  <c r="H282" i="38" s="1"/>
  <c r="I254" i="37"/>
  <c r="H254" i="37" s="1"/>
  <c r="Y254" i="37" s="1"/>
  <c r="AA251" i="39" l="1"/>
  <c r="AB251" i="39" s="1"/>
  <c r="T252" i="39"/>
  <c r="I252" i="39" s="1"/>
  <c r="H252" i="39" s="1"/>
  <c r="Z252" i="39" s="1"/>
  <c r="Y252" i="39"/>
  <c r="P283" i="38"/>
  <c r="X282" i="38"/>
  <c r="K283" i="38"/>
  <c r="G282" i="38"/>
  <c r="C269" i="28" s="1"/>
  <c r="M283" i="38"/>
  <c r="V282" i="38"/>
  <c r="W282" i="38"/>
  <c r="Z282" i="38"/>
  <c r="X254" i="37"/>
  <c r="W254" i="37"/>
  <c r="V254" i="37"/>
  <c r="Z254" i="37"/>
  <c r="P255" i="37"/>
  <c r="K255" i="37"/>
  <c r="G254" i="37"/>
  <c r="B241" i="28" s="1"/>
  <c r="M255" i="37"/>
  <c r="V252" i="39" l="1"/>
  <c r="P253" i="39"/>
  <c r="X252" i="39"/>
  <c r="W252" i="39"/>
  <c r="AA252" i="39" s="1"/>
  <c r="AB252" i="39" s="1"/>
  <c r="L253" i="39"/>
  <c r="K253" i="39"/>
  <c r="U253" i="39" s="1"/>
  <c r="M253" i="39"/>
  <c r="T253" i="39" s="1"/>
  <c r="G252" i="39"/>
  <c r="T283" i="38"/>
  <c r="U283" i="38"/>
  <c r="Y283" i="38" s="1"/>
  <c r="AA282" i="38"/>
  <c r="AB282" i="38" s="1"/>
  <c r="L269" i="28" s="1"/>
  <c r="T255" i="37"/>
  <c r="U255" i="37"/>
  <c r="AA254" i="37"/>
  <c r="AB254" i="37" s="1"/>
  <c r="K241" i="28" s="1"/>
  <c r="J271" i="37"/>
  <c r="I253" i="39" l="1"/>
  <c r="H253" i="39" s="1"/>
  <c r="W253" i="39" s="1"/>
  <c r="Y253" i="39"/>
  <c r="I283" i="38"/>
  <c r="H283" i="38" s="1"/>
  <c r="Y255" i="37"/>
  <c r="I255" i="37"/>
  <c r="H255" i="37" s="1"/>
  <c r="Z255" i="37" s="1"/>
  <c r="G253" i="39" l="1"/>
  <c r="P254" i="39"/>
  <c r="X253" i="39"/>
  <c r="M254" i="39"/>
  <c r="Z253" i="39"/>
  <c r="K254" i="39"/>
  <c r="V253" i="39"/>
  <c r="W283" i="38"/>
  <c r="G283" i="38"/>
  <c r="C270" i="28" s="1"/>
  <c r="K284" i="38"/>
  <c r="P284" i="38"/>
  <c r="X283" i="38"/>
  <c r="M284" i="38"/>
  <c r="Z283" i="38"/>
  <c r="V283" i="38"/>
  <c r="X255" i="37"/>
  <c r="V255" i="37"/>
  <c r="W255" i="37"/>
  <c r="P256" i="37"/>
  <c r="G255" i="37"/>
  <c r="B242" i="28" s="1"/>
  <c r="M256" i="37"/>
  <c r="K256" i="37"/>
  <c r="U254" i="39" l="1"/>
  <c r="AA253" i="39"/>
  <c r="AB253" i="39" s="1"/>
  <c r="T254" i="39"/>
  <c r="Y254" i="39" s="1"/>
  <c r="T284" i="38"/>
  <c r="U284" i="38"/>
  <c r="Y284" i="38" s="1"/>
  <c r="AA283" i="38"/>
  <c r="AB283" i="38" s="1"/>
  <c r="L270" i="28" s="1"/>
  <c r="T256" i="37"/>
  <c r="U256" i="37"/>
  <c r="AA255" i="37"/>
  <c r="AB255" i="37" s="1"/>
  <c r="K242" i="28" s="1"/>
  <c r="J272" i="37"/>
  <c r="I254" i="39" l="1"/>
  <c r="H254" i="39" s="1"/>
  <c r="W254" i="39" s="1"/>
  <c r="I284" i="38"/>
  <c r="H284" i="38" s="1"/>
  <c r="Y256" i="37"/>
  <c r="I256" i="37"/>
  <c r="H256" i="37" s="1"/>
  <c r="M255" i="39" l="1"/>
  <c r="P255" i="39"/>
  <c r="K255" i="39"/>
  <c r="U255" i="39" s="1"/>
  <c r="X254" i="39"/>
  <c r="G254" i="39"/>
  <c r="Z254" i="39"/>
  <c r="V254" i="39"/>
  <c r="L285" i="38"/>
  <c r="X284" i="38"/>
  <c r="G284" i="38"/>
  <c r="C271" i="28" s="1"/>
  <c r="K285" i="38"/>
  <c r="M285" i="38"/>
  <c r="P285" i="38"/>
  <c r="W284" i="38"/>
  <c r="Z284" i="38"/>
  <c r="V284" i="38"/>
  <c r="W256" i="37"/>
  <c r="V256" i="37"/>
  <c r="X256" i="37"/>
  <c r="Z256" i="37"/>
  <c r="P257" i="37"/>
  <c r="K257" i="37"/>
  <c r="L257" i="37"/>
  <c r="M257" i="37"/>
  <c r="G256" i="37"/>
  <c r="B243" i="28" s="1"/>
  <c r="T255" i="39" l="1"/>
  <c r="I255" i="39" s="1"/>
  <c r="H255" i="39" s="1"/>
  <c r="Z255" i="39" s="1"/>
  <c r="AA254" i="39"/>
  <c r="AB254" i="39" s="1"/>
  <c r="AA284" i="38"/>
  <c r="AB284" i="38" s="1"/>
  <c r="L271" i="28" s="1"/>
  <c r="U285" i="38"/>
  <c r="T285" i="38"/>
  <c r="T257" i="37"/>
  <c r="U257" i="37"/>
  <c r="AA256" i="37"/>
  <c r="AB256" i="37" s="1"/>
  <c r="K243" i="28" s="1"/>
  <c r="J273" i="37"/>
  <c r="Y255" i="39" l="1"/>
  <c r="M256" i="39"/>
  <c r="P256" i="39"/>
  <c r="K256" i="39"/>
  <c r="G255" i="39"/>
  <c r="W255" i="39"/>
  <c r="X255" i="39"/>
  <c r="V255" i="39"/>
  <c r="Y285" i="38"/>
  <c r="I285" i="38"/>
  <c r="H285" i="38" s="1"/>
  <c r="V285" i="38" s="1"/>
  <c r="I257" i="37"/>
  <c r="H257" i="37" s="1"/>
  <c r="X257" i="37" s="1"/>
  <c r="U256" i="39" l="1"/>
  <c r="T256" i="39"/>
  <c r="AA255" i="39"/>
  <c r="AB255" i="39" s="1"/>
  <c r="K286" i="38"/>
  <c r="P286" i="38"/>
  <c r="M286" i="38"/>
  <c r="G285" i="38"/>
  <c r="C272" i="28" s="1"/>
  <c r="X285" i="38"/>
  <c r="W285" i="38"/>
  <c r="Z285" i="38"/>
  <c r="Y257" i="37"/>
  <c r="W257" i="37"/>
  <c r="V257" i="37"/>
  <c r="Z257" i="37"/>
  <c r="K258" i="37"/>
  <c r="P258" i="37"/>
  <c r="M258" i="37"/>
  <c r="G257" i="37"/>
  <c r="B244" i="28" s="1"/>
  <c r="I256" i="39" l="1"/>
  <c r="H256" i="39" s="1"/>
  <c r="G256" i="39" s="1"/>
  <c r="Y256" i="39"/>
  <c r="T286" i="38"/>
  <c r="AA285" i="38"/>
  <c r="AB285" i="38" s="1"/>
  <c r="L272" i="28" s="1"/>
  <c r="U286" i="38"/>
  <c r="Y286" i="38" s="1"/>
  <c r="T258" i="37"/>
  <c r="U258" i="37"/>
  <c r="AA257" i="37"/>
  <c r="AB257" i="37" s="1"/>
  <c r="K244" i="28" s="1"/>
  <c r="P257" i="39" l="1"/>
  <c r="W256" i="39"/>
  <c r="Z256" i="39"/>
  <c r="L257" i="39"/>
  <c r="V256" i="39"/>
  <c r="K257" i="39"/>
  <c r="M257" i="39"/>
  <c r="X256" i="39"/>
  <c r="I286" i="38"/>
  <c r="H286" i="38" s="1"/>
  <c r="G286" i="38" s="1"/>
  <c r="C273" i="28" s="1"/>
  <c r="Y258" i="37"/>
  <c r="I258" i="37"/>
  <c r="H258" i="37" s="1"/>
  <c r="X258" i="37" s="1"/>
  <c r="J274" i="37"/>
  <c r="AA256" i="39" l="1"/>
  <c r="AB256" i="39" s="1"/>
  <c r="U257" i="39"/>
  <c r="T257" i="39"/>
  <c r="Z286" i="38"/>
  <c r="V286" i="38"/>
  <c r="M287" i="38"/>
  <c r="K287" i="38"/>
  <c r="P287" i="38"/>
  <c r="W286" i="38"/>
  <c r="X286" i="38"/>
  <c r="V258" i="37"/>
  <c r="W258" i="37"/>
  <c r="Z258" i="37"/>
  <c r="M259" i="37"/>
  <c r="P259" i="37"/>
  <c r="G258" i="37"/>
  <c r="B245" i="28" s="1"/>
  <c r="K259" i="37"/>
  <c r="U287" i="38" l="1"/>
  <c r="I257" i="39"/>
  <c r="H257" i="39" s="1"/>
  <c r="X257" i="39" s="1"/>
  <c r="AA286" i="38"/>
  <c r="AB286" i="38" s="1"/>
  <c r="L273" i="28" s="1"/>
  <c r="T287" i="38"/>
  <c r="I287" i="38" s="1"/>
  <c r="H287" i="38" s="1"/>
  <c r="Y287" i="38"/>
  <c r="T259" i="37"/>
  <c r="U259" i="37"/>
  <c r="AA258" i="37"/>
  <c r="AB258" i="37" s="1"/>
  <c r="K245" i="28" s="1"/>
  <c r="Z257" i="39" l="1"/>
  <c r="W257" i="39"/>
  <c r="Y257" i="39"/>
  <c r="G257" i="39"/>
  <c r="M258" i="39"/>
  <c r="P258" i="39"/>
  <c r="V257" i="39"/>
  <c r="K258" i="39"/>
  <c r="Z287" i="38"/>
  <c r="K288" i="38"/>
  <c r="P288" i="38"/>
  <c r="W287" i="38"/>
  <c r="M288" i="38"/>
  <c r="G287" i="38"/>
  <c r="C274" i="28" s="1"/>
  <c r="X287" i="38"/>
  <c r="V287" i="38"/>
  <c r="I259" i="37"/>
  <c r="H259" i="37" s="1"/>
  <c r="X259" i="37" s="1"/>
  <c r="Y259" i="37"/>
  <c r="J275" i="37"/>
  <c r="T258" i="39" l="1"/>
  <c r="W258" i="39" s="1"/>
  <c r="AA257" i="39"/>
  <c r="AB257" i="39" s="1"/>
  <c r="U258" i="39"/>
  <c r="AA287" i="38"/>
  <c r="AB287" i="38" s="1"/>
  <c r="L274" i="28" s="1"/>
  <c r="T288" i="38"/>
  <c r="U288" i="38"/>
  <c r="P260" i="37"/>
  <c r="V259" i="37"/>
  <c r="W259" i="37"/>
  <c r="Z259" i="37"/>
  <c r="M260" i="37"/>
  <c r="G259" i="37"/>
  <c r="B246" i="28" s="1"/>
  <c r="K260" i="37"/>
  <c r="V258" i="39" l="1"/>
  <c r="I258" i="39"/>
  <c r="H258" i="39" s="1"/>
  <c r="K259" i="39" s="1"/>
  <c r="Y258" i="39"/>
  <c r="I288" i="38"/>
  <c r="H288" i="38" s="1"/>
  <c r="G288" i="38" s="1"/>
  <c r="C275" i="28" s="1"/>
  <c r="Y288" i="38"/>
  <c r="U260" i="37"/>
  <c r="AA259" i="37"/>
  <c r="AB259" i="37" s="1"/>
  <c r="K246" i="28" s="1"/>
  <c r="T260" i="37"/>
  <c r="W288" i="38" l="1"/>
  <c r="M259" i="39"/>
  <c r="X258" i="39"/>
  <c r="P259" i="39"/>
  <c r="G258" i="39"/>
  <c r="Z258" i="39"/>
  <c r="L289" i="38"/>
  <c r="M289" i="38"/>
  <c r="X288" i="38"/>
  <c r="Z288" i="38"/>
  <c r="P289" i="38"/>
  <c r="V288" i="38"/>
  <c r="K289" i="38"/>
  <c r="I260" i="37"/>
  <c r="H260" i="37" s="1"/>
  <c r="X260" i="37" s="1"/>
  <c r="Y260" i="37"/>
  <c r="T289" i="38" l="1"/>
  <c r="U259" i="39"/>
  <c r="T259" i="39"/>
  <c r="AA258" i="39"/>
  <c r="AB258" i="39" s="1"/>
  <c r="AA288" i="38"/>
  <c r="AB288" i="38" s="1"/>
  <c r="L275" i="28" s="1"/>
  <c r="U289" i="38"/>
  <c r="W260" i="37"/>
  <c r="V260" i="37"/>
  <c r="Z260" i="37"/>
  <c r="M261" i="37"/>
  <c r="K261" i="37"/>
  <c r="G260" i="37"/>
  <c r="B247" i="28" s="1"/>
  <c r="L261" i="37"/>
  <c r="P261" i="37"/>
  <c r="Y259" i="39" l="1"/>
  <c r="I259" i="39"/>
  <c r="H259" i="39" s="1"/>
  <c r="Z259" i="39" s="1"/>
  <c r="I289" i="38"/>
  <c r="H289" i="38" s="1"/>
  <c r="Z289" i="38" s="1"/>
  <c r="AA260" i="37"/>
  <c r="AB260" i="37" s="1"/>
  <c r="K247" i="28" s="1"/>
  <c r="U261" i="37"/>
  <c r="T261" i="37"/>
  <c r="V289" i="38" l="1"/>
  <c r="P290" i="38"/>
  <c r="K290" i="38"/>
  <c r="X289" i="38"/>
  <c r="M290" i="38"/>
  <c r="W259" i="39"/>
  <c r="P260" i="39"/>
  <c r="K260" i="39"/>
  <c r="G259" i="39"/>
  <c r="X259" i="39"/>
  <c r="M260" i="39"/>
  <c r="V259" i="39"/>
  <c r="Y289" i="38"/>
  <c r="G289" i="38"/>
  <c r="C276" i="28" s="1"/>
  <c r="W289" i="38"/>
  <c r="AA289" i="38" s="1"/>
  <c r="AB289" i="38" s="1"/>
  <c r="L276" i="28" s="1"/>
  <c r="T290" i="38"/>
  <c r="Y261" i="37"/>
  <c r="I261" i="37"/>
  <c r="H261" i="37" s="1"/>
  <c r="K262" i="37" s="1"/>
  <c r="U290" i="38" l="1"/>
  <c r="I290" i="38" s="1"/>
  <c r="H290" i="38" s="1"/>
  <c r="AA259" i="39"/>
  <c r="AB259" i="39" s="1"/>
  <c r="U260" i="39"/>
  <c r="T260" i="39"/>
  <c r="Y290" i="38"/>
  <c r="W261" i="37"/>
  <c r="X261" i="37"/>
  <c r="P262" i="37"/>
  <c r="G261" i="37"/>
  <c r="B248" i="28" s="1"/>
  <c r="M262" i="37"/>
  <c r="V261" i="37"/>
  <c r="Z261" i="37"/>
  <c r="X290" i="38" l="1"/>
  <c r="W290" i="38"/>
  <c r="Z290" i="38"/>
  <c r="G290" i="38"/>
  <c r="C277" i="28" s="1"/>
  <c r="M291" i="38"/>
  <c r="P291" i="38"/>
  <c r="V290" i="38"/>
  <c r="K291" i="38"/>
  <c r="T291" i="38" s="1"/>
  <c r="Y260" i="39"/>
  <c r="I260" i="39"/>
  <c r="H260" i="39" s="1"/>
  <c r="W260" i="39" s="1"/>
  <c r="T262" i="37"/>
  <c r="AA261" i="37"/>
  <c r="AB261" i="37" s="1"/>
  <c r="K248" i="28" s="1"/>
  <c r="U262" i="37"/>
  <c r="U291" i="38" l="1"/>
  <c r="Y291" i="38" s="1"/>
  <c r="AA290" i="38"/>
  <c r="AB290" i="38" s="1"/>
  <c r="L277" i="28" s="1"/>
  <c r="V260" i="39"/>
  <c r="X260" i="39"/>
  <c r="K261" i="39"/>
  <c r="L261" i="39"/>
  <c r="P261" i="39"/>
  <c r="G260" i="39"/>
  <c r="Z260" i="39"/>
  <c r="M261" i="39"/>
  <c r="I291" i="38"/>
  <c r="H291" i="38" s="1"/>
  <c r="P292" i="38" s="1"/>
  <c r="I262" i="37"/>
  <c r="H262" i="37" s="1"/>
  <c r="X262" i="37" s="1"/>
  <c r="Z291" i="38"/>
  <c r="K292" i="38"/>
  <c r="G291" i="38"/>
  <c r="C278" i="28" s="1"/>
  <c r="M292" i="38"/>
  <c r="W291" i="38"/>
  <c r="V291" i="38" l="1"/>
  <c r="X291" i="38"/>
  <c r="AA260" i="39"/>
  <c r="AB260" i="39" s="1"/>
  <c r="T261" i="39"/>
  <c r="U261" i="39"/>
  <c r="Y262" i="37"/>
  <c r="V262" i="37"/>
  <c r="M263" i="37"/>
  <c r="W262" i="37"/>
  <c r="Z262" i="37"/>
  <c r="K263" i="37"/>
  <c r="P263" i="37"/>
  <c r="G262" i="37"/>
  <c r="B249" i="28" s="1"/>
  <c r="AA291" i="38"/>
  <c r="AB291" i="38" s="1"/>
  <c r="L278" i="28" s="1"/>
  <c r="U292" i="38"/>
  <c r="T292" i="38"/>
  <c r="Y261" i="39" l="1"/>
  <c r="I261" i="39"/>
  <c r="H261" i="39" s="1"/>
  <c r="V261" i="39" s="1"/>
  <c r="AA262" i="37"/>
  <c r="AB262" i="37" s="1"/>
  <c r="K249" i="28" s="1"/>
  <c r="T263" i="37"/>
  <c r="V263" i="37" s="1"/>
  <c r="U263" i="37"/>
  <c r="I263" i="37" s="1"/>
  <c r="H263" i="37" s="1"/>
  <c r="X263" i="37" s="1"/>
  <c r="W263" i="37"/>
  <c r="I292" i="38"/>
  <c r="H292" i="38" s="1"/>
  <c r="X292" i="38" s="1"/>
  <c r="Y292" i="38"/>
  <c r="Z261" i="39" l="1"/>
  <c r="X261" i="39"/>
  <c r="M262" i="39"/>
  <c r="K262" i="39"/>
  <c r="P262" i="39"/>
  <c r="W261" i="39"/>
  <c r="G261" i="39"/>
  <c r="Y263" i="37"/>
  <c r="K264" i="37"/>
  <c r="P264" i="37"/>
  <c r="Z263" i="37"/>
  <c r="M264" i="37"/>
  <c r="G263" i="37"/>
  <c r="B250" i="28" s="1"/>
  <c r="K293" i="38"/>
  <c r="L293" i="38"/>
  <c r="G292" i="38"/>
  <c r="C279" i="28" s="1"/>
  <c r="M293" i="38"/>
  <c r="J293" i="38"/>
  <c r="P293" i="38"/>
  <c r="W292" i="38"/>
  <c r="V292" i="38"/>
  <c r="Z292" i="38"/>
  <c r="AA263" i="37" l="1"/>
  <c r="AB263" i="37" s="1"/>
  <c r="K250" i="28" s="1"/>
  <c r="AA261" i="39"/>
  <c r="AB261" i="39" s="1"/>
  <c r="U262" i="39"/>
  <c r="T262" i="39"/>
  <c r="T264" i="37"/>
  <c r="U264" i="37"/>
  <c r="U293" i="38"/>
  <c r="T293" i="38"/>
  <c r="W293" i="38" s="1"/>
  <c r="AA292" i="38"/>
  <c r="AB292" i="38" s="1"/>
  <c r="L279" i="28" s="1"/>
  <c r="I262" i="39" l="1"/>
  <c r="H262" i="39" s="1"/>
  <c r="V262" i="39" s="1"/>
  <c r="Y262" i="39"/>
  <c r="Y264" i="37"/>
  <c r="I264" i="37"/>
  <c r="H264" i="37" s="1"/>
  <c r="X264" i="37" s="1"/>
  <c r="W264" i="37"/>
  <c r="I293" i="38"/>
  <c r="H293" i="38" s="1"/>
  <c r="Y293" i="38" s="1"/>
  <c r="V293" i="38"/>
  <c r="L265" i="37" l="1"/>
  <c r="G262" i="39"/>
  <c r="Z262" i="39"/>
  <c r="M263" i="39"/>
  <c r="X262" i="39"/>
  <c r="W262" i="39"/>
  <c r="P263" i="39"/>
  <c r="K263" i="39"/>
  <c r="K265" i="37"/>
  <c r="M265" i="37"/>
  <c r="G264" i="37"/>
  <c r="B251" i="28" s="1"/>
  <c r="Z264" i="37"/>
  <c r="V264" i="37"/>
  <c r="AA264" i="37" s="1"/>
  <c r="AB264" i="37" s="1"/>
  <c r="K251" i="28" s="1"/>
  <c r="P265" i="37"/>
  <c r="M294" i="38"/>
  <c r="X293" i="38"/>
  <c r="Z293" i="38"/>
  <c r="K294" i="38"/>
  <c r="G293" i="38"/>
  <c r="C280" i="28" s="1"/>
  <c r="P294" i="38"/>
  <c r="J280" i="37"/>
  <c r="U263" i="39" l="1"/>
  <c r="AA262" i="39"/>
  <c r="AB262" i="39" s="1"/>
  <c r="T263" i="39"/>
  <c r="W263" i="39" s="1"/>
  <c r="U265" i="37"/>
  <c r="T265" i="37"/>
  <c r="AA293" i="38"/>
  <c r="AB293" i="38" s="1"/>
  <c r="L280" i="28" s="1"/>
  <c r="U294" i="38"/>
  <c r="T294" i="38"/>
  <c r="W294" i="38" s="1"/>
  <c r="I265" i="37" l="1"/>
  <c r="H265" i="37" s="1"/>
  <c r="X265" i="37" s="1"/>
  <c r="V263" i="39"/>
  <c r="Y263" i="39"/>
  <c r="I263" i="39"/>
  <c r="H263" i="39" s="1"/>
  <c r="M264" i="39" s="1"/>
  <c r="Y265" i="37"/>
  <c r="G265" i="37"/>
  <c r="B252" i="28" s="1"/>
  <c r="K266" i="37"/>
  <c r="V265" i="37"/>
  <c r="W265" i="37"/>
  <c r="M266" i="37"/>
  <c r="Z265" i="37"/>
  <c r="P266" i="37"/>
  <c r="Y294" i="38"/>
  <c r="V294" i="38"/>
  <c r="I294" i="38"/>
  <c r="H294" i="38" s="1"/>
  <c r="Z294" i="38" s="1"/>
  <c r="J281" i="37"/>
  <c r="P264" i="39" l="1"/>
  <c r="K264" i="39"/>
  <c r="Z263" i="39"/>
  <c r="X263" i="39"/>
  <c r="AA263" i="39" s="1"/>
  <c r="AB263" i="39" s="1"/>
  <c r="G263" i="39"/>
  <c r="AA265" i="37"/>
  <c r="AB265" i="37" s="1"/>
  <c r="K252" i="28" s="1"/>
  <c r="P295" i="38"/>
  <c r="K295" i="38"/>
  <c r="T266" i="37"/>
  <c r="X294" i="38"/>
  <c r="AA294" i="38" s="1"/>
  <c r="AB294" i="38" s="1"/>
  <c r="L281" i="28" s="1"/>
  <c r="U266" i="37"/>
  <c r="G294" i="38"/>
  <c r="C281" i="28" s="1"/>
  <c r="M295" i="38"/>
  <c r="I266" i="37" l="1"/>
  <c r="H266" i="37" s="1"/>
  <c r="X266" i="37" s="1"/>
  <c r="U264" i="39"/>
  <c r="T264" i="39"/>
  <c r="Y264" i="39" s="1"/>
  <c r="T295" i="38"/>
  <c r="Y266" i="37"/>
  <c r="U295" i="38"/>
  <c r="Y295" i="38" s="1"/>
  <c r="K267" i="37"/>
  <c r="M267" i="37"/>
  <c r="P267" i="37"/>
  <c r="G266" i="37"/>
  <c r="B253" i="28" s="1"/>
  <c r="W266" i="37"/>
  <c r="V266" i="37"/>
  <c r="Z266" i="37"/>
  <c r="I264" i="39" l="1"/>
  <c r="H264" i="39" s="1"/>
  <c r="G264" i="39" s="1"/>
  <c r="V264" i="39"/>
  <c r="Z264" i="39"/>
  <c r="X264" i="39"/>
  <c r="W264" i="39"/>
  <c r="M265" i="39"/>
  <c r="P265" i="39"/>
  <c r="L265" i="39"/>
  <c r="I295" i="38"/>
  <c r="H295" i="38" s="1"/>
  <c r="K296" i="38" s="1"/>
  <c r="W295" i="38"/>
  <c r="Z295" i="38"/>
  <c r="T267" i="37"/>
  <c r="U267" i="37"/>
  <c r="AA266" i="37"/>
  <c r="AB266" i="37" s="1"/>
  <c r="K253" i="28" s="1"/>
  <c r="J282" i="37"/>
  <c r="K265" i="39" l="1"/>
  <c r="P296" i="38"/>
  <c r="AA264" i="39"/>
  <c r="AB264" i="39" s="1"/>
  <c r="U265" i="39"/>
  <c r="T265" i="39"/>
  <c r="V295" i="38"/>
  <c r="X295" i="38"/>
  <c r="M296" i="38"/>
  <c r="U296" i="38" s="1"/>
  <c r="G295" i="38"/>
  <c r="C282" i="28" s="1"/>
  <c r="Y267" i="37"/>
  <c r="I267" i="37"/>
  <c r="H267" i="37" s="1"/>
  <c r="X267" i="37" s="1"/>
  <c r="Y265" i="39" l="1"/>
  <c r="I265" i="39"/>
  <c r="H265" i="39" s="1"/>
  <c r="G265" i="39" s="1"/>
  <c r="AA295" i="38"/>
  <c r="AB295" i="38" s="1"/>
  <c r="L282" i="28" s="1"/>
  <c r="T296" i="38"/>
  <c r="I296" i="38" s="1"/>
  <c r="H296" i="38" s="1"/>
  <c r="V296" i="38" s="1"/>
  <c r="M268" i="37"/>
  <c r="W267" i="37"/>
  <c r="V267" i="37"/>
  <c r="Z267" i="37"/>
  <c r="G267" i="37"/>
  <c r="B254" i="28" s="1"/>
  <c r="K268" i="37"/>
  <c r="P268" i="37"/>
  <c r="Z265" i="39" l="1"/>
  <c r="V265" i="39"/>
  <c r="W265" i="39"/>
  <c r="X265" i="39"/>
  <c r="K266" i="39"/>
  <c r="M266" i="39"/>
  <c r="P266" i="39"/>
  <c r="Y296" i="38"/>
  <c r="AA267" i="37"/>
  <c r="AB267" i="37" s="1"/>
  <c r="K254" i="28" s="1"/>
  <c r="U268" i="37"/>
  <c r="T268" i="37"/>
  <c r="W296" i="38"/>
  <c r="P297" i="38"/>
  <c r="L297" i="38"/>
  <c r="K297" i="38"/>
  <c r="G296" i="38"/>
  <c r="C283" i="28" s="1"/>
  <c r="M297" i="38"/>
  <c r="X296" i="38"/>
  <c r="Z296" i="38"/>
  <c r="AA265" i="39" l="1"/>
  <c r="AB265" i="39" s="1"/>
  <c r="U266" i="39"/>
  <c r="T266" i="39"/>
  <c r="Y268" i="37"/>
  <c r="I268" i="37"/>
  <c r="H268" i="37" s="1"/>
  <c r="X268" i="37" s="1"/>
  <c r="AA296" i="38"/>
  <c r="AB296" i="38" s="1"/>
  <c r="L283" i="28" s="1"/>
  <c r="T297" i="38"/>
  <c r="U297" i="38"/>
  <c r="J283" i="37"/>
  <c r="Y266" i="39" l="1"/>
  <c r="I266" i="39"/>
  <c r="H266" i="39" s="1"/>
  <c r="W266" i="39" s="1"/>
  <c r="Z268" i="37"/>
  <c r="Y297" i="38"/>
  <c r="L269" i="37"/>
  <c r="M269" i="37"/>
  <c r="P269" i="37"/>
  <c r="K269" i="37"/>
  <c r="W268" i="37"/>
  <c r="V268" i="37"/>
  <c r="G268" i="37"/>
  <c r="B255" i="28" s="1"/>
  <c r="I297" i="38"/>
  <c r="H297" i="38" s="1"/>
  <c r="G297" i="38" s="1"/>
  <c r="C284" i="28" s="1"/>
  <c r="P267" i="39" l="1"/>
  <c r="M267" i="39"/>
  <c r="V266" i="39"/>
  <c r="X266" i="39"/>
  <c r="Z266" i="39"/>
  <c r="K267" i="39"/>
  <c r="G266" i="39"/>
  <c r="W297" i="38"/>
  <c r="X297" i="38"/>
  <c r="AA268" i="37"/>
  <c r="AB268" i="37" s="1"/>
  <c r="K255" i="28" s="1"/>
  <c r="T269" i="37"/>
  <c r="U269" i="37"/>
  <c r="V297" i="38"/>
  <c r="K298" i="38"/>
  <c r="M298" i="38"/>
  <c r="P298" i="38"/>
  <c r="Z297" i="38"/>
  <c r="U267" i="39" l="1"/>
  <c r="T267" i="39"/>
  <c r="AA266" i="39"/>
  <c r="AB266" i="39" s="1"/>
  <c r="I269" i="37"/>
  <c r="H269" i="37" s="1"/>
  <c r="X269" i="37" s="1"/>
  <c r="U298" i="38"/>
  <c r="Y269" i="37"/>
  <c r="AA297" i="38"/>
  <c r="AB297" i="38" s="1"/>
  <c r="L284" i="28" s="1"/>
  <c r="T298" i="38"/>
  <c r="I298" i="38" s="1"/>
  <c r="H298" i="38" s="1"/>
  <c r="Y267" i="39" l="1"/>
  <c r="I267" i="39"/>
  <c r="H267" i="39" s="1"/>
  <c r="G267" i="39" s="1"/>
  <c r="P270" i="37"/>
  <c r="Z269" i="37"/>
  <c r="V269" i="37"/>
  <c r="G269" i="37"/>
  <c r="B256" i="28" s="1"/>
  <c r="W269" i="37"/>
  <c r="M270" i="37"/>
  <c r="K270" i="37"/>
  <c r="W298" i="38"/>
  <c r="Z298" i="38"/>
  <c r="V298" i="38"/>
  <c r="M299" i="38"/>
  <c r="P299" i="38"/>
  <c r="Y298" i="38"/>
  <c r="G298" i="38"/>
  <c r="C285" i="28" s="1"/>
  <c r="X298" i="38"/>
  <c r="K299" i="38"/>
  <c r="V267" i="39" l="1"/>
  <c r="Z267" i="39"/>
  <c r="X267" i="39"/>
  <c r="K268" i="39"/>
  <c r="M268" i="39"/>
  <c r="P268" i="39"/>
  <c r="AA269" i="37"/>
  <c r="AB269" i="37" s="1"/>
  <c r="K256" i="28" s="1"/>
  <c r="W267" i="39"/>
  <c r="T270" i="37"/>
  <c r="U270" i="37"/>
  <c r="I270" i="37" s="1"/>
  <c r="H270" i="37" s="1"/>
  <c r="Z270" i="37" s="1"/>
  <c r="U299" i="38"/>
  <c r="AA298" i="38"/>
  <c r="AB298" i="38" s="1"/>
  <c r="L285" i="28" s="1"/>
  <c r="T299" i="38"/>
  <c r="AA267" i="39" l="1"/>
  <c r="AB267" i="39" s="1"/>
  <c r="U268" i="39"/>
  <c r="T268" i="39"/>
  <c r="I299" i="38"/>
  <c r="H299" i="38" s="1"/>
  <c r="W299" i="38" s="1"/>
  <c r="Y299" i="38"/>
  <c r="Y270" i="37"/>
  <c r="X270" i="37"/>
  <c r="W270" i="37"/>
  <c r="V270" i="37"/>
  <c r="P271" i="37"/>
  <c r="M271" i="37"/>
  <c r="K271" i="37"/>
  <c r="G270" i="37"/>
  <c r="B257" i="28" s="1"/>
  <c r="I268" i="39" l="1"/>
  <c r="H268" i="39" s="1"/>
  <c r="Z268" i="39" s="1"/>
  <c r="Y268" i="39"/>
  <c r="L269" i="39"/>
  <c r="P269" i="39"/>
  <c r="M269" i="39"/>
  <c r="V268" i="39"/>
  <c r="X268" i="39"/>
  <c r="W268" i="39"/>
  <c r="G268" i="39"/>
  <c r="K269" i="39"/>
  <c r="M300" i="38"/>
  <c r="P300" i="38"/>
  <c r="Z299" i="38"/>
  <c r="X299" i="38"/>
  <c r="K300" i="38"/>
  <c r="V299" i="38"/>
  <c r="G299" i="38"/>
  <c r="C286" i="28" s="1"/>
  <c r="T271" i="37"/>
  <c r="U271" i="37"/>
  <c r="AA270" i="37"/>
  <c r="AB270" i="37" s="1"/>
  <c r="K257" i="28" s="1"/>
  <c r="T269" i="39" l="1"/>
  <c r="AA268" i="39"/>
  <c r="AB268" i="39" s="1"/>
  <c r="U269" i="39"/>
  <c r="U300" i="38"/>
  <c r="T300" i="38"/>
  <c r="AA299" i="38"/>
  <c r="AB299" i="38" s="1"/>
  <c r="L286" i="28" s="1"/>
  <c r="Y271" i="37"/>
  <c r="I271" i="37"/>
  <c r="H271" i="37" s="1"/>
  <c r="X271" i="37" s="1"/>
  <c r="Y269" i="39" l="1"/>
  <c r="I269" i="39"/>
  <c r="H269" i="39" s="1"/>
  <c r="V269" i="39" s="1"/>
  <c r="I300" i="38"/>
  <c r="H300" i="38" s="1"/>
  <c r="Y300" i="38" s="1"/>
  <c r="L301" i="38"/>
  <c r="M301" i="38"/>
  <c r="G300" i="38"/>
  <c r="C287" i="28" s="1"/>
  <c r="P301" i="38"/>
  <c r="V271" i="37"/>
  <c r="Z271" i="37"/>
  <c r="W271" i="37"/>
  <c r="P272" i="37"/>
  <c r="K272" i="37"/>
  <c r="G271" i="37"/>
  <c r="B258" i="28" s="1"/>
  <c r="M272" i="37"/>
  <c r="K270" i="39" l="1"/>
  <c r="W269" i="39"/>
  <c r="P270" i="39"/>
  <c r="X269" i="39"/>
  <c r="Z269" i="39"/>
  <c r="G269" i="39"/>
  <c r="M270" i="39"/>
  <c r="W300" i="38"/>
  <c r="J301" i="38"/>
  <c r="X300" i="38"/>
  <c r="V300" i="38"/>
  <c r="Z300" i="38"/>
  <c r="K301" i="38"/>
  <c r="U301" i="38" s="1"/>
  <c r="T272" i="37"/>
  <c r="U272" i="37"/>
  <c r="AA271" i="37"/>
  <c r="AB271" i="37" s="1"/>
  <c r="K258" i="28" s="1"/>
  <c r="AA300" i="38" l="1"/>
  <c r="AB300" i="38" s="1"/>
  <c r="L287" i="28" s="1"/>
  <c r="T301" i="38"/>
  <c r="AA269" i="39"/>
  <c r="AB269" i="39" s="1"/>
  <c r="T270" i="39"/>
  <c r="U270" i="39"/>
  <c r="I301" i="38"/>
  <c r="H301" i="38" s="1"/>
  <c r="K302" i="38" s="1"/>
  <c r="G301" i="38"/>
  <c r="C288" i="28" s="1"/>
  <c r="Y272" i="37"/>
  <c r="I272" i="37"/>
  <c r="H272" i="37" s="1"/>
  <c r="P302" i="38" l="1"/>
  <c r="M302" i="38"/>
  <c r="J302" i="38"/>
  <c r="U302" i="38" s="1"/>
  <c r="I270" i="39"/>
  <c r="H270" i="39" s="1"/>
  <c r="M271" i="39" s="1"/>
  <c r="Y270" i="39"/>
  <c r="Y301" i="38"/>
  <c r="X301" i="38"/>
  <c r="Z301" i="38"/>
  <c r="W301" i="38"/>
  <c r="V301" i="38"/>
  <c r="V272" i="37"/>
  <c r="X272" i="37"/>
  <c r="W272" i="37"/>
  <c r="Z272" i="37"/>
  <c r="L273" i="37"/>
  <c r="P273" i="37"/>
  <c r="G272" i="37"/>
  <c r="B259" i="28" s="1"/>
  <c r="M273" i="37"/>
  <c r="K273" i="37"/>
  <c r="J288" i="37"/>
  <c r="T302" i="38" l="1"/>
  <c r="AA301" i="38"/>
  <c r="AB301" i="38" s="1"/>
  <c r="L288" i="28" s="1"/>
  <c r="K271" i="39"/>
  <c r="W270" i="39"/>
  <c r="Z270" i="39"/>
  <c r="G270" i="39"/>
  <c r="X270" i="39"/>
  <c r="P271" i="39"/>
  <c r="V270" i="39"/>
  <c r="I302" i="38"/>
  <c r="H302" i="38" s="1"/>
  <c r="Y302" i="38" s="1"/>
  <c r="T273" i="37"/>
  <c r="U273" i="37"/>
  <c r="AA272" i="37"/>
  <c r="AB272" i="37" s="1"/>
  <c r="K259" i="28" s="1"/>
  <c r="T271" i="39" l="1"/>
  <c r="AA270" i="39"/>
  <c r="AB270" i="39" s="1"/>
  <c r="U271" i="39"/>
  <c r="Z302" i="38"/>
  <c r="M303" i="38"/>
  <c r="K303" i="38"/>
  <c r="P303" i="38"/>
  <c r="W302" i="38"/>
  <c r="X302" i="38"/>
  <c r="G302" i="38"/>
  <c r="C289" i="28" s="1"/>
  <c r="V302" i="38"/>
  <c r="J303" i="38"/>
  <c r="Y273" i="37"/>
  <c r="I273" i="37"/>
  <c r="H273" i="37" s="1"/>
  <c r="X273" i="37" s="1"/>
  <c r="J289" i="37"/>
  <c r="I271" i="39" l="1"/>
  <c r="H271" i="39" s="1"/>
  <c r="V271" i="39" s="1"/>
  <c r="Y271" i="39"/>
  <c r="AA302" i="38"/>
  <c r="AB302" i="38" s="1"/>
  <c r="L289" i="28" s="1"/>
  <c r="U303" i="38"/>
  <c r="T303" i="38"/>
  <c r="Z273" i="37"/>
  <c r="W273" i="37"/>
  <c r="V273" i="37"/>
  <c r="P274" i="37"/>
  <c r="G273" i="37"/>
  <c r="B260" i="28" s="1"/>
  <c r="K274" i="37"/>
  <c r="M274" i="37"/>
  <c r="I303" i="38" l="1"/>
  <c r="H303" i="38" s="1"/>
  <c r="Y303" i="38" s="1"/>
  <c r="W271" i="39"/>
  <c r="M272" i="39"/>
  <c r="G271" i="39"/>
  <c r="K272" i="39"/>
  <c r="X271" i="39"/>
  <c r="P272" i="39"/>
  <c r="Z271" i="39"/>
  <c r="P304" i="38"/>
  <c r="G303" i="38"/>
  <c r="C290" i="28" s="1"/>
  <c r="J304" i="38"/>
  <c r="M304" i="38"/>
  <c r="K304" i="38"/>
  <c r="X303" i="38"/>
  <c r="W303" i="38"/>
  <c r="V303" i="38"/>
  <c r="Z303" i="38"/>
  <c r="T274" i="37"/>
  <c r="U274" i="37"/>
  <c r="AA273" i="37"/>
  <c r="AB273" i="37" s="1"/>
  <c r="K260" i="28" s="1"/>
  <c r="U272" i="39" l="1"/>
  <c r="T272" i="39"/>
  <c r="AA271" i="39"/>
  <c r="AB271" i="39" s="1"/>
  <c r="AA303" i="38"/>
  <c r="AB303" i="38" s="1"/>
  <c r="L290" i="28" s="1"/>
  <c r="U304" i="38"/>
  <c r="T304" i="38"/>
  <c r="Y274" i="37"/>
  <c r="I274" i="37"/>
  <c r="H274" i="37" s="1"/>
  <c r="X274" i="37" s="1"/>
  <c r="J290" i="37"/>
  <c r="I272" i="39" l="1"/>
  <c r="H272" i="39" s="1"/>
  <c r="W272" i="39" s="1"/>
  <c r="Y272" i="39"/>
  <c r="P273" i="39"/>
  <c r="G272" i="39"/>
  <c r="K273" i="39"/>
  <c r="M273" i="39"/>
  <c r="V272" i="39"/>
  <c r="X272" i="39"/>
  <c r="L273" i="39"/>
  <c r="Z272" i="39"/>
  <c r="I304" i="38"/>
  <c r="H304" i="38" s="1"/>
  <c r="Y304" i="38" s="1"/>
  <c r="Z274" i="37"/>
  <c r="W274" i="37"/>
  <c r="V274" i="37"/>
  <c r="P275" i="37"/>
  <c r="K275" i="37"/>
  <c r="G274" i="37"/>
  <c r="B261" i="28" s="1"/>
  <c r="M275" i="37"/>
  <c r="T273" i="39" l="1"/>
  <c r="U273" i="39"/>
  <c r="AA272" i="39"/>
  <c r="AB272" i="39" s="1"/>
  <c r="L305" i="38"/>
  <c r="M305" i="38"/>
  <c r="P305" i="38"/>
  <c r="G304" i="38"/>
  <c r="C291" i="28" s="1"/>
  <c r="K305" i="38"/>
  <c r="W304" i="38"/>
  <c r="X304" i="38"/>
  <c r="V304" i="38"/>
  <c r="Z304" i="38"/>
  <c r="T275" i="37"/>
  <c r="U275" i="37"/>
  <c r="AA274" i="37"/>
  <c r="AB274" i="37" s="1"/>
  <c r="K261" i="28" s="1"/>
  <c r="I273" i="39" l="1"/>
  <c r="H273" i="39" s="1"/>
  <c r="X273" i="39" s="1"/>
  <c r="Y273" i="39"/>
  <c r="P274" i="39"/>
  <c r="T305" i="38"/>
  <c r="V305" i="38" s="1"/>
  <c r="U305" i="38"/>
  <c r="AA304" i="38"/>
  <c r="AB304" i="38" s="1"/>
  <c r="L291" i="28" s="1"/>
  <c r="Y275" i="37"/>
  <c r="I275" i="37"/>
  <c r="H275" i="37" s="1"/>
  <c r="Z275" i="37" s="1"/>
  <c r="J291" i="37"/>
  <c r="G273" i="39" l="1"/>
  <c r="Z273" i="39"/>
  <c r="M274" i="39"/>
  <c r="W273" i="39"/>
  <c r="K274" i="39"/>
  <c r="V273" i="39"/>
  <c r="AA273" i="39" s="1"/>
  <c r="AB273" i="39" s="1"/>
  <c r="W305" i="38"/>
  <c r="I305" i="38"/>
  <c r="H305" i="38" s="1"/>
  <c r="Y305" i="38" s="1"/>
  <c r="W275" i="37"/>
  <c r="X275" i="37"/>
  <c r="V275" i="37"/>
  <c r="M276" i="37"/>
  <c r="P276" i="37"/>
  <c r="K276" i="37"/>
  <c r="G275" i="37"/>
  <c r="B262" i="28" s="1"/>
  <c r="U274" i="39" l="1"/>
  <c r="T274" i="39"/>
  <c r="I274" i="39" s="1"/>
  <c r="H274" i="39" s="1"/>
  <c r="G274" i="39" s="1"/>
  <c r="M306" i="38"/>
  <c r="P306" i="38"/>
  <c r="K306" i="38"/>
  <c r="G305" i="38"/>
  <c r="C292" i="28" s="1"/>
  <c r="Z305" i="38"/>
  <c r="X305" i="38"/>
  <c r="T276" i="37"/>
  <c r="U276" i="37"/>
  <c r="AA275" i="37"/>
  <c r="AB275" i="37" s="1"/>
  <c r="K262" i="28" s="1"/>
  <c r="J292" i="37"/>
  <c r="Y274" i="39" l="1"/>
  <c r="P275" i="39"/>
  <c r="K275" i="39"/>
  <c r="M275" i="39"/>
  <c r="X274" i="39"/>
  <c r="Z274" i="39"/>
  <c r="V274" i="39"/>
  <c r="W274" i="39"/>
  <c r="AA305" i="38"/>
  <c r="AB305" i="38" s="1"/>
  <c r="L292" i="28" s="1"/>
  <c r="U306" i="38"/>
  <c r="T306" i="38"/>
  <c r="Y276" i="37"/>
  <c r="I276" i="37"/>
  <c r="H276" i="37" s="1"/>
  <c r="Z276" i="37" s="1"/>
  <c r="T275" i="39" l="1"/>
  <c r="U275" i="39"/>
  <c r="AA274" i="39"/>
  <c r="AB274" i="39" s="1"/>
  <c r="Y306" i="38"/>
  <c r="I306" i="38"/>
  <c r="H306" i="38" s="1"/>
  <c r="Z306" i="38" s="1"/>
  <c r="V276" i="37"/>
  <c r="X276" i="37"/>
  <c r="W276" i="37"/>
  <c r="M277" i="37"/>
  <c r="P277" i="37"/>
  <c r="K277" i="37"/>
  <c r="L277" i="37"/>
  <c r="G276" i="37"/>
  <c r="B263" i="28" s="1"/>
  <c r="I275" i="39" l="1"/>
  <c r="H275" i="39" s="1"/>
  <c r="G275" i="39" s="1"/>
  <c r="Y275" i="39"/>
  <c r="V306" i="38"/>
  <c r="M307" i="38"/>
  <c r="K307" i="38"/>
  <c r="G306" i="38"/>
  <c r="C293" i="28" s="1"/>
  <c r="P307" i="38"/>
  <c r="X306" i="38"/>
  <c r="W306" i="38"/>
  <c r="T277" i="37"/>
  <c r="U277" i="37"/>
  <c r="AA276" i="37"/>
  <c r="AB276" i="37" s="1"/>
  <c r="K263" i="28" s="1"/>
  <c r="P276" i="39" l="1"/>
  <c r="M276" i="39"/>
  <c r="X275" i="39"/>
  <c r="V275" i="39"/>
  <c r="K276" i="39"/>
  <c r="W275" i="39"/>
  <c r="Z275" i="39"/>
  <c r="T307" i="38"/>
  <c r="U307" i="38"/>
  <c r="AA306" i="38"/>
  <c r="AB306" i="38" s="1"/>
  <c r="L293" i="28" s="1"/>
  <c r="Y277" i="37"/>
  <c r="I277" i="37"/>
  <c r="H277" i="37" s="1"/>
  <c r="X277" i="37" s="1"/>
  <c r="T276" i="39" l="1"/>
  <c r="U276" i="39"/>
  <c r="I276" i="39" s="1"/>
  <c r="H276" i="39" s="1"/>
  <c r="G276" i="39" s="1"/>
  <c r="AA275" i="39"/>
  <c r="AB275" i="39" s="1"/>
  <c r="Y307" i="38"/>
  <c r="I307" i="38"/>
  <c r="H307" i="38" s="1"/>
  <c r="V307" i="38" s="1"/>
  <c r="Z277" i="37"/>
  <c r="V277" i="37"/>
  <c r="W277" i="37"/>
  <c r="K278" i="37"/>
  <c r="P278" i="37"/>
  <c r="M278" i="37"/>
  <c r="G277" i="37"/>
  <c r="B264" i="28" s="1"/>
  <c r="Y276" i="39" l="1"/>
  <c r="V276" i="39"/>
  <c r="Z276" i="39"/>
  <c r="P277" i="39"/>
  <c r="X276" i="39"/>
  <c r="K277" i="39"/>
  <c r="W276" i="39"/>
  <c r="M277" i="39"/>
  <c r="L277" i="39"/>
  <c r="W307" i="38"/>
  <c r="X307" i="38"/>
  <c r="P308" i="38"/>
  <c r="G307" i="38"/>
  <c r="C294" i="28" s="1"/>
  <c r="Z307" i="38"/>
  <c r="M308" i="38"/>
  <c r="K308" i="38"/>
  <c r="AA277" i="37"/>
  <c r="AB277" i="37" s="1"/>
  <c r="K264" i="28" s="1"/>
  <c r="T278" i="37"/>
  <c r="U278" i="37"/>
  <c r="J294" i="37"/>
  <c r="AA276" i="39" l="1"/>
  <c r="AB276" i="39" s="1"/>
  <c r="U277" i="39"/>
  <c r="T277" i="39"/>
  <c r="AA307" i="38"/>
  <c r="AB307" i="38" s="1"/>
  <c r="L294" i="28" s="1"/>
  <c r="T308" i="38"/>
  <c r="U308" i="38"/>
  <c r="I278" i="37"/>
  <c r="H278" i="37" s="1"/>
  <c r="Z278" i="37" s="1"/>
  <c r="Y278" i="37"/>
  <c r="Y277" i="39" l="1"/>
  <c r="I277" i="39"/>
  <c r="H277" i="39" s="1"/>
  <c r="Z277" i="39" s="1"/>
  <c r="Y308" i="38"/>
  <c r="I308" i="38"/>
  <c r="H308" i="38" s="1"/>
  <c r="Z308" i="38" s="1"/>
  <c r="M279" i="37"/>
  <c r="P279" i="37"/>
  <c r="G278" i="37"/>
  <c r="B265" i="28" s="1"/>
  <c r="V278" i="37"/>
  <c r="W278" i="37"/>
  <c r="X278" i="37"/>
  <c r="K279" i="37"/>
  <c r="J295" i="37"/>
  <c r="P278" i="39" l="1"/>
  <c r="K278" i="39"/>
  <c r="M278" i="39"/>
  <c r="G277" i="39"/>
  <c r="X277" i="39"/>
  <c r="W277" i="39"/>
  <c r="V277" i="39"/>
  <c r="L309" i="38"/>
  <c r="K309" i="38"/>
  <c r="P309" i="38"/>
  <c r="W308" i="38"/>
  <c r="G308" i="38"/>
  <c r="C295" i="28" s="1"/>
  <c r="M309" i="38"/>
  <c r="X308" i="38"/>
  <c r="V308" i="38"/>
  <c r="U279" i="37"/>
  <c r="AA278" i="37"/>
  <c r="AB278" i="37" s="1"/>
  <c r="K265" i="28" s="1"/>
  <c r="T279" i="37"/>
  <c r="J296" i="37"/>
  <c r="AA277" i="39" l="1"/>
  <c r="AB277" i="39" s="1"/>
  <c r="T278" i="39"/>
  <c r="U278" i="39"/>
  <c r="U309" i="38"/>
  <c r="T309" i="38"/>
  <c r="I309" i="38" s="1"/>
  <c r="H309" i="38" s="1"/>
  <c r="X309" i="38" s="1"/>
  <c r="AA308" i="38"/>
  <c r="AB308" i="38" s="1"/>
  <c r="L295" i="28" s="1"/>
  <c r="I279" i="37"/>
  <c r="H279" i="37" s="1"/>
  <c r="G279" i="37" s="1"/>
  <c r="B266" i="28" s="1"/>
  <c r="Y279" i="37"/>
  <c r="Y278" i="39" l="1"/>
  <c r="I278" i="39"/>
  <c r="H278" i="39" s="1"/>
  <c r="Z278" i="39" s="1"/>
  <c r="V309" i="38"/>
  <c r="P310" i="38"/>
  <c r="W309" i="38"/>
  <c r="Z309" i="38"/>
  <c r="Y309" i="38"/>
  <c r="M310" i="38"/>
  <c r="K310" i="38"/>
  <c r="G309" i="38"/>
  <c r="C296" i="28" s="1"/>
  <c r="Z279" i="37"/>
  <c r="W279" i="37"/>
  <c r="X279" i="37"/>
  <c r="P280" i="37"/>
  <c r="K280" i="37"/>
  <c r="M280" i="37"/>
  <c r="V279" i="37"/>
  <c r="P279" i="39" l="1"/>
  <c r="K279" i="39"/>
  <c r="V278" i="39"/>
  <c r="W278" i="39"/>
  <c r="G278" i="39"/>
  <c r="X278" i="39"/>
  <c r="M279" i="39"/>
  <c r="AA309" i="38"/>
  <c r="AB309" i="38" s="1"/>
  <c r="L296" i="28" s="1"/>
  <c r="T310" i="38"/>
  <c r="U310" i="38"/>
  <c r="T280" i="37"/>
  <c r="U280" i="37"/>
  <c r="AA279" i="37"/>
  <c r="AB279" i="37" s="1"/>
  <c r="K266" i="28" s="1"/>
  <c r="J297" i="37"/>
  <c r="T279" i="39" l="1"/>
  <c r="AA278" i="39"/>
  <c r="AB278" i="39" s="1"/>
  <c r="U279" i="39"/>
  <c r="I310" i="38"/>
  <c r="H310" i="38" s="1"/>
  <c r="Y310" i="38" s="1"/>
  <c r="Y280" i="37"/>
  <c r="I280" i="37"/>
  <c r="H280" i="37" s="1"/>
  <c r="X280" i="37" s="1"/>
  <c r="I279" i="39" l="1"/>
  <c r="H279" i="39" s="1"/>
  <c r="M280" i="39" s="1"/>
  <c r="Y279" i="39"/>
  <c r="W310" i="38"/>
  <c r="Z310" i="38"/>
  <c r="G310" i="38"/>
  <c r="C297" i="28" s="1"/>
  <c r="K311" i="38"/>
  <c r="X310" i="38"/>
  <c r="J311" i="38"/>
  <c r="P311" i="38"/>
  <c r="V310" i="38"/>
  <c r="M311" i="38"/>
  <c r="L281" i="37"/>
  <c r="Z280" i="37"/>
  <c r="M281" i="37"/>
  <c r="P281" i="37"/>
  <c r="G280" i="37"/>
  <c r="B267" i="28" s="1"/>
  <c r="V280" i="37"/>
  <c r="W280" i="37"/>
  <c r="K281" i="37"/>
  <c r="K280" i="39" l="1"/>
  <c r="V279" i="39"/>
  <c r="G279" i="39"/>
  <c r="W279" i="39"/>
  <c r="P280" i="39"/>
  <c r="Z279" i="39"/>
  <c r="X279" i="39"/>
  <c r="AA310" i="38"/>
  <c r="AB310" i="38" s="1"/>
  <c r="L297" i="28" s="1"/>
  <c r="T311" i="38"/>
  <c r="U311" i="38"/>
  <c r="U281" i="37"/>
  <c r="T281" i="37"/>
  <c r="AA280" i="37"/>
  <c r="AB280" i="37" s="1"/>
  <c r="K267" i="28" s="1"/>
  <c r="T280" i="39" l="1"/>
  <c r="AA279" i="39"/>
  <c r="AB279" i="39" s="1"/>
  <c r="U280" i="39"/>
  <c r="I311" i="38"/>
  <c r="H311" i="38" s="1"/>
  <c r="V311" i="38" s="1"/>
  <c r="Y281" i="37"/>
  <c r="M312" i="38"/>
  <c r="Y311" i="38"/>
  <c r="I281" i="37"/>
  <c r="H281" i="37" s="1"/>
  <c r="W281" i="37" s="1"/>
  <c r="J298" i="37"/>
  <c r="Y280" i="39" l="1"/>
  <c r="I280" i="39"/>
  <c r="H280" i="39" s="1"/>
  <c r="X280" i="39" s="1"/>
  <c r="X311" i="38"/>
  <c r="W311" i="38"/>
  <c r="K312" i="38"/>
  <c r="P312" i="38"/>
  <c r="G311" i="38"/>
  <c r="C298" i="28" s="1"/>
  <c r="Z311" i="38"/>
  <c r="AA311" i="38" s="1"/>
  <c r="AB311" i="38" s="1"/>
  <c r="L298" i="28" s="1"/>
  <c r="V281" i="37"/>
  <c r="M282" i="37"/>
  <c r="G281" i="37"/>
  <c r="B268" i="28" s="1"/>
  <c r="Z281" i="37"/>
  <c r="X281" i="37"/>
  <c r="P282" i="37"/>
  <c r="K282" i="37"/>
  <c r="G280" i="39" l="1"/>
  <c r="M281" i="39"/>
  <c r="L281" i="39"/>
  <c r="K281" i="39"/>
  <c r="P281" i="39"/>
  <c r="Z280" i="39"/>
  <c r="V280" i="39"/>
  <c r="W280" i="39"/>
  <c r="T312" i="38"/>
  <c r="U312" i="38"/>
  <c r="Y312" i="38" s="1"/>
  <c r="AA281" i="37"/>
  <c r="AB281" i="37" s="1"/>
  <c r="K268" i="28" s="1"/>
  <c r="T282" i="37"/>
  <c r="U282" i="37"/>
  <c r="J299" i="37"/>
  <c r="U281" i="39" l="1"/>
  <c r="T281" i="39"/>
  <c r="AA280" i="39"/>
  <c r="AB280" i="39" s="1"/>
  <c r="I312" i="38"/>
  <c r="H312" i="38" s="1"/>
  <c r="G312" i="38" s="1"/>
  <c r="C299" i="28" s="1"/>
  <c r="I282" i="37"/>
  <c r="H282" i="37" s="1"/>
  <c r="P283" i="37" s="1"/>
  <c r="Y282" i="37"/>
  <c r="M313" i="38" l="1"/>
  <c r="W312" i="38"/>
  <c r="V312" i="38"/>
  <c r="K313" i="38"/>
  <c r="T313" i="38" s="1"/>
  <c r="Z312" i="38"/>
  <c r="Y281" i="39"/>
  <c r="I281" i="39"/>
  <c r="H281" i="39" s="1"/>
  <c r="X281" i="39" s="1"/>
  <c r="X312" i="38"/>
  <c r="L313" i="38"/>
  <c r="P313" i="38"/>
  <c r="K283" i="37"/>
  <c r="V282" i="37"/>
  <c r="M283" i="37"/>
  <c r="U313" i="38"/>
  <c r="X282" i="37"/>
  <c r="W282" i="37"/>
  <c r="G282" i="37"/>
  <c r="B269" i="28" s="1"/>
  <c r="Z282" i="37"/>
  <c r="AA312" i="38" l="1"/>
  <c r="AB312" i="38" s="1"/>
  <c r="L299" i="28" s="1"/>
  <c r="K282" i="39"/>
  <c r="P282" i="39"/>
  <c r="G281" i="39"/>
  <c r="M282" i="39"/>
  <c r="Z281" i="39"/>
  <c r="V281" i="39"/>
  <c r="W281" i="39"/>
  <c r="U283" i="37"/>
  <c r="T283" i="37"/>
  <c r="AA282" i="37"/>
  <c r="AB282" i="37" s="1"/>
  <c r="K269" i="28" s="1"/>
  <c r="Y313" i="38"/>
  <c r="I313" i="38"/>
  <c r="H313" i="38" s="1"/>
  <c r="J300" i="37"/>
  <c r="U282" i="39" l="1"/>
  <c r="AA281" i="39"/>
  <c r="AB281" i="39" s="1"/>
  <c r="T282" i="39"/>
  <c r="I283" i="37"/>
  <c r="H283" i="37" s="1"/>
  <c r="X283" i="37" s="1"/>
  <c r="Y283" i="37"/>
  <c r="X313" i="38"/>
  <c r="G313" i="38"/>
  <c r="C300" i="28" s="1"/>
  <c r="K314" i="38"/>
  <c r="P314" i="38"/>
  <c r="M314" i="38"/>
  <c r="V313" i="38"/>
  <c r="W313" i="38"/>
  <c r="Z313" i="38"/>
  <c r="Y282" i="39" l="1"/>
  <c r="I282" i="39"/>
  <c r="H282" i="39" s="1"/>
  <c r="V282" i="39" s="1"/>
  <c r="W283" i="37"/>
  <c r="K284" i="37"/>
  <c r="V283" i="37"/>
  <c r="G283" i="37"/>
  <c r="B270" i="28" s="1"/>
  <c r="Z283" i="37"/>
  <c r="P284" i="37"/>
  <c r="M284" i="37"/>
  <c r="AA313" i="38"/>
  <c r="AB313" i="38" s="1"/>
  <c r="L300" i="28" s="1"/>
  <c r="T314" i="38"/>
  <c r="U314" i="38"/>
  <c r="G282" i="39" l="1"/>
  <c r="P283" i="39"/>
  <c r="K283" i="39"/>
  <c r="M283" i="39"/>
  <c r="Z282" i="39"/>
  <c r="X282" i="39"/>
  <c r="W282" i="39"/>
  <c r="AA283" i="37"/>
  <c r="AB283" i="37" s="1"/>
  <c r="K270" i="28" s="1"/>
  <c r="U284" i="37"/>
  <c r="T284" i="37"/>
  <c r="Y284" i="37" s="1"/>
  <c r="I314" i="38"/>
  <c r="H314" i="38" s="1"/>
  <c r="Z314" i="38" s="1"/>
  <c r="Y314" i="38"/>
  <c r="T283" i="39" l="1"/>
  <c r="AA282" i="39"/>
  <c r="AB282" i="39" s="1"/>
  <c r="U283" i="39"/>
  <c r="I284" i="37"/>
  <c r="H284" i="37" s="1"/>
  <c r="K285" i="37" s="1"/>
  <c r="M285" i="37"/>
  <c r="V314" i="38"/>
  <c r="W314" i="38"/>
  <c r="M315" i="38"/>
  <c r="K315" i="38"/>
  <c r="G314" i="38"/>
  <c r="C301" i="28" s="1"/>
  <c r="P315" i="38"/>
  <c r="X314" i="38"/>
  <c r="Y283" i="39" l="1"/>
  <c r="W284" i="37"/>
  <c r="G284" i="37"/>
  <c r="B271" i="28" s="1"/>
  <c r="L285" i="37"/>
  <c r="P285" i="37"/>
  <c r="T285" i="37" s="1"/>
  <c r="Z284" i="37"/>
  <c r="X284" i="37"/>
  <c r="V284" i="37"/>
  <c r="I283" i="39"/>
  <c r="H283" i="39" s="1"/>
  <c r="X283" i="39" s="1"/>
  <c r="T315" i="38"/>
  <c r="AA314" i="38"/>
  <c r="AB314" i="38" s="1"/>
  <c r="L301" i="28" s="1"/>
  <c r="U315" i="38"/>
  <c r="AA284" i="37" l="1"/>
  <c r="AB284" i="37" s="1"/>
  <c r="K271" i="28" s="1"/>
  <c r="U285" i="37"/>
  <c r="I285" i="37" s="1"/>
  <c r="H285" i="37" s="1"/>
  <c r="Z285" i="37" s="1"/>
  <c r="Z283" i="39"/>
  <c r="W283" i="39"/>
  <c r="P284" i="39"/>
  <c r="M284" i="39"/>
  <c r="K284" i="39"/>
  <c r="G283" i="39"/>
  <c r="V283" i="39"/>
  <c r="I315" i="38"/>
  <c r="H315" i="38" s="1"/>
  <c r="Z315" i="38" s="1"/>
  <c r="Y285" i="37"/>
  <c r="Y315" i="38"/>
  <c r="AA283" i="39" l="1"/>
  <c r="AB283" i="39" s="1"/>
  <c r="U284" i="39"/>
  <c r="T284" i="39"/>
  <c r="P316" i="38"/>
  <c r="W315" i="38"/>
  <c r="G315" i="38"/>
  <c r="C302" i="28" s="1"/>
  <c r="X315" i="38"/>
  <c r="K316" i="38"/>
  <c r="V315" i="38"/>
  <c r="M316" i="38"/>
  <c r="K286" i="37"/>
  <c r="P286" i="37"/>
  <c r="W285" i="37"/>
  <c r="M286" i="37"/>
  <c r="X285" i="37"/>
  <c r="V285" i="37"/>
  <c r="G285" i="37"/>
  <c r="B272" i="28" s="1"/>
  <c r="Y284" i="39" l="1"/>
  <c r="I284" i="39"/>
  <c r="H284" i="39" s="1"/>
  <c r="Z284" i="39" s="1"/>
  <c r="T316" i="38"/>
  <c r="AA315" i="38"/>
  <c r="AB315" i="38" s="1"/>
  <c r="L302" i="28" s="1"/>
  <c r="U316" i="38"/>
  <c r="T286" i="37"/>
  <c r="AA285" i="37"/>
  <c r="AB285" i="37" s="1"/>
  <c r="K272" i="28" s="1"/>
  <c r="U286" i="37"/>
  <c r="V284" i="39" l="1"/>
  <c r="W284" i="39"/>
  <c r="L285" i="39"/>
  <c r="P285" i="39"/>
  <c r="X284" i="39"/>
  <c r="K285" i="39"/>
  <c r="M285" i="39"/>
  <c r="G284" i="39"/>
  <c r="I316" i="38"/>
  <c r="H316" i="38" s="1"/>
  <c r="V316" i="38" s="1"/>
  <c r="Y286" i="37"/>
  <c r="I286" i="37"/>
  <c r="H286" i="37" s="1"/>
  <c r="W286" i="37" s="1"/>
  <c r="W316" i="38"/>
  <c r="L317" i="38"/>
  <c r="K317" i="38"/>
  <c r="P317" i="38"/>
  <c r="M317" i="38"/>
  <c r="G316" i="38"/>
  <c r="C303" i="28" s="1"/>
  <c r="Y316" i="38" l="1"/>
  <c r="T285" i="39"/>
  <c r="AA284" i="39"/>
  <c r="AB284" i="39" s="1"/>
  <c r="U285" i="39"/>
  <c r="X316" i="38"/>
  <c r="Z316" i="38"/>
  <c r="AA316" i="38" s="1"/>
  <c r="AB316" i="38" s="1"/>
  <c r="L303" i="28" s="1"/>
  <c r="P287" i="37"/>
  <c r="Z286" i="37"/>
  <c r="G286" i="37"/>
  <c r="B273" i="28" s="1"/>
  <c r="M287" i="37"/>
  <c r="K287" i="37"/>
  <c r="X286" i="37"/>
  <c r="V286" i="37"/>
  <c r="T317" i="38"/>
  <c r="U317" i="38"/>
  <c r="I285" i="39" l="1"/>
  <c r="H285" i="39" s="1"/>
  <c r="G285" i="39" s="1"/>
  <c r="Y285" i="39"/>
  <c r="P286" i="39"/>
  <c r="U287" i="37"/>
  <c r="T287" i="37"/>
  <c r="AA286" i="37"/>
  <c r="AB286" i="37" s="1"/>
  <c r="K273" i="28" s="1"/>
  <c r="I317" i="38"/>
  <c r="H317" i="38" s="1"/>
  <c r="V317" i="38" s="1"/>
  <c r="W285" i="39" l="1"/>
  <c r="Z285" i="39"/>
  <c r="K286" i="39"/>
  <c r="M286" i="39"/>
  <c r="U286" i="39" s="1"/>
  <c r="X285" i="39"/>
  <c r="V285" i="39"/>
  <c r="AA285" i="39" s="1"/>
  <c r="AB285" i="39" s="1"/>
  <c r="Y317" i="38"/>
  <c r="Y287" i="37"/>
  <c r="I287" i="37"/>
  <c r="H287" i="37" s="1"/>
  <c r="Z287" i="37" s="1"/>
  <c r="Z317" i="38"/>
  <c r="P318" i="38"/>
  <c r="W317" i="38"/>
  <c r="G317" i="38"/>
  <c r="C304" i="28" s="1"/>
  <c r="K318" i="38"/>
  <c r="X317" i="38"/>
  <c r="M318" i="38"/>
  <c r="T286" i="39" l="1"/>
  <c r="I286" i="39" s="1"/>
  <c r="H286" i="39" s="1"/>
  <c r="M287" i="39" s="1"/>
  <c r="K288" i="37"/>
  <c r="W287" i="37"/>
  <c r="X287" i="37"/>
  <c r="M288" i="37"/>
  <c r="V287" i="37"/>
  <c r="P288" i="37"/>
  <c r="G287" i="37"/>
  <c r="B274" i="28" s="1"/>
  <c r="U318" i="38"/>
  <c r="AA317" i="38"/>
  <c r="AB317" i="38" s="1"/>
  <c r="L304" i="28" s="1"/>
  <c r="T318" i="38"/>
  <c r="Y286" i="39" l="1"/>
  <c r="AA287" i="37"/>
  <c r="AB287" i="37" s="1"/>
  <c r="K274" i="28" s="1"/>
  <c r="T288" i="37"/>
  <c r="V286" i="39"/>
  <c r="P287" i="39"/>
  <c r="G286" i="39"/>
  <c r="K287" i="39"/>
  <c r="W286" i="39"/>
  <c r="Z286" i="39"/>
  <c r="X286" i="39"/>
  <c r="Y318" i="38"/>
  <c r="U288" i="37"/>
  <c r="I288" i="37" s="1"/>
  <c r="H288" i="37" s="1"/>
  <c r="I318" i="38"/>
  <c r="H318" i="38" s="1"/>
  <c r="K319" i="38" s="1"/>
  <c r="U287" i="39" l="1"/>
  <c r="T287" i="39"/>
  <c r="AA286" i="39"/>
  <c r="AB286" i="39" s="1"/>
  <c r="Y288" i="37"/>
  <c r="L289" i="37"/>
  <c r="K289" i="37"/>
  <c r="V288" i="37"/>
  <c r="P289" i="37"/>
  <c r="P319" i="38"/>
  <c r="X318" i="38"/>
  <c r="Z318" i="38"/>
  <c r="W318" i="38"/>
  <c r="M319" i="38"/>
  <c r="V318" i="38"/>
  <c r="G318" i="38"/>
  <c r="C305" i="28" s="1"/>
  <c r="G288" i="37"/>
  <c r="B275" i="28" s="1"/>
  <c r="W288" i="37"/>
  <c r="Z288" i="37"/>
  <c r="X288" i="37"/>
  <c r="M289" i="37"/>
  <c r="J305" i="37"/>
  <c r="I287" i="39" l="1"/>
  <c r="H287" i="39" s="1"/>
  <c r="X287" i="39" s="1"/>
  <c r="Y287" i="39"/>
  <c r="T319" i="38"/>
  <c r="U319" i="38"/>
  <c r="U289" i="37"/>
  <c r="AA318" i="38"/>
  <c r="AB318" i="38" s="1"/>
  <c r="L305" i="28" s="1"/>
  <c r="AA288" i="37"/>
  <c r="AB288" i="37" s="1"/>
  <c r="K275" i="28" s="1"/>
  <c r="T289" i="37"/>
  <c r="K288" i="39" l="1"/>
  <c r="G287" i="39"/>
  <c r="M288" i="39"/>
  <c r="W287" i="39"/>
  <c r="Z287" i="39"/>
  <c r="V287" i="39"/>
  <c r="P288" i="39"/>
  <c r="Y319" i="38"/>
  <c r="I319" i="38"/>
  <c r="H319" i="38" s="1"/>
  <c r="K320" i="38" s="1"/>
  <c r="I289" i="37"/>
  <c r="H289" i="37" s="1"/>
  <c r="W289" i="37" s="1"/>
  <c r="Y289" i="37"/>
  <c r="AA287" i="39" l="1"/>
  <c r="AB287" i="39" s="1"/>
  <c r="T288" i="39"/>
  <c r="U288" i="39"/>
  <c r="P320" i="38"/>
  <c r="M320" i="38"/>
  <c r="T320" i="38" s="1"/>
  <c r="V320" i="38" s="1"/>
  <c r="M290" i="37"/>
  <c r="X289" i="37"/>
  <c r="K290" i="37"/>
  <c r="V289" i="37"/>
  <c r="G319" i="38"/>
  <c r="C306" i="28" s="1"/>
  <c r="Z289" i="37"/>
  <c r="P290" i="37"/>
  <c r="W319" i="38"/>
  <c r="G289" i="37"/>
  <c r="B276" i="28" s="1"/>
  <c r="Z319" i="38"/>
  <c r="V319" i="38"/>
  <c r="X319" i="38"/>
  <c r="J306" i="37"/>
  <c r="U320" i="38" l="1"/>
  <c r="I288" i="39"/>
  <c r="H288" i="39" s="1"/>
  <c r="M289" i="39" s="1"/>
  <c r="AA289" i="37"/>
  <c r="AB289" i="37" s="1"/>
  <c r="K276" i="28" s="1"/>
  <c r="U290" i="37"/>
  <c r="T290" i="37"/>
  <c r="AA319" i="38"/>
  <c r="AB319" i="38" s="1"/>
  <c r="L306" i="28" s="1"/>
  <c r="W320" i="38"/>
  <c r="I320" i="38"/>
  <c r="H320" i="38" s="1"/>
  <c r="Y320" i="38" s="1"/>
  <c r="Y288" i="39" l="1"/>
  <c r="P289" i="39"/>
  <c r="K289" i="39"/>
  <c r="V288" i="39"/>
  <c r="G288" i="39"/>
  <c r="W288" i="39"/>
  <c r="X288" i="39"/>
  <c r="L289" i="39"/>
  <c r="Z288" i="39"/>
  <c r="I290" i="37"/>
  <c r="H290" i="37" s="1"/>
  <c r="Z290" i="37" s="1"/>
  <c r="Y290" i="37"/>
  <c r="Z320" i="38"/>
  <c r="X320" i="38"/>
  <c r="AA320" i="38" s="1"/>
  <c r="AB320" i="38" s="1"/>
  <c r="L307" i="28" s="1"/>
  <c r="P321" i="38"/>
  <c r="G320" i="38"/>
  <c r="C307" i="28" s="1"/>
  <c r="L321" i="38"/>
  <c r="M321" i="38"/>
  <c r="K321" i="38"/>
  <c r="G290" i="37"/>
  <c r="B277" i="28" s="1"/>
  <c r="M291" i="37"/>
  <c r="K291" i="37"/>
  <c r="P291" i="37"/>
  <c r="X290" i="37"/>
  <c r="J307" i="37"/>
  <c r="T289" i="39" l="1"/>
  <c r="U289" i="39"/>
  <c r="AA288" i="39"/>
  <c r="AB288" i="39" s="1"/>
  <c r="U321" i="38"/>
  <c r="W290" i="37"/>
  <c r="V290" i="37"/>
  <c r="T321" i="38"/>
  <c r="I321" i="38" s="1"/>
  <c r="H321" i="38" s="1"/>
  <c r="Z321" i="38" s="1"/>
  <c r="U291" i="37"/>
  <c r="T291" i="37"/>
  <c r="I289" i="39" l="1"/>
  <c r="H289" i="39" s="1"/>
  <c r="V289" i="39" s="1"/>
  <c r="AA290" i="37"/>
  <c r="AB290" i="37" s="1"/>
  <c r="K277" i="28" s="1"/>
  <c r="M290" i="39"/>
  <c r="X289" i="39"/>
  <c r="Y289" i="39"/>
  <c r="Y291" i="37"/>
  <c r="I291" i="37"/>
  <c r="H291" i="37" s="1"/>
  <c r="M292" i="37" s="1"/>
  <c r="W321" i="38"/>
  <c r="V321" i="38"/>
  <c r="Y321" i="38"/>
  <c r="K322" i="38"/>
  <c r="G321" i="38"/>
  <c r="C308" i="28" s="1"/>
  <c r="M322" i="38"/>
  <c r="P322" i="38"/>
  <c r="X321" i="38"/>
  <c r="Z289" i="39" l="1"/>
  <c r="W291" i="37"/>
  <c r="X291" i="37"/>
  <c r="V291" i="37"/>
  <c r="G289" i="39"/>
  <c r="P290" i="39"/>
  <c r="K290" i="39"/>
  <c r="W289" i="39"/>
  <c r="AA289" i="39" s="1"/>
  <c r="AB289" i="39" s="1"/>
  <c r="P292" i="37"/>
  <c r="Z291" i="37"/>
  <c r="K292" i="37"/>
  <c r="G291" i="37"/>
  <c r="B278" i="28" s="1"/>
  <c r="T322" i="38"/>
  <c r="AA321" i="38"/>
  <c r="AB321" i="38" s="1"/>
  <c r="L308" i="28" s="1"/>
  <c r="U322" i="38"/>
  <c r="J308" i="37"/>
  <c r="U292" i="37" l="1"/>
  <c r="AA291" i="37"/>
  <c r="AB291" i="37" s="1"/>
  <c r="K278" i="28" s="1"/>
  <c r="T290" i="39"/>
  <c r="U290" i="39"/>
  <c r="Y290" i="39" s="1"/>
  <c r="T292" i="37"/>
  <c r="I292" i="37" s="1"/>
  <c r="H292" i="37" s="1"/>
  <c r="I322" i="38"/>
  <c r="H322" i="38" s="1"/>
  <c r="V322" i="38" s="1"/>
  <c r="Y292" i="37" l="1"/>
  <c r="I290" i="39"/>
  <c r="H290" i="39" s="1"/>
  <c r="Z290" i="39" s="1"/>
  <c r="P291" i="39"/>
  <c r="M291" i="39"/>
  <c r="V290" i="39"/>
  <c r="G290" i="39"/>
  <c r="Y322" i="38"/>
  <c r="M323" i="38"/>
  <c r="P323" i="38"/>
  <c r="W322" i="38"/>
  <c r="Z292" i="37"/>
  <c r="K293" i="37"/>
  <c r="X292" i="37"/>
  <c r="W292" i="37"/>
  <c r="P293" i="37"/>
  <c r="J293" i="37"/>
  <c r="G292" i="37"/>
  <c r="B279" i="28" s="1"/>
  <c r="L293" i="37"/>
  <c r="M293" i="37"/>
  <c r="K323" i="38"/>
  <c r="G322" i="38"/>
  <c r="C309" i="28" s="1"/>
  <c r="V292" i="37"/>
  <c r="Z322" i="38"/>
  <c r="X322" i="38"/>
  <c r="J309" i="37"/>
  <c r="K291" i="39" l="1"/>
  <c r="W290" i="39"/>
  <c r="X290" i="39"/>
  <c r="AA290" i="39" s="1"/>
  <c r="AB290" i="39" s="1"/>
  <c r="U291" i="39"/>
  <c r="T291" i="39"/>
  <c r="U323" i="38"/>
  <c r="T323" i="38"/>
  <c r="AA322" i="38"/>
  <c r="AB322" i="38" s="1"/>
  <c r="L309" i="28" s="1"/>
  <c r="AA292" i="37"/>
  <c r="AB292" i="37" s="1"/>
  <c r="K279" i="28" s="1"/>
  <c r="U293" i="37"/>
  <c r="T293" i="37"/>
  <c r="I291" i="39" l="1"/>
  <c r="H291" i="39" s="1"/>
  <c r="W291" i="39" s="1"/>
  <c r="Y291" i="39"/>
  <c r="I323" i="38"/>
  <c r="H323" i="38" s="1"/>
  <c r="M324" i="38" s="1"/>
  <c r="Y323" i="38"/>
  <c r="V293" i="37"/>
  <c r="W293" i="37"/>
  <c r="I293" i="37"/>
  <c r="H293" i="37" s="1"/>
  <c r="Y293" i="37" s="1"/>
  <c r="V323" i="38"/>
  <c r="K292" i="39" l="1"/>
  <c r="P292" i="39"/>
  <c r="M292" i="39"/>
  <c r="V291" i="39"/>
  <c r="X291" i="39"/>
  <c r="Z291" i="39"/>
  <c r="G291" i="39"/>
  <c r="W323" i="38"/>
  <c r="X323" i="38"/>
  <c r="K324" i="38"/>
  <c r="Z323" i="38"/>
  <c r="P324" i="38"/>
  <c r="T324" i="38" s="1"/>
  <c r="W324" i="38" s="1"/>
  <c r="G323" i="38"/>
  <c r="C310" i="28" s="1"/>
  <c r="X293" i="37"/>
  <c r="Z293" i="37"/>
  <c r="G293" i="37"/>
  <c r="B280" i="28" s="1"/>
  <c r="P294" i="37"/>
  <c r="K294" i="37"/>
  <c r="M294" i="37"/>
  <c r="J310" i="37"/>
  <c r="AA323" i="38" l="1"/>
  <c r="AB323" i="38" s="1"/>
  <c r="L310" i="28" s="1"/>
  <c r="T292" i="39"/>
  <c r="U292" i="39"/>
  <c r="AA291" i="39"/>
  <c r="AB291" i="39" s="1"/>
  <c r="U324" i="38"/>
  <c r="Y324" i="38" s="1"/>
  <c r="AA293" i="37"/>
  <c r="AB293" i="37" s="1"/>
  <c r="K280" i="28" s="1"/>
  <c r="T294" i="37"/>
  <c r="V294" i="37" s="1"/>
  <c r="U294" i="37"/>
  <c r="V324" i="38"/>
  <c r="I324" i="38" l="1"/>
  <c r="H324" i="38" s="1"/>
  <c r="L325" i="38" s="1"/>
  <c r="I292" i="39"/>
  <c r="H292" i="39" s="1"/>
  <c r="P293" i="39" s="1"/>
  <c r="Y292" i="39"/>
  <c r="W294" i="37"/>
  <c r="Y294" i="37"/>
  <c r="I294" i="37"/>
  <c r="H294" i="37" s="1"/>
  <c r="Z324" i="38"/>
  <c r="G324" i="38"/>
  <c r="C311" i="28" s="1"/>
  <c r="M325" i="38"/>
  <c r="P325" i="38"/>
  <c r="X324" i="38"/>
  <c r="K325" i="38"/>
  <c r="L293" i="39" l="1"/>
  <c r="Z292" i="39"/>
  <c r="K293" i="39"/>
  <c r="J293" i="39"/>
  <c r="X292" i="39"/>
  <c r="W292" i="39"/>
  <c r="G292" i="39"/>
  <c r="V292" i="39"/>
  <c r="M293" i="39"/>
  <c r="AA324" i="38"/>
  <c r="AB324" i="38" s="1"/>
  <c r="L311" i="28" s="1"/>
  <c r="T325" i="38"/>
  <c r="X294" i="37"/>
  <c r="Z294" i="37"/>
  <c r="K295" i="37"/>
  <c r="P295" i="37"/>
  <c r="G294" i="37"/>
  <c r="B281" i="28" s="1"/>
  <c r="M295" i="37"/>
  <c r="U325" i="38"/>
  <c r="AA292" i="39" l="1"/>
  <c r="AB292" i="39" s="1"/>
  <c r="U293" i="39"/>
  <c r="T293" i="39"/>
  <c r="W293" i="39" s="1"/>
  <c r="Y325" i="38"/>
  <c r="AA294" i="37"/>
  <c r="AB294" i="37" s="1"/>
  <c r="K281" i="28" s="1"/>
  <c r="T295" i="37"/>
  <c r="U295" i="37"/>
  <c r="I325" i="38"/>
  <c r="H325" i="38" s="1"/>
  <c r="P326" i="38" s="1"/>
  <c r="I295" i="37" l="1"/>
  <c r="H295" i="37" s="1"/>
  <c r="X295" i="37" s="1"/>
  <c r="V293" i="39"/>
  <c r="I293" i="39"/>
  <c r="H293" i="39" s="1"/>
  <c r="Z293" i="39" s="1"/>
  <c r="M296" i="37"/>
  <c r="Z295" i="37"/>
  <c r="P296" i="37"/>
  <c r="W325" i="38"/>
  <c r="X325" i="38"/>
  <c r="V325" i="38"/>
  <c r="Z325" i="38"/>
  <c r="K296" i="37"/>
  <c r="M326" i="38"/>
  <c r="G295" i="37"/>
  <c r="B282" i="28" s="1"/>
  <c r="G325" i="38"/>
  <c r="C312" i="28" s="1"/>
  <c r="W295" i="37"/>
  <c r="K326" i="38"/>
  <c r="V295" i="37"/>
  <c r="Y295" i="37"/>
  <c r="J312" i="37"/>
  <c r="K294" i="39" l="1"/>
  <c r="X293" i="39"/>
  <c r="P294" i="39"/>
  <c r="G293" i="39"/>
  <c r="M294" i="39"/>
  <c r="Y293" i="39"/>
  <c r="U296" i="37"/>
  <c r="AA325" i="38"/>
  <c r="AB325" i="38" s="1"/>
  <c r="L312" i="28" s="1"/>
  <c r="AA295" i="37"/>
  <c r="AB295" i="37" s="1"/>
  <c r="K282" i="28" s="1"/>
  <c r="T296" i="37"/>
  <c r="T326" i="38"/>
  <c r="V326" i="38" s="1"/>
  <c r="U326" i="38"/>
  <c r="I326" i="38" s="1"/>
  <c r="H326" i="38" s="1"/>
  <c r="X326" i="38" s="1"/>
  <c r="I296" i="37" l="1"/>
  <c r="H296" i="37" s="1"/>
  <c r="Z296" i="37" s="1"/>
  <c r="AA293" i="39"/>
  <c r="AB293" i="39" s="1"/>
  <c r="U294" i="39"/>
  <c r="T294" i="39"/>
  <c r="V294" i="39" s="1"/>
  <c r="Y296" i="37"/>
  <c r="Y326" i="38"/>
  <c r="W326" i="38"/>
  <c r="K327" i="38"/>
  <c r="M327" i="38"/>
  <c r="P327" i="38"/>
  <c r="Z326" i="38"/>
  <c r="G326" i="38"/>
  <c r="C313" i="28" s="1"/>
  <c r="X296" i="37"/>
  <c r="V296" i="37"/>
  <c r="W296" i="37"/>
  <c r="P297" i="37"/>
  <c r="G296" i="37"/>
  <c r="B283" i="28" s="1"/>
  <c r="M297" i="37"/>
  <c r="L297" i="37"/>
  <c r="K297" i="37"/>
  <c r="W294" i="39" l="1"/>
  <c r="Y294" i="39"/>
  <c r="I294" i="39"/>
  <c r="H294" i="39" s="1"/>
  <c r="Z294" i="39" s="1"/>
  <c r="AA326" i="38"/>
  <c r="AB326" i="38" s="1"/>
  <c r="L313" i="28" s="1"/>
  <c r="U327" i="38"/>
  <c r="T327" i="38"/>
  <c r="T297" i="37"/>
  <c r="U297" i="37"/>
  <c r="AA296" i="37"/>
  <c r="AB296" i="37" s="1"/>
  <c r="K283" i="28" s="1"/>
  <c r="J313" i="37"/>
  <c r="K295" i="39" l="1"/>
  <c r="P295" i="39"/>
  <c r="G294" i="39"/>
  <c r="M295" i="39"/>
  <c r="X294" i="39"/>
  <c r="AA294" i="39" s="1"/>
  <c r="AB294" i="39" s="1"/>
  <c r="Y327" i="38"/>
  <c r="I327" i="38"/>
  <c r="H327" i="38" s="1"/>
  <c r="M328" i="38" s="1"/>
  <c r="I297" i="37"/>
  <c r="H297" i="37" s="1"/>
  <c r="X297" i="37" s="1"/>
  <c r="U295" i="39" l="1"/>
  <c r="T295" i="39"/>
  <c r="K328" i="38"/>
  <c r="P328" i="38"/>
  <c r="U328" i="38" s="1"/>
  <c r="Z327" i="38"/>
  <c r="W327" i="38"/>
  <c r="G327" i="38"/>
  <c r="C314" i="28" s="1"/>
  <c r="V327" i="38"/>
  <c r="X327" i="38"/>
  <c r="Y297" i="37"/>
  <c r="W297" i="37"/>
  <c r="Z297" i="37"/>
  <c r="V297" i="37"/>
  <c r="K298" i="37"/>
  <c r="P298" i="37"/>
  <c r="M298" i="37"/>
  <c r="G297" i="37"/>
  <c r="B284" i="28" s="1"/>
  <c r="Y295" i="39" l="1"/>
  <c r="I295" i="39"/>
  <c r="H295" i="39" s="1"/>
  <c r="Z295" i="39" s="1"/>
  <c r="T328" i="38"/>
  <c r="I328" i="38" s="1"/>
  <c r="H328" i="38" s="1"/>
  <c r="AA327" i="38"/>
  <c r="AB327" i="38" s="1"/>
  <c r="L314" i="28" s="1"/>
  <c r="Y328" i="38"/>
  <c r="T298" i="37"/>
  <c r="U298" i="37"/>
  <c r="AA297" i="37"/>
  <c r="AB297" i="37" s="1"/>
  <c r="K284" i="28" s="1"/>
  <c r="J314" i="37"/>
  <c r="X328" i="38" l="1"/>
  <c r="K329" i="38"/>
  <c r="P296" i="39"/>
  <c r="K296" i="39"/>
  <c r="X295" i="39"/>
  <c r="M296" i="39"/>
  <c r="G295" i="39"/>
  <c r="V295" i="39"/>
  <c r="W295" i="39"/>
  <c r="V328" i="38"/>
  <c r="L329" i="38"/>
  <c r="P329" i="38"/>
  <c r="W328" i="38"/>
  <c r="G328" i="38"/>
  <c r="C315" i="28" s="1"/>
  <c r="M329" i="38"/>
  <c r="Z328" i="38"/>
  <c r="I298" i="37"/>
  <c r="H298" i="37" s="1"/>
  <c r="X298" i="37" s="1"/>
  <c r="U296" i="39" l="1"/>
  <c r="AA295" i="39"/>
  <c r="AB295" i="39" s="1"/>
  <c r="T296" i="39"/>
  <c r="AA328" i="38"/>
  <c r="AB328" i="38" s="1"/>
  <c r="L315" i="28" s="1"/>
  <c r="U329" i="38"/>
  <c r="T329" i="38"/>
  <c r="Y329" i="38" s="1"/>
  <c r="Y298" i="37"/>
  <c r="V298" i="37"/>
  <c r="Z298" i="37"/>
  <c r="W298" i="37"/>
  <c r="K299" i="37"/>
  <c r="P299" i="37"/>
  <c r="G298" i="37"/>
  <c r="B285" i="28" s="1"/>
  <c r="M299" i="37"/>
  <c r="J315" i="37"/>
  <c r="I296" i="39" l="1"/>
  <c r="H296" i="39" s="1"/>
  <c r="Z296" i="39" s="1"/>
  <c r="Y296" i="39"/>
  <c r="I329" i="38"/>
  <c r="H329" i="38" s="1"/>
  <c r="W329" i="38" s="1"/>
  <c r="T299" i="37"/>
  <c r="U299" i="37"/>
  <c r="AA298" i="37"/>
  <c r="AB298" i="37" s="1"/>
  <c r="K285" i="28" s="1"/>
  <c r="W296" i="39" l="1"/>
  <c r="V296" i="39"/>
  <c r="G296" i="39"/>
  <c r="M297" i="39"/>
  <c r="P297" i="39"/>
  <c r="K297" i="39"/>
  <c r="L297" i="39"/>
  <c r="X296" i="39"/>
  <c r="K330" i="38"/>
  <c r="P330" i="38"/>
  <c r="X329" i="38"/>
  <c r="V329" i="38"/>
  <c r="Z329" i="38"/>
  <c r="G329" i="38"/>
  <c r="C316" i="28" s="1"/>
  <c r="M330" i="38"/>
  <c r="U330" i="38" s="1"/>
  <c r="Y299" i="37"/>
  <c r="I299" i="37"/>
  <c r="H299" i="37" s="1"/>
  <c r="X299" i="37" s="1"/>
  <c r="T297" i="39" l="1"/>
  <c r="U297" i="39"/>
  <c r="AA296" i="39"/>
  <c r="AB296" i="39" s="1"/>
  <c r="AA329" i="38"/>
  <c r="AB329" i="38" s="1"/>
  <c r="L316" i="28" s="1"/>
  <c r="T330" i="38"/>
  <c r="I330" i="38" s="1"/>
  <c r="H330" i="38" s="1"/>
  <c r="W299" i="37"/>
  <c r="Z299" i="37"/>
  <c r="V299" i="37"/>
  <c r="K300" i="37"/>
  <c r="P300" i="37"/>
  <c r="G299" i="37"/>
  <c r="B286" i="28" s="1"/>
  <c r="M300" i="37"/>
  <c r="I297" i="39" l="1"/>
  <c r="H297" i="39" s="1"/>
  <c r="K298" i="39" s="1"/>
  <c r="Y297" i="39"/>
  <c r="Y330" i="38"/>
  <c r="Z330" i="38"/>
  <c r="M331" i="38"/>
  <c r="G330" i="38"/>
  <c r="C317" i="28" s="1"/>
  <c r="X330" i="38"/>
  <c r="K331" i="38"/>
  <c r="W330" i="38"/>
  <c r="P331" i="38"/>
  <c r="V330" i="38"/>
  <c r="T300" i="37"/>
  <c r="U300" i="37"/>
  <c r="AA299" i="37"/>
  <c r="AB299" i="37" s="1"/>
  <c r="K286" i="28" s="1"/>
  <c r="X297" i="39" l="1"/>
  <c r="V297" i="39"/>
  <c r="Z297" i="39"/>
  <c r="W297" i="39"/>
  <c r="P298" i="39"/>
  <c r="G297" i="39"/>
  <c r="M298" i="39"/>
  <c r="U331" i="38"/>
  <c r="Y331" i="38" s="1"/>
  <c r="T331" i="38"/>
  <c r="AA330" i="38"/>
  <c r="AB330" i="38" s="1"/>
  <c r="L317" i="28" s="1"/>
  <c r="I300" i="37"/>
  <c r="H300" i="37" s="1"/>
  <c r="X300" i="37" s="1"/>
  <c r="I331" i="38" l="1"/>
  <c r="H331" i="38" s="1"/>
  <c r="Z331" i="38" s="1"/>
  <c r="AA297" i="39"/>
  <c r="AB297" i="39" s="1"/>
  <c r="T298" i="39"/>
  <c r="U298" i="39"/>
  <c r="P332" i="38"/>
  <c r="G331" i="38"/>
  <c r="C318" i="28" s="1"/>
  <c r="W331" i="38"/>
  <c r="K332" i="38"/>
  <c r="M332" i="38"/>
  <c r="X331" i="38"/>
  <c r="V331" i="38"/>
  <c r="Y300" i="37"/>
  <c r="W300" i="37"/>
  <c r="V300" i="37"/>
  <c r="Z300" i="37"/>
  <c r="K301" i="37"/>
  <c r="P301" i="37"/>
  <c r="J301" i="37"/>
  <c r="L301" i="37"/>
  <c r="G300" i="37"/>
  <c r="B287" i="28" s="1"/>
  <c r="M301" i="37"/>
  <c r="I298" i="39" l="1"/>
  <c r="H298" i="39" s="1"/>
  <c r="V298" i="39" s="1"/>
  <c r="Y298" i="39"/>
  <c r="AA331" i="38"/>
  <c r="AB331" i="38" s="1"/>
  <c r="L318" i="28" s="1"/>
  <c r="T332" i="38"/>
  <c r="W332" i="38" s="1"/>
  <c r="U332" i="38"/>
  <c r="T301" i="37"/>
  <c r="U301" i="37"/>
  <c r="AA300" i="37"/>
  <c r="AB300" i="37" s="1"/>
  <c r="K287" i="28" s="1"/>
  <c r="P299" i="39" l="1"/>
  <c r="M299" i="39"/>
  <c r="G298" i="39"/>
  <c r="X298" i="39"/>
  <c r="K299" i="39"/>
  <c r="Z298" i="39"/>
  <c r="W298" i="39"/>
  <c r="V332" i="38"/>
  <c r="I332" i="38"/>
  <c r="H332" i="38" s="1"/>
  <c r="X332" i="38" s="1"/>
  <c r="Y332" i="38"/>
  <c r="I301" i="37"/>
  <c r="H301" i="37" s="1"/>
  <c r="X301" i="37" s="1"/>
  <c r="J317" i="37"/>
  <c r="T299" i="39" l="1"/>
  <c r="U299" i="39"/>
  <c r="Y299" i="39" s="1"/>
  <c r="AA298" i="39"/>
  <c r="AB298" i="39" s="1"/>
  <c r="M333" i="38"/>
  <c r="K333" i="38"/>
  <c r="P333" i="38"/>
  <c r="L333" i="38"/>
  <c r="G332" i="38"/>
  <c r="C319" i="28" s="1"/>
  <c r="Z332" i="38"/>
  <c r="AA332" i="38" s="1"/>
  <c r="AB332" i="38" s="1"/>
  <c r="L319" i="28" s="1"/>
  <c r="Y301" i="37"/>
  <c r="W301" i="37"/>
  <c r="Z301" i="37"/>
  <c r="V301" i="37"/>
  <c r="P302" i="37"/>
  <c r="M302" i="37"/>
  <c r="G301" i="37"/>
  <c r="B288" i="28" s="1"/>
  <c r="J302" i="37"/>
  <c r="K302" i="37"/>
  <c r="I299" i="39" l="1"/>
  <c r="H299" i="39" s="1"/>
  <c r="K300" i="39" s="1"/>
  <c r="T333" i="38"/>
  <c r="U333" i="38"/>
  <c r="T302" i="37"/>
  <c r="U302" i="37"/>
  <c r="AA301" i="37"/>
  <c r="AB301" i="37" s="1"/>
  <c r="K288" i="28" s="1"/>
  <c r="X299" i="39" l="1"/>
  <c r="Z299" i="39"/>
  <c r="V299" i="39"/>
  <c r="W299" i="39"/>
  <c r="G299" i="39"/>
  <c r="P300" i="39"/>
  <c r="M300" i="39"/>
  <c r="T300" i="39" s="1"/>
  <c r="AA299" i="39"/>
  <c r="AB299" i="39" s="1"/>
  <c r="I333" i="38"/>
  <c r="H333" i="38" s="1"/>
  <c r="G333" i="38" s="1"/>
  <c r="C320" i="28" s="1"/>
  <c r="Y333" i="38"/>
  <c r="I302" i="37"/>
  <c r="H302" i="37" s="1"/>
  <c r="X302" i="37" s="1"/>
  <c r="M334" i="38" l="1"/>
  <c r="U300" i="39"/>
  <c r="I300" i="39" s="1"/>
  <c r="H300" i="39" s="1"/>
  <c r="W333" i="38"/>
  <c r="X333" i="38"/>
  <c r="V333" i="38"/>
  <c r="P334" i="38"/>
  <c r="K334" i="38"/>
  <c r="T334" i="38" s="1"/>
  <c r="Z333" i="38"/>
  <c r="Y302" i="37"/>
  <c r="W302" i="37"/>
  <c r="Z302" i="37"/>
  <c r="V302" i="37"/>
  <c r="P303" i="37"/>
  <c r="J303" i="37"/>
  <c r="M303" i="37"/>
  <c r="G302" i="37"/>
  <c r="B289" i="28" s="1"/>
  <c r="K303" i="37"/>
  <c r="J318" i="37"/>
  <c r="U334" i="38" l="1"/>
  <c r="AA333" i="38"/>
  <c r="AB333" i="38" s="1"/>
  <c r="L320" i="28" s="1"/>
  <c r="K301" i="39"/>
  <c r="L301" i="39"/>
  <c r="Y300" i="39"/>
  <c r="J301" i="39"/>
  <c r="U301" i="39" s="1"/>
  <c r="W300" i="39"/>
  <c r="Z300" i="39"/>
  <c r="V300" i="39"/>
  <c r="X300" i="39"/>
  <c r="M301" i="39"/>
  <c r="P301" i="39"/>
  <c r="G300" i="39"/>
  <c r="Y334" i="38"/>
  <c r="I334" i="38"/>
  <c r="H334" i="38" s="1"/>
  <c r="T303" i="37"/>
  <c r="U303" i="37"/>
  <c r="AA302" i="37"/>
  <c r="AB302" i="37" s="1"/>
  <c r="K289" i="28" s="1"/>
  <c r="T301" i="39" l="1"/>
  <c r="AA300" i="39"/>
  <c r="AB300" i="39" s="1"/>
  <c r="I301" i="39"/>
  <c r="H301" i="39" s="1"/>
  <c r="Z301" i="39" s="1"/>
  <c r="V301" i="39"/>
  <c r="W301" i="39"/>
  <c r="M302" i="39"/>
  <c r="P302" i="39"/>
  <c r="J302" i="39"/>
  <c r="X334" i="38"/>
  <c r="G334" i="38"/>
  <c r="C321" i="28" s="1"/>
  <c r="P335" i="38"/>
  <c r="M335" i="38"/>
  <c r="K335" i="38"/>
  <c r="W334" i="38"/>
  <c r="Z334" i="38"/>
  <c r="V334" i="38"/>
  <c r="I303" i="37"/>
  <c r="H303" i="37" s="1"/>
  <c r="X303" i="37" s="1"/>
  <c r="Y301" i="39" l="1"/>
  <c r="G301" i="39"/>
  <c r="K302" i="39"/>
  <c r="X301" i="39"/>
  <c r="AA301" i="39" s="1"/>
  <c r="AB301" i="39" s="1"/>
  <c r="T302" i="39"/>
  <c r="U302" i="39"/>
  <c r="T335" i="38"/>
  <c r="U335" i="38"/>
  <c r="AA334" i="38"/>
  <c r="AB334" i="38" s="1"/>
  <c r="L321" i="28" s="1"/>
  <c r="Y303" i="37"/>
  <c r="V303" i="37"/>
  <c r="W303" i="37"/>
  <c r="Z303" i="37"/>
  <c r="P304" i="37"/>
  <c r="G303" i="37"/>
  <c r="B290" i="28" s="1"/>
  <c r="K304" i="37"/>
  <c r="M304" i="37"/>
  <c r="J304" i="37"/>
  <c r="J319" i="37"/>
  <c r="I302" i="39" l="1"/>
  <c r="H302" i="39" s="1"/>
  <c r="Z302" i="39" s="1"/>
  <c r="Y335" i="38"/>
  <c r="I335" i="38"/>
  <c r="H335" i="38" s="1"/>
  <c r="Z335" i="38" s="1"/>
  <c r="T304" i="37"/>
  <c r="U304" i="37"/>
  <c r="AA303" i="37"/>
  <c r="AB303" i="37" s="1"/>
  <c r="K290" i="28" s="1"/>
  <c r="Y302" i="39" l="1"/>
  <c r="X302" i="39"/>
  <c r="V302" i="39"/>
  <c r="W302" i="39"/>
  <c r="P303" i="39"/>
  <c r="M303" i="39"/>
  <c r="G302" i="39"/>
  <c r="J303" i="39"/>
  <c r="K303" i="39"/>
  <c r="W335" i="38"/>
  <c r="G335" i="38"/>
  <c r="C322" i="28" s="1"/>
  <c r="X335" i="38"/>
  <c r="V335" i="38"/>
  <c r="M336" i="38"/>
  <c r="K336" i="38"/>
  <c r="P336" i="38"/>
  <c r="I304" i="37"/>
  <c r="H304" i="37" s="1"/>
  <c r="X304" i="37" s="1"/>
  <c r="AA302" i="39" l="1"/>
  <c r="AB302" i="39" s="1"/>
  <c r="T303" i="39"/>
  <c r="W303" i="39" s="1"/>
  <c r="U303" i="39"/>
  <c r="I303" i="39" s="1"/>
  <c r="H303" i="39" s="1"/>
  <c r="AA335" i="38"/>
  <c r="AB335" i="38" s="1"/>
  <c r="L322" i="28" s="1"/>
  <c r="T336" i="38"/>
  <c r="U336" i="38"/>
  <c r="I336" i="38" s="1"/>
  <c r="H336" i="38" s="1"/>
  <c r="V336" i="38" s="1"/>
  <c r="Y304" i="37"/>
  <c r="V304" i="37"/>
  <c r="W304" i="37"/>
  <c r="Z304" i="37"/>
  <c r="M305" i="37"/>
  <c r="P305" i="37"/>
  <c r="K305" i="37"/>
  <c r="G304" i="37"/>
  <c r="B291" i="28" s="1"/>
  <c r="L305" i="37"/>
  <c r="J320" i="37"/>
  <c r="V303" i="39" l="1"/>
  <c r="Y303" i="39"/>
  <c r="J304" i="39"/>
  <c r="M304" i="39"/>
  <c r="K304" i="39"/>
  <c r="X303" i="39"/>
  <c r="G303" i="39"/>
  <c r="P304" i="39"/>
  <c r="Z303" i="39"/>
  <c r="W336" i="38"/>
  <c r="K337" i="38"/>
  <c r="L337" i="38"/>
  <c r="M337" i="38"/>
  <c r="P337" i="38"/>
  <c r="G336" i="38"/>
  <c r="C323" i="28" s="1"/>
  <c r="Z336" i="38"/>
  <c r="X336" i="38"/>
  <c r="Y336" i="38"/>
  <c r="T305" i="37"/>
  <c r="U305" i="37"/>
  <c r="AA304" i="37"/>
  <c r="AB304" i="37" s="1"/>
  <c r="K291" i="28" s="1"/>
  <c r="U304" i="39" l="1"/>
  <c r="AA303" i="39"/>
  <c r="AB303" i="39" s="1"/>
  <c r="T304" i="39"/>
  <c r="V304" i="39" s="1"/>
  <c r="U337" i="38"/>
  <c r="AA336" i="38"/>
  <c r="AB336" i="38" s="1"/>
  <c r="L323" i="28" s="1"/>
  <c r="T337" i="38"/>
  <c r="I305" i="37"/>
  <c r="H305" i="37" s="1"/>
  <c r="X305" i="37" s="1"/>
  <c r="I304" i="39" l="1"/>
  <c r="H304" i="39" s="1"/>
  <c r="X304" i="39" s="1"/>
  <c r="W304" i="39"/>
  <c r="Y304" i="39"/>
  <c r="I337" i="38"/>
  <c r="H337" i="38" s="1"/>
  <c r="X337" i="38" s="1"/>
  <c r="Y305" i="37"/>
  <c r="W305" i="37"/>
  <c r="V305" i="37"/>
  <c r="Z305" i="37"/>
  <c r="P306" i="37"/>
  <c r="M306" i="37"/>
  <c r="G305" i="37"/>
  <c r="B292" i="28" s="1"/>
  <c r="K306" i="37"/>
  <c r="K305" i="39" l="1"/>
  <c r="M305" i="39"/>
  <c r="P305" i="39"/>
  <c r="G304" i="39"/>
  <c r="L305" i="39"/>
  <c r="Z304" i="39"/>
  <c r="AA304" i="39" s="1"/>
  <c r="AB304" i="39" s="1"/>
  <c r="Y337" i="38"/>
  <c r="W337" i="38"/>
  <c r="G337" i="38"/>
  <c r="C324" i="28" s="1"/>
  <c r="V337" i="38"/>
  <c r="Z337" i="38"/>
  <c r="P338" i="38"/>
  <c r="M338" i="38"/>
  <c r="K338" i="38"/>
  <c r="T306" i="37"/>
  <c r="U306" i="37"/>
  <c r="AA305" i="37"/>
  <c r="AB305" i="37" s="1"/>
  <c r="K292" i="28" s="1"/>
  <c r="J321" i="37"/>
  <c r="U305" i="39" l="1"/>
  <c r="T305" i="39"/>
  <c r="I305" i="39" s="1"/>
  <c r="H305" i="39" s="1"/>
  <c r="Z305" i="39" s="1"/>
  <c r="U338" i="38"/>
  <c r="AA337" i="38"/>
  <c r="AB337" i="38" s="1"/>
  <c r="L324" i="28" s="1"/>
  <c r="T338" i="38"/>
  <c r="Y306" i="37"/>
  <c r="I306" i="37"/>
  <c r="H306" i="37" s="1"/>
  <c r="Y305" i="39" l="1"/>
  <c r="W305" i="39"/>
  <c r="V305" i="39"/>
  <c r="X305" i="39"/>
  <c r="P306" i="39"/>
  <c r="G305" i="39"/>
  <c r="K306" i="39"/>
  <c r="M306" i="39"/>
  <c r="Y338" i="38"/>
  <c r="I338" i="38"/>
  <c r="H338" i="38" s="1"/>
  <c r="W338" i="38" s="1"/>
  <c r="X306" i="37"/>
  <c r="W306" i="37"/>
  <c r="V306" i="37"/>
  <c r="Z306" i="37"/>
  <c r="K307" i="37"/>
  <c r="P307" i="37"/>
  <c r="M307" i="37"/>
  <c r="G306" i="37"/>
  <c r="B293" i="28" s="1"/>
  <c r="AA305" i="39" l="1"/>
  <c r="AB305" i="39" s="1"/>
  <c r="T306" i="39"/>
  <c r="U306" i="39"/>
  <c r="Z338" i="38"/>
  <c r="P339" i="38"/>
  <c r="V338" i="38"/>
  <c r="X338" i="38"/>
  <c r="M339" i="38"/>
  <c r="K339" i="38"/>
  <c r="G338" i="38"/>
  <c r="C325" i="28" s="1"/>
  <c r="T307" i="37"/>
  <c r="U307" i="37"/>
  <c r="AA306" i="37"/>
  <c r="AB306" i="37" s="1"/>
  <c r="K293" i="28" s="1"/>
  <c r="J322" i="37"/>
  <c r="Y306" i="39" l="1"/>
  <c r="I306" i="39"/>
  <c r="H306" i="39" s="1"/>
  <c r="Z306" i="39" s="1"/>
  <c r="AA338" i="38"/>
  <c r="AB338" i="38" s="1"/>
  <c r="L325" i="28" s="1"/>
  <c r="U339" i="38"/>
  <c r="T339" i="38"/>
  <c r="Y307" i="37"/>
  <c r="I307" i="37"/>
  <c r="H307" i="37" s="1"/>
  <c r="V307" i="37" s="1"/>
  <c r="V306" i="39" l="1"/>
  <c r="M307" i="39"/>
  <c r="P307" i="39"/>
  <c r="G306" i="39"/>
  <c r="K307" i="39"/>
  <c r="X306" i="39"/>
  <c r="W306" i="39"/>
  <c r="I339" i="38"/>
  <c r="H339" i="38" s="1"/>
  <c r="P340" i="38" s="1"/>
  <c r="Y339" i="38"/>
  <c r="X307" i="37"/>
  <c r="W307" i="37"/>
  <c r="Z307" i="37"/>
  <c r="K308" i="37"/>
  <c r="P308" i="37"/>
  <c r="M308" i="37"/>
  <c r="G307" i="37"/>
  <c r="B294" i="28" s="1"/>
  <c r="G339" i="38" l="1"/>
  <c r="C326" i="28" s="1"/>
  <c r="K340" i="38"/>
  <c r="M340" i="38"/>
  <c r="T340" i="38" s="1"/>
  <c r="X339" i="38"/>
  <c r="W339" i="38"/>
  <c r="V339" i="38"/>
  <c r="T307" i="39"/>
  <c r="U307" i="39"/>
  <c r="I307" i="39" s="1"/>
  <c r="H307" i="39" s="1"/>
  <c r="X307" i="39" s="1"/>
  <c r="AA306" i="39"/>
  <c r="AB306" i="39" s="1"/>
  <c r="Z339" i="38"/>
  <c r="T308" i="37"/>
  <c r="U308" i="37"/>
  <c r="AA307" i="37"/>
  <c r="AB307" i="37" s="1"/>
  <c r="K294" i="28" s="1"/>
  <c r="J323" i="37"/>
  <c r="U340" i="38" l="1"/>
  <c r="I340" i="38"/>
  <c r="H340" i="38" s="1"/>
  <c r="V340" i="38" s="1"/>
  <c r="AA339" i="38"/>
  <c r="AB339" i="38" s="1"/>
  <c r="L326" i="28" s="1"/>
  <c r="V307" i="39"/>
  <c r="G307" i="39"/>
  <c r="M308" i="39"/>
  <c r="P308" i="39"/>
  <c r="K308" i="39"/>
  <c r="W307" i="39"/>
  <c r="Y307" i="39"/>
  <c r="Z307" i="39"/>
  <c r="G340" i="38"/>
  <c r="C327" i="28" s="1"/>
  <c r="L341" i="38"/>
  <c r="Y340" i="38"/>
  <c r="Z340" i="38"/>
  <c r="K341" i="38"/>
  <c r="M341" i="38"/>
  <c r="P341" i="38"/>
  <c r="W340" i="38"/>
  <c r="I308" i="37"/>
  <c r="H308" i="37" s="1"/>
  <c r="X308" i="37" s="1"/>
  <c r="Y308" i="37"/>
  <c r="X340" i="38" l="1"/>
  <c r="T308" i="39"/>
  <c r="AA307" i="39"/>
  <c r="AB307" i="39" s="1"/>
  <c r="U308" i="39"/>
  <c r="AA340" i="38"/>
  <c r="AB340" i="38" s="1"/>
  <c r="L327" i="28" s="1"/>
  <c r="U341" i="38"/>
  <c r="T341" i="38"/>
  <c r="K309" i="37"/>
  <c r="L309" i="37"/>
  <c r="M309" i="37"/>
  <c r="P309" i="37"/>
  <c r="G308" i="37"/>
  <c r="B295" i="28" s="1"/>
  <c r="W308" i="37"/>
  <c r="V308" i="37"/>
  <c r="Z308" i="37"/>
  <c r="I308" i="39" l="1"/>
  <c r="H308" i="39" s="1"/>
  <c r="K309" i="39" s="1"/>
  <c r="Z308" i="39"/>
  <c r="V308" i="39"/>
  <c r="Y308" i="39"/>
  <c r="Y341" i="38"/>
  <c r="I341" i="38"/>
  <c r="H341" i="38" s="1"/>
  <c r="M342" i="38" s="1"/>
  <c r="T309" i="37"/>
  <c r="AA308" i="37"/>
  <c r="AB308" i="37" s="1"/>
  <c r="K295" i="28" s="1"/>
  <c r="U309" i="37"/>
  <c r="J324" i="37"/>
  <c r="W308" i="39" l="1"/>
  <c r="X308" i="39"/>
  <c r="P309" i="39"/>
  <c r="G308" i="39"/>
  <c r="L309" i="39"/>
  <c r="M309" i="39"/>
  <c r="T309" i="39" s="1"/>
  <c r="AA308" i="39"/>
  <c r="AB308" i="39" s="1"/>
  <c r="U309" i="39"/>
  <c r="K342" i="38"/>
  <c r="G341" i="38"/>
  <c r="C328" i="28" s="1"/>
  <c r="P342" i="38"/>
  <c r="V341" i="38"/>
  <c r="W341" i="38"/>
  <c r="Z341" i="38"/>
  <c r="X341" i="38"/>
  <c r="I309" i="37"/>
  <c r="H309" i="37" s="1"/>
  <c r="K310" i="37" s="1"/>
  <c r="U342" i="38" l="1"/>
  <c r="I309" i="39"/>
  <c r="H309" i="39" s="1"/>
  <c r="K310" i="39" s="1"/>
  <c r="T342" i="38"/>
  <c r="M310" i="39"/>
  <c r="P310" i="39"/>
  <c r="G309" i="39"/>
  <c r="X309" i="39"/>
  <c r="Y309" i="39"/>
  <c r="AA341" i="38"/>
  <c r="AB341" i="38" s="1"/>
  <c r="L328" i="28" s="1"/>
  <c r="Y342" i="38"/>
  <c r="I342" i="38"/>
  <c r="H342" i="38" s="1"/>
  <c r="Y309" i="37"/>
  <c r="G309" i="37"/>
  <c r="B296" i="28" s="1"/>
  <c r="M310" i="37"/>
  <c r="P310" i="37"/>
  <c r="X309" i="37"/>
  <c r="V309" i="37"/>
  <c r="W309" i="37"/>
  <c r="Z309" i="37"/>
  <c r="Z309" i="39" l="1"/>
  <c r="W309" i="39"/>
  <c r="V309" i="39"/>
  <c r="AA309" i="39"/>
  <c r="AB309" i="39" s="1"/>
  <c r="U310" i="39"/>
  <c r="T310" i="39"/>
  <c r="V342" i="38"/>
  <c r="K343" i="38"/>
  <c r="G342" i="38"/>
  <c r="C329" i="28" s="1"/>
  <c r="M343" i="38"/>
  <c r="P343" i="38"/>
  <c r="Z342" i="38"/>
  <c r="X342" i="38"/>
  <c r="W342" i="38"/>
  <c r="AA309" i="37"/>
  <c r="AB309" i="37" s="1"/>
  <c r="K296" i="28" s="1"/>
  <c r="T310" i="37"/>
  <c r="U310" i="37"/>
  <c r="J325" i="37"/>
  <c r="I310" i="39" l="1"/>
  <c r="H310" i="39" s="1"/>
  <c r="X310" i="39" s="1"/>
  <c r="W310" i="39"/>
  <c r="V310" i="39"/>
  <c r="T343" i="38"/>
  <c r="U343" i="38"/>
  <c r="AA342" i="38"/>
  <c r="AB342" i="38" s="1"/>
  <c r="L329" i="28" s="1"/>
  <c r="I310" i="37"/>
  <c r="H310" i="37" s="1"/>
  <c r="V310" i="37" s="1"/>
  <c r="Y310" i="39" l="1"/>
  <c r="P311" i="39"/>
  <c r="M311" i="39"/>
  <c r="J311" i="39"/>
  <c r="G310" i="39"/>
  <c r="K311" i="39"/>
  <c r="Z310" i="39"/>
  <c r="AA310" i="39" s="1"/>
  <c r="AB310" i="39" s="1"/>
  <c r="Y343" i="38"/>
  <c r="I343" i="38"/>
  <c r="H343" i="38" s="1"/>
  <c r="Y310" i="37"/>
  <c r="P311" i="37"/>
  <c r="W310" i="37"/>
  <c r="Z310" i="37"/>
  <c r="G310" i="37"/>
  <c r="B297" i="28" s="1"/>
  <c r="J311" i="37"/>
  <c r="M311" i="37"/>
  <c r="X310" i="37"/>
  <c r="K311" i="37"/>
  <c r="T311" i="39" l="1"/>
  <c r="V311" i="39" s="1"/>
  <c r="U311" i="39"/>
  <c r="I311" i="39" s="1"/>
  <c r="H311" i="39" s="1"/>
  <c r="M312" i="39" s="1"/>
  <c r="W343" i="38"/>
  <c r="G343" i="38"/>
  <c r="C330" i="28" s="1"/>
  <c r="K344" i="38"/>
  <c r="P344" i="38"/>
  <c r="M344" i="38"/>
  <c r="X343" i="38"/>
  <c r="V343" i="38"/>
  <c r="Z343" i="38"/>
  <c r="T311" i="37"/>
  <c r="AA310" i="37"/>
  <c r="AB310" i="37" s="1"/>
  <c r="K297" i="28" s="1"/>
  <c r="U311" i="37"/>
  <c r="J326" i="37"/>
  <c r="W311" i="39" l="1"/>
  <c r="Y311" i="39"/>
  <c r="Z311" i="39"/>
  <c r="K312" i="39"/>
  <c r="X311" i="39"/>
  <c r="G311" i="39"/>
  <c r="P312" i="39"/>
  <c r="T344" i="38"/>
  <c r="U344" i="38"/>
  <c r="AA343" i="38"/>
  <c r="AB343" i="38" s="1"/>
  <c r="L330" i="28" s="1"/>
  <c r="I311" i="37"/>
  <c r="H311" i="37" s="1"/>
  <c r="X311" i="37" s="1"/>
  <c r="AA311" i="39" l="1"/>
  <c r="AB311" i="39" s="1"/>
  <c r="U312" i="39"/>
  <c r="T312" i="39"/>
  <c r="V311" i="37"/>
  <c r="Z311" i="37"/>
  <c r="W311" i="37"/>
  <c r="I344" i="38"/>
  <c r="H344" i="38" s="1"/>
  <c r="X344" i="38" s="1"/>
  <c r="Y344" i="38"/>
  <c r="P312" i="37"/>
  <c r="Y311" i="37"/>
  <c r="K312" i="37"/>
  <c r="G311" i="37"/>
  <c r="B298" i="28" s="1"/>
  <c r="M312" i="37"/>
  <c r="I312" i="39" l="1"/>
  <c r="H312" i="39" s="1"/>
  <c r="V312" i="39" s="1"/>
  <c r="Y312" i="39"/>
  <c r="P345" i="38"/>
  <c r="AA311" i="37"/>
  <c r="AB311" i="37" s="1"/>
  <c r="K298" i="28" s="1"/>
  <c r="U312" i="37"/>
  <c r="Z344" i="38"/>
  <c r="M345" i="38"/>
  <c r="L345" i="38"/>
  <c r="G344" i="38"/>
  <c r="C331" i="28" s="1"/>
  <c r="K345" i="38"/>
  <c r="W344" i="38"/>
  <c r="V344" i="38"/>
  <c r="T312" i="37"/>
  <c r="J327" i="37"/>
  <c r="W312" i="39" l="1"/>
  <c r="X312" i="39"/>
  <c r="M313" i="39"/>
  <c r="P313" i="39"/>
  <c r="G312" i="39"/>
  <c r="Z312" i="39"/>
  <c r="L313" i="39"/>
  <c r="K313" i="39"/>
  <c r="Y312" i="37"/>
  <c r="U345" i="38"/>
  <c r="T345" i="38"/>
  <c r="AA344" i="38"/>
  <c r="AB344" i="38" s="1"/>
  <c r="L331" i="28" s="1"/>
  <c r="W312" i="37"/>
  <c r="V312" i="37"/>
  <c r="I312" i="37"/>
  <c r="H312" i="37" s="1"/>
  <c r="X312" i="37" s="1"/>
  <c r="T313" i="39" l="1"/>
  <c r="AA312" i="39"/>
  <c r="AB312" i="39" s="1"/>
  <c r="U313" i="39"/>
  <c r="Y345" i="38"/>
  <c r="M313" i="37"/>
  <c r="Z312" i="37"/>
  <c r="AA312" i="37" s="1"/>
  <c r="AB312" i="37" s="1"/>
  <c r="K299" i="28" s="1"/>
  <c r="K313" i="37"/>
  <c r="P313" i="37"/>
  <c r="I345" i="38"/>
  <c r="H345" i="38" s="1"/>
  <c r="X345" i="38" s="1"/>
  <c r="G312" i="37"/>
  <c r="B299" i="28" s="1"/>
  <c r="L313" i="37"/>
  <c r="I313" i="39" l="1"/>
  <c r="H313" i="39" s="1"/>
  <c r="P314" i="39" s="1"/>
  <c r="Y313" i="39"/>
  <c r="V313" i="39"/>
  <c r="M314" i="39"/>
  <c r="Z313" i="39"/>
  <c r="W313" i="39"/>
  <c r="G313" i="39"/>
  <c r="T313" i="37"/>
  <c r="V345" i="38"/>
  <c r="W345" i="38"/>
  <c r="Z345" i="38"/>
  <c r="P346" i="38"/>
  <c r="G345" i="38"/>
  <c r="C332" i="28" s="1"/>
  <c r="M346" i="38"/>
  <c r="K346" i="38"/>
  <c r="U313" i="37"/>
  <c r="X313" i="39" l="1"/>
  <c r="K314" i="39"/>
  <c r="U314" i="39" s="1"/>
  <c r="AA313" i="39"/>
  <c r="AB313" i="39" s="1"/>
  <c r="Y313" i="37"/>
  <c r="AA345" i="38"/>
  <c r="AB345" i="38" s="1"/>
  <c r="L332" i="28" s="1"/>
  <c r="U346" i="38"/>
  <c r="I313" i="37"/>
  <c r="H313" i="37" s="1"/>
  <c r="X313" i="37" s="1"/>
  <c r="T346" i="38"/>
  <c r="J328" i="37"/>
  <c r="T314" i="39" l="1"/>
  <c r="I314" i="39" s="1"/>
  <c r="H314" i="39" s="1"/>
  <c r="Y314" i="39"/>
  <c r="P314" i="37"/>
  <c r="Y346" i="38"/>
  <c r="V313" i="37"/>
  <c r="K314" i="37"/>
  <c r="M314" i="37"/>
  <c r="G313" i="37"/>
  <c r="B300" i="28" s="1"/>
  <c r="Z313" i="37"/>
  <c r="W313" i="37"/>
  <c r="I346" i="38"/>
  <c r="H346" i="38" s="1"/>
  <c r="W346" i="38" s="1"/>
  <c r="Z314" i="39" l="1"/>
  <c r="V314" i="39"/>
  <c r="W314" i="39"/>
  <c r="P315" i="39"/>
  <c r="G314" i="39"/>
  <c r="M315" i="39"/>
  <c r="X314" i="39"/>
  <c r="AA314" i="39" s="1"/>
  <c r="AB314" i="39" s="1"/>
  <c r="K315" i="39"/>
  <c r="T315" i="39" s="1"/>
  <c r="U314" i="37"/>
  <c r="AA313" i="37"/>
  <c r="AB313" i="37" s="1"/>
  <c r="K300" i="28" s="1"/>
  <c r="T314" i="37"/>
  <c r="V346" i="38"/>
  <c r="X346" i="38"/>
  <c r="K347" i="38"/>
  <c r="P347" i="38"/>
  <c r="M347" i="38"/>
  <c r="G346" i="38"/>
  <c r="C333" i="28" s="1"/>
  <c r="Z346" i="38"/>
  <c r="J329" i="37"/>
  <c r="U315" i="39" l="1"/>
  <c r="I315" i="39" s="1"/>
  <c r="H315" i="39" s="1"/>
  <c r="Z315" i="39" s="1"/>
  <c r="I314" i="37"/>
  <c r="H314" i="37" s="1"/>
  <c r="X314" i="37" s="1"/>
  <c r="Y314" i="37"/>
  <c r="AA346" i="38"/>
  <c r="AB346" i="38" s="1"/>
  <c r="L333" i="28" s="1"/>
  <c r="T347" i="38"/>
  <c r="U347" i="38"/>
  <c r="Y315" i="39" l="1"/>
  <c r="V315" i="39"/>
  <c r="W314" i="37"/>
  <c r="V314" i="37"/>
  <c r="Z314" i="37"/>
  <c r="X315" i="39"/>
  <c r="P316" i="39"/>
  <c r="K316" i="39"/>
  <c r="G315" i="39"/>
  <c r="M316" i="39"/>
  <c r="W315" i="39"/>
  <c r="G314" i="37"/>
  <c r="B301" i="28" s="1"/>
  <c r="K315" i="37"/>
  <c r="P315" i="37"/>
  <c r="M315" i="37"/>
  <c r="Y347" i="38"/>
  <c r="I347" i="38"/>
  <c r="H347" i="38" s="1"/>
  <c r="AA314" i="37" l="1"/>
  <c r="AB314" i="37" s="1"/>
  <c r="K301" i="28" s="1"/>
  <c r="AA315" i="39"/>
  <c r="AB315" i="39" s="1"/>
  <c r="U316" i="39"/>
  <c r="T316" i="39"/>
  <c r="T315" i="37"/>
  <c r="U315" i="37"/>
  <c r="M348" i="38"/>
  <c r="P348" i="38"/>
  <c r="Z347" i="38"/>
  <c r="K348" i="38"/>
  <c r="X347" i="38"/>
  <c r="W347" i="38"/>
  <c r="V347" i="38"/>
  <c r="G347" i="38"/>
  <c r="C334" i="28" s="1"/>
  <c r="I316" i="39" l="1"/>
  <c r="H316" i="39" s="1"/>
  <c r="K317" i="39" s="1"/>
  <c r="I315" i="37"/>
  <c r="H315" i="37" s="1"/>
  <c r="X315" i="37" s="1"/>
  <c r="Y315" i="37"/>
  <c r="AA347" i="38"/>
  <c r="AB347" i="38" s="1"/>
  <c r="L334" i="28" s="1"/>
  <c r="U348" i="38"/>
  <c r="T348" i="38"/>
  <c r="J330" i="37"/>
  <c r="V315" i="37" l="1"/>
  <c r="M316" i="37"/>
  <c r="G315" i="37"/>
  <c r="B302" i="28" s="1"/>
  <c r="Z315" i="37"/>
  <c r="W315" i="37"/>
  <c r="AA315" i="37" s="1"/>
  <c r="AB315" i="37" s="1"/>
  <c r="K302" i="28" s="1"/>
  <c r="K316" i="37"/>
  <c r="P316" i="37"/>
  <c r="L317" i="39"/>
  <c r="G316" i="39"/>
  <c r="V316" i="39"/>
  <c r="Y316" i="39"/>
  <c r="W316" i="39"/>
  <c r="P317" i="39"/>
  <c r="M317" i="39"/>
  <c r="X316" i="39"/>
  <c r="Z316" i="39"/>
  <c r="Y348" i="38"/>
  <c r="I348" i="38"/>
  <c r="H348" i="38" s="1"/>
  <c r="U316" i="37" l="1"/>
  <c r="T316" i="37"/>
  <c r="U317" i="39"/>
  <c r="T317" i="39"/>
  <c r="AA316" i="39"/>
  <c r="AB316" i="39" s="1"/>
  <c r="I316" i="37"/>
  <c r="H316" i="37" s="1"/>
  <c r="X316" i="37" s="1"/>
  <c r="Z348" i="38"/>
  <c r="G348" i="38"/>
  <c r="C335" i="28" s="1"/>
  <c r="X348" i="38"/>
  <c r="M349" i="38"/>
  <c r="K349" i="38"/>
  <c r="L349" i="38"/>
  <c r="W348" i="38"/>
  <c r="V348" i="38"/>
  <c r="P349" i="38"/>
  <c r="Y316" i="37"/>
  <c r="I317" i="39" l="1"/>
  <c r="H317" i="39" s="1"/>
  <c r="Y317" i="39" s="1"/>
  <c r="W316" i="37"/>
  <c r="G316" i="37"/>
  <c r="B303" i="28" s="1"/>
  <c r="K317" i="37"/>
  <c r="V316" i="37"/>
  <c r="L317" i="37"/>
  <c r="Z316" i="37"/>
  <c r="P317" i="37"/>
  <c r="M317" i="37"/>
  <c r="U349" i="38"/>
  <c r="AA348" i="38"/>
  <c r="AB348" i="38" s="1"/>
  <c r="L335" i="28" s="1"/>
  <c r="T349" i="38"/>
  <c r="J331" i="37"/>
  <c r="X317" i="39" l="1"/>
  <c r="K318" i="39"/>
  <c r="Z317" i="39"/>
  <c r="P318" i="39"/>
  <c r="W317" i="39"/>
  <c r="G317" i="39"/>
  <c r="V317" i="39"/>
  <c r="M318" i="39"/>
  <c r="T317" i="37"/>
  <c r="AA316" i="37"/>
  <c r="AB316" i="37" s="1"/>
  <c r="K303" i="28" s="1"/>
  <c r="U317" i="37"/>
  <c r="Y349" i="38"/>
  <c r="I349" i="38"/>
  <c r="H349" i="38" s="1"/>
  <c r="T318" i="39" l="1"/>
  <c r="AA317" i="39"/>
  <c r="AB317" i="39" s="1"/>
  <c r="U318" i="39"/>
  <c r="I317" i="37"/>
  <c r="H317" i="37" s="1"/>
  <c r="X317" i="37" s="1"/>
  <c r="K350" i="38"/>
  <c r="M350" i="38"/>
  <c r="X349" i="38"/>
  <c r="P350" i="38"/>
  <c r="G349" i="38"/>
  <c r="C336" i="28" s="1"/>
  <c r="V349" i="38"/>
  <c r="W349" i="38"/>
  <c r="Z349" i="38"/>
  <c r="Y318" i="39" l="1"/>
  <c r="I318" i="39"/>
  <c r="H318" i="39" s="1"/>
  <c r="W318" i="39" s="1"/>
  <c r="Y317" i="37"/>
  <c r="M318" i="37"/>
  <c r="W317" i="37"/>
  <c r="G317" i="37"/>
  <c r="B304" i="28" s="1"/>
  <c r="K318" i="37"/>
  <c r="P318" i="37"/>
  <c r="V317" i="37"/>
  <c r="Z317" i="37"/>
  <c r="AA349" i="38"/>
  <c r="AB349" i="38" s="1"/>
  <c r="L336" i="28" s="1"/>
  <c r="U350" i="38"/>
  <c r="T350" i="38"/>
  <c r="G318" i="39" l="1"/>
  <c r="X318" i="39"/>
  <c r="P319" i="39"/>
  <c r="V318" i="39"/>
  <c r="K319" i="39"/>
  <c r="Z318" i="39"/>
  <c r="M319" i="39"/>
  <c r="T318" i="37"/>
  <c r="U318" i="37"/>
  <c r="AA317" i="37"/>
  <c r="AB317" i="37" s="1"/>
  <c r="K304" i="28" s="1"/>
  <c r="Y350" i="38"/>
  <c r="I350" i="38"/>
  <c r="H350" i="38" s="1"/>
  <c r="W350" i="38" s="1"/>
  <c r="J332" i="37"/>
  <c r="T319" i="39" l="1"/>
  <c r="AA318" i="39"/>
  <c r="AB318" i="39" s="1"/>
  <c r="U319" i="39"/>
  <c r="I318" i="37"/>
  <c r="H318" i="37" s="1"/>
  <c r="X318" i="37" s="1"/>
  <c r="Y318" i="37"/>
  <c r="V350" i="38"/>
  <c r="M351" i="38"/>
  <c r="P351" i="38"/>
  <c r="K351" i="38"/>
  <c r="X350" i="38"/>
  <c r="G350" i="38"/>
  <c r="C337" i="28" s="1"/>
  <c r="Z350" i="38"/>
  <c r="Y319" i="39" l="1"/>
  <c r="I319" i="39"/>
  <c r="H319" i="39" s="1"/>
  <c r="W319" i="39" s="1"/>
  <c r="V318" i="37"/>
  <c r="P319" i="37"/>
  <c r="M319" i="37"/>
  <c r="K319" i="37"/>
  <c r="T319" i="37" s="1"/>
  <c r="W318" i="37"/>
  <c r="Z318" i="37"/>
  <c r="G318" i="37"/>
  <c r="B305" i="28" s="1"/>
  <c r="AA350" i="38"/>
  <c r="AB350" i="38" s="1"/>
  <c r="L337" i="28" s="1"/>
  <c r="T351" i="38"/>
  <c r="U351" i="38"/>
  <c r="AA318" i="37" l="1"/>
  <c r="AB318" i="37" s="1"/>
  <c r="K305" i="28" s="1"/>
  <c r="U319" i="37"/>
  <c r="Z319" i="39"/>
  <c r="K320" i="39"/>
  <c r="M320" i="39"/>
  <c r="V319" i="39"/>
  <c r="X319" i="39"/>
  <c r="P320" i="39"/>
  <c r="G319" i="39"/>
  <c r="Y351" i="38"/>
  <c r="I351" i="38"/>
  <c r="H351" i="38" s="1"/>
  <c r="I319" i="37"/>
  <c r="H319" i="37" s="1"/>
  <c r="P320" i="37" s="1"/>
  <c r="Y319" i="37"/>
  <c r="AA319" i="39" l="1"/>
  <c r="AB319" i="39" s="1"/>
  <c r="U320" i="39"/>
  <c r="T320" i="39"/>
  <c r="W320" i="39" s="1"/>
  <c r="X351" i="38"/>
  <c r="M352" i="38"/>
  <c r="P352" i="38"/>
  <c r="K352" i="38"/>
  <c r="G351" i="38"/>
  <c r="C338" i="28" s="1"/>
  <c r="V351" i="38"/>
  <c r="W351" i="38"/>
  <c r="Z351" i="38"/>
  <c r="G319" i="37"/>
  <c r="B306" i="28" s="1"/>
  <c r="V319" i="37"/>
  <c r="M320" i="37"/>
  <c r="K320" i="37"/>
  <c r="Z319" i="37"/>
  <c r="X319" i="37"/>
  <c r="W319" i="37"/>
  <c r="J333" i="37"/>
  <c r="V320" i="39" l="1"/>
  <c r="I320" i="39"/>
  <c r="H320" i="39" s="1"/>
  <c r="Y320" i="39" s="1"/>
  <c r="T352" i="38"/>
  <c r="AA351" i="38"/>
  <c r="AB351" i="38" s="1"/>
  <c r="L338" i="28" s="1"/>
  <c r="U352" i="38"/>
  <c r="AA319" i="37"/>
  <c r="AB319" i="37" s="1"/>
  <c r="K306" i="28" s="1"/>
  <c r="U320" i="37"/>
  <c r="T320" i="37"/>
  <c r="W320" i="37" s="1"/>
  <c r="G320" i="39" l="1"/>
  <c r="M321" i="39"/>
  <c r="P321" i="39"/>
  <c r="Z320" i="39"/>
  <c r="X320" i="39"/>
  <c r="K321" i="39"/>
  <c r="L321" i="39"/>
  <c r="Y352" i="38"/>
  <c r="I352" i="38"/>
  <c r="H352" i="38" s="1"/>
  <c r="V320" i="37"/>
  <c r="I320" i="37"/>
  <c r="H320" i="37" s="1"/>
  <c r="X320" i="37" s="1"/>
  <c r="AA320" i="39" l="1"/>
  <c r="AB320" i="39" s="1"/>
  <c r="T321" i="39"/>
  <c r="U321" i="39"/>
  <c r="Y320" i="37"/>
  <c r="Z320" i="37"/>
  <c r="M321" i="37"/>
  <c r="K321" i="37"/>
  <c r="P321" i="37"/>
  <c r="L321" i="37"/>
  <c r="X352" i="38"/>
  <c r="L353" i="38"/>
  <c r="G352" i="38"/>
  <c r="C339" i="28" s="1"/>
  <c r="P353" i="38"/>
  <c r="K353" i="38"/>
  <c r="M353" i="38"/>
  <c r="W352" i="38"/>
  <c r="V352" i="38"/>
  <c r="Z352" i="38"/>
  <c r="G320" i="37"/>
  <c r="B307" i="28" s="1"/>
  <c r="AA320" i="37" l="1"/>
  <c r="AB320" i="37" s="1"/>
  <c r="K307" i="28" s="1"/>
  <c r="I321" i="39"/>
  <c r="H321" i="39" s="1"/>
  <c r="Y321" i="39" s="1"/>
  <c r="U321" i="37"/>
  <c r="T321" i="37"/>
  <c r="T353" i="38"/>
  <c r="U353" i="38"/>
  <c r="AA352" i="38"/>
  <c r="AB352" i="38" s="1"/>
  <c r="L339" i="28" s="1"/>
  <c r="J334" i="37"/>
  <c r="Z321" i="39" l="1"/>
  <c r="K322" i="39"/>
  <c r="G321" i="39"/>
  <c r="W321" i="39"/>
  <c r="X321" i="39"/>
  <c r="V321" i="39"/>
  <c r="M322" i="39"/>
  <c r="P322" i="39"/>
  <c r="I321" i="37"/>
  <c r="H321" i="37" s="1"/>
  <c r="W321" i="37" s="1"/>
  <c r="I353" i="38"/>
  <c r="H353" i="38" s="1"/>
  <c r="X353" i="38" s="1"/>
  <c r="V321" i="37"/>
  <c r="Y353" i="38"/>
  <c r="K322" i="37"/>
  <c r="P322" i="37"/>
  <c r="Y321" i="37"/>
  <c r="U322" i="39" l="1"/>
  <c r="AA321" i="39"/>
  <c r="AB321" i="39" s="1"/>
  <c r="T322" i="39"/>
  <c r="G321" i="37"/>
  <c r="B308" i="28" s="1"/>
  <c r="Z321" i="37"/>
  <c r="X321" i="37"/>
  <c r="V353" i="38"/>
  <c r="W353" i="38"/>
  <c r="G353" i="38"/>
  <c r="C340" i="28" s="1"/>
  <c r="Z353" i="38"/>
  <c r="M354" i="38"/>
  <c r="K354" i="38"/>
  <c r="M322" i="37"/>
  <c r="T322" i="37" s="1"/>
  <c r="P354" i="38"/>
  <c r="AA321" i="37" l="1"/>
  <c r="AB321" i="37" s="1"/>
  <c r="K308" i="28" s="1"/>
  <c r="I322" i="39"/>
  <c r="H322" i="39" s="1"/>
  <c r="Y322" i="39" s="1"/>
  <c r="T354" i="38"/>
  <c r="W354" i="38" s="1"/>
  <c r="AA353" i="38"/>
  <c r="AB353" i="38" s="1"/>
  <c r="L340" i="28" s="1"/>
  <c r="U322" i="37"/>
  <c r="U354" i="38"/>
  <c r="I354" i="38" s="1"/>
  <c r="H354" i="38" s="1"/>
  <c r="X354" i="38" s="1"/>
  <c r="V354" i="38"/>
  <c r="J335" i="37"/>
  <c r="X322" i="39" l="1"/>
  <c r="Z322" i="39"/>
  <c r="P323" i="39"/>
  <c r="M323" i="39"/>
  <c r="K323" i="39"/>
  <c r="W322" i="39"/>
  <c r="G322" i="39"/>
  <c r="V322" i="39"/>
  <c r="I322" i="37"/>
  <c r="H322" i="37" s="1"/>
  <c r="X322" i="37" s="1"/>
  <c r="Y354" i="38"/>
  <c r="Z354" i="38"/>
  <c r="P355" i="38"/>
  <c r="G354" i="38"/>
  <c r="C341" i="28" s="1"/>
  <c r="M355" i="38"/>
  <c r="K355" i="38"/>
  <c r="T323" i="39" l="1"/>
  <c r="U323" i="39"/>
  <c r="AA322" i="39"/>
  <c r="AB322" i="39" s="1"/>
  <c r="Y322" i="37"/>
  <c r="W322" i="37"/>
  <c r="G322" i="37"/>
  <c r="B309" i="28" s="1"/>
  <c r="K323" i="37"/>
  <c r="U323" i="37" s="1"/>
  <c r="V322" i="37"/>
  <c r="P323" i="37"/>
  <c r="Z322" i="37"/>
  <c r="M323" i="37"/>
  <c r="AA354" i="38"/>
  <c r="AB354" i="38" s="1"/>
  <c r="L341" i="28" s="1"/>
  <c r="T355" i="38"/>
  <c r="U355" i="38"/>
  <c r="J336" i="37"/>
  <c r="T323" i="37" l="1"/>
  <c r="I323" i="39"/>
  <c r="H323" i="39" s="1"/>
  <c r="P324" i="39" s="1"/>
  <c r="Y323" i="39"/>
  <c r="AA322" i="37"/>
  <c r="AB322" i="37" s="1"/>
  <c r="K309" i="28" s="1"/>
  <c r="I323" i="37"/>
  <c r="H323" i="37" s="1"/>
  <c r="X323" i="37" s="1"/>
  <c r="Y355" i="38"/>
  <c r="Y323" i="37"/>
  <c r="I355" i="38"/>
  <c r="H355" i="38" s="1"/>
  <c r="P356" i="38" s="1"/>
  <c r="W323" i="39" l="1"/>
  <c r="K324" i="39"/>
  <c r="V323" i="39"/>
  <c r="M324" i="39"/>
  <c r="G323" i="39"/>
  <c r="Z323" i="39"/>
  <c r="X323" i="39"/>
  <c r="P324" i="37"/>
  <c r="V323" i="37"/>
  <c r="M324" i="37"/>
  <c r="Z323" i="37"/>
  <c r="W323" i="37"/>
  <c r="G323" i="37"/>
  <c r="B310" i="28" s="1"/>
  <c r="K324" i="37"/>
  <c r="V355" i="38"/>
  <c r="W355" i="38"/>
  <c r="Z355" i="38"/>
  <c r="K356" i="38"/>
  <c r="G355" i="38"/>
  <c r="C342" i="28" s="1"/>
  <c r="X355" i="38"/>
  <c r="M356" i="38"/>
  <c r="J337" i="37"/>
  <c r="U324" i="39" l="1"/>
  <c r="AA323" i="39"/>
  <c r="AB323" i="39" s="1"/>
  <c r="T324" i="39"/>
  <c r="W324" i="39" s="1"/>
  <c r="AA323" i="37"/>
  <c r="AB323" i="37" s="1"/>
  <c r="K310" i="28" s="1"/>
  <c r="T324" i="37"/>
  <c r="V324" i="37" s="1"/>
  <c r="U324" i="37"/>
  <c r="Y324" i="37" s="1"/>
  <c r="U356" i="38"/>
  <c r="AA355" i="38"/>
  <c r="AB355" i="38" s="1"/>
  <c r="L342" i="28" s="1"/>
  <c r="T356" i="38"/>
  <c r="W324" i="37" l="1"/>
  <c r="I324" i="37"/>
  <c r="H324" i="37" s="1"/>
  <c r="X324" i="37" s="1"/>
  <c r="Y324" i="39"/>
  <c r="V324" i="39"/>
  <c r="I324" i="39"/>
  <c r="H324" i="39" s="1"/>
  <c r="Z324" i="39" s="1"/>
  <c r="Y356" i="38"/>
  <c r="I356" i="38"/>
  <c r="H356" i="38" s="1"/>
  <c r="V356" i="38" s="1"/>
  <c r="J338" i="37"/>
  <c r="K325" i="37" l="1"/>
  <c r="M325" i="37"/>
  <c r="Z324" i="37"/>
  <c r="AA324" i="37" s="1"/>
  <c r="AB324" i="37" s="1"/>
  <c r="K311" i="28" s="1"/>
  <c r="G324" i="37"/>
  <c r="B311" i="28" s="1"/>
  <c r="P325" i="37"/>
  <c r="L325" i="37"/>
  <c r="U325" i="37" s="1"/>
  <c r="G324" i="39"/>
  <c r="K325" i="39"/>
  <c r="X324" i="39"/>
  <c r="AA324" i="39" s="1"/>
  <c r="AB324" i="39" s="1"/>
  <c r="M325" i="39"/>
  <c r="L325" i="39"/>
  <c r="P325" i="39"/>
  <c r="G356" i="38"/>
  <c r="C343" i="28" s="1"/>
  <c r="M357" i="38"/>
  <c r="P357" i="38"/>
  <c r="X356" i="38"/>
  <c r="L357" i="38"/>
  <c r="K357" i="38"/>
  <c r="Z356" i="38"/>
  <c r="W356" i="38"/>
  <c r="T325" i="37" l="1"/>
  <c r="U357" i="38"/>
  <c r="U325" i="39"/>
  <c r="T325" i="39"/>
  <c r="AA356" i="38"/>
  <c r="AB356" i="38" s="1"/>
  <c r="L343" i="28" s="1"/>
  <c r="T357" i="38"/>
  <c r="Y357" i="38" s="1"/>
  <c r="I325" i="37"/>
  <c r="H325" i="37" s="1"/>
  <c r="K326" i="37" s="1"/>
  <c r="Y325" i="37"/>
  <c r="I325" i="39" l="1"/>
  <c r="H325" i="39" s="1"/>
  <c r="W325" i="39" s="1"/>
  <c r="Y325" i="39"/>
  <c r="I357" i="38"/>
  <c r="H357" i="38" s="1"/>
  <c r="V357" i="38" s="1"/>
  <c r="Z357" i="38"/>
  <c r="G357" i="38"/>
  <c r="C344" i="28" s="1"/>
  <c r="K358" i="38"/>
  <c r="V325" i="37"/>
  <c r="X325" i="37"/>
  <c r="Z325" i="37"/>
  <c r="G325" i="37"/>
  <c r="B312" i="28" s="1"/>
  <c r="M326" i="37"/>
  <c r="P326" i="37"/>
  <c r="W325" i="37"/>
  <c r="J339" i="37"/>
  <c r="M326" i="39" l="1"/>
  <c r="V325" i="39"/>
  <c r="G325" i="39"/>
  <c r="P326" i="39"/>
  <c r="Z325" i="39"/>
  <c r="X325" i="39"/>
  <c r="K326" i="39"/>
  <c r="P358" i="38"/>
  <c r="W357" i="38"/>
  <c r="X357" i="38"/>
  <c r="AA357" i="38" s="1"/>
  <c r="AB357" i="38" s="1"/>
  <c r="L344" i="28" s="1"/>
  <c r="M358" i="38"/>
  <c r="T326" i="37"/>
  <c r="W326" i="37" s="1"/>
  <c r="AA325" i="37"/>
  <c r="AB325" i="37" s="1"/>
  <c r="K312" i="28" s="1"/>
  <c r="U326" i="37"/>
  <c r="U358" i="38" l="1"/>
  <c r="U326" i="39"/>
  <c r="AA325" i="39"/>
  <c r="AB325" i="39" s="1"/>
  <c r="T326" i="39"/>
  <c r="V326" i="39" s="1"/>
  <c r="T358" i="38"/>
  <c r="I358" i="38" s="1"/>
  <c r="H358" i="38" s="1"/>
  <c r="W358" i="38" s="1"/>
  <c r="I326" i="37"/>
  <c r="H326" i="37" s="1"/>
  <c r="X326" i="37" s="1"/>
  <c r="V326" i="37"/>
  <c r="Y326" i="37"/>
  <c r="Y326" i="39" l="1"/>
  <c r="I326" i="39"/>
  <c r="H326" i="39" s="1"/>
  <c r="K327" i="39" s="1"/>
  <c r="W326" i="39"/>
  <c r="Y358" i="38"/>
  <c r="Z358" i="38"/>
  <c r="V358" i="38"/>
  <c r="G358" i="38"/>
  <c r="C345" i="28" s="1"/>
  <c r="K359" i="38"/>
  <c r="P359" i="38"/>
  <c r="M359" i="38"/>
  <c r="X358" i="38"/>
  <c r="M327" i="37"/>
  <c r="K327" i="37"/>
  <c r="P327" i="37"/>
  <c r="G326" i="37"/>
  <c r="B313" i="28" s="1"/>
  <c r="Z326" i="37"/>
  <c r="AA326" i="37" s="1"/>
  <c r="AB326" i="37" s="1"/>
  <c r="K313" i="28" s="1"/>
  <c r="J340" i="37"/>
  <c r="P327" i="39" l="1"/>
  <c r="X326" i="39"/>
  <c r="G326" i="39"/>
  <c r="Z326" i="39"/>
  <c r="M327" i="39"/>
  <c r="U359" i="38"/>
  <c r="AA358" i="38"/>
  <c r="AB358" i="38" s="1"/>
  <c r="L345" i="28" s="1"/>
  <c r="T359" i="38"/>
  <c r="V359" i="38" s="1"/>
  <c r="T327" i="37"/>
  <c r="U327" i="37"/>
  <c r="Y327" i="37" s="1"/>
  <c r="U327" i="39" l="1"/>
  <c r="AA326" i="39"/>
  <c r="AB326" i="39" s="1"/>
  <c r="T327" i="39"/>
  <c r="Y359" i="38"/>
  <c r="I359" i="38"/>
  <c r="H359" i="38" s="1"/>
  <c r="Z359" i="38" s="1"/>
  <c r="W359" i="38"/>
  <c r="I327" i="37"/>
  <c r="H327" i="37" s="1"/>
  <c r="Z327" i="37" s="1"/>
  <c r="Y327" i="39" l="1"/>
  <c r="I327" i="39"/>
  <c r="H327" i="39" s="1"/>
  <c r="P328" i="39" s="1"/>
  <c r="M360" i="38"/>
  <c r="G359" i="38"/>
  <c r="C346" i="28" s="1"/>
  <c r="X359" i="38"/>
  <c r="AA359" i="38" s="1"/>
  <c r="AB359" i="38" s="1"/>
  <c r="L346" i="28" s="1"/>
  <c r="K360" i="38"/>
  <c r="P328" i="37"/>
  <c r="K328" i="37"/>
  <c r="W327" i="37"/>
  <c r="P360" i="38"/>
  <c r="G327" i="37"/>
  <c r="B314" i="28" s="1"/>
  <c r="X327" i="37"/>
  <c r="V327" i="37"/>
  <c r="M328" i="37"/>
  <c r="J341" i="37"/>
  <c r="V327" i="39" l="1"/>
  <c r="Z327" i="39"/>
  <c r="X327" i="39"/>
  <c r="M328" i="39"/>
  <c r="K328" i="39"/>
  <c r="G327" i="39"/>
  <c r="W327" i="39"/>
  <c r="T360" i="38"/>
  <c r="U328" i="37"/>
  <c r="T328" i="37"/>
  <c r="U360" i="38"/>
  <c r="AA327" i="37"/>
  <c r="AB327" i="37" s="1"/>
  <c r="K314" i="28" s="1"/>
  <c r="AA327" i="39" l="1"/>
  <c r="AB327" i="39" s="1"/>
  <c r="U328" i="39"/>
  <c r="T328" i="39"/>
  <c r="Y360" i="38"/>
  <c r="Y328" i="37"/>
  <c r="I360" i="38"/>
  <c r="H360" i="38" s="1"/>
  <c r="G360" i="38" s="1"/>
  <c r="C347" i="28" s="1"/>
  <c r="I328" i="37"/>
  <c r="H328" i="37" s="1"/>
  <c r="V328" i="37" s="1"/>
  <c r="I328" i="39" l="1"/>
  <c r="H328" i="39" s="1"/>
  <c r="Y328" i="39"/>
  <c r="X328" i="37"/>
  <c r="G328" i="37"/>
  <c r="B315" i="28" s="1"/>
  <c r="P329" i="37"/>
  <c r="M361" i="38"/>
  <c r="K361" i="38"/>
  <c r="M329" i="37"/>
  <c r="Z360" i="38"/>
  <c r="W328" i="37"/>
  <c r="W360" i="38"/>
  <c r="P361" i="38"/>
  <c r="X360" i="38"/>
  <c r="V360" i="38"/>
  <c r="L361" i="38"/>
  <c r="K329" i="37"/>
  <c r="L329" i="37"/>
  <c r="Z328" i="37"/>
  <c r="J342" i="37"/>
  <c r="M329" i="39" l="1"/>
  <c r="G328" i="39"/>
  <c r="V328" i="39"/>
  <c r="P329" i="39"/>
  <c r="L329" i="39"/>
  <c r="Z328" i="39"/>
  <c r="W328" i="39"/>
  <c r="X328" i="39"/>
  <c r="K329" i="39"/>
  <c r="AA328" i="37"/>
  <c r="AB328" i="37" s="1"/>
  <c r="K315" i="28" s="1"/>
  <c r="U329" i="37"/>
  <c r="AA360" i="38"/>
  <c r="AB360" i="38" s="1"/>
  <c r="L347" i="28" s="1"/>
  <c r="T361" i="38"/>
  <c r="U361" i="38"/>
  <c r="T329" i="37"/>
  <c r="AA328" i="39" l="1"/>
  <c r="AB328" i="39" s="1"/>
  <c r="T329" i="39"/>
  <c r="U329" i="39"/>
  <c r="I329" i="37"/>
  <c r="H329" i="37" s="1"/>
  <c r="Z329" i="37" s="1"/>
  <c r="Y361" i="38"/>
  <c r="Y329" i="37"/>
  <c r="I361" i="38"/>
  <c r="H361" i="38" s="1"/>
  <c r="P362" i="38" s="1"/>
  <c r="P330" i="37"/>
  <c r="J343" i="37"/>
  <c r="G329" i="37" l="1"/>
  <c r="B316" i="28" s="1"/>
  <c r="W329" i="37"/>
  <c r="X329" i="37"/>
  <c r="V329" i="37"/>
  <c r="K330" i="37"/>
  <c r="Y329" i="39"/>
  <c r="I329" i="39"/>
  <c r="H329" i="39" s="1"/>
  <c r="M330" i="37"/>
  <c r="T330" i="37" s="1"/>
  <c r="G361" i="38"/>
  <c r="C348" i="28" s="1"/>
  <c r="V361" i="38"/>
  <c r="X361" i="38"/>
  <c r="Z361" i="38"/>
  <c r="W361" i="38"/>
  <c r="AA361" i="38" s="1"/>
  <c r="AB361" i="38" s="1"/>
  <c r="L348" i="28" s="1"/>
  <c r="K362" i="38"/>
  <c r="M362" i="38"/>
  <c r="AA329" i="37"/>
  <c r="AB329" i="37" s="1"/>
  <c r="K316" i="28" s="1"/>
  <c r="U330" i="37" l="1"/>
  <c r="G329" i="39"/>
  <c r="M330" i="39"/>
  <c r="X329" i="39"/>
  <c r="P330" i="39"/>
  <c r="K330" i="39"/>
  <c r="W329" i="39"/>
  <c r="Z329" i="39"/>
  <c r="V329" i="39"/>
  <c r="U362" i="38"/>
  <c r="T362" i="38"/>
  <c r="I330" i="37"/>
  <c r="H330" i="37" s="1"/>
  <c r="W330" i="37" s="1"/>
  <c r="Y330" i="37" l="1"/>
  <c r="T330" i="39"/>
  <c r="U330" i="39"/>
  <c r="AA329" i="39"/>
  <c r="AB329" i="39" s="1"/>
  <c r="I362" i="38"/>
  <c r="H362" i="38" s="1"/>
  <c r="Y362" i="38"/>
  <c r="G330" i="37"/>
  <c r="B317" i="28" s="1"/>
  <c r="K331" i="37"/>
  <c r="X330" i="37"/>
  <c r="Z330" i="37"/>
  <c r="P331" i="37"/>
  <c r="V330" i="37"/>
  <c r="M331" i="37"/>
  <c r="J344" i="37"/>
  <c r="I330" i="39" l="1"/>
  <c r="H330" i="39" s="1"/>
  <c r="Y330" i="39" s="1"/>
  <c r="AA330" i="37"/>
  <c r="AB330" i="37" s="1"/>
  <c r="K317" i="28" s="1"/>
  <c r="X362" i="38"/>
  <c r="Z362" i="38"/>
  <c r="M363" i="38"/>
  <c r="W362" i="38"/>
  <c r="V362" i="38"/>
  <c r="P363" i="38"/>
  <c r="G362" i="38"/>
  <c r="C349" i="28" s="1"/>
  <c r="K363" i="38"/>
  <c r="T331" i="37"/>
  <c r="U331" i="37"/>
  <c r="Z330" i="39" l="1"/>
  <c r="W330" i="39"/>
  <c r="V330" i="39"/>
  <c r="X330" i="39"/>
  <c r="K331" i="39"/>
  <c r="P331" i="39"/>
  <c r="M331" i="39"/>
  <c r="G330" i="39"/>
  <c r="AA362" i="38"/>
  <c r="AB362" i="38" s="1"/>
  <c r="L349" i="28" s="1"/>
  <c r="I331" i="37"/>
  <c r="H331" i="37" s="1"/>
  <c r="V331" i="37" s="1"/>
  <c r="Y331" i="37"/>
  <c r="T363" i="38"/>
  <c r="U363" i="38"/>
  <c r="I363" i="38" s="1"/>
  <c r="H363" i="38" s="1"/>
  <c r="J345" i="37"/>
  <c r="AA330" i="39" l="1"/>
  <c r="AB330" i="39" s="1"/>
  <c r="T331" i="39"/>
  <c r="U331" i="39"/>
  <c r="W331" i="37"/>
  <c r="P332" i="37"/>
  <c r="G331" i="37"/>
  <c r="B318" i="28" s="1"/>
  <c r="Z331" i="37"/>
  <c r="K332" i="37"/>
  <c r="U332" i="37" s="1"/>
  <c r="X331" i="37"/>
  <c r="M332" i="37"/>
  <c r="Y363" i="38"/>
  <c r="V363" i="38"/>
  <c r="W363" i="38"/>
  <c r="Z363" i="38"/>
  <c r="P364" i="38"/>
  <c r="X363" i="38"/>
  <c r="M364" i="38"/>
  <c r="G363" i="38"/>
  <c r="C350" i="28" s="1"/>
  <c r="K364" i="38"/>
  <c r="I331" i="39" l="1"/>
  <c r="H331" i="39" s="1"/>
  <c r="G331" i="39" s="1"/>
  <c r="Y331" i="39"/>
  <c r="AA331" i="37"/>
  <c r="AB331" i="37" s="1"/>
  <c r="K318" i="28" s="1"/>
  <c r="T332" i="37"/>
  <c r="I332" i="37" s="1"/>
  <c r="H332" i="37" s="1"/>
  <c r="X332" i="37" s="1"/>
  <c r="T364" i="38"/>
  <c r="AA363" i="38"/>
  <c r="AB363" i="38" s="1"/>
  <c r="L350" i="28" s="1"/>
  <c r="U364" i="38"/>
  <c r="Y364" i="38" s="1"/>
  <c r="Y332" i="37" l="1"/>
  <c r="W331" i="39"/>
  <c r="V331" i="39"/>
  <c r="X331" i="39"/>
  <c r="P332" i="39"/>
  <c r="M332" i="39"/>
  <c r="K332" i="39"/>
  <c r="Z331" i="39"/>
  <c r="V332" i="37"/>
  <c r="W332" i="37"/>
  <c r="I364" i="38"/>
  <c r="H364" i="38" s="1"/>
  <c r="P333" i="37"/>
  <c r="M333" i="37"/>
  <c r="G332" i="37"/>
  <c r="B319" i="28" s="1"/>
  <c r="K333" i="37"/>
  <c r="L333" i="37"/>
  <c r="Z332" i="37"/>
  <c r="AA332" i="37" l="1"/>
  <c r="AB332" i="37" s="1"/>
  <c r="K319" i="28" s="1"/>
  <c r="AA331" i="39"/>
  <c r="AB331" i="39" s="1"/>
  <c r="T332" i="39"/>
  <c r="W332" i="39" s="1"/>
  <c r="U332" i="39"/>
  <c r="V364" i="38"/>
  <c r="M365" i="38"/>
  <c r="W364" i="38"/>
  <c r="X364" i="38"/>
  <c r="K365" i="38"/>
  <c r="Z364" i="38"/>
  <c r="L365" i="38"/>
  <c r="G364" i="38"/>
  <c r="C351" i="28" s="1"/>
  <c r="P365" i="38"/>
  <c r="T333" i="37"/>
  <c r="U333" i="37"/>
  <c r="J346" i="37"/>
  <c r="I332" i="39" l="1"/>
  <c r="H332" i="39" s="1"/>
  <c r="P333" i="39" s="1"/>
  <c r="V332" i="39"/>
  <c r="Y332" i="39"/>
  <c r="Y333" i="37"/>
  <c r="I333" i="37"/>
  <c r="H333" i="37" s="1"/>
  <c r="X333" i="37" s="1"/>
  <c r="U365" i="38"/>
  <c r="T365" i="38"/>
  <c r="AA364" i="38"/>
  <c r="AB364" i="38" s="1"/>
  <c r="L351" i="28" s="1"/>
  <c r="K333" i="39" l="1"/>
  <c r="L333" i="39"/>
  <c r="Z332" i="39"/>
  <c r="M333" i="39"/>
  <c r="X332" i="39"/>
  <c r="G332" i="39"/>
  <c r="P334" i="37"/>
  <c r="K334" i="37"/>
  <c r="M334" i="37"/>
  <c r="Z333" i="37"/>
  <c r="V333" i="37"/>
  <c r="W333" i="37"/>
  <c r="G333" i="37"/>
  <c r="B320" i="28" s="1"/>
  <c r="I365" i="38"/>
  <c r="H365" i="38" s="1"/>
  <c r="Y365" i="38"/>
  <c r="AA332" i="39" l="1"/>
  <c r="AB332" i="39" s="1"/>
  <c r="T333" i="39"/>
  <c r="U333" i="39"/>
  <c r="U334" i="37"/>
  <c r="T334" i="37"/>
  <c r="AA333" i="37"/>
  <c r="AB333" i="37" s="1"/>
  <c r="K320" i="28" s="1"/>
  <c r="X365" i="38"/>
  <c r="G365" i="38"/>
  <c r="C352" i="28" s="1"/>
  <c r="V365" i="38"/>
  <c r="K366" i="38"/>
  <c r="M366" i="38"/>
  <c r="Z365" i="38"/>
  <c r="W365" i="38"/>
  <c r="P366" i="38"/>
  <c r="J347" i="37"/>
  <c r="Y334" i="37" l="1"/>
  <c r="Y333" i="39"/>
  <c r="I333" i="39"/>
  <c r="H333" i="39" s="1"/>
  <c r="M334" i="39" s="1"/>
  <c r="I334" i="37"/>
  <c r="H334" i="37" s="1"/>
  <c r="X334" i="37" s="1"/>
  <c r="T366" i="38"/>
  <c r="U366" i="38"/>
  <c r="I366" i="38" s="1"/>
  <c r="H366" i="38" s="1"/>
  <c r="P367" i="38" s="1"/>
  <c r="AA365" i="38"/>
  <c r="AB365" i="38" s="1"/>
  <c r="L352" i="28" s="1"/>
  <c r="P334" i="39" l="1"/>
  <c r="G333" i="39"/>
  <c r="X333" i="39"/>
  <c r="K334" i="39"/>
  <c r="W333" i="39"/>
  <c r="V333" i="39"/>
  <c r="Z333" i="39"/>
  <c r="M335" i="37"/>
  <c r="K335" i="37"/>
  <c r="Z334" i="37"/>
  <c r="W334" i="37"/>
  <c r="V334" i="37"/>
  <c r="AA334" i="37" s="1"/>
  <c r="AB334" i="37" s="1"/>
  <c r="K321" i="28" s="1"/>
  <c r="G334" i="37"/>
  <c r="B321" i="28" s="1"/>
  <c r="P335" i="37"/>
  <c r="V366" i="38"/>
  <c r="G366" i="38"/>
  <c r="C353" i="28" s="1"/>
  <c r="K367" i="38"/>
  <c r="M367" i="38"/>
  <c r="W366" i="38"/>
  <c r="Z366" i="38"/>
  <c r="X366" i="38"/>
  <c r="Y366" i="38"/>
  <c r="U335" i="37" l="1"/>
  <c r="T334" i="39"/>
  <c r="U334" i="39"/>
  <c r="I334" i="39" s="1"/>
  <c r="H334" i="39" s="1"/>
  <c r="X334" i="39" s="1"/>
  <c r="AA333" i="39"/>
  <c r="AB333" i="39" s="1"/>
  <c r="T335" i="37"/>
  <c r="Y335" i="37" s="1"/>
  <c r="U367" i="38"/>
  <c r="T367" i="38"/>
  <c r="AA366" i="38"/>
  <c r="AB366" i="38" s="1"/>
  <c r="L353" i="28" s="1"/>
  <c r="I335" i="37" l="1"/>
  <c r="H335" i="37" s="1"/>
  <c r="Z335" i="37" s="1"/>
  <c r="Y334" i="39"/>
  <c r="M335" i="39"/>
  <c r="G334" i="39"/>
  <c r="P335" i="39"/>
  <c r="Z334" i="39"/>
  <c r="V334" i="39"/>
  <c r="K335" i="39"/>
  <c r="W334" i="39"/>
  <c r="I367" i="38"/>
  <c r="H367" i="38" s="1"/>
  <c r="M368" i="38" s="1"/>
  <c r="Y367" i="38"/>
  <c r="M336" i="37"/>
  <c r="K336" i="37"/>
  <c r="P336" i="37"/>
  <c r="X335" i="37"/>
  <c r="V335" i="37"/>
  <c r="G335" i="37"/>
  <c r="B322" i="28" s="1"/>
  <c r="W335" i="37"/>
  <c r="J348" i="37"/>
  <c r="U335" i="39" l="1"/>
  <c r="T335" i="39"/>
  <c r="AA334" i="39"/>
  <c r="AB334" i="39" s="1"/>
  <c r="Z367" i="38"/>
  <c r="V367" i="38"/>
  <c r="X367" i="38"/>
  <c r="P368" i="38"/>
  <c r="G367" i="38"/>
  <c r="C354" i="28" s="1"/>
  <c r="K368" i="38"/>
  <c r="W367" i="38"/>
  <c r="U336" i="37"/>
  <c r="T336" i="37"/>
  <c r="AA335" i="37"/>
  <c r="AB335" i="37" s="1"/>
  <c r="K322" i="28" s="1"/>
  <c r="AA367" i="38" l="1"/>
  <c r="AB367" i="38" s="1"/>
  <c r="L354" i="28" s="1"/>
  <c r="T368" i="38"/>
  <c r="I335" i="39"/>
  <c r="H335" i="39" s="1"/>
  <c r="G335" i="39" s="1"/>
  <c r="Y335" i="39"/>
  <c r="U368" i="38"/>
  <c r="I368" i="38" s="1"/>
  <c r="H368" i="38" s="1"/>
  <c r="X368" i="38" s="1"/>
  <c r="I336" i="37"/>
  <c r="H336" i="37" s="1"/>
  <c r="Z336" i="37" s="1"/>
  <c r="Y336" i="37"/>
  <c r="J349" i="37"/>
  <c r="P336" i="39" l="1"/>
  <c r="W335" i="39"/>
  <c r="V336" i="37"/>
  <c r="X336" i="37"/>
  <c r="Z335" i="39"/>
  <c r="K336" i="39"/>
  <c r="M336" i="39"/>
  <c r="X335" i="39"/>
  <c r="V335" i="39"/>
  <c r="P337" i="37"/>
  <c r="M369" i="38"/>
  <c r="Z368" i="38"/>
  <c r="G368" i="38"/>
  <c r="C355" i="28" s="1"/>
  <c r="K369" i="38"/>
  <c r="V368" i="38"/>
  <c r="W368" i="38"/>
  <c r="L369" i="38"/>
  <c r="M337" i="37"/>
  <c r="K337" i="37"/>
  <c r="G336" i="37"/>
  <c r="B323" i="28" s="1"/>
  <c r="L337" i="37"/>
  <c r="W336" i="37"/>
  <c r="AA336" i="37" s="1"/>
  <c r="AB336" i="37" s="1"/>
  <c r="K323" i="28" s="1"/>
  <c r="P369" i="38"/>
  <c r="Y368" i="38"/>
  <c r="AA335" i="39" l="1"/>
  <c r="AB335" i="39" s="1"/>
  <c r="U336" i="39"/>
  <c r="T336" i="39"/>
  <c r="AA368" i="38"/>
  <c r="AB368" i="38" s="1"/>
  <c r="L355" i="28" s="1"/>
  <c r="T369" i="38"/>
  <c r="U337" i="37"/>
  <c r="T337" i="37"/>
  <c r="U369" i="38"/>
  <c r="I369" i="38" s="1"/>
  <c r="H369" i="38" s="1"/>
  <c r="X369" i="38" s="1"/>
  <c r="I337" i="37" l="1"/>
  <c r="H337" i="37" s="1"/>
  <c r="X337" i="37" s="1"/>
  <c r="I336" i="39"/>
  <c r="H336" i="39" s="1"/>
  <c r="K337" i="39" s="1"/>
  <c r="V369" i="38"/>
  <c r="M370" i="38"/>
  <c r="U370" i="38" s="1"/>
  <c r="K370" i="38"/>
  <c r="G369" i="38"/>
  <c r="C356" i="28" s="1"/>
  <c r="P370" i="38"/>
  <c r="T370" i="38" s="1"/>
  <c r="W369" i="38"/>
  <c r="Y369" i="38"/>
  <c r="Z369" i="38"/>
  <c r="Y337" i="37"/>
  <c r="Z337" i="37"/>
  <c r="V337" i="37"/>
  <c r="W337" i="37"/>
  <c r="P338" i="37"/>
  <c r="M338" i="37"/>
  <c r="K338" i="37"/>
  <c r="G337" i="37"/>
  <c r="B324" i="28" s="1"/>
  <c r="J350" i="37"/>
  <c r="AA369" i="38" l="1"/>
  <c r="AB369" i="38" s="1"/>
  <c r="L356" i="28" s="1"/>
  <c r="L337" i="39"/>
  <c r="P337" i="39"/>
  <c r="Z336" i="39"/>
  <c r="M337" i="39"/>
  <c r="G336" i="39"/>
  <c r="V336" i="39"/>
  <c r="W336" i="39"/>
  <c r="Y336" i="39"/>
  <c r="X336" i="39"/>
  <c r="Y370" i="38"/>
  <c r="I370" i="38"/>
  <c r="H370" i="38" s="1"/>
  <c r="Z370" i="38" s="1"/>
  <c r="T338" i="37"/>
  <c r="U338" i="37"/>
  <c r="AA337" i="37"/>
  <c r="AB337" i="37" s="1"/>
  <c r="K324" i="28" s="1"/>
  <c r="T337" i="39" l="1"/>
  <c r="AA336" i="39"/>
  <c r="AB336" i="39" s="1"/>
  <c r="U337" i="39"/>
  <c r="I337" i="39" s="1"/>
  <c r="H337" i="39" s="1"/>
  <c r="Z337" i="39" s="1"/>
  <c r="W370" i="38"/>
  <c r="X370" i="38"/>
  <c r="M371" i="38"/>
  <c r="G370" i="38"/>
  <c r="C357" i="28" s="1"/>
  <c r="V370" i="38"/>
  <c r="K371" i="38"/>
  <c r="P371" i="38"/>
  <c r="Y338" i="37"/>
  <c r="I338" i="37"/>
  <c r="H338" i="37" s="1"/>
  <c r="X338" i="37" s="1"/>
  <c r="Y337" i="39" l="1"/>
  <c r="P338" i="39"/>
  <c r="K338" i="39"/>
  <c r="X337" i="39"/>
  <c r="G337" i="39"/>
  <c r="W337" i="39"/>
  <c r="V337" i="39"/>
  <c r="M338" i="39"/>
  <c r="AA370" i="38"/>
  <c r="AB370" i="38" s="1"/>
  <c r="L357" i="28" s="1"/>
  <c r="T371" i="38"/>
  <c r="U371" i="38"/>
  <c r="W338" i="37"/>
  <c r="Z338" i="37"/>
  <c r="V338" i="37"/>
  <c r="P339" i="37"/>
  <c r="G338" i="37"/>
  <c r="B325" i="28" s="1"/>
  <c r="K339" i="37"/>
  <c r="M339" i="37"/>
  <c r="T338" i="39" l="1"/>
  <c r="U338" i="39"/>
  <c r="Y338" i="39" s="1"/>
  <c r="AA337" i="39"/>
  <c r="AB337" i="39" s="1"/>
  <c r="Y371" i="38"/>
  <c r="I371" i="38"/>
  <c r="H371" i="38" s="1"/>
  <c r="M372" i="38" s="1"/>
  <c r="T339" i="37"/>
  <c r="U339" i="37"/>
  <c r="AA338" i="37"/>
  <c r="AB338" i="37" s="1"/>
  <c r="K325" i="28" s="1"/>
  <c r="J351" i="37"/>
  <c r="I338" i="39" l="1"/>
  <c r="H338" i="39" s="1"/>
  <c r="Z338" i="39" s="1"/>
  <c r="G371" i="38"/>
  <c r="C358" i="28" s="1"/>
  <c r="V371" i="38"/>
  <c r="W371" i="38"/>
  <c r="Z371" i="38"/>
  <c r="X371" i="38"/>
  <c r="P372" i="38"/>
  <c r="K372" i="38"/>
  <c r="Y339" i="37"/>
  <c r="I339" i="37"/>
  <c r="H339" i="37" s="1"/>
  <c r="W338" i="39" l="1"/>
  <c r="G338" i="39"/>
  <c r="K339" i="39"/>
  <c r="P339" i="39"/>
  <c r="X338" i="39"/>
  <c r="M339" i="39"/>
  <c r="V338" i="39"/>
  <c r="AA371" i="38"/>
  <c r="AB371" i="38" s="1"/>
  <c r="L358" i="28" s="1"/>
  <c r="T372" i="38"/>
  <c r="U372" i="38"/>
  <c r="X339" i="37"/>
  <c r="V339" i="37"/>
  <c r="Z339" i="37"/>
  <c r="W339" i="37"/>
  <c r="M340" i="37"/>
  <c r="P340" i="37"/>
  <c r="K340" i="37"/>
  <c r="G339" i="37"/>
  <c r="B326" i="28" s="1"/>
  <c r="AA338" i="39" l="1"/>
  <c r="AB338" i="39" s="1"/>
  <c r="T339" i="39"/>
  <c r="U339" i="39"/>
  <c r="I372" i="38"/>
  <c r="H372" i="38" s="1"/>
  <c r="M373" i="38" s="1"/>
  <c r="Y372" i="38"/>
  <c r="T340" i="37"/>
  <c r="U340" i="37"/>
  <c r="AA339" i="37"/>
  <c r="AB339" i="37" s="1"/>
  <c r="K326" i="28" s="1"/>
  <c r="J352" i="37"/>
  <c r="Y339" i="39" l="1"/>
  <c r="I339" i="39"/>
  <c r="H339" i="39" s="1"/>
  <c r="V339" i="39" s="1"/>
  <c r="P373" i="38"/>
  <c r="V372" i="38"/>
  <c r="W372" i="38"/>
  <c r="X372" i="38"/>
  <c r="L373" i="38"/>
  <c r="K373" i="38"/>
  <c r="Z372" i="38"/>
  <c r="G372" i="38"/>
  <c r="C359" i="28" s="1"/>
  <c r="Y340" i="37"/>
  <c r="I340" i="37"/>
  <c r="H340" i="37" s="1"/>
  <c r="X340" i="37" s="1"/>
  <c r="X339" i="39" l="1"/>
  <c r="Z339" i="39"/>
  <c r="K340" i="39"/>
  <c r="P340" i="39"/>
  <c r="G339" i="39"/>
  <c r="M340" i="39"/>
  <c r="W339" i="39"/>
  <c r="U373" i="38"/>
  <c r="I373" i="38" s="1"/>
  <c r="H373" i="38" s="1"/>
  <c r="X373" i="38" s="1"/>
  <c r="T373" i="38"/>
  <c r="AA372" i="38"/>
  <c r="AB372" i="38" s="1"/>
  <c r="L359" i="28" s="1"/>
  <c r="Z340" i="37"/>
  <c r="W340" i="37"/>
  <c r="V340" i="37"/>
  <c r="M341" i="37"/>
  <c r="P341" i="37"/>
  <c r="K341" i="37"/>
  <c r="L341" i="37"/>
  <c r="G340" i="37"/>
  <c r="B327" i="28" s="1"/>
  <c r="Y373" i="38" l="1"/>
  <c r="AA339" i="39"/>
  <c r="AB339" i="39" s="1"/>
  <c r="U340" i="39"/>
  <c r="T340" i="39"/>
  <c r="P374" i="38"/>
  <c r="M374" i="38"/>
  <c r="W373" i="38"/>
  <c r="V373" i="38"/>
  <c r="G373" i="38"/>
  <c r="C360" i="28" s="1"/>
  <c r="Z373" i="38"/>
  <c r="K374" i="38"/>
  <c r="T341" i="37"/>
  <c r="U341" i="37"/>
  <c r="AA340" i="37"/>
  <c r="AB340" i="37" s="1"/>
  <c r="K327" i="28" s="1"/>
  <c r="J353" i="37"/>
  <c r="I340" i="39" l="1"/>
  <c r="H340" i="39" s="1"/>
  <c r="P341" i="39" s="1"/>
  <c r="Y340" i="39"/>
  <c r="AA373" i="38"/>
  <c r="AB373" i="38" s="1"/>
  <c r="L360" i="28" s="1"/>
  <c r="T374" i="38"/>
  <c r="U374" i="38"/>
  <c r="I374" i="38" s="1"/>
  <c r="H374" i="38" s="1"/>
  <c r="K375" i="38" s="1"/>
  <c r="I341" i="37"/>
  <c r="H341" i="37" s="1"/>
  <c r="W341" i="37" s="1"/>
  <c r="Y341" i="37"/>
  <c r="M341" i="39" l="1"/>
  <c r="X340" i="39"/>
  <c r="W340" i="39"/>
  <c r="G340" i="39"/>
  <c r="Z340" i="39"/>
  <c r="V340" i="39"/>
  <c r="L341" i="39"/>
  <c r="K341" i="39"/>
  <c r="Y374" i="38"/>
  <c r="W374" i="38"/>
  <c r="P375" i="38"/>
  <c r="M375" i="38"/>
  <c r="G374" i="38"/>
  <c r="C361" i="28" s="1"/>
  <c r="Z374" i="38"/>
  <c r="X374" i="38"/>
  <c r="V374" i="38"/>
  <c r="V341" i="37"/>
  <c r="X341" i="37"/>
  <c r="Z341" i="37"/>
  <c r="M342" i="37"/>
  <c r="K342" i="37"/>
  <c r="G341" i="37"/>
  <c r="B328" i="28" s="1"/>
  <c r="P342" i="37"/>
  <c r="T341" i="39" l="1"/>
  <c r="AA340" i="39"/>
  <c r="AB340" i="39" s="1"/>
  <c r="U341" i="39"/>
  <c r="I341" i="39" s="1"/>
  <c r="H341" i="39" s="1"/>
  <c r="P342" i="39" s="1"/>
  <c r="T375" i="38"/>
  <c r="U375" i="38"/>
  <c r="Y375" i="38" s="1"/>
  <c r="AA374" i="38"/>
  <c r="AB374" i="38" s="1"/>
  <c r="L361" i="28" s="1"/>
  <c r="AA341" i="37"/>
  <c r="AB341" i="37" s="1"/>
  <c r="K328" i="28" s="1"/>
  <c r="U342" i="37"/>
  <c r="T342" i="37"/>
  <c r="J354" i="37"/>
  <c r="Y341" i="39" l="1"/>
  <c r="G341" i="39"/>
  <c r="K342" i="39"/>
  <c r="M342" i="39"/>
  <c r="Z341" i="39"/>
  <c r="X341" i="39"/>
  <c r="V341" i="39"/>
  <c r="W341" i="39"/>
  <c r="I375" i="38"/>
  <c r="H375" i="38" s="1"/>
  <c r="X375" i="38" s="1"/>
  <c r="Y342" i="37"/>
  <c r="I342" i="37"/>
  <c r="H342" i="37" s="1"/>
  <c r="X342" i="37" s="1"/>
  <c r="U342" i="39" l="1"/>
  <c r="AA341" i="39"/>
  <c r="AB341" i="39" s="1"/>
  <c r="T342" i="39"/>
  <c r="K376" i="38"/>
  <c r="W375" i="38"/>
  <c r="M376" i="38"/>
  <c r="P376" i="38"/>
  <c r="T376" i="38" s="1"/>
  <c r="G375" i="38"/>
  <c r="C362" i="28" s="1"/>
  <c r="V375" i="38"/>
  <c r="Z375" i="38"/>
  <c r="M343" i="37"/>
  <c r="V342" i="37"/>
  <c r="P343" i="37"/>
  <c r="G342" i="37"/>
  <c r="B329" i="28" s="1"/>
  <c r="K343" i="37"/>
  <c r="Z342" i="37"/>
  <c r="W342" i="37"/>
  <c r="J355" i="37"/>
  <c r="Y342" i="39" l="1"/>
  <c r="I342" i="39"/>
  <c r="H342" i="39" s="1"/>
  <c r="Z342" i="39" s="1"/>
  <c r="AA375" i="38"/>
  <c r="AB375" i="38" s="1"/>
  <c r="L362" i="28" s="1"/>
  <c r="U376" i="38"/>
  <c r="U343" i="37"/>
  <c r="AA342" i="37"/>
  <c r="AB342" i="37" s="1"/>
  <c r="K329" i="28" s="1"/>
  <c r="T343" i="37"/>
  <c r="K343" i="39" l="1"/>
  <c r="V342" i="39"/>
  <c r="X342" i="39"/>
  <c r="G342" i="39"/>
  <c r="M343" i="39"/>
  <c r="W342" i="39"/>
  <c r="P343" i="39"/>
  <c r="I376" i="38"/>
  <c r="H376" i="38" s="1"/>
  <c r="V376" i="38" s="1"/>
  <c r="I343" i="37"/>
  <c r="H343" i="37" s="1"/>
  <c r="M344" i="37" s="1"/>
  <c r="Y343" i="37"/>
  <c r="J356" i="37"/>
  <c r="U343" i="39" l="1"/>
  <c r="AA342" i="39"/>
  <c r="AB342" i="39" s="1"/>
  <c r="T343" i="39"/>
  <c r="Y376" i="38"/>
  <c r="G376" i="38"/>
  <c r="C363" i="28" s="1"/>
  <c r="X376" i="38"/>
  <c r="Z376" i="38"/>
  <c r="W376" i="38"/>
  <c r="AA376" i="38" s="1"/>
  <c r="AB376" i="38" s="1"/>
  <c r="L363" i="28" s="1"/>
  <c r="P377" i="38"/>
  <c r="M377" i="38"/>
  <c r="K377" i="38"/>
  <c r="L377" i="38"/>
  <c r="P344" i="37"/>
  <c r="W343" i="37"/>
  <c r="G343" i="37"/>
  <c r="B330" i="28" s="1"/>
  <c r="V343" i="37"/>
  <c r="K344" i="37"/>
  <c r="Z343" i="37"/>
  <c r="X343" i="37"/>
  <c r="Y343" i="39" l="1"/>
  <c r="U377" i="38"/>
  <c r="I343" i="39"/>
  <c r="H343" i="39" s="1"/>
  <c r="M344" i="39" s="1"/>
  <c r="T377" i="38"/>
  <c r="I377" i="38"/>
  <c r="H377" i="38" s="1"/>
  <c r="Z377" i="38" s="1"/>
  <c r="U344" i="37"/>
  <c r="AA343" i="37"/>
  <c r="AB343" i="37" s="1"/>
  <c r="K330" i="28" s="1"/>
  <c r="T344" i="37"/>
  <c r="Y377" i="38" l="1"/>
  <c r="K344" i="39"/>
  <c r="W343" i="39"/>
  <c r="G343" i="39"/>
  <c r="Z343" i="39"/>
  <c r="P344" i="39"/>
  <c r="X343" i="39"/>
  <c r="V343" i="39"/>
  <c r="K378" i="38"/>
  <c r="M378" i="38"/>
  <c r="G377" i="38"/>
  <c r="C364" i="28" s="1"/>
  <c r="W377" i="38"/>
  <c r="V377" i="38"/>
  <c r="X377" i="38"/>
  <c r="P378" i="38"/>
  <c r="T378" i="38" s="1"/>
  <c r="Y344" i="37"/>
  <c r="I344" i="37"/>
  <c r="H344" i="37" s="1"/>
  <c r="X344" i="37" s="1"/>
  <c r="J357" i="37"/>
  <c r="T344" i="39" l="1"/>
  <c r="U344" i="39"/>
  <c r="Y344" i="39" s="1"/>
  <c r="AA343" i="39"/>
  <c r="AB343" i="39" s="1"/>
  <c r="AA377" i="38"/>
  <c r="AB377" i="38" s="1"/>
  <c r="L364" i="28" s="1"/>
  <c r="U378" i="38"/>
  <c r="Y378" i="38" s="1"/>
  <c r="G344" i="37"/>
  <c r="B331" i="28" s="1"/>
  <c r="W344" i="37"/>
  <c r="Z344" i="37"/>
  <c r="V344" i="37"/>
  <c r="L345" i="37"/>
  <c r="M345" i="37"/>
  <c r="P345" i="37"/>
  <c r="K345" i="37"/>
  <c r="I344" i="39" l="1"/>
  <c r="H344" i="39" s="1"/>
  <c r="V344" i="39" s="1"/>
  <c r="I378" i="38"/>
  <c r="H378" i="38" s="1"/>
  <c r="G378" i="38" s="1"/>
  <c r="C365" i="28" s="1"/>
  <c r="P379" i="38"/>
  <c r="X378" i="38"/>
  <c r="K379" i="38"/>
  <c r="U345" i="37"/>
  <c r="AA344" i="37"/>
  <c r="AB344" i="37" s="1"/>
  <c r="K331" i="28" s="1"/>
  <c r="T345" i="37"/>
  <c r="W344" i="39" l="1"/>
  <c r="M345" i="39"/>
  <c r="P345" i="39"/>
  <c r="W378" i="38"/>
  <c r="X344" i="39"/>
  <c r="Z344" i="39"/>
  <c r="G344" i="39"/>
  <c r="L345" i="39"/>
  <c r="K345" i="39"/>
  <c r="Z378" i="38"/>
  <c r="V378" i="38"/>
  <c r="M379" i="38"/>
  <c r="T379" i="38" s="1"/>
  <c r="I345" i="37"/>
  <c r="H345" i="37" s="1"/>
  <c r="Z345" i="37" s="1"/>
  <c r="Y345" i="37"/>
  <c r="AA344" i="39" l="1"/>
  <c r="AB344" i="39" s="1"/>
  <c r="T345" i="39"/>
  <c r="U345" i="39"/>
  <c r="AA378" i="38"/>
  <c r="AB378" i="38" s="1"/>
  <c r="L365" i="28" s="1"/>
  <c r="U379" i="38"/>
  <c r="Y379" i="38" s="1"/>
  <c r="K346" i="37"/>
  <c r="X345" i="37"/>
  <c r="P346" i="37"/>
  <c r="G345" i="37"/>
  <c r="B332" i="28" s="1"/>
  <c r="W345" i="37"/>
  <c r="V345" i="37"/>
  <c r="M346" i="37"/>
  <c r="I345" i="39" l="1"/>
  <c r="H345" i="39" s="1"/>
  <c r="G345" i="39" s="1"/>
  <c r="Y345" i="39"/>
  <c r="P346" i="39"/>
  <c r="Z345" i="39"/>
  <c r="K346" i="39"/>
  <c r="X345" i="39"/>
  <c r="M346" i="39"/>
  <c r="V345" i="39"/>
  <c r="W345" i="39"/>
  <c r="I379" i="38"/>
  <c r="H379" i="38" s="1"/>
  <c r="T346" i="37"/>
  <c r="AA345" i="37"/>
  <c r="AB345" i="37" s="1"/>
  <c r="K332" i="28" s="1"/>
  <c r="U346" i="37"/>
  <c r="J358" i="37"/>
  <c r="AA345" i="39" l="1"/>
  <c r="AB345" i="39" s="1"/>
  <c r="T346" i="39"/>
  <c r="U346" i="39"/>
  <c r="K380" i="38"/>
  <c r="V379" i="38"/>
  <c r="X379" i="38"/>
  <c r="W379" i="38"/>
  <c r="M380" i="38"/>
  <c r="G379" i="38"/>
  <c r="C366" i="28" s="1"/>
  <c r="P380" i="38"/>
  <c r="Z379" i="38"/>
  <c r="I346" i="37"/>
  <c r="H346" i="37" s="1"/>
  <c r="X346" i="37" s="1"/>
  <c r="I346" i="39" l="1"/>
  <c r="H346" i="39" s="1"/>
  <c r="K347" i="39" s="1"/>
  <c r="Y346" i="39"/>
  <c r="Y346" i="37"/>
  <c r="Z346" i="37"/>
  <c r="W346" i="37"/>
  <c r="K347" i="37"/>
  <c r="G346" i="37"/>
  <c r="B333" i="28" s="1"/>
  <c r="V346" i="37"/>
  <c r="P347" i="37"/>
  <c r="M347" i="37"/>
  <c r="AA379" i="38"/>
  <c r="AB379" i="38" s="1"/>
  <c r="L366" i="28" s="1"/>
  <c r="U380" i="38"/>
  <c r="T380" i="38"/>
  <c r="P347" i="39" l="1"/>
  <c r="M347" i="39"/>
  <c r="U347" i="39" s="1"/>
  <c r="Z346" i="39"/>
  <c r="G346" i="39"/>
  <c r="X346" i="39"/>
  <c r="V346" i="39"/>
  <c r="W346" i="39"/>
  <c r="AA346" i="37"/>
  <c r="AB346" i="37" s="1"/>
  <c r="K333" i="28" s="1"/>
  <c r="U347" i="37"/>
  <c r="Y380" i="38"/>
  <c r="T347" i="37"/>
  <c r="Y347" i="37" s="1"/>
  <c r="I380" i="38"/>
  <c r="H380" i="38" s="1"/>
  <c r="J359" i="37"/>
  <c r="T347" i="39" l="1"/>
  <c r="I347" i="39" s="1"/>
  <c r="H347" i="39" s="1"/>
  <c r="V347" i="39" s="1"/>
  <c r="AA346" i="39"/>
  <c r="AB346" i="39" s="1"/>
  <c r="Y347" i="39"/>
  <c r="I347" i="37"/>
  <c r="H347" i="37" s="1"/>
  <c r="X347" i="37" s="1"/>
  <c r="K381" i="38"/>
  <c r="G380" i="38"/>
  <c r="C367" i="28" s="1"/>
  <c r="M381" i="38"/>
  <c r="L381" i="38"/>
  <c r="Z380" i="38"/>
  <c r="P381" i="38"/>
  <c r="X380" i="38"/>
  <c r="V380" i="38"/>
  <c r="W380" i="38"/>
  <c r="P348" i="37"/>
  <c r="M348" i="37" l="1"/>
  <c r="K348" i="37"/>
  <c r="Z347" i="37"/>
  <c r="W347" i="37"/>
  <c r="V347" i="37"/>
  <c r="G347" i="37"/>
  <c r="B334" i="28" s="1"/>
  <c r="W347" i="39"/>
  <c r="P348" i="39"/>
  <c r="X347" i="39"/>
  <c r="G347" i="39"/>
  <c r="K348" i="39"/>
  <c r="Z347" i="39"/>
  <c r="M348" i="39"/>
  <c r="U381" i="38"/>
  <c r="AA380" i="38"/>
  <c r="AB380" i="38" s="1"/>
  <c r="L367" i="28" s="1"/>
  <c r="T381" i="38"/>
  <c r="U348" i="37"/>
  <c r="T348" i="37"/>
  <c r="J360" i="37"/>
  <c r="I381" i="38" l="1"/>
  <c r="H381" i="38" s="1"/>
  <c r="AA347" i="37"/>
  <c r="AB347" i="37" s="1"/>
  <c r="K334" i="28" s="1"/>
  <c r="AA347" i="39"/>
  <c r="AB347" i="39" s="1"/>
  <c r="T348" i="39"/>
  <c r="U348" i="39"/>
  <c r="M382" i="38"/>
  <c r="P382" i="38"/>
  <c r="W381" i="38"/>
  <c r="G381" i="38"/>
  <c r="C368" i="28" s="1"/>
  <c r="X381" i="38"/>
  <c r="V381" i="38"/>
  <c r="K382" i="38"/>
  <c r="Z381" i="38"/>
  <c r="Y381" i="38"/>
  <c r="Y348" i="37"/>
  <c r="I348" i="37"/>
  <c r="H348" i="37" s="1"/>
  <c r="X348" i="37" s="1"/>
  <c r="U382" i="38" l="1"/>
  <c r="I348" i="39"/>
  <c r="H348" i="39" s="1"/>
  <c r="K349" i="39" s="1"/>
  <c r="Y348" i="39"/>
  <c r="AA381" i="38"/>
  <c r="AB381" i="38" s="1"/>
  <c r="L368" i="28" s="1"/>
  <c r="T382" i="38"/>
  <c r="I382" i="38" s="1"/>
  <c r="H382" i="38" s="1"/>
  <c r="M383" i="38" s="1"/>
  <c r="M349" i="37"/>
  <c r="L349" i="37"/>
  <c r="Z348" i="37"/>
  <c r="P349" i="37"/>
  <c r="K349" i="37"/>
  <c r="G348" i="37"/>
  <c r="B335" i="28" s="1"/>
  <c r="V348" i="37"/>
  <c r="W348" i="37"/>
  <c r="G348" i="39" l="1"/>
  <c r="P349" i="39"/>
  <c r="X348" i="39"/>
  <c r="V348" i="39"/>
  <c r="M349" i="39"/>
  <c r="L349" i="39"/>
  <c r="W348" i="39"/>
  <c r="Z348" i="39"/>
  <c r="Y382" i="38"/>
  <c r="X382" i="38"/>
  <c r="W382" i="38"/>
  <c r="P383" i="38"/>
  <c r="Z382" i="38"/>
  <c r="V382" i="38"/>
  <c r="K383" i="38"/>
  <c r="G382" i="38"/>
  <c r="C369" i="28" s="1"/>
  <c r="U349" i="37"/>
  <c r="AA348" i="37"/>
  <c r="AB348" i="37" s="1"/>
  <c r="K335" i="28" s="1"/>
  <c r="T349" i="37"/>
  <c r="U349" i="39" l="1"/>
  <c r="T349" i="39"/>
  <c r="AA348" i="39"/>
  <c r="AB348" i="39" s="1"/>
  <c r="U383" i="38"/>
  <c r="AA382" i="38"/>
  <c r="AB382" i="38" s="1"/>
  <c r="L369" i="28" s="1"/>
  <c r="T383" i="38"/>
  <c r="I383" i="38"/>
  <c r="H383" i="38" s="1"/>
  <c r="V383" i="38" s="1"/>
  <c r="I349" i="37"/>
  <c r="H349" i="37" s="1"/>
  <c r="X349" i="37" s="1"/>
  <c r="J361" i="37"/>
  <c r="I349" i="39" l="1"/>
  <c r="H349" i="39" s="1"/>
  <c r="W349" i="39" s="1"/>
  <c r="Y349" i="39"/>
  <c r="Y349" i="37"/>
  <c r="Y383" i="38"/>
  <c r="Z383" i="38"/>
  <c r="X383" i="38"/>
  <c r="W383" i="38"/>
  <c r="K384" i="38"/>
  <c r="P384" i="38"/>
  <c r="G349" i="37"/>
  <c r="B336" i="28" s="1"/>
  <c r="M384" i="38"/>
  <c r="G383" i="38"/>
  <c r="C370" i="28" s="1"/>
  <c r="Z349" i="37"/>
  <c r="V349" i="37"/>
  <c r="K350" i="37"/>
  <c r="P350" i="37"/>
  <c r="W349" i="37"/>
  <c r="M350" i="37"/>
  <c r="G349" i="39" l="1"/>
  <c r="P350" i="39"/>
  <c r="X349" i="39"/>
  <c r="Z349" i="39"/>
  <c r="K350" i="39"/>
  <c r="V349" i="39"/>
  <c r="M350" i="39"/>
  <c r="AA383" i="38"/>
  <c r="AB383" i="38" s="1"/>
  <c r="L370" i="28" s="1"/>
  <c r="U384" i="38"/>
  <c r="T384" i="38"/>
  <c r="Y384" i="38" s="1"/>
  <c r="T350" i="37"/>
  <c r="AA349" i="37"/>
  <c r="AB349" i="37" s="1"/>
  <c r="K336" i="28" s="1"/>
  <c r="U350" i="37"/>
  <c r="J362" i="37"/>
  <c r="AA349" i="39" l="1"/>
  <c r="AB349" i="39" s="1"/>
  <c r="T350" i="39"/>
  <c r="U350" i="39"/>
  <c r="I350" i="37"/>
  <c r="H350" i="37" s="1"/>
  <c r="X350" i="37" s="1"/>
  <c r="I384" i="38"/>
  <c r="H384" i="38" s="1"/>
  <c r="G384" i="38" s="1"/>
  <c r="C371" i="28" s="1"/>
  <c r="I350" i="39" l="1"/>
  <c r="H350" i="39" s="1"/>
  <c r="W350" i="39" s="1"/>
  <c r="Y350" i="39"/>
  <c r="Y350" i="37"/>
  <c r="P351" i="37"/>
  <c r="Z350" i="37"/>
  <c r="G350" i="37"/>
  <c r="B337" i="28" s="1"/>
  <c r="M351" i="37"/>
  <c r="K351" i="37"/>
  <c r="W350" i="37"/>
  <c r="V350" i="37"/>
  <c r="K385" i="38"/>
  <c r="P385" i="38"/>
  <c r="V384" i="38"/>
  <c r="Z384" i="38"/>
  <c r="L385" i="38"/>
  <c r="X384" i="38"/>
  <c r="W384" i="38"/>
  <c r="M385" i="38"/>
  <c r="J363" i="37"/>
  <c r="G350" i="39" l="1"/>
  <c r="P351" i="39"/>
  <c r="Z350" i="39"/>
  <c r="M351" i="39"/>
  <c r="X350" i="39"/>
  <c r="K351" i="39"/>
  <c r="V350" i="39"/>
  <c r="U351" i="37"/>
  <c r="T351" i="37"/>
  <c r="AA350" i="37"/>
  <c r="AB350" i="37" s="1"/>
  <c r="K337" i="28" s="1"/>
  <c r="AA384" i="38"/>
  <c r="AB384" i="38" s="1"/>
  <c r="L371" i="28" s="1"/>
  <c r="U385" i="38"/>
  <c r="T385" i="38"/>
  <c r="I385" i="38" s="1"/>
  <c r="H385" i="38" s="1"/>
  <c r="V385" i="38" s="1"/>
  <c r="U351" i="39" l="1"/>
  <c r="AA350" i="39"/>
  <c r="AB350" i="39" s="1"/>
  <c r="T351" i="39"/>
  <c r="Y351" i="39" s="1"/>
  <c r="Y351" i="37"/>
  <c r="Y385" i="38"/>
  <c r="I351" i="37"/>
  <c r="H351" i="37" s="1"/>
  <c r="X351" i="37" s="1"/>
  <c r="K386" i="38"/>
  <c r="M386" i="38"/>
  <c r="W385" i="38"/>
  <c r="Z385" i="38"/>
  <c r="X385" i="38"/>
  <c r="P386" i="38"/>
  <c r="G385" i="38"/>
  <c r="C372" i="28" s="1"/>
  <c r="I351" i="39" l="1"/>
  <c r="H351" i="39" s="1"/>
  <c r="P352" i="39" s="1"/>
  <c r="K352" i="37"/>
  <c r="M352" i="37"/>
  <c r="P352" i="37"/>
  <c r="W351" i="37"/>
  <c r="Z351" i="37"/>
  <c r="G351" i="37"/>
  <c r="B338" i="28" s="1"/>
  <c r="V351" i="37"/>
  <c r="U386" i="38"/>
  <c r="AA385" i="38"/>
  <c r="AB385" i="38" s="1"/>
  <c r="L372" i="28" s="1"/>
  <c r="T386" i="38"/>
  <c r="U352" i="37" l="1"/>
  <c r="AA351" i="37"/>
  <c r="AB351" i="37" s="1"/>
  <c r="K338" i="28" s="1"/>
  <c r="X351" i="39"/>
  <c r="G351" i="39"/>
  <c r="Z351" i="39"/>
  <c r="M352" i="39"/>
  <c r="K352" i="39"/>
  <c r="W351" i="39"/>
  <c r="V351" i="39"/>
  <c r="T352" i="37"/>
  <c r="W352" i="37" s="1"/>
  <c r="Y386" i="38"/>
  <c r="I386" i="38"/>
  <c r="H386" i="38" s="1"/>
  <c r="X386" i="38" s="1"/>
  <c r="G386" i="38"/>
  <c r="C373" i="28" s="1"/>
  <c r="W386" i="38"/>
  <c r="Z386" i="38"/>
  <c r="V386" i="38"/>
  <c r="J364" i="37"/>
  <c r="K387" i="38" l="1"/>
  <c r="P387" i="38"/>
  <c r="I352" i="37"/>
  <c r="H352" i="37" s="1"/>
  <c r="X352" i="37" s="1"/>
  <c r="Y352" i="37"/>
  <c r="V352" i="37"/>
  <c r="T352" i="39"/>
  <c r="AA351" i="39"/>
  <c r="AB351" i="39" s="1"/>
  <c r="U352" i="39"/>
  <c r="Y352" i="39" s="1"/>
  <c r="M387" i="38"/>
  <c r="AA386" i="38"/>
  <c r="AB386" i="38" s="1"/>
  <c r="L373" i="28" s="1"/>
  <c r="Z352" i="37"/>
  <c r="K353" i="37"/>
  <c r="P353" i="37"/>
  <c r="G352" i="37" l="1"/>
  <c r="B339" i="28" s="1"/>
  <c r="L353" i="37"/>
  <c r="T387" i="38"/>
  <c r="V387" i="38" s="1"/>
  <c r="M353" i="37"/>
  <c r="AA352" i="37"/>
  <c r="AB352" i="37" s="1"/>
  <c r="K339" i="28" s="1"/>
  <c r="U387" i="38"/>
  <c r="I387" i="38" s="1"/>
  <c r="H387" i="38" s="1"/>
  <c r="P388" i="38" s="1"/>
  <c r="I352" i="39"/>
  <c r="H352" i="39" s="1"/>
  <c r="W352" i="39" s="1"/>
  <c r="W387" i="38"/>
  <c r="T353" i="37"/>
  <c r="U353" i="37"/>
  <c r="K388" i="38" l="1"/>
  <c r="X387" i="38"/>
  <c r="Z387" i="38"/>
  <c r="V352" i="39"/>
  <c r="L353" i="39"/>
  <c r="M353" i="39"/>
  <c r="G387" i="38"/>
  <c r="C374" i="28" s="1"/>
  <c r="Z352" i="39"/>
  <c r="P353" i="39"/>
  <c r="Y387" i="38"/>
  <c r="K353" i="39"/>
  <c r="G352" i="39"/>
  <c r="M388" i="38"/>
  <c r="U388" i="38" s="1"/>
  <c r="Y388" i="38" s="1"/>
  <c r="X352" i="39"/>
  <c r="T388" i="38"/>
  <c r="AA387" i="38"/>
  <c r="AB387" i="38" s="1"/>
  <c r="L374" i="28" s="1"/>
  <c r="I353" i="37"/>
  <c r="H353" i="37" s="1"/>
  <c r="X353" i="37" s="1"/>
  <c r="Y353" i="37"/>
  <c r="J365" i="37"/>
  <c r="U353" i="39" l="1"/>
  <c r="AA352" i="39"/>
  <c r="AB352" i="39" s="1"/>
  <c r="T353" i="39"/>
  <c r="I353" i="39" s="1"/>
  <c r="H353" i="39" s="1"/>
  <c r="Y353" i="39" s="1"/>
  <c r="I388" i="38"/>
  <c r="H388" i="38" s="1"/>
  <c r="P389" i="38" s="1"/>
  <c r="V353" i="37"/>
  <c r="Z353" i="37"/>
  <c r="P354" i="37"/>
  <c r="M354" i="37"/>
  <c r="G353" i="37"/>
  <c r="B340" i="28" s="1"/>
  <c r="W353" i="37"/>
  <c r="K354" i="37"/>
  <c r="Z353" i="39" l="1"/>
  <c r="V353" i="39"/>
  <c r="W353" i="39"/>
  <c r="K354" i="39"/>
  <c r="G353" i="39"/>
  <c r="M354" i="39"/>
  <c r="X353" i="39"/>
  <c r="P354" i="39"/>
  <c r="M389" i="38"/>
  <c r="G388" i="38"/>
  <c r="C375" i="28" s="1"/>
  <c r="K389" i="38"/>
  <c r="W388" i="38"/>
  <c r="V388" i="38"/>
  <c r="X388" i="38"/>
  <c r="L389" i="38"/>
  <c r="T389" i="38" s="1"/>
  <c r="Z388" i="38"/>
  <c r="AA353" i="37"/>
  <c r="AB353" i="37" s="1"/>
  <c r="K340" i="28" s="1"/>
  <c r="T354" i="37"/>
  <c r="W354" i="37" s="1"/>
  <c r="U354" i="37"/>
  <c r="AA353" i="39" l="1"/>
  <c r="AB353" i="39" s="1"/>
  <c r="T354" i="39"/>
  <c r="U354" i="39"/>
  <c r="AA388" i="38"/>
  <c r="AB388" i="38" s="1"/>
  <c r="L375" i="28" s="1"/>
  <c r="U389" i="38"/>
  <c r="I389" i="38" s="1"/>
  <c r="H389" i="38" s="1"/>
  <c r="Y354" i="37"/>
  <c r="V354" i="37"/>
  <c r="I354" i="37"/>
  <c r="H354" i="37" s="1"/>
  <c r="M355" i="37" s="1"/>
  <c r="M390" i="38" l="1"/>
  <c r="P390" i="38"/>
  <c r="Y389" i="38"/>
  <c r="Y354" i="39"/>
  <c r="I354" i="39"/>
  <c r="H354" i="39" s="1"/>
  <c r="K390" i="38"/>
  <c r="V389" i="38"/>
  <c r="J390" i="38"/>
  <c r="U390" i="38" s="1"/>
  <c r="G389" i="38"/>
  <c r="C376" i="28" s="1"/>
  <c r="Z389" i="38"/>
  <c r="W389" i="38"/>
  <c r="X389" i="38"/>
  <c r="P355" i="37"/>
  <c r="Z354" i="37"/>
  <c r="G354" i="37"/>
  <c r="B341" i="28" s="1"/>
  <c r="X354" i="37"/>
  <c r="K355" i="37"/>
  <c r="J366" i="37"/>
  <c r="T390" i="38" l="1"/>
  <c r="V390" i="38" s="1"/>
  <c r="X354" i="39"/>
  <c r="W354" i="39"/>
  <c r="V354" i="39"/>
  <c r="M355" i="39"/>
  <c r="G354" i="39"/>
  <c r="Z354" i="39"/>
  <c r="P355" i="39"/>
  <c r="K355" i="39"/>
  <c r="AA389" i="38"/>
  <c r="AB389" i="38" s="1"/>
  <c r="L376" i="28" s="1"/>
  <c r="T355" i="37"/>
  <c r="AA354" i="37"/>
  <c r="AB354" i="37" s="1"/>
  <c r="K341" i="28" s="1"/>
  <c r="U355" i="37"/>
  <c r="Y355" i="37" s="1"/>
  <c r="I390" i="38" l="1"/>
  <c r="H390" i="38" s="1"/>
  <c r="X390" i="38" s="1"/>
  <c r="W390" i="38"/>
  <c r="Y390" i="38"/>
  <c r="T355" i="39"/>
  <c r="AA354" i="39"/>
  <c r="AB354" i="39" s="1"/>
  <c r="U355" i="39"/>
  <c r="I355" i="37"/>
  <c r="H355" i="37" s="1"/>
  <c r="Z390" i="38"/>
  <c r="M391" i="38"/>
  <c r="K391" i="38"/>
  <c r="P391" i="38"/>
  <c r="J391" i="38"/>
  <c r="G390" i="38"/>
  <c r="C377" i="28" s="1"/>
  <c r="AA390" i="38" l="1"/>
  <c r="AB390" i="38" s="1"/>
  <c r="L377" i="28" s="1"/>
  <c r="I355" i="39"/>
  <c r="H355" i="39" s="1"/>
  <c r="M356" i="39" s="1"/>
  <c r="Y355" i="39"/>
  <c r="X355" i="37"/>
  <c r="G355" i="37"/>
  <c r="B342" i="28" s="1"/>
  <c r="Z355" i="37"/>
  <c r="V355" i="37"/>
  <c r="P356" i="37"/>
  <c r="W355" i="37"/>
  <c r="M356" i="37"/>
  <c r="K356" i="37"/>
  <c r="T391" i="38"/>
  <c r="U391" i="38"/>
  <c r="V355" i="39" l="1"/>
  <c r="W355" i="39"/>
  <c r="K356" i="39"/>
  <c r="G355" i="39"/>
  <c r="X355" i="39"/>
  <c r="P356" i="39"/>
  <c r="T356" i="39" s="1"/>
  <c r="Z355" i="39"/>
  <c r="I391" i="38"/>
  <c r="H391" i="38" s="1"/>
  <c r="V391" i="38" s="1"/>
  <c r="AA355" i="37"/>
  <c r="AB355" i="37" s="1"/>
  <c r="K342" i="28" s="1"/>
  <c r="U356" i="37"/>
  <c r="T356" i="37"/>
  <c r="J367" i="37"/>
  <c r="U356" i="39" l="1"/>
  <c r="AA355" i="39"/>
  <c r="AB355" i="39" s="1"/>
  <c r="I356" i="39"/>
  <c r="H356" i="39" s="1"/>
  <c r="Z356" i="39" s="1"/>
  <c r="Y391" i="38"/>
  <c r="Y356" i="39"/>
  <c r="W391" i="38"/>
  <c r="X391" i="38"/>
  <c r="M392" i="38"/>
  <c r="J392" i="38"/>
  <c r="Z391" i="38"/>
  <c r="G391" i="38"/>
  <c r="C378" i="28" s="1"/>
  <c r="P392" i="38"/>
  <c r="K392" i="38"/>
  <c r="Y356" i="37"/>
  <c r="I356" i="37"/>
  <c r="H356" i="37" s="1"/>
  <c r="AA391" i="38" l="1"/>
  <c r="AB391" i="38" s="1"/>
  <c r="L378" i="28" s="1"/>
  <c r="M357" i="39"/>
  <c r="K357" i="39"/>
  <c r="P357" i="39"/>
  <c r="V356" i="39"/>
  <c r="L357" i="39"/>
  <c r="W356" i="39"/>
  <c r="X356" i="39"/>
  <c r="G356" i="39"/>
  <c r="T392" i="38"/>
  <c r="U392" i="38"/>
  <c r="I392" i="38" s="1"/>
  <c r="H392" i="38" s="1"/>
  <c r="M393" i="38" s="1"/>
  <c r="W356" i="37"/>
  <c r="L357" i="37"/>
  <c r="X356" i="37"/>
  <c r="G356" i="37"/>
  <c r="B343" i="28" s="1"/>
  <c r="M357" i="37"/>
  <c r="P357" i="37"/>
  <c r="K357" i="37"/>
  <c r="V356" i="37"/>
  <c r="Z356" i="37"/>
  <c r="J368" i="37"/>
  <c r="AA356" i="39" l="1"/>
  <c r="AB356" i="39" s="1"/>
  <c r="U357" i="39"/>
  <c r="T357" i="39"/>
  <c r="Y392" i="38"/>
  <c r="AA356" i="37"/>
  <c r="AB356" i="37" s="1"/>
  <c r="K343" i="28" s="1"/>
  <c r="U357" i="37"/>
  <c r="L393" i="38"/>
  <c r="T357" i="37"/>
  <c r="W392" i="38"/>
  <c r="G392" i="38"/>
  <c r="C379" i="28" s="1"/>
  <c r="J393" i="38"/>
  <c r="P393" i="38"/>
  <c r="Z392" i="38"/>
  <c r="X392" i="38"/>
  <c r="K393" i="38"/>
  <c r="V392" i="38"/>
  <c r="I357" i="39" l="1"/>
  <c r="H357" i="39" s="1"/>
  <c r="K358" i="39" s="1"/>
  <c r="Y357" i="39"/>
  <c r="P358" i="39"/>
  <c r="W357" i="39"/>
  <c r="V357" i="39"/>
  <c r="Z357" i="39"/>
  <c r="G357" i="39"/>
  <c r="M358" i="39"/>
  <c r="X357" i="39"/>
  <c r="T393" i="38"/>
  <c r="Y357" i="37"/>
  <c r="I357" i="37"/>
  <c r="H357" i="37" s="1"/>
  <c r="AA392" i="38"/>
  <c r="AB392" i="38" s="1"/>
  <c r="L379" i="28" s="1"/>
  <c r="U393" i="38"/>
  <c r="T358" i="39" l="1"/>
  <c r="I393" i="38"/>
  <c r="H393" i="38" s="1"/>
  <c r="V393" i="38" s="1"/>
  <c r="U358" i="39"/>
  <c r="AA357" i="39"/>
  <c r="AB357" i="39" s="1"/>
  <c r="W357" i="37"/>
  <c r="Z357" i="37"/>
  <c r="V357" i="37"/>
  <c r="M358" i="37"/>
  <c r="G357" i="37"/>
  <c r="B344" i="28" s="1"/>
  <c r="K358" i="37"/>
  <c r="X357" i="37"/>
  <c r="P358" i="37"/>
  <c r="Y393" i="38"/>
  <c r="P394" i="38"/>
  <c r="G393" i="38"/>
  <c r="C380" i="28" s="1"/>
  <c r="Z393" i="38"/>
  <c r="K394" i="38"/>
  <c r="W393" i="38"/>
  <c r="X393" i="38"/>
  <c r="J369" i="37"/>
  <c r="M394" i="38" l="1"/>
  <c r="I358" i="39"/>
  <c r="H358" i="39" s="1"/>
  <c r="Y358" i="39" s="1"/>
  <c r="U358" i="37"/>
  <c r="T358" i="37"/>
  <c r="AA357" i="37"/>
  <c r="AB357" i="37" s="1"/>
  <c r="K344" i="28" s="1"/>
  <c r="U394" i="38"/>
  <c r="T394" i="38"/>
  <c r="AA393" i="38"/>
  <c r="AB393" i="38" s="1"/>
  <c r="L380" i="28" s="1"/>
  <c r="K359" i="39" l="1"/>
  <c r="M359" i="39"/>
  <c r="G358" i="39"/>
  <c r="P359" i="39"/>
  <c r="X358" i="39"/>
  <c r="W358" i="39"/>
  <c r="V358" i="39"/>
  <c r="Z358" i="39"/>
  <c r="I358" i="37"/>
  <c r="H358" i="37" s="1"/>
  <c r="Z358" i="37" s="1"/>
  <c r="V358" i="37"/>
  <c r="I394" i="38"/>
  <c r="H394" i="38" s="1"/>
  <c r="V394" i="38" s="1"/>
  <c r="P359" i="37" l="1"/>
  <c r="Y358" i="37"/>
  <c r="U359" i="39"/>
  <c r="AA358" i="39"/>
  <c r="AB358" i="39" s="1"/>
  <c r="T359" i="39"/>
  <c r="Y394" i="38"/>
  <c r="M359" i="37"/>
  <c r="W358" i="37"/>
  <c r="K395" i="38"/>
  <c r="X394" i="38"/>
  <c r="K359" i="37"/>
  <c r="Z394" i="38"/>
  <c r="M395" i="38"/>
  <c r="X358" i="37"/>
  <c r="W394" i="38"/>
  <c r="P395" i="38"/>
  <c r="G358" i="37"/>
  <c r="B345" i="28" s="1"/>
  <c r="G394" i="38"/>
  <c r="C381" i="28" s="1"/>
  <c r="T359" i="37" l="1"/>
  <c r="V359" i="37" s="1"/>
  <c r="Y359" i="39"/>
  <c r="I359" i="39"/>
  <c r="H359" i="39" s="1"/>
  <c r="P360" i="39" s="1"/>
  <c r="AA358" i="37"/>
  <c r="AB358" i="37" s="1"/>
  <c r="K345" i="28" s="1"/>
  <c r="U359" i="37"/>
  <c r="I359" i="37" s="1"/>
  <c r="H359" i="37" s="1"/>
  <c r="X359" i="37" s="1"/>
  <c r="U395" i="38"/>
  <c r="T395" i="38"/>
  <c r="W395" i="38" s="1"/>
  <c r="AA394" i="38"/>
  <c r="AB394" i="38" s="1"/>
  <c r="L381" i="28" s="1"/>
  <c r="W359" i="37"/>
  <c r="J370" i="37"/>
  <c r="K360" i="39" l="1"/>
  <c r="V359" i="39"/>
  <c r="X359" i="39"/>
  <c r="W359" i="39"/>
  <c r="Z359" i="39"/>
  <c r="G359" i="39"/>
  <c r="M360" i="39"/>
  <c r="I395" i="38"/>
  <c r="H395" i="38" s="1"/>
  <c r="X395" i="38" s="1"/>
  <c r="Y359" i="37"/>
  <c r="Y395" i="38"/>
  <c r="V395" i="38"/>
  <c r="M360" i="37"/>
  <c r="K360" i="37"/>
  <c r="P360" i="37"/>
  <c r="G359" i="37"/>
  <c r="B346" i="28" s="1"/>
  <c r="Z359" i="37"/>
  <c r="G395" i="38" l="1"/>
  <c r="C382" i="28" s="1"/>
  <c r="P396" i="38"/>
  <c r="T360" i="39"/>
  <c r="AA359" i="39"/>
  <c r="AB359" i="39" s="1"/>
  <c r="U360" i="39"/>
  <c r="M396" i="38"/>
  <c r="K396" i="38"/>
  <c r="T396" i="38" s="1"/>
  <c r="Z395" i="38"/>
  <c r="AA395" i="38" s="1"/>
  <c r="AB395" i="38" s="1"/>
  <c r="L382" i="28" s="1"/>
  <c r="AA359" i="37"/>
  <c r="AB359" i="37" s="1"/>
  <c r="K346" i="28" s="1"/>
  <c r="T360" i="37"/>
  <c r="U360" i="37"/>
  <c r="Y360" i="39" l="1"/>
  <c r="U396" i="38"/>
  <c r="I360" i="39"/>
  <c r="H360" i="39" s="1"/>
  <c r="K361" i="39" s="1"/>
  <c r="Y360" i="37"/>
  <c r="I360" i="37"/>
  <c r="H360" i="37" s="1"/>
  <c r="V360" i="37" s="1"/>
  <c r="I396" i="38"/>
  <c r="H396" i="38" s="1"/>
  <c r="V396" i="38" s="1"/>
  <c r="Y396" i="38"/>
  <c r="J371" i="37"/>
  <c r="M361" i="39" l="1"/>
  <c r="V360" i="39"/>
  <c r="Z360" i="39"/>
  <c r="P361" i="39"/>
  <c r="W360" i="39"/>
  <c r="L361" i="39"/>
  <c r="G360" i="39"/>
  <c r="X360" i="39"/>
  <c r="M361" i="37"/>
  <c r="P361" i="37"/>
  <c r="K361" i="37"/>
  <c r="Z360" i="37"/>
  <c r="L361" i="37"/>
  <c r="W360" i="37"/>
  <c r="X360" i="37"/>
  <c r="G360" i="37"/>
  <c r="B347" i="28" s="1"/>
  <c r="W396" i="38"/>
  <c r="G396" i="38"/>
  <c r="C383" i="28" s="1"/>
  <c r="Z396" i="38"/>
  <c r="M397" i="38"/>
  <c r="L397" i="38"/>
  <c r="P397" i="38"/>
  <c r="K397" i="38"/>
  <c r="X396" i="38"/>
  <c r="U361" i="39" l="1"/>
  <c r="T361" i="37"/>
  <c r="U361" i="37"/>
  <c r="T361" i="39"/>
  <c r="AA360" i="39"/>
  <c r="AB360" i="39" s="1"/>
  <c r="AA360" i="37"/>
  <c r="AB360" i="37" s="1"/>
  <c r="K347" i="28" s="1"/>
  <c r="T397" i="38"/>
  <c r="Y361" i="37"/>
  <c r="AA396" i="38"/>
  <c r="AB396" i="38" s="1"/>
  <c r="L383" i="28" s="1"/>
  <c r="U397" i="38"/>
  <c r="I361" i="37" l="1"/>
  <c r="H361" i="37" s="1"/>
  <c r="G361" i="37" s="1"/>
  <c r="B348" i="28" s="1"/>
  <c r="I397" i="38"/>
  <c r="H397" i="38" s="1"/>
  <c r="I361" i="39"/>
  <c r="H361" i="39" s="1"/>
  <c r="K362" i="39" s="1"/>
  <c r="Y361" i="39"/>
  <c r="V361" i="37"/>
  <c r="Y397" i="38"/>
  <c r="P362" i="37"/>
  <c r="M362" i="37"/>
  <c r="X361" i="37"/>
  <c r="Z361" i="37"/>
  <c r="Z397" i="38"/>
  <c r="P398" i="38"/>
  <c r="M398" i="38"/>
  <c r="G397" i="38"/>
  <c r="C384" i="28" s="1"/>
  <c r="K398" i="38"/>
  <c r="K362" i="37"/>
  <c r="W361" i="37"/>
  <c r="X397" i="38"/>
  <c r="W397" i="38"/>
  <c r="V397" i="38"/>
  <c r="J372" i="37"/>
  <c r="X361" i="39" l="1"/>
  <c r="W361" i="39"/>
  <c r="M362" i="39"/>
  <c r="P362" i="39"/>
  <c r="V361" i="39"/>
  <c r="G361" i="39"/>
  <c r="Z361" i="39"/>
  <c r="T362" i="37"/>
  <c r="T398" i="38"/>
  <c r="AA361" i="37"/>
  <c r="AB361" i="37" s="1"/>
  <c r="K348" i="28" s="1"/>
  <c r="U398" i="38"/>
  <c r="Y398" i="38" s="1"/>
  <c r="AA397" i="38"/>
  <c r="AB397" i="38" s="1"/>
  <c r="L384" i="28" s="1"/>
  <c r="U362" i="37"/>
  <c r="U362" i="39" l="1"/>
  <c r="T362" i="39"/>
  <c r="AA361" i="39"/>
  <c r="AB361" i="39" s="1"/>
  <c r="I362" i="37"/>
  <c r="H362" i="37" s="1"/>
  <c r="K363" i="37" s="1"/>
  <c r="I398" i="38"/>
  <c r="H398" i="38" s="1"/>
  <c r="G398" i="38" s="1"/>
  <c r="C385" i="28" s="1"/>
  <c r="Y362" i="37"/>
  <c r="W398" i="38"/>
  <c r="Z398" i="38"/>
  <c r="V398" i="38" l="1"/>
  <c r="I362" i="39"/>
  <c r="H362" i="39" s="1"/>
  <c r="W362" i="39" s="1"/>
  <c r="Y362" i="39"/>
  <c r="P363" i="37"/>
  <c r="Z362" i="37"/>
  <c r="W362" i="37"/>
  <c r="V362" i="37"/>
  <c r="X362" i="37"/>
  <c r="AA362" i="37" s="1"/>
  <c r="AB362" i="37" s="1"/>
  <c r="K349" i="28" s="1"/>
  <c r="M363" i="37"/>
  <c r="G362" i="37"/>
  <c r="B349" i="28" s="1"/>
  <c r="P399" i="38"/>
  <c r="M399" i="38"/>
  <c r="X398" i="38"/>
  <c r="AA398" i="38" s="1"/>
  <c r="AB398" i="38" s="1"/>
  <c r="L385" i="28" s="1"/>
  <c r="K399" i="38"/>
  <c r="K363" i="39" l="1"/>
  <c r="M363" i="39"/>
  <c r="G362" i="39"/>
  <c r="U399" i="38"/>
  <c r="P363" i="39"/>
  <c r="X362" i="39"/>
  <c r="T363" i="37"/>
  <c r="I363" i="37" s="1"/>
  <c r="H363" i="37" s="1"/>
  <c r="X363" i="37" s="1"/>
  <c r="V362" i="39"/>
  <c r="Z362" i="39"/>
  <c r="U363" i="37"/>
  <c r="T399" i="38"/>
  <c r="T363" i="39" l="1"/>
  <c r="AA362" i="39"/>
  <c r="AB362" i="39" s="1"/>
  <c r="U363" i="39"/>
  <c r="Y363" i="37"/>
  <c r="I399" i="38"/>
  <c r="H399" i="38" s="1"/>
  <c r="K400" i="38" s="1"/>
  <c r="Y399" i="38"/>
  <c r="P400" i="38"/>
  <c r="M364" i="37"/>
  <c r="K364" i="37"/>
  <c r="V363" i="37"/>
  <c r="Z363" i="37"/>
  <c r="W363" i="37"/>
  <c r="P364" i="37"/>
  <c r="G399" i="38"/>
  <c r="C386" i="28" s="1"/>
  <c r="W399" i="38"/>
  <c r="G363" i="37"/>
  <c r="B350" i="28" s="1"/>
  <c r="J373" i="37"/>
  <c r="Z399" i="38" l="1"/>
  <c r="X399" i="38"/>
  <c r="V399" i="38"/>
  <c r="AA399" i="38" s="1"/>
  <c r="AB399" i="38" s="1"/>
  <c r="L386" i="28" s="1"/>
  <c r="I363" i="39"/>
  <c r="H363" i="39" s="1"/>
  <c r="G363" i="39" s="1"/>
  <c r="Y363" i="39"/>
  <c r="U364" i="37"/>
  <c r="M400" i="38"/>
  <c r="T400" i="38" s="1"/>
  <c r="V363" i="39"/>
  <c r="T364" i="37"/>
  <c r="AA363" i="37"/>
  <c r="AB363" i="37" s="1"/>
  <c r="K350" i="28" s="1"/>
  <c r="U400" i="38" l="1"/>
  <c r="Y400" i="38" s="1"/>
  <c r="Y364" i="37"/>
  <c r="K364" i="39"/>
  <c r="W363" i="39"/>
  <c r="Z363" i="39"/>
  <c r="P364" i="39"/>
  <c r="X363" i="39"/>
  <c r="M364" i="39"/>
  <c r="I364" i="37"/>
  <c r="H364" i="37" s="1"/>
  <c r="X364" i="37" s="1"/>
  <c r="I400" i="38"/>
  <c r="H400" i="38" s="1"/>
  <c r="G400" i="38" s="1"/>
  <c r="C387" i="28" s="1"/>
  <c r="U364" i="39" l="1"/>
  <c r="G364" i="37"/>
  <c r="B351" i="28" s="1"/>
  <c r="Z364" i="37"/>
  <c r="P365" i="37"/>
  <c r="AA363" i="39"/>
  <c r="AB363" i="39" s="1"/>
  <c r="T364" i="39"/>
  <c r="Y364" i="39" s="1"/>
  <c r="V364" i="37"/>
  <c r="M365" i="37"/>
  <c r="W364" i="37"/>
  <c r="L365" i="37"/>
  <c r="K365" i="37"/>
  <c r="L401" i="38"/>
  <c r="J401" i="38"/>
  <c r="X400" i="38"/>
  <c r="K401" i="38"/>
  <c r="W400" i="38"/>
  <c r="Z400" i="38"/>
  <c r="M401" i="38"/>
  <c r="P401" i="38"/>
  <c r="V400" i="38"/>
  <c r="I364" i="39" l="1"/>
  <c r="H364" i="39" s="1"/>
  <c r="Z364" i="39" s="1"/>
  <c r="U365" i="37"/>
  <c r="AA364" i="37"/>
  <c r="AB364" i="37" s="1"/>
  <c r="K351" i="28" s="1"/>
  <c r="P365" i="39"/>
  <c r="W364" i="39"/>
  <c r="M365" i="39"/>
  <c r="V364" i="39"/>
  <c r="K365" i="39"/>
  <c r="L365" i="39"/>
  <c r="G364" i="39"/>
  <c r="T365" i="37"/>
  <c r="Y365" i="37" s="1"/>
  <c r="AA400" i="38"/>
  <c r="AB400" i="38" s="1"/>
  <c r="L387" i="28" s="1"/>
  <c r="U401" i="38"/>
  <c r="T401" i="38"/>
  <c r="V401" i="38" s="1"/>
  <c r="I365" i="37"/>
  <c r="H365" i="37" s="1"/>
  <c r="K366" i="37" s="1"/>
  <c r="X364" i="39" l="1"/>
  <c r="W401" i="38"/>
  <c r="T365" i="39"/>
  <c r="U365" i="39"/>
  <c r="AA364" i="39"/>
  <c r="AB364" i="39" s="1"/>
  <c r="I401" i="38"/>
  <c r="H401" i="38" s="1"/>
  <c r="K402" i="38" s="1"/>
  <c r="Z401" i="38"/>
  <c r="X365" i="37"/>
  <c r="W365" i="37"/>
  <c r="Z365" i="37"/>
  <c r="G365" i="37"/>
  <c r="B352" i="28" s="1"/>
  <c r="V365" i="37"/>
  <c r="M366" i="37"/>
  <c r="P366" i="37"/>
  <c r="Y401" i="38" l="1"/>
  <c r="P402" i="38"/>
  <c r="X401" i="38"/>
  <c r="AA401" i="38" s="1"/>
  <c r="AB401" i="38" s="1"/>
  <c r="L388" i="28" s="1"/>
  <c r="M402" i="38"/>
  <c r="T402" i="38" s="1"/>
  <c r="W402" i="38" s="1"/>
  <c r="G401" i="38"/>
  <c r="C388" i="28" s="1"/>
  <c r="Y365" i="39"/>
  <c r="I365" i="39"/>
  <c r="H365" i="39" s="1"/>
  <c r="Z365" i="39" s="1"/>
  <c r="U402" i="38"/>
  <c r="AA365" i="37"/>
  <c r="AB365" i="37" s="1"/>
  <c r="K352" i="28" s="1"/>
  <c r="U366" i="37"/>
  <c r="T366" i="37"/>
  <c r="Z402" i="38" l="1"/>
  <c r="I402" i="38"/>
  <c r="H402" i="38" s="1"/>
  <c r="K403" i="38" s="1"/>
  <c r="M403" i="38"/>
  <c r="V402" i="38"/>
  <c r="P403" i="38"/>
  <c r="T403" i="38" s="1"/>
  <c r="X365" i="39"/>
  <c r="M366" i="39"/>
  <c r="W365" i="39"/>
  <c r="G365" i="39"/>
  <c r="K366" i="39"/>
  <c r="P366" i="39"/>
  <c r="V365" i="39"/>
  <c r="G402" i="38"/>
  <c r="C389" i="28" s="1"/>
  <c r="X402" i="38"/>
  <c r="U403" i="38"/>
  <c r="Y366" i="37"/>
  <c r="I366" i="37"/>
  <c r="H366" i="37" s="1"/>
  <c r="P367" i="37" s="1"/>
  <c r="Y402" i="38" l="1"/>
  <c r="AA402" i="38" s="1"/>
  <c r="AB402" i="38" s="1"/>
  <c r="L389" i="28" s="1"/>
  <c r="AA365" i="39"/>
  <c r="AB365" i="39" s="1"/>
  <c r="U366" i="39"/>
  <c r="T366" i="39"/>
  <c r="I403" i="38"/>
  <c r="H403" i="38" s="1"/>
  <c r="M404" i="38" s="1"/>
  <c r="Y403" i="38"/>
  <c r="K404" i="38"/>
  <c r="W366" i="37"/>
  <c r="X366" i="37"/>
  <c r="K367" i="37"/>
  <c r="M367" i="37"/>
  <c r="G366" i="37"/>
  <c r="B353" i="28" s="1"/>
  <c r="Z366" i="37"/>
  <c r="V366" i="37"/>
  <c r="P404" i="38" l="1"/>
  <c r="T404" i="38" s="1"/>
  <c r="W403" i="38"/>
  <c r="V403" i="38"/>
  <c r="I366" i="39"/>
  <c r="H366" i="39" s="1"/>
  <c r="K367" i="39" s="1"/>
  <c r="Y366" i="39"/>
  <c r="G403" i="38"/>
  <c r="C390" i="28" s="1"/>
  <c r="Z403" i="38"/>
  <c r="X403" i="38"/>
  <c r="AA403" i="38" s="1"/>
  <c r="AB403" i="38" s="1"/>
  <c r="L390" i="28" s="1"/>
  <c r="U404" i="38"/>
  <c r="U367" i="37"/>
  <c r="AA366" i="37"/>
  <c r="AB366" i="37" s="1"/>
  <c r="K353" i="28" s="1"/>
  <c r="T367" i="37"/>
  <c r="V366" i="39" l="1"/>
  <c r="W366" i="39"/>
  <c r="G366" i="39"/>
  <c r="X366" i="39"/>
  <c r="P367" i="39"/>
  <c r="M367" i="39"/>
  <c r="Z366" i="39"/>
  <c r="Y404" i="38"/>
  <c r="I404" i="38"/>
  <c r="H404" i="38" s="1"/>
  <c r="V404" i="38" s="1"/>
  <c r="Y367" i="37"/>
  <c r="I367" i="37"/>
  <c r="H367" i="37" s="1"/>
  <c r="G367" i="37" s="1"/>
  <c r="B354" i="28" s="1"/>
  <c r="AA366" i="39" l="1"/>
  <c r="AB366" i="39" s="1"/>
  <c r="U367" i="39"/>
  <c r="T367" i="39"/>
  <c r="W404" i="38"/>
  <c r="P405" i="38"/>
  <c r="Z404" i="38"/>
  <c r="X404" i="38"/>
  <c r="P368" i="37"/>
  <c r="G404" i="38"/>
  <c r="C391" i="28" s="1"/>
  <c r="M405" i="38"/>
  <c r="L405" i="38"/>
  <c r="K405" i="38"/>
  <c r="X367" i="37"/>
  <c r="Z367" i="37"/>
  <c r="V367" i="37"/>
  <c r="W367" i="37"/>
  <c r="K368" i="37"/>
  <c r="M368" i="37"/>
  <c r="I367" i="39" l="1"/>
  <c r="H367" i="39" s="1"/>
  <c r="G367" i="39" s="1"/>
  <c r="Y367" i="39"/>
  <c r="U368" i="37"/>
  <c r="U405" i="38"/>
  <c r="AA404" i="38"/>
  <c r="AB404" i="38" s="1"/>
  <c r="L391" i="28" s="1"/>
  <c r="T405" i="38"/>
  <c r="AA367" i="37"/>
  <c r="AB367" i="37" s="1"/>
  <c r="K354" i="28" s="1"/>
  <c r="T368" i="37"/>
  <c r="W367" i="39" l="1"/>
  <c r="K368" i="39"/>
  <c r="Z367" i="39"/>
  <c r="V367" i="39"/>
  <c r="P368" i="39"/>
  <c r="M368" i="39"/>
  <c r="X367" i="39"/>
  <c r="Y368" i="37"/>
  <c r="I405" i="38"/>
  <c r="H405" i="38" s="1"/>
  <c r="P406" i="38" s="1"/>
  <c r="I368" i="37"/>
  <c r="H368" i="37" s="1"/>
  <c r="X368" i="37" s="1"/>
  <c r="T368" i="39" l="1"/>
  <c r="U368" i="39"/>
  <c r="AA367" i="39"/>
  <c r="AB367" i="39" s="1"/>
  <c r="Y405" i="38"/>
  <c r="V405" i="38"/>
  <c r="Z405" i="38"/>
  <c r="X405" i="38"/>
  <c r="K406" i="38"/>
  <c r="G405" i="38"/>
  <c r="C392" i="28" s="1"/>
  <c r="W405" i="38"/>
  <c r="M406" i="38"/>
  <c r="L369" i="37"/>
  <c r="G368" i="37"/>
  <c r="B355" i="28" s="1"/>
  <c r="M369" i="37"/>
  <c r="P369" i="37"/>
  <c r="Z368" i="37"/>
  <c r="W368" i="37"/>
  <c r="V368" i="37"/>
  <c r="K369" i="37"/>
  <c r="I368" i="39" l="1"/>
  <c r="H368" i="39" s="1"/>
  <c r="M369" i="39" s="1"/>
  <c r="Y368" i="39"/>
  <c r="T406" i="38"/>
  <c r="AA405" i="38"/>
  <c r="AB405" i="38" s="1"/>
  <c r="L392" i="28" s="1"/>
  <c r="U406" i="38"/>
  <c r="I406" i="38" s="1"/>
  <c r="H406" i="38" s="1"/>
  <c r="T369" i="37"/>
  <c r="U369" i="37"/>
  <c r="Y369" i="37" s="1"/>
  <c r="AA368" i="37"/>
  <c r="AB368" i="37" s="1"/>
  <c r="K355" i="28" s="1"/>
  <c r="J378" i="37"/>
  <c r="W368" i="39" l="1"/>
  <c r="X368" i="39"/>
  <c r="Z368" i="39"/>
  <c r="P369" i="39"/>
  <c r="L369" i="39"/>
  <c r="G368" i="39"/>
  <c r="V368" i="39"/>
  <c r="K369" i="39"/>
  <c r="Y406" i="38"/>
  <c r="G406" i="38"/>
  <c r="C393" i="28" s="1"/>
  <c r="W406" i="38"/>
  <c r="Z406" i="38"/>
  <c r="X406" i="38"/>
  <c r="M407" i="38"/>
  <c r="P407" i="38"/>
  <c r="V406" i="38"/>
  <c r="K407" i="38"/>
  <c r="I369" i="37"/>
  <c r="H369" i="37" s="1"/>
  <c r="G369" i="37" s="1"/>
  <c r="B356" i="28" s="1"/>
  <c r="AA368" i="39" l="1"/>
  <c r="AB368" i="39" s="1"/>
  <c r="U369" i="39"/>
  <c r="T369" i="39"/>
  <c r="AA406" i="38"/>
  <c r="AB406" i="38" s="1"/>
  <c r="L393" i="28" s="1"/>
  <c r="U407" i="38"/>
  <c r="T407" i="38"/>
  <c r="P370" i="37"/>
  <c r="V369" i="37"/>
  <c r="W369" i="37"/>
  <c r="X369" i="37"/>
  <c r="K370" i="37"/>
  <c r="M370" i="37"/>
  <c r="Z369" i="37"/>
  <c r="J379" i="37"/>
  <c r="Y369" i="39" l="1"/>
  <c r="I369" i="39"/>
  <c r="H369" i="39" s="1"/>
  <c r="G369" i="39" s="1"/>
  <c r="Y407" i="38"/>
  <c r="I407" i="38"/>
  <c r="H407" i="38" s="1"/>
  <c r="K408" i="38" s="1"/>
  <c r="T370" i="37"/>
  <c r="U370" i="37"/>
  <c r="AA369" i="37"/>
  <c r="AB369" i="37" s="1"/>
  <c r="K356" i="28" s="1"/>
  <c r="Z369" i="39" l="1"/>
  <c r="K370" i="39"/>
  <c r="P370" i="39"/>
  <c r="M370" i="39"/>
  <c r="W369" i="39"/>
  <c r="X369" i="39"/>
  <c r="V369" i="39"/>
  <c r="P408" i="38"/>
  <c r="V407" i="38"/>
  <c r="X407" i="38"/>
  <c r="W407" i="38"/>
  <c r="Z407" i="38"/>
  <c r="M408" i="38"/>
  <c r="G407" i="38"/>
  <c r="C394" i="28" s="1"/>
  <c r="I370" i="37"/>
  <c r="H370" i="37" s="1"/>
  <c r="G370" i="37" s="1"/>
  <c r="B357" i="28" s="1"/>
  <c r="Y370" i="37"/>
  <c r="T408" i="38" l="1"/>
  <c r="T370" i="39"/>
  <c r="U370" i="39"/>
  <c r="AA369" i="39"/>
  <c r="AB369" i="39" s="1"/>
  <c r="AA407" i="38"/>
  <c r="AB407" i="38" s="1"/>
  <c r="L394" i="28" s="1"/>
  <c r="U408" i="38"/>
  <c r="Y408" i="38" s="1"/>
  <c r="K371" i="37"/>
  <c r="W370" i="37"/>
  <c r="V370" i="37"/>
  <c r="M371" i="37"/>
  <c r="P371" i="37"/>
  <c r="X370" i="37"/>
  <c r="Z370" i="37"/>
  <c r="Y370" i="39" l="1"/>
  <c r="I370" i="39"/>
  <c r="H370" i="39" s="1"/>
  <c r="G370" i="39" s="1"/>
  <c r="I408" i="38"/>
  <c r="H408" i="38" s="1"/>
  <c r="X408" i="38" s="1"/>
  <c r="AA370" i="37"/>
  <c r="AB370" i="37" s="1"/>
  <c r="K357" i="28" s="1"/>
  <c r="U371" i="37"/>
  <c r="T371" i="37"/>
  <c r="I371" i="37" l="1"/>
  <c r="H371" i="37" s="1"/>
  <c r="X371" i="37" s="1"/>
  <c r="K371" i="39"/>
  <c r="M371" i="39"/>
  <c r="X370" i="39"/>
  <c r="W370" i="39"/>
  <c r="V370" i="39"/>
  <c r="P371" i="39"/>
  <c r="Z370" i="39"/>
  <c r="Y371" i="37"/>
  <c r="Z408" i="38"/>
  <c r="K409" i="38"/>
  <c r="P409" i="38"/>
  <c r="L409" i="38"/>
  <c r="G408" i="38"/>
  <c r="C395" i="28" s="1"/>
  <c r="M409" i="38"/>
  <c r="W408" i="38"/>
  <c r="V408" i="38"/>
  <c r="M372" i="37"/>
  <c r="P372" i="37"/>
  <c r="Z371" i="37"/>
  <c r="K372" i="37"/>
  <c r="G371" i="37"/>
  <c r="B358" i="28" s="1"/>
  <c r="W371" i="37"/>
  <c r="V371" i="37"/>
  <c r="J380" i="37"/>
  <c r="AA370" i="39" l="1"/>
  <c r="AB370" i="39" s="1"/>
  <c r="T371" i="39"/>
  <c r="U371" i="39"/>
  <c r="AA408" i="38"/>
  <c r="AB408" i="38" s="1"/>
  <c r="L395" i="28" s="1"/>
  <c r="U409" i="38"/>
  <c r="T409" i="38"/>
  <c r="AA371" i="37"/>
  <c r="AB371" i="37" s="1"/>
  <c r="K358" i="28" s="1"/>
  <c r="T372" i="37"/>
  <c r="U372" i="37"/>
  <c r="I371" i="39" l="1"/>
  <c r="H371" i="39" s="1"/>
  <c r="Z371" i="39" s="1"/>
  <c r="Y371" i="39"/>
  <c r="I409" i="38"/>
  <c r="H409" i="38" s="1"/>
  <c r="Y409" i="38" s="1"/>
  <c r="Y372" i="37"/>
  <c r="I372" i="37"/>
  <c r="H372" i="37" s="1"/>
  <c r="Z372" i="37" s="1"/>
  <c r="V371" i="39" l="1"/>
  <c r="W371" i="39"/>
  <c r="X371" i="39"/>
  <c r="K372" i="39"/>
  <c r="P372" i="39"/>
  <c r="G371" i="39"/>
  <c r="M372" i="39"/>
  <c r="V409" i="38"/>
  <c r="P410" i="38"/>
  <c r="G409" i="38"/>
  <c r="C396" i="28" s="1"/>
  <c r="X409" i="38"/>
  <c r="M410" i="38"/>
  <c r="K410" i="38"/>
  <c r="W409" i="38"/>
  <c r="Z409" i="38"/>
  <c r="G372" i="37"/>
  <c r="B359" i="28" s="1"/>
  <c r="L373" i="37"/>
  <c r="M373" i="37"/>
  <c r="K373" i="37"/>
  <c r="P373" i="37"/>
  <c r="W372" i="37"/>
  <c r="X372" i="37"/>
  <c r="V372" i="37"/>
  <c r="AA371" i="39" l="1"/>
  <c r="AB371" i="39" s="1"/>
  <c r="U372" i="39"/>
  <c r="T372" i="39"/>
  <c r="T410" i="38"/>
  <c r="U410" i="38"/>
  <c r="I410" i="38" s="1"/>
  <c r="H410" i="38" s="1"/>
  <c r="AA409" i="38"/>
  <c r="AB409" i="38" s="1"/>
  <c r="L396" i="28" s="1"/>
  <c r="T373" i="37"/>
  <c r="U373" i="37"/>
  <c r="Y373" i="37" s="1"/>
  <c r="AA372" i="37"/>
  <c r="AB372" i="37" s="1"/>
  <c r="K359" i="28" s="1"/>
  <c r="I372" i="39" l="1"/>
  <c r="H372" i="39" s="1"/>
  <c r="G372" i="39" s="1"/>
  <c r="Y372" i="39"/>
  <c r="K411" i="38"/>
  <c r="M411" i="38"/>
  <c r="G410" i="38"/>
  <c r="C397" i="28" s="1"/>
  <c r="P411" i="38"/>
  <c r="X410" i="38"/>
  <c r="T411" i="38"/>
  <c r="V411" i="38" s="1"/>
  <c r="V410" i="38"/>
  <c r="Z410" i="38"/>
  <c r="Y410" i="38"/>
  <c r="W410" i="38"/>
  <c r="I373" i="37"/>
  <c r="H373" i="37" s="1"/>
  <c r="X373" i="37" s="1"/>
  <c r="X372" i="39" l="1"/>
  <c r="L373" i="39"/>
  <c r="W372" i="39"/>
  <c r="K373" i="39"/>
  <c r="M373" i="39"/>
  <c r="V372" i="39"/>
  <c r="P373" i="39"/>
  <c r="Z372" i="39"/>
  <c r="AA410" i="38"/>
  <c r="AB410" i="38" s="1"/>
  <c r="L397" i="28" s="1"/>
  <c r="W411" i="38"/>
  <c r="U411" i="38"/>
  <c r="Y411" i="38" s="1"/>
  <c r="M374" i="37"/>
  <c r="P374" i="37"/>
  <c r="G373" i="37"/>
  <c r="B360" i="28" s="1"/>
  <c r="V373" i="37"/>
  <c r="W373" i="37"/>
  <c r="K374" i="37"/>
  <c r="Z373" i="37"/>
  <c r="T373" i="39" l="1"/>
  <c r="U373" i="39"/>
  <c r="Y373" i="39" s="1"/>
  <c r="AA372" i="39"/>
  <c r="AB372" i="39" s="1"/>
  <c r="I411" i="38"/>
  <c r="H411" i="38" s="1"/>
  <c r="U374" i="37"/>
  <c r="AA373" i="37"/>
  <c r="AB373" i="37" s="1"/>
  <c r="K360" i="28" s="1"/>
  <c r="T374" i="37"/>
  <c r="I373" i="39" l="1"/>
  <c r="H373" i="39" s="1"/>
  <c r="G373" i="39" s="1"/>
  <c r="Y374" i="37"/>
  <c r="Z411" i="38"/>
  <c r="K412" i="38"/>
  <c r="M412" i="38"/>
  <c r="G411" i="38"/>
  <c r="C398" i="28" s="1"/>
  <c r="X411" i="38"/>
  <c r="AA411" i="38" s="1"/>
  <c r="AB411" i="38" s="1"/>
  <c r="L398" i="28" s="1"/>
  <c r="P412" i="38"/>
  <c r="I374" i="37"/>
  <c r="H374" i="37" s="1"/>
  <c r="X374" i="37" s="1"/>
  <c r="V374" i="37" l="1"/>
  <c r="V373" i="39"/>
  <c r="P374" i="39"/>
  <c r="Z373" i="39"/>
  <c r="X373" i="39"/>
  <c r="M374" i="39"/>
  <c r="W373" i="39"/>
  <c r="K374" i="39"/>
  <c r="Z374" i="37"/>
  <c r="M375" i="37"/>
  <c r="K375" i="37"/>
  <c r="W374" i="37"/>
  <c r="AA374" i="37" s="1"/>
  <c r="AB374" i="37" s="1"/>
  <c r="K361" i="28" s="1"/>
  <c r="G374" i="37"/>
  <c r="B361" i="28" s="1"/>
  <c r="P375" i="37"/>
  <c r="U375" i="37" s="1"/>
  <c r="T412" i="38"/>
  <c r="U412" i="38"/>
  <c r="Y412" i="38" s="1"/>
  <c r="U374" i="39" l="1"/>
  <c r="AA373" i="39"/>
  <c r="AB373" i="39" s="1"/>
  <c r="T374" i="39"/>
  <c r="T375" i="37"/>
  <c r="Y375" i="37" s="1"/>
  <c r="I412" i="38"/>
  <c r="H412" i="38" s="1"/>
  <c r="I375" i="37" l="1"/>
  <c r="H375" i="37" s="1"/>
  <c r="X375" i="37" s="1"/>
  <c r="Y374" i="39"/>
  <c r="I374" i="39"/>
  <c r="H374" i="39" s="1"/>
  <c r="G412" i="38"/>
  <c r="C399" i="28" s="1"/>
  <c r="P413" i="38"/>
  <c r="M413" i="38"/>
  <c r="Z412" i="38"/>
  <c r="K413" i="38"/>
  <c r="V412" i="38"/>
  <c r="L413" i="38"/>
  <c r="X412" i="38"/>
  <c r="W412" i="38"/>
  <c r="Z375" i="37"/>
  <c r="V375" i="37"/>
  <c r="W375" i="37"/>
  <c r="P376" i="37"/>
  <c r="G375" i="37"/>
  <c r="B362" i="28" s="1"/>
  <c r="M376" i="37"/>
  <c r="K376" i="37"/>
  <c r="J384" i="37"/>
  <c r="W374" i="39" l="1"/>
  <c r="M375" i="39"/>
  <c r="K375" i="39"/>
  <c r="X374" i="39"/>
  <c r="Z374" i="39"/>
  <c r="V374" i="39"/>
  <c r="G374" i="39"/>
  <c r="P375" i="39"/>
  <c r="AA412" i="38"/>
  <c r="AB412" i="38" s="1"/>
  <c r="L399" i="28" s="1"/>
  <c r="U413" i="38"/>
  <c r="T413" i="38"/>
  <c r="T376" i="37"/>
  <c r="U376" i="37"/>
  <c r="AA375" i="37"/>
  <c r="AB375" i="37" s="1"/>
  <c r="K362" i="28" s="1"/>
  <c r="AA374" i="39" l="1"/>
  <c r="AB374" i="39" s="1"/>
  <c r="U375" i="39"/>
  <c r="T375" i="39"/>
  <c r="I413" i="38"/>
  <c r="H413" i="38" s="1"/>
  <c r="Y413" i="38"/>
  <c r="W413" i="38"/>
  <c r="Z413" i="38"/>
  <c r="I376" i="37"/>
  <c r="H376" i="37" s="1"/>
  <c r="Y376" i="37" s="1"/>
  <c r="I375" i="39" l="1"/>
  <c r="H375" i="39" s="1"/>
  <c r="X375" i="39" s="1"/>
  <c r="Y375" i="39"/>
  <c r="M414" i="38"/>
  <c r="G413" i="38"/>
  <c r="C400" i="28" s="1"/>
  <c r="K414" i="38"/>
  <c r="X413" i="38"/>
  <c r="P414" i="38"/>
  <c r="U414" i="38" s="1"/>
  <c r="V413" i="38"/>
  <c r="X376" i="37"/>
  <c r="V376" i="37"/>
  <c r="Z376" i="37"/>
  <c r="W376" i="37"/>
  <c r="G376" i="37"/>
  <c r="B363" i="28" s="1"/>
  <c r="P377" i="37"/>
  <c r="M377" i="37"/>
  <c r="L377" i="37"/>
  <c r="K377" i="37"/>
  <c r="T414" i="38" l="1"/>
  <c r="Z375" i="39"/>
  <c r="P376" i="39"/>
  <c r="W375" i="39"/>
  <c r="V375" i="39"/>
  <c r="K376" i="39"/>
  <c r="M376" i="39"/>
  <c r="G375" i="39"/>
  <c r="AA413" i="38"/>
  <c r="AB413" i="38" s="1"/>
  <c r="L400" i="28" s="1"/>
  <c r="I414" i="38"/>
  <c r="H414" i="38" s="1"/>
  <c r="Y414" i="38"/>
  <c r="V414" i="38"/>
  <c r="T377" i="37"/>
  <c r="U377" i="37"/>
  <c r="AA376" i="37"/>
  <c r="AB376" i="37" s="1"/>
  <c r="K363" i="28" s="1"/>
  <c r="J385" i="37"/>
  <c r="AA375" i="39" l="1"/>
  <c r="AB375" i="39" s="1"/>
  <c r="U376" i="39"/>
  <c r="T376" i="39"/>
  <c r="W414" i="38"/>
  <c r="X414" i="38"/>
  <c r="K415" i="38"/>
  <c r="M415" i="38"/>
  <c r="P415" i="38"/>
  <c r="G414" i="38"/>
  <c r="C401" i="28" s="1"/>
  <c r="Z414" i="38"/>
  <c r="I377" i="37"/>
  <c r="H377" i="37" s="1"/>
  <c r="X377" i="37" s="1"/>
  <c r="I376" i="39" l="1"/>
  <c r="H376" i="39" s="1"/>
  <c r="M377" i="39" s="1"/>
  <c r="AA414" i="38"/>
  <c r="AB414" i="38" s="1"/>
  <c r="L401" i="28" s="1"/>
  <c r="T415" i="38"/>
  <c r="U415" i="38"/>
  <c r="I415" i="38" s="1"/>
  <c r="H415" i="38" s="1"/>
  <c r="Y377" i="37"/>
  <c r="W377" i="37"/>
  <c r="Z377" i="37"/>
  <c r="V377" i="37"/>
  <c r="G377" i="37"/>
  <c r="B364" i="28" s="1"/>
  <c r="P378" i="37"/>
  <c r="M378" i="37"/>
  <c r="K378" i="37"/>
  <c r="Y376" i="39" l="1"/>
  <c r="W376" i="39"/>
  <c r="X376" i="39"/>
  <c r="P377" i="39"/>
  <c r="V376" i="39"/>
  <c r="K377" i="39"/>
  <c r="G376" i="39"/>
  <c r="L377" i="39"/>
  <c r="Z376" i="39"/>
  <c r="G415" i="38"/>
  <c r="C402" i="28" s="1"/>
  <c r="P416" i="38"/>
  <c r="W415" i="38"/>
  <c r="V415" i="38"/>
  <c r="X415" i="38"/>
  <c r="M416" i="38"/>
  <c r="Z415" i="38"/>
  <c r="K416" i="38"/>
  <c r="Y415" i="38"/>
  <c r="T378" i="37"/>
  <c r="U378" i="37"/>
  <c r="AA377" i="37"/>
  <c r="AB377" i="37" s="1"/>
  <c r="K364" i="28" s="1"/>
  <c r="J386" i="37"/>
  <c r="U377" i="39" l="1"/>
  <c r="AA376" i="39"/>
  <c r="AB376" i="39" s="1"/>
  <c r="T377" i="39"/>
  <c r="T416" i="38"/>
  <c r="AA415" i="38"/>
  <c r="AB415" i="38" s="1"/>
  <c r="L402" i="28" s="1"/>
  <c r="U416" i="38"/>
  <c r="Y416" i="38" s="1"/>
  <c r="Y378" i="37"/>
  <c r="I378" i="37"/>
  <c r="H378" i="37" s="1"/>
  <c r="Z378" i="37" s="1"/>
  <c r="I377" i="39" l="1"/>
  <c r="H377" i="39" s="1"/>
  <c r="Y377" i="39" s="1"/>
  <c r="I416" i="38"/>
  <c r="H416" i="38" s="1"/>
  <c r="G416" i="38" s="1"/>
  <c r="C403" i="28" s="1"/>
  <c r="L417" i="38"/>
  <c r="K417" i="38"/>
  <c r="P417" i="38"/>
  <c r="Z416" i="38"/>
  <c r="X378" i="37"/>
  <c r="W378" i="37"/>
  <c r="V378" i="37"/>
  <c r="G378" i="37"/>
  <c r="B365" i="28" s="1"/>
  <c r="P379" i="37"/>
  <c r="K379" i="37"/>
  <c r="M379" i="37"/>
  <c r="Z377" i="39" l="1"/>
  <c r="V377" i="39"/>
  <c r="K378" i="39"/>
  <c r="X377" i="39"/>
  <c r="P378" i="39"/>
  <c r="M378" i="39"/>
  <c r="W377" i="39"/>
  <c r="G377" i="39"/>
  <c r="M417" i="38"/>
  <c r="T417" i="38" s="1"/>
  <c r="V416" i="38"/>
  <c r="W416" i="38"/>
  <c r="X416" i="38"/>
  <c r="T379" i="37"/>
  <c r="U379" i="37"/>
  <c r="AA378" i="37"/>
  <c r="AB378" i="37" s="1"/>
  <c r="K365" i="28" s="1"/>
  <c r="AA416" i="38" l="1"/>
  <c r="AB416" i="38" s="1"/>
  <c r="L403" i="28" s="1"/>
  <c r="T378" i="39"/>
  <c r="AA377" i="39"/>
  <c r="AB377" i="39" s="1"/>
  <c r="U378" i="39"/>
  <c r="U417" i="38"/>
  <c r="Y417" i="38" s="1"/>
  <c r="Y379" i="37"/>
  <c r="I379" i="37"/>
  <c r="H379" i="37" s="1"/>
  <c r="V379" i="37" s="1"/>
  <c r="J387" i="37"/>
  <c r="I378" i="39" l="1"/>
  <c r="H378" i="39" s="1"/>
  <c r="X378" i="39" s="1"/>
  <c r="Y378" i="39"/>
  <c r="M379" i="39"/>
  <c r="W378" i="39"/>
  <c r="Z378" i="39"/>
  <c r="G378" i="39"/>
  <c r="V378" i="39"/>
  <c r="K379" i="39"/>
  <c r="P379" i="39"/>
  <c r="I417" i="38"/>
  <c r="H417" i="38" s="1"/>
  <c r="W379" i="37"/>
  <c r="X379" i="37"/>
  <c r="Z379" i="37"/>
  <c r="K380" i="37"/>
  <c r="P380" i="37"/>
  <c r="G379" i="37"/>
  <c r="B366" i="28" s="1"/>
  <c r="M380" i="37"/>
  <c r="AA378" i="39" l="1"/>
  <c r="AB378" i="39" s="1"/>
  <c r="U379" i="39"/>
  <c r="T379" i="39"/>
  <c r="G417" i="38"/>
  <c r="C404" i="28" s="1"/>
  <c r="W417" i="38"/>
  <c r="V417" i="38"/>
  <c r="Z417" i="38"/>
  <c r="X417" i="38"/>
  <c r="T380" i="37"/>
  <c r="U380" i="37"/>
  <c r="AA379" i="37"/>
  <c r="AB379" i="37" s="1"/>
  <c r="K366" i="28" s="1"/>
  <c r="I379" i="39" l="1"/>
  <c r="H379" i="39" s="1"/>
  <c r="X379" i="39" s="1"/>
  <c r="Y379" i="39"/>
  <c r="AA417" i="38"/>
  <c r="AB417" i="38" s="1"/>
  <c r="L404" i="28" s="1"/>
  <c r="I380" i="37"/>
  <c r="H380" i="37" s="1"/>
  <c r="X380" i="37" s="1"/>
  <c r="Y380" i="37"/>
  <c r="Z379" i="39" l="1"/>
  <c r="M380" i="39"/>
  <c r="P380" i="39"/>
  <c r="K380" i="39"/>
  <c r="T380" i="39" s="1"/>
  <c r="V379" i="39"/>
  <c r="U380" i="39"/>
  <c r="W379" i="39"/>
  <c r="G379" i="39"/>
  <c r="V380" i="37"/>
  <c r="G380" i="37"/>
  <c r="B367" i="28" s="1"/>
  <c r="Z380" i="37"/>
  <c r="W380" i="37"/>
  <c r="L381" i="37"/>
  <c r="M381" i="37"/>
  <c r="P381" i="37"/>
  <c r="K381" i="37"/>
  <c r="J388" i="37"/>
  <c r="AA379" i="39" l="1"/>
  <c r="AB379" i="39" s="1"/>
  <c r="Y380" i="39"/>
  <c r="I380" i="39"/>
  <c r="H380" i="39" s="1"/>
  <c r="V380" i="39" s="1"/>
  <c r="AA380" i="37"/>
  <c r="AB380" i="37" s="1"/>
  <c r="K367" i="28" s="1"/>
  <c r="U381" i="37"/>
  <c r="T381" i="37"/>
  <c r="P381" i="39" l="1"/>
  <c r="L381" i="39"/>
  <c r="K381" i="39"/>
  <c r="M381" i="39"/>
  <c r="Z380" i="39"/>
  <c r="X380" i="39"/>
  <c r="G380" i="39"/>
  <c r="W380" i="39"/>
  <c r="Y381" i="37"/>
  <c r="I381" i="37"/>
  <c r="H381" i="37" s="1"/>
  <c r="Z381" i="37" s="1"/>
  <c r="U381" i="39" l="1"/>
  <c r="AA380" i="39"/>
  <c r="AB380" i="39" s="1"/>
  <c r="T381" i="39"/>
  <c r="K382" i="37"/>
  <c r="X381" i="37"/>
  <c r="V381" i="37"/>
  <c r="W381" i="37"/>
  <c r="M382" i="37"/>
  <c r="G381" i="37"/>
  <c r="B368" i="28" s="1"/>
  <c r="P382" i="37"/>
  <c r="I381" i="39" l="1"/>
  <c r="H381" i="39" s="1"/>
  <c r="Z381" i="39" s="1"/>
  <c r="Y381" i="39"/>
  <c r="U382" i="37"/>
  <c r="T382" i="37"/>
  <c r="AA381" i="37"/>
  <c r="AB381" i="37" s="1"/>
  <c r="K368" i="28" s="1"/>
  <c r="J389" i="37"/>
  <c r="V381" i="39" l="1"/>
  <c r="X381" i="39"/>
  <c r="G381" i="39"/>
  <c r="K382" i="39"/>
  <c r="P382" i="39"/>
  <c r="M382" i="39"/>
  <c r="W381" i="39"/>
  <c r="Y382" i="37"/>
  <c r="I382" i="37"/>
  <c r="H382" i="37" s="1"/>
  <c r="X382" i="37" s="1"/>
  <c r="T382" i="39" l="1"/>
  <c r="U382" i="39"/>
  <c r="Y382" i="39" s="1"/>
  <c r="AA381" i="39"/>
  <c r="AB381" i="39" s="1"/>
  <c r="M383" i="37"/>
  <c r="W382" i="37"/>
  <c r="V382" i="37"/>
  <c r="G382" i="37"/>
  <c r="B369" i="28" s="1"/>
  <c r="Z382" i="37"/>
  <c r="K383" i="37"/>
  <c r="P383" i="37"/>
  <c r="I382" i="39" l="1"/>
  <c r="H382" i="39" s="1"/>
  <c r="W382" i="39" s="1"/>
  <c r="V382" i="39"/>
  <c r="M383" i="39"/>
  <c r="P383" i="39"/>
  <c r="U383" i="37"/>
  <c r="AA382" i="37"/>
  <c r="AB382" i="37" s="1"/>
  <c r="K369" i="28" s="1"/>
  <c r="T383" i="37"/>
  <c r="X382" i="39" l="1"/>
  <c r="K383" i="39"/>
  <c r="T383" i="39" s="1"/>
  <c r="G382" i="39"/>
  <c r="Z382" i="39"/>
  <c r="AA382" i="39"/>
  <c r="AB382" i="39" s="1"/>
  <c r="U383" i="39"/>
  <c r="I383" i="37"/>
  <c r="H383" i="37" s="1"/>
  <c r="X383" i="37" s="1"/>
  <c r="Y383" i="37"/>
  <c r="R103" i="28"/>
  <c r="M384" i="37" l="1"/>
  <c r="V383" i="37"/>
  <c r="I383" i="39"/>
  <c r="H383" i="39" s="1"/>
  <c r="V383" i="39" s="1"/>
  <c r="K384" i="37"/>
  <c r="Y383" i="39"/>
  <c r="G383" i="37"/>
  <c r="B370" i="28" s="1"/>
  <c r="P384" i="37"/>
  <c r="U384" i="37" s="1"/>
  <c r="W383" i="37"/>
  <c r="Z383" i="37"/>
  <c r="G383" i="39" l="1"/>
  <c r="X383" i="39"/>
  <c r="W383" i="39"/>
  <c r="K384" i="39"/>
  <c r="M384" i="39"/>
  <c r="P384" i="39"/>
  <c r="Z383" i="39"/>
  <c r="T384" i="37"/>
  <c r="Y384" i="37" s="1"/>
  <c r="AA383" i="37"/>
  <c r="AB383" i="37" s="1"/>
  <c r="K370" i="28" s="1"/>
  <c r="I3" i="29"/>
  <c r="I384" i="37" l="1"/>
  <c r="H384" i="37" s="1"/>
  <c r="Z384" i="37" s="1"/>
  <c r="AA383" i="39"/>
  <c r="AB383" i="39" s="1"/>
  <c r="U384" i="39"/>
  <c r="T384" i="39"/>
  <c r="W384" i="37"/>
  <c r="X384" i="37"/>
  <c r="V384" i="37"/>
  <c r="M385" i="37"/>
  <c r="P385" i="37"/>
  <c r="K385" i="37"/>
  <c r="L385" i="37"/>
  <c r="G384" i="37"/>
  <c r="B371" i="28" s="1"/>
  <c r="R3" i="28"/>
  <c r="R4" i="28"/>
  <c r="R5" i="28"/>
  <c r="R6" i="28"/>
  <c r="R7" i="28"/>
  <c r="R8" i="28"/>
  <c r="R9" i="28"/>
  <c r="R10" i="28"/>
  <c r="R11" i="28"/>
  <c r="R12" i="28"/>
  <c r="R13" i="28"/>
  <c r="R14" i="28"/>
  <c r="R15" i="28"/>
  <c r="R16" i="28"/>
  <c r="R17" i="28"/>
  <c r="R18" i="28"/>
  <c r="R19" i="28"/>
  <c r="R20" i="28"/>
  <c r="R21" i="28"/>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54" i="28"/>
  <c r="R55" i="28"/>
  <c r="R56" i="28"/>
  <c r="R57" i="28"/>
  <c r="R58" i="28"/>
  <c r="R59" i="28"/>
  <c r="R60" i="28"/>
  <c r="R61" i="28"/>
  <c r="R62" i="28"/>
  <c r="R63" i="28"/>
  <c r="R64" i="28"/>
  <c r="R65" i="28"/>
  <c r="R66" i="28"/>
  <c r="R67" i="28"/>
  <c r="R68" i="28"/>
  <c r="R69" i="28"/>
  <c r="R70" i="28"/>
  <c r="R71" i="28"/>
  <c r="R72" i="28"/>
  <c r="R73" i="28"/>
  <c r="R74" i="28"/>
  <c r="R75" i="28"/>
  <c r="R76" i="28"/>
  <c r="R77" i="28"/>
  <c r="R78" i="28"/>
  <c r="R79" i="28"/>
  <c r="R80" i="28"/>
  <c r="R81" i="28"/>
  <c r="R82" i="28"/>
  <c r="R83" i="28"/>
  <c r="R84" i="28"/>
  <c r="R85" i="28"/>
  <c r="R86" i="28"/>
  <c r="R87" i="28"/>
  <c r="R88" i="28"/>
  <c r="R89" i="28"/>
  <c r="R90" i="28"/>
  <c r="R91" i="28"/>
  <c r="R92" i="28"/>
  <c r="R93" i="28"/>
  <c r="R94" i="28"/>
  <c r="R95" i="28"/>
  <c r="R96" i="28"/>
  <c r="R97" i="28"/>
  <c r="R98" i="28"/>
  <c r="R99" i="28"/>
  <c r="R100" i="28"/>
  <c r="R101" i="28"/>
  <c r="R102" i="28"/>
  <c r="Y384" i="39" l="1"/>
  <c r="I384" i="39"/>
  <c r="H384" i="39" s="1"/>
  <c r="K385" i="39" s="1"/>
  <c r="T385" i="37"/>
  <c r="R104" i="28"/>
  <c r="I4" i="29"/>
  <c r="I5" i="29" s="1"/>
  <c r="U385" i="37"/>
  <c r="AA384" i="37"/>
  <c r="AB384" i="37" s="1"/>
  <c r="K371" i="28" s="1"/>
  <c r="Z384" i="39" l="1"/>
  <c r="G384" i="39"/>
  <c r="M385" i="39"/>
  <c r="W384" i="39"/>
  <c r="L385" i="39"/>
  <c r="P385" i="39"/>
  <c r="V384" i="39"/>
  <c r="X384" i="39"/>
  <c r="Y385" i="37"/>
  <c r="I385" i="37"/>
  <c r="H385" i="37" s="1"/>
  <c r="Z385" i="37" s="1"/>
  <c r="AA384" i="39" l="1"/>
  <c r="AB384" i="39" s="1"/>
  <c r="U385" i="39"/>
  <c r="T385" i="39"/>
  <c r="X385" i="37"/>
  <c r="V385" i="37"/>
  <c r="W385" i="37"/>
  <c r="P386" i="37"/>
  <c r="G385" i="37"/>
  <c r="B372" i="28" s="1"/>
  <c r="K386" i="37"/>
  <c r="M386" i="37"/>
  <c r="Y385" i="39" l="1"/>
  <c r="I385" i="39"/>
  <c r="H385" i="39" s="1"/>
  <c r="G385" i="39" s="1"/>
  <c r="T386" i="37"/>
  <c r="U386" i="37"/>
  <c r="AA385" i="37"/>
  <c r="AB385" i="37" s="1"/>
  <c r="K372" i="28" s="1"/>
  <c r="P386" i="39" l="1"/>
  <c r="M386" i="39"/>
  <c r="X385" i="39"/>
  <c r="W385" i="39"/>
  <c r="K386" i="39"/>
  <c r="Z385" i="39"/>
  <c r="V385" i="39"/>
  <c r="Y386" i="37"/>
  <c r="I386" i="37"/>
  <c r="H386" i="37" s="1"/>
  <c r="T386" i="39" l="1"/>
  <c r="U386" i="39"/>
  <c r="I386" i="39" s="1"/>
  <c r="H386" i="39" s="1"/>
  <c r="AA385" i="39"/>
  <c r="AB385" i="39" s="1"/>
  <c r="V386" i="37"/>
  <c r="X386" i="37"/>
  <c r="Z386" i="37"/>
  <c r="W386" i="37"/>
  <c r="P387" i="37"/>
  <c r="K387" i="37"/>
  <c r="G386" i="37"/>
  <c r="B373" i="28" s="1"/>
  <c r="M387" i="37"/>
  <c r="Y386" i="39" l="1"/>
  <c r="V386" i="39"/>
  <c r="X386" i="39"/>
  <c r="P387" i="39"/>
  <c r="G386" i="39"/>
  <c r="M387" i="39"/>
  <c r="W386" i="39"/>
  <c r="Z386" i="39"/>
  <c r="K387" i="39"/>
  <c r="T387" i="37"/>
  <c r="U387" i="37"/>
  <c r="AA386" i="37"/>
  <c r="AB386" i="37" s="1"/>
  <c r="K373" i="28" s="1"/>
  <c r="J394" i="37"/>
  <c r="AA386" i="39" l="1"/>
  <c r="AB386" i="39" s="1"/>
  <c r="U387" i="39"/>
  <c r="T387" i="39"/>
  <c r="Y387" i="37"/>
  <c r="I387" i="37"/>
  <c r="H387" i="37" s="1"/>
  <c r="X387" i="37" s="1"/>
  <c r="Y387" i="39" l="1"/>
  <c r="I387" i="39"/>
  <c r="H387" i="39" s="1"/>
  <c r="V387" i="39" s="1"/>
  <c r="W387" i="37"/>
  <c r="V387" i="37"/>
  <c r="Z387" i="37"/>
  <c r="P388" i="37"/>
  <c r="G387" i="37"/>
  <c r="B374" i="28" s="1"/>
  <c r="K388" i="37"/>
  <c r="M388" i="37"/>
  <c r="X387" i="39" l="1"/>
  <c r="K388" i="39"/>
  <c r="P388" i="39"/>
  <c r="W387" i="39"/>
  <c r="M388" i="39"/>
  <c r="Z387" i="39"/>
  <c r="G387" i="39"/>
  <c r="T388" i="37"/>
  <c r="U388" i="37"/>
  <c r="AA387" i="37"/>
  <c r="AB387" i="37" s="1"/>
  <c r="K374" i="28" s="1"/>
  <c r="AA387" i="39" l="1"/>
  <c r="AB387" i="39" s="1"/>
  <c r="T388" i="39"/>
  <c r="U388" i="39"/>
  <c r="Y388" i="37"/>
  <c r="I388" i="37"/>
  <c r="H388" i="37" s="1"/>
  <c r="J395" i="37"/>
  <c r="I388" i="39" l="1"/>
  <c r="H388" i="39" s="1"/>
  <c r="K389" i="39" s="1"/>
  <c r="Y388" i="39"/>
  <c r="X388" i="39"/>
  <c r="M389" i="39"/>
  <c r="W388" i="39"/>
  <c r="L389" i="39"/>
  <c r="Z388" i="39"/>
  <c r="G388" i="39"/>
  <c r="P389" i="39"/>
  <c r="V388" i="39"/>
  <c r="W388" i="37"/>
  <c r="X388" i="37"/>
  <c r="V388" i="37"/>
  <c r="Z388" i="37"/>
  <c r="P389" i="37"/>
  <c r="M389" i="37"/>
  <c r="L389" i="37"/>
  <c r="G388" i="37"/>
  <c r="B375" i="28" s="1"/>
  <c r="K389" i="37"/>
  <c r="AA388" i="39" l="1"/>
  <c r="AB388" i="39" s="1"/>
  <c r="U389" i="39"/>
  <c r="T389" i="39"/>
  <c r="T389" i="37"/>
  <c r="U389" i="37"/>
  <c r="AA388" i="37"/>
  <c r="AB388" i="37" s="1"/>
  <c r="K375" i="28" s="1"/>
  <c r="Y389" i="39" l="1"/>
  <c r="I389" i="39"/>
  <c r="H389" i="39" s="1"/>
  <c r="K390" i="39" s="1"/>
  <c r="I389" i="37"/>
  <c r="H389" i="37" s="1"/>
  <c r="X389" i="37" s="1"/>
  <c r="Y389" i="37"/>
  <c r="J396" i="37"/>
  <c r="Z389" i="39" l="1"/>
  <c r="V389" i="39"/>
  <c r="P390" i="39"/>
  <c r="J390" i="39"/>
  <c r="X389" i="39"/>
  <c r="W389" i="39"/>
  <c r="AA389" i="39" s="1"/>
  <c r="AB389" i="39" s="1"/>
  <c r="G389" i="39"/>
  <c r="M390" i="39"/>
  <c r="Z389" i="37"/>
  <c r="V389" i="37"/>
  <c r="J390" i="37"/>
  <c r="P390" i="37"/>
  <c r="W389" i="37"/>
  <c r="K390" i="37"/>
  <c r="G389" i="37"/>
  <c r="B376" i="28" s="1"/>
  <c r="M390" i="37"/>
  <c r="U390" i="39" l="1"/>
  <c r="T390" i="39"/>
  <c r="W390" i="39" s="1"/>
  <c r="AA389" i="37"/>
  <c r="AB389" i="37" s="1"/>
  <c r="K376" i="28" s="1"/>
  <c r="U390" i="37"/>
  <c r="T390" i="37"/>
  <c r="V390" i="37" s="1"/>
  <c r="V390" i="39" l="1"/>
  <c r="I390" i="39"/>
  <c r="H390" i="39" s="1"/>
  <c r="Z390" i="39" s="1"/>
  <c r="W390" i="37"/>
  <c r="I390" i="37"/>
  <c r="H390" i="37" s="1"/>
  <c r="X390" i="37" s="1"/>
  <c r="J397" i="37"/>
  <c r="X390" i="39" l="1"/>
  <c r="Y390" i="39"/>
  <c r="M391" i="39"/>
  <c r="P391" i="39"/>
  <c r="K391" i="39"/>
  <c r="G390" i="39"/>
  <c r="J391" i="39"/>
  <c r="J391" i="37"/>
  <c r="Z390" i="37"/>
  <c r="M391" i="37"/>
  <c r="P391" i="37"/>
  <c r="G390" i="37"/>
  <c r="B377" i="28" s="1"/>
  <c r="Y390" i="37"/>
  <c r="K391" i="37"/>
  <c r="AA390" i="39" l="1"/>
  <c r="AB390" i="39" s="1"/>
  <c r="T391" i="39"/>
  <c r="U391" i="39"/>
  <c r="AA390" i="37"/>
  <c r="AB390" i="37" s="1"/>
  <c r="K377" i="28" s="1"/>
  <c r="T391" i="37"/>
  <c r="U391" i="37"/>
  <c r="I391" i="39" l="1"/>
  <c r="H391" i="39" s="1"/>
  <c r="V391" i="39" s="1"/>
  <c r="Y391" i="39"/>
  <c r="W391" i="39"/>
  <c r="X391" i="39"/>
  <c r="M392" i="39"/>
  <c r="J392" i="39"/>
  <c r="P392" i="39"/>
  <c r="G391" i="39"/>
  <c r="I391" i="37"/>
  <c r="H391" i="37" s="1"/>
  <c r="X391" i="37" s="1"/>
  <c r="Y391" i="37"/>
  <c r="J398" i="37"/>
  <c r="K392" i="39" l="1"/>
  <c r="T392" i="39" s="1"/>
  <c r="Z391" i="39"/>
  <c r="AA391" i="39" s="1"/>
  <c r="AB391" i="39" s="1"/>
  <c r="M392" i="37"/>
  <c r="Z391" i="37"/>
  <c r="W391" i="37"/>
  <c r="G391" i="37"/>
  <c r="B378" i="28" s="1"/>
  <c r="K392" i="37"/>
  <c r="P392" i="37"/>
  <c r="J392" i="37"/>
  <c r="V391" i="37"/>
  <c r="U392" i="39" l="1"/>
  <c r="I392" i="39" s="1"/>
  <c r="H392" i="39" s="1"/>
  <c r="W392" i="39" s="1"/>
  <c r="T392" i="37"/>
  <c r="AA391" i="37"/>
  <c r="AB391" i="37" s="1"/>
  <c r="K378" i="28" s="1"/>
  <c r="U392" i="37"/>
  <c r="I392" i="37" s="1"/>
  <c r="H392" i="37" s="1"/>
  <c r="X392" i="37" s="1"/>
  <c r="X392" i="39" l="1"/>
  <c r="P393" i="39"/>
  <c r="M393" i="39"/>
  <c r="V392" i="39"/>
  <c r="Y392" i="39"/>
  <c r="J393" i="39"/>
  <c r="L393" i="39"/>
  <c r="K393" i="39"/>
  <c r="G392" i="39"/>
  <c r="Z392" i="39"/>
  <c r="Y392" i="37"/>
  <c r="Z392" i="37"/>
  <c r="W392" i="37"/>
  <c r="V392" i="37"/>
  <c r="G392" i="37"/>
  <c r="B379" i="28" s="1"/>
  <c r="P393" i="37"/>
  <c r="M393" i="37"/>
  <c r="K393" i="37"/>
  <c r="J393" i="37"/>
  <c r="L393" i="37"/>
  <c r="AA392" i="39" l="1"/>
  <c r="AB392" i="39" s="1"/>
  <c r="U393" i="39"/>
  <c r="T393" i="39"/>
  <c r="T393" i="37"/>
  <c r="U393" i="37"/>
  <c r="AA392" i="37"/>
  <c r="AB392" i="37" s="1"/>
  <c r="K379" i="28" s="1"/>
  <c r="J399" i="37"/>
  <c r="I393" i="39" l="1"/>
  <c r="H393" i="39" s="1"/>
  <c r="X393" i="39" s="1"/>
  <c r="Y393" i="39"/>
  <c r="W393" i="39"/>
  <c r="P394" i="39"/>
  <c r="M394" i="39"/>
  <c r="G393" i="39"/>
  <c r="K394" i="39"/>
  <c r="V393" i="39"/>
  <c r="Z393" i="39"/>
  <c r="I393" i="37"/>
  <c r="H393" i="37" s="1"/>
  <c r="X393" i="37" s="1"/>
  <c r="AA393" i="39" l="1"/>
  <c r="AB393" i="39" s="1"/>
  <c r="U394" i="39"/>
  <c r="T394" i="39"/>
  <c r="G393" i="37"/>
  <c r="B380" i="28" s="1"/>
  <c r="V393" i="37"/>
  <c r="P394" i="37"/>
  <c r="Y393" i="37"/>
  <c r="W393" i="37"/>
  <c r="M394" i="37"/>
  <c r="K394" i="37"/>
  <c r="Z393" i="37"/>
  <c r="J400" i="37"/>
  <c r="I394" i="39" l="1"/>
  <c r="H394" i="39" s="1"/>
  <c r="Y394" i="39" s="1"/>
  <c r="V394" i="39"/>
  <c r="W394" i="39"/>
  <c r="P395" i="39"/>
  <c r="X394" i="39"/>
  <c r="K395" i="39"/>
  <c r="M395" i="39"/>
  <c r="Z394" i="39"/>
  <c r="T394" i="37"/>
  <c r="U394" i="37"/>
  <c r="AA393" i="37"/>
  <c r="AB393" i="37" s="1"/>
  <c r="K380" i="28" s="1"/>
  <c r="G394" i="39" l="1"/>
  <c r="AA394" i="39"/>
  <c r="AB394" i="39" s="1"/>
  <c r="T395" i="39"/>
  <c r="V395" i="39" s="1"/>
  <c r="U395" i="39"/>
  <c r="I394" i="37"/>
  <c r="H394" i="37" s="1"/>
  <c r="X394" i="37" s="1"/>
  <c r="I395" i="39" l="1"/>
  <c r="H395" i="39" s="1"/>
  <c r="X395" i="39" s="1"/>
  <c r="W395" i="39"/>
  <c r="Y395" i="39"/>
  <c r="V394" i="37"/>
  <c r="W394" i="37"/>
  <c r="Z394" i="37"/>
  <c r="K395" i="37"/>
  <c r="G394" i="37"/>
  <c r="B381" i="28" s="1"/>
  <c r="M395" i="37"/>
  <c r="Y394" i="37"/>
  <c r="P395" i="37"/>
  <c r="P396" i="39" l="1"/>
  <c r="G395" i="39"/>
  <c r="K396" i="39"/>
  <c r="M396" i="39"/>
  <c r="Z395" i="39"/>
  <c r="AA395" i="39" s="1"/>
  <c r="AB395" i="39" s="1"/>
  <c r="AA394" i="37"/>
  <c r="AB394" i="37" s="1"/>
  <c r="K381" i="28" s="1"/>
  <c r="T395" i="37"/>
  <c r="V395" i="37" s="1"/>
  <c r="U395" i="37"/>
  <c r="T396" i="39" l="1"/>
  <c r="U396" i="39"/>
  <c r="W395" i="37"/>
  <c r="I395" i="37"/>
  <c r="H395" i="37" s="1"/>
  <c r="X395" i="37" s="1"/>
  <c r="Y395" i="37"/>
  <c r="I396" i="39" l="1"/>
  <c r="H396" i="39" s="1"/>
  <c r="W396" i="39" s="1"/>
  <c r="Y396" i="39"/>
  <c r="P397" i="39"/>
  <c r="M397" i="39"/>
  <c r="Z396" i="39"/>
  <c r="K397" i="39"/>
  <c r="V396" i="39"/>
  <c r="L397" i="39"/>
  <c r="X396" i="39"/>
  <c r="P396" i="37"/>
  <c r="K396" i="37"/>
  <c r="G395" i="37"/>
  <c r="B382" i="28" s="1"/>
  <c r="Z395" i="37"/>
  <c r="AA395" i="37" s="1"/>
  <c r="AB395" i="37" s="1"/>
  <c r="K382" i="28" s="1"/>
  <c r="M396" i="37"/>
  <c r="J402" i="37"/>
  <c r="G396" i="39" l="1"/>
  <c r="U397" i="39"/>
  <c r="AA396" i="39"/>
  <c r="AB396" i="39" s="1"/>
  <c r="T397" i="39"/>
  <c r="U396" i="37"/>
  <c r="T396" i="37"/>
  <c r="Y397" i="39" l="1"/>
  <c r="I397" i="39"/>
  <c r="H397" i="39" s="1"/>
  <c r="G397" i="39" s="1"/>
  <c r="I396" i="37"/>
  <c r="H396" i="37" s="1"/>
  <c r="X396" i="37" s="1"/>
  <c r="Y396" i="37"/>
  <c r="V397" i="39" l="1"/>
  <c r="Z397" i="39"/>
  <c r="M398" i="39"/>
  <c r="P398" i="39"/>
  <c r="W397" i="39"/>
  <c r="K398" i="39"/>
  <c r="X397" i="39"/>
  <c r="K397" i="37"/>
  <c r="Z396" i="37"/>
  <c r="L397" i="37"/>
  <c r="M397" i="37"/>
  <c r="P397" i="37"/>
  <c r="W396" i="37"/>
  <c r="G396" i="37"/>
  <c r="B383" i="28" s="1"/>
  <c r="V396" i="37"/>
  <c r="T398" i="39" l="1"/>
  <c r="U398" i="39"/>
  <c r="AA397" i="39"/>
  <c r="AB397" i="39" s="1"/>
  <c r="U397" i="37"/>
  <c r="AA396" i="37"/>
  <c r="AB396" i="37" s="1"/>
  <c r="K383" i="28" s="1"/>
  <c r="T397" i="37"/>
  <c r="J403" i="37"/>
  <c r="Y398" i="39" l="1"/>
  <c r="I398" i="39"/>
  <c r="H398" i="39" s="1"/>
  <c r="K399" i="39" s="1"/>
  <c r="I397" i="37"/>
  <c r="H397" i="37" s="1"/>
  <c r="G397" i="37" s="1"/>
  <c r="B384" i="28" s="1"/>
  <c r="Y397" i="37"/>
  <c r="P399" i="39" l="1"/>
  <c r="W398" i="39"/>
  <c r="V398" i="39"/>
  <c r="G398" i="39"/>
  <c r="M399" i="39"/>
  <c r="X398" i="39"/>
  <c r="Z398" i="39"/>
  <c r="W397" i="37"/>
  <c r="M398" i="37"/>
  <c r="V397" i="37"/>
  <c r="X397" i="37"/>
  <c r="Z397" i="37"/>
  <c r="K398" i="37"/>
  <c r="P398" i="37"/>
  <c r="T399" i="39" l="1"/>
  <c r="U399" i="39"/>
  <c r="I399" i="39" s="1"/>
  <c r="H399" i="39" s="1"/>
  <c r="K400" i="39" s="1"/>
  <c r="AA398" i="39"/>
  <c r="AB398" i="39" s="1"/>
  <c r="T398" i="37"/>
  <c r="AA397" i="37"/>
  <c r="AB397" i="37" s="1"/>
  <c r="K384" i="28" s="1"/>
  <c r="U398" i="37"/>
  <c r="I398" i="37" s="1"/>
  <c r="H398" i="37" s="1"/>
  <c r="J404" i="37"/>
  <c r="Y399" i="39" l="1"/>
  <c r="W399" i="39"/>
  <c r="P400" i="39"/>
  <c r="V399" i="39"/>
  <c r="Z399" i="39"/>
  <c r="G399" i="39"/>
  <c r="X399" i="39"/>
  <c r="M400" i="39"/>
  <c r="W398" i="37"/>
  <c r="V398" i="37"/>
  <c r="X398" i="37"/>
  <c r="Y398" i="37"/>
  <c r="P399" i="37"/>
  <c r="M399" i="37"/>
  <c r="G398" i="37"/>
  <c r="B385" i="28" s="1"/>
  <c r="Z398" i="37"/>
  <c r="K399" i="37"/>
  <c r="T400" i="39" l="1"/>
  <c r="AA399" i="39"/>
  <c r="AB399" i="39" s="1"/>
  <c r="U400" i="39"/>
  <c r="T399" i="37"/>
  <c r="AA398" i="37"/>
  <c r="AB398" i="37" s="1"/>
  <c r="K385" i="28" s="1"/>
  <c r="U399" i="37"/>
  <c r="I399" i="37" s="1"/>
  <c r="H399" i="37" s="1"/>
  <c r="Z399" i="37" s="1"/>
  <c r="J405" i="37"/>
  <c r="I400" i="39" l="1"/>
  <c r="H400" i="39" s="1"/>
  <c r="X400" i="39" s="1"/>
  <c r="Y400" i="39"/>
  <c r="Y399" i="37"/>
  <c r="W399" i="37"/>
  <c r="M400" i="37"/>
  <c r="K400" i="37"/>
  <c r="X399" i="37"/>
  <c r="V399" i="37"/>
  <c r="G399" i="37"/>
  <c r="B386" i="28" s="1"/>
  <c r="P400" i="37"/>
  <c r="M401" i="39" l="1"/>
  <c r="G400" i="39"/>
  <c r="L401" i="39"/>
  <c r="J401" i="39"/>
  <c r="W400" i="39"/>
  <c r="V400" i="39"/>
  <c r="K401" i="39"/>
  <c r="Z400" i="39"/>
  <c r="P401" i="39"/>
  <c r="AA399" i="37"/>
  <c r="AB399" i="37" s="1"/>
  <c r="K386" i="28" s="1"/>
  <c r="T400" i="37"/>
  <c r="U400" i="37"/>
  <c r="J406" i="37"/>
  <c r="T401" i="39" l="1"/>
  <c r="W401" i="39" s="1"/>
  <c r="AA400" i="39"/>
  <c r="AB400" i="39" s="1"/>
  <c r="U401" i="39"/>
  <c r="I400" i="37"/>
  <c r="H400" i="37" s="1"/>
  <c r="X400" i="37" s="1"/>
  <c r="Y400" i="37"/>
  <c r="I401" i="39" l="1"/>
  <c r="H401" i="39" s="1"/>
  <c r="P402" i="39" s="1"/>
  <c r="V401" i="39"/>
  <c r="M402" i="39"/>
  <c r="K402" i="39"/>
  <c r="Y401" i="39"/>
  <c r="G401" i="39"/>
  <c r="X401" i="39"/>
  <c r="Z401" i="39"/>
  <c r="L401" i="37"/>
  <c r="J401" i="37"/>
  <c r="P401" i="37"/>
  <c r="Z400" i="37"/>
  <c r="W400" i="37"/>
  <c r="K401" i="37"/>
  <c r="M401" i="37"/>
  <c r="V400" i="37"/>
  <c r="G400" i="37"/>
  <c r="B387" i="28" s="1"/>
  <c r="AA401" i="39" l="1"/>
  <c r="AB401" i="39" s="1"/>
  <c r="T402" i="39"/>
  <c r="U402" i="39"/>
  <c r="U401" i="37"/>
  <c r="AA400" i="37"/>
  <c r="AB400" i="37" s="1"/>
  <c r="K387" i="28" s="1"/>
  <c r="T401" i="37"/>
  <c r="V401" i="37" s="1"/>
  <c r="J407" i="37"/>
  <c r="I402" i="39" l="1"/>
  <c r="H402" i="39" s="1"/>
  <c r="M403" i="39" s="1"/>
  <c r="I401" i="37"/>
  <c r="H401" i="37" s="1"/>
  <c r="X401" i="37" s="1"/>
  <c r="W401" i="37"/>
  <c r="Y401" i="37"/>
  <c r="Z402" i="39" l="1"/>
  <c r="Y402" i="39"/>
  <c r="K403" i="39"/>
  <c r="X402" i="39"/>
  <c r="P403" i="39"/>
  <c r="G402" i="39"/>
  <c r="W402" i="39"/>
  <c r="V402" i="39"/>
  <c r="Z401" i="37"/>
  <c r="AA401" i="37" s="1"/>
  <c r="AB401" i="37" s="1"/>
  <c r="K388" i="28" s="1"/>
  <c r="K402" i="37"/>
  <c r="P402" i="37"/>
  <c r="G401" i="37"/>
  <c r="B388" i="28" s="1"/>
  <c r="M402" i="37"/>
  <c r="U403" i="39" l="1"/>
  <c r="AA402" i="39"/>
  <c r="AB402" i="39" s="1"/>
  <c r="T403" i="39"/>
  <c r="T402" i="37"/>
  <c r="U402" i="37"/>
  <c r="I403" i="39" l="1"/>
  <c r="H403" i="39" s="1"/>
  <c r="G403" i="39" s="1"/>
  <c r="Y403" i="39"/>
  <c r="I402" i="37"/>
  <c r="H402" i="37" s="1"/>
  <c r="K403" i="37" s="1"/>
  <c r="V402" i="37"/>
  <c r="Z402" i="37"/>
  <c r="W402" i="37"/>
  <c r="M403" i="37" l="1"/>
  <c r="Y402" i="37"/>
  <c r="X402" i="37"/>
  <c r="G402" i="37"/>
  <c r="B389" i="28" s="1"/>
  <c r="P403" i="37"/>
  <c r="P404" i="39"/>
  <c r="V403" i="39"/>
  <c r="W403" i="39"/>
  <c r="M404" i="39"/>
  <c r="X403" i="39"/>
  <c r="K404" i="39"/>
  <c r="Z403" i="39"/>
  <c r="AA402" i="37"/>
  <c r="AB402" i="37" s="1"/>
  <c r="K389" i="28" s="1"/>
  <c r="U403" i="37"/>
  <c r="T403" i="37"/>
  <c r="J408" i="37"/>
  <c r="T404" i="39" l="1"/>
  <c r="AA403" i="39"/>
  <c r="AB403" i="39" s="1"/>
  <c r="U404" i="39"/>
  <c r="I403" i="37"/>
  <c r="H403" i="37" s="1"/>
  <c r="X403" i="37" s="1"/>
  <c r="Y403" i="37"/>
  <c r="I404" i="39" l="1"/>
  <c r="H404" i="39" s="1"/>
  <c r="V404" i="39" s="1"/>
  <c r="Y404" i="39"/>
  <c r="W403" i="37"/>
  <c r="P404" i="37"/>
  <c r="M404" i="37"/>
  <c r="V403" i="37"/>
  <c r="G403" i="37"/>
  <c r="B390" i="28" s="1"/>
  <c r="K404" i="37"/>
  <c r="Z403" i="37"/>
  <c r="L405" i="39" l="1"/>
  <c r="W404" i="39"/>
  <c r="M405" i="39"/>
  <c r="X404" i="39"/>
  <c r="P405" i="39"/>
  <c r="G404" i="39"/>
  <c r="K405" i="39"/>
  <c r="Z404" i="39"/>
  <c r="U404" i="37"/>
  <c r="T404" i="37"/>
  <c r="AA403" i="37"/>
  <c r="AB403" i="37" s="1"/>
  <c r="K390" i="28" s="1"/>
  <c r="AA404" i="39" l="1"/>
  <c r="AB404" i="39" s="1"/>
  <c r="T405" i="39"/>
  <c r="U405" i="39"/>
  <c r="I404" i="37"/>
  <c r="H404" i="37" s="1"/>
  <c r="P405" i="37" s="1"/>
  <c r="Y404" i="37"/>
  <c r="J409" i="37"/>
  <c r="I405" i="39" l="1"/>
  <c r="H405" i="39" s="1"/>
  <c r="Y405" i="39" s="1"/>
  <c r="X404" i="37"/>
  <c r="V404" i="37"/>
  <c r="K405" i="37"/>
  <c r="M405" i="37"/>
  <c r="L405" i="37"/>
  <c r="G404" i="37"/>
  <c r="B391" i="28" s="1"/>
  <c r="W404" i="37"/>
  <c r="Z404" i="37"/>
  <c r="Z405" i="39" l="1"/>
  <c r="W405" i="39"/>
  <c r="V405" i="39"/>
  <c r="M406" i="39"/>
  <c r="K406" i="39"/>
  <c r="G405" i="39"/>
  <c r="X405" i="39"/>
  <c r="AA405" i="39" s="1"/>
  <c r="AB405" i="39" s="1"/>
  <c r="P406" i="39"/>
  <c r="T406" i="39" s="1"/>
  <c r="U405" i="37"/>
  <c r="T405" i="37"/>
  <c r="AA404" i="37"/>
  <c r="AB404" i="37" s="1"/>
  <c r="K391" i="28" s="1"/>
  <c r="U406" i="39" l="1"/>
  <c r="I406" i="39" s="1"/>
  <c r="H406" i="39" s="1"/>
  <c r="Y406" i="39" s="1"/>
  <c r="I405" i="37"/>
  <c r="H405" i="37" s="1"/>
  <c r="X405" i="37" s="1"/>
  <c r="J410" i="37"/>
  <c r="Y405" i="37" l="1"/>
  <c r="V406" i="39"/>
  <c r="M407" i="39"/>
  <c r="K407" i="39"/>
  <c r="X406" i="39"/>
  <c r="P407" i="39"/>
  <c r="K406" i="37"/>
  <c r="M406" i="37"/>
  <c r="W406" i="39"/>
  <c r="G406" i="39"/>
  <c r="Z406" i="39"/>
  <c r="P406" i="37"/>
  <c r="V405" i="37"/>
  <c r="G405" i="37"/>
  <c r="B392" i="28" s="1"/>
  <c r="W405" i="37"/>
  <c r="Z405" i="37"/>
  <c r="T406" i="37" l="1"/>
  <c r="T407" i="39"/>
  <c r="U407" i="39"/>
  <c r="AA406" i="39"/>
  <c r="AB406" i="39" s="1"/>
  <c r="U406" i="37"/>
  <c r="I406" i="37" s="1"/>
  <c r="H406" i="37" s="1"/>
  <c r="X406" i="37" s="1"/>
  <c r="AA405" i="37"/>
  <c r="AB405" i="37" s="1"/>
  <c r="K392" i="28" s="1"/>
  <c r="J411" i="37"/>
  <c r="Y407" i="39" l="1"/>
  <c r="I407" i="39"/>
  <c r="H407" i="39" s="1"/>
  <c r="Z407" i="39" s="1"/>
  <c r="Z406" i="37"/>
  <c r="V406" i="37"/>
  <c r="W406" i="37"/>
  <c r="Y406" i="37"/>
  <c r="G406" i="37"/>
  <c r="B393" i="28" s="1"/>
  <c r="M407" i="37"/>
  <c r="K407" i="37"/>
  <c r="P407" i="37"/>
  <c r="V407" i="39" l="1"/>
  <c r="X407" i="39"/>
  <c r="K408" i="39"/>
  <c r="G407" i="39"/>
  <c r="P408" i="39"/>
  <c r="M408" i="39"/>
  <c r="W407" i="39"/>
  <c r="U407" i="37"/>
  <c r="AA406" i="37"/>
  <c r="AB406" i="37" s="1"/>
  <c r="K393" i="28" s="1"/>
  <c r="T407" i="37"/>
  <c r="U408" i="39" l="1"/>
  <c r="AA407" i="39"/>
  <c r="AB407" i="39" s="1"/>
  <c r="T408" i="39"/>
  <c r="I407" i="37"/>
  <c r="H407" i="37" s="1"/>
  <c r="X407" i="37" s="1"/>
  <c r="Y407" i="37"/>
  <c r="I408" i="39" l="1"/>
  <c r="H408" i="39" s="1"/>
  <c r="X408" i="39" s="1"/>
  <c r="Y408" i="39"/>
  <c r="W408" i="39"/>
  <c r="P408" i="37"/>
  <c r="G407" i="37"/>
  <c r="B394" i="28" s="1"/>
  <c r="Z407" i="37"/>
  <c r="K408" i="37"/>
  <c r="V407" i="37"/>
  <c r="W407" i="37"/>
  <c r="M408" i="37"/>
  <c r="V408" i="39" l="1"/>
  <c r="Z408" i="39"/>
  <c r="AA408" i="39" s="1"/>
  <c r="AB408" i="39" s="1"/>
  <c r="K409" i="39"/>
  <c r="P409" i="39"/>
  <c r="L409" i="39"/>
  <c r="M409" i="39"/>
  <c r="G408" i="39"/>
  <c r="T408" i="37"/>
  <c r="U408" i="37"/>
  <c r="AA407" i="37"/>
  <c r="AB407" i="37" s="1"/>
  <c r="K394" i="28" s="1"/>
  <c r="U409" i="39" l="1"/>
  <c r="T409" i="39"/>
  <c r="I408" i="37"/>
  <c r="H408" i="37" s="1"/>
  <c r="V408" i="37" s="1"/>
  <c r="Y408" i="37"/>
  <c r="I409" i="39" l="1"/>
  <c r="H409" i="39" s="1"/>
  <c r="W409" i="39" s="1"/>
  <c r="L409" i="37"/>
  <c r="M409" i="37"/>
  <c r="K409" i="37"/>
  <c r="P409" i="37"/>
  <c r="G408" i="37"/>
  <c r="B395" i="28" s="1"/>
  <c r="X408" i="37"/>
  <c r="Z408" i="37"/>
  <c r="W408" i="37"/>
  <c r="J413" i="37"/>
  <c r="Y409" i="39" l="1"/>
  <c r="V409" i="39"/>
  <c r="G409" i="39"/>
  <c r="K410" i="39"/>
  <c r="Z409" i="39"/>
  <c r="M410" i="39"/>
  <c r="P410" i="39"/>
  <c r="X409" i="39"/>
  <c r="AA409" i="39" s="1"/>
  <c r="AB409" i="39" s="1"/>
  <c r="T409" i="37"/>
  <c r="AA408" i="37"/>
  <c r="AB408" i="37" s="1"/>
  <c r="K395" i="28" s="1"/>
  <c r="U409" i="37"/>
  <c r="U410" i="39" l="1"/>
  <c r="T410" i="39"/>
  <c r="I409" i="37"/>
  <c r="H409" i="37" s="1"/>
  <c r="X409" i="37" s="1"/>
  <c r="Y409" i="37" l="1"/>
  <c r="I410" i="39"/>
  <c r="H410" i="39" s="1"/>
  <c r="X410" i="39" s="1"/>
  <c r="W409" i="37"/>
  <c r="K410" i="37"/>
  <c r="P410" i="37"/>
  <c r="G409" i="37"/>
  <c r="B396" i="28" s="1"/>
  <c r="V409" i="37"/>
  <c r="M410" i="37"/>
  <c r="Z409" i="37"/>
  <c r="Z410" i="39" l="1"/>
  <c r="V410" i="39"/>
  <c r="G410" i="39"/>
  <c r="K411" i="39"/>
  <c r="P411" i="39"/>
  <c r="W410" i="39"/>
  <c r="M411" i="39"/>
  <c r="Y410" i="39"/>
  <c r="T410" i="37"/>
  <c r="AA409" i="37"/>
  <c r="AB409" i="37" s="1"/>
  <c r="K396" i="28" s="1"/>
  <c r="U410" i="37"/>
  <c r="I410" i="37" s="1"/>
  <c r="H410" i="37" s="1"/>
  <c r="X410" i="37" s="1"/>
  <c r="AA410" i="39" l="1"/>
  <c r="AB410" i="39" s="1"/>
  <c r="T411" i="39"/>
  <c r="V411" i="39" s="1"/>
  <c r="U411" i="39"/>
  <c r="Y411" i="39" s="1"/>
  <c r="Y410" i="37"/>
  <c r="K411" i="37"/>
  <c r="P411" i="37"/>
  <c r="W410" i="37"/>
  <c r="V410" i="37"/>
  <c r="G410" i="37"/>
  <c r="B397" i="28" s="1"/>
  <c r="Z410" i="37"/>
  <c r="M411" i="37"/>
  <c r="I411" i="39" l="1"/>
  <c r="H411" i="39" s="1"/>
  <c r="Z411" i="39" s="1"/>
  <c r="W411" i="39"/>
  <c r="M412" i="39"/>
  <c r="K412" i="39"/>
  <c r="X411" i="39"/>
  <c r="AA411" i="39" s="1"/>
  <c r="AB411" i="39" s="1"/>
  <c r="T411" i="37"/>
  <c r="U411" i="37"/>
  <c r="AA410" i="37"/>
  <c r="AB410" i="37" s="1"/>
  <c r="K397" i="28" s="1"/>
  <c r="G411" i="39" l="1"/>
  <c r="P412" i="39"/>
  <c r="T412" i="39" s="1"/>
  <c r="I411" i="37"/>
  <c r="H411" i="37" s="1"/>
  <c r="W411" i="37" s="1"/>
  <c r="V411" i="37"/>
  <c r="Y411" i="37"/>
  <c r="U412" i="39" l="1"/>
  <c r="I412" i="39" s="1"/>
  <c r="H412" i="39" s="1"/>
  <c r="Z412" i="39" s="1"/>
  <c r="P412" i="37"/>
  <c r="M412" i="37"/>
  <c r="Z411" i="37"/>
  <c r="K412" i="37"/>
  <c r="G411" i="37"/>
  <c r="B398" i="28" s="1"/>
  <c r="X411" i="37"/>
  <c r="Y412" i="39" l="1"/>
  <c r="P413" i="39"/>
  <c r="L413" i="39"/>
  <c r="V412" i="39"/>
  <c r="X412" i="39"/>
  <c r="G412" i="39"/>
  <c r="M413" i="39"/>
  <c r="W412" i="39"/>
  <c r="K413" i="39"/>
  <c r="U412" i="37"/>
  <c r="AA411" i="37"/>
  <c r="AB411" i="37" s="1"/>
  <c r="K398" i="28" s="1"/>
  <c r="T412" i="37"/>
  <c r="J416" i="37"/>
  <c r="U413" i="39" l="1"/>
  <c r="AA412" i="39"/>
  <c r="AB412" i="39" s="1"/>
  <c r="T413" i="39"/>
  <c r="I412" i="37"/>
  <c r="H412" i="37" s="1"/>
  <c r="X412" i="37" s="1"/>
  <c r="Y412" i="37"/>
  <c r="Y413" i="39" l="1"/>
  <c r="I413" i="39"/>
  <c r="H413" i="39" s="1"/>
  <c r="W413" i="39" s="1"/>
  <c r="W412" i="37"/>
  <c r="V412" i="37"/>
  <c r="L413" i="37"/>
  <c r="G412" i="37"/>
  <c r="B399" i="28" s="1"/>
  <c r="M413" i="37"/>
  <c r="Z412" i="37"/>
  <c r="P413" i="37"/>
  <c r="K413" i="37"/>
  <c r="M414" i="39" l="1"/>
  <c r="G413" i="39"/>
  <c r="P414" i="39"/>
  <c r="Z413" i="39"/>
  <c r="V413" i="39"/>
  <c r="X413" i="39"/>
  <c r="K414" i="39"/>
  <c r="AA412" i="37"/>
  <c r="AB412" i="37" s="1"/>
  <c r="K399" i="28" s="1"/>
  <c r="T413" i="37"/>
  <c r="U413" i="37"/>
  <c r="J417" i="37"/>
  <c r="AA413" i="39" l="1"/>
  <c r="AB413" i="39" s="1"/>
  <c r="T414" i="39"/>
  <c r="U414" i="39"/>
  <c r="Y413" i="37"/>
  <c r="I413" i="37"/>
  <c r="H413" i="37" s="1"/>
  <c r="X413" i="37" s="1"/>
  <c r="I414" i="39" l="1"/>
  <c r="H414" i="39" s="1"/>
  <c r="K415" i="39" s="1"/>
  <c r="Y414" i="39"/>
  <c r="Z413" i="37"/>
  <c r="K414" i="37"/>
  <c r="P414" i="37"/>
  <c r="M414" i="37"/>
  <c r="W413" i="37"/>
  <c r="V413" i="37"/>
  <c r="G413" i="37"/>
  <c r="B400" i="28" s="1"/>
  <c r="AA413" i="37" l="1"/>
  <c r="AB413" i="37" s="1"/>
  <c r="K400" i="28" s="1"/>
  <c r="U414" i="37"/>
  <c r="P415" i="39"/>
  <c r="W414" i="39"/>
  <c r="V414" i="39"/>
  <c r="M415" i="39"/>
  <c r="Z414" i="39"/>
  <c r="X414" i="39"/>
  <c r="G414" i="39"/>
  <c r="T414" i="37"/>
  <c r="Y414" i="37" s="1"/>
  <c r="I414" i="37" l="1"/>
  <c r="H414" i="37" s="1"/>
  <c r="K415" i="37" s="1"/>
  <c r="T415" i="39"/>
  <c r="U415" i="39"/>
  <c r="Y415" i="39" s="1"/>
  <c r="AA414" i="39"/>
  <c r="AB414" i="39" s="1"/>
  <c r="W414" i="37"/>
  <c r="V414" i="37"/>
  <c r="X414" i="37"/>
  <c r="Z414" i="37"/>
  <c r="G414" i="37"/>
  <c r="B401" i="28" s="1"/>
  <c r="M415" i="37"/>
  <c r="P415" i="37"/>
  <c r="I415" i="39" l="1"/>
  <c r="H415" i="39" s="1"/>
  <c r="Z415" i="39" s="1"/>
  <c r="U415" i="37"/>
  <c r="AA414" i="37"/>
  <c r="AB414" i="37" s="1"/>
  <c r="K401" i="28" s="1"/>
  <c r="T415" i="37"/>
  <c r="V415" i="39" l="1"/>
  <c r="W415" i="39"/>
  <c r="M416" i="39"/>
  <c r="P416" i="39"/>
  <c r="X415" i="39"/>
  <c r="G415" i="39"/>
  <c r="K416" i="39"/>
  <c r="I415" i="37"/>
  <c r="H415" i="37" s="1"/>
  <c r="Z415" i="37" s="1"/>
  <c r="Y415" i="37"/>
  <c r="AA415" i="39" l="1"/>
  <c r="AB415" i="39" s="1"/>
  <c r="T416" i="39"/>
  <c r="U416" i="39"/>
  <c r="W415" i="37"/>
  <c r="V415" i="37"/>
  <c r="P416" i="37"/>
  <c r="G415" i="37"/>
  <c r="B402" i="28" s="1"/>
  <c r="K416" i="37"/>
  <c r="M416" i="37"/>
  <c r="X415" i="37"/>
  <c r="Y416" i="39" l="1"/>
  <c r="AA415" i="37"/>
  <c r="AB415" i="37" s="1"/>
  <c r="K402" i="28" s="1"/>
  <c r="I416" i="39"/>
  <c r="H416" i="39" s="1"/>
  <c r="Z416" i="39" s="1"/>
  <c r="T416" i="37"/>
  <c r="U416" i="37"/>
  <c r="I416" i="37" s="1"/>
  <c r="H416" i="37" s="1"/>
  <c r="X416" i="37" s="1"/>
  <c r="P417" i="39" l="1"/>
  <c r="W416" i="39"/>
  <c r="M417" i="39"/>
  <c r="K417" i="39"/>
  <c r="L417" i="39"/>
  <c r="G416" i="39"/>
  <c r="V416" i="39"/>
  <c r="X416" i="39"/>
  <c r="Y416" i="37"/>
  <c r="M417" i="37"/>
  <c r="G416" i="37"/>
  <c r="B403" i="28" s="1"/>
  <c r="L417" i="37"/>
  <c r="P417" i="37"/>
  <c r="Z416" i="37"/>
  <c r="W416" i="37"/>
  <c r="V416" i="37"/>
  <c r="K417" i="37"/>
  <c r="AA416" i="39" l="1"/>
  <c r="AB416" i="39" s="1"/>
  <c r="T417" i="39"/>
  <c r="U417" i="39"/>
  <c r="T417" i="37"/>
  <c r="AA416" i="37"/>
  <c r="AB416" i="37" s="1"/>
  <c r="K403" i="28" s="1"/>
  <c r="U417" i="37"/>
  <c r="Y417" i="37" s="1"/>
  <c r="Y417" i="39" l="1"/>
  <c r="I417" i="39"/>
  <c r="H417" i="39" s="1"/>
  <c r="Z417" i="39" s="1"/>
  <c r="I417" i="37"/>
  <c r="H417" i="37" s="1"/>
  <c r="X417" i="37" s="1"/>
  <c r="W417" i="39" l="1"/>
  <c r="X417" i="39"/>
  <c r="G417" i="39"/>
  <c r="L1" i="39" s="1"/>
  <c r="V417" i="39"/>
  <c r="G417" i="37"/>
  <c r="B404" i="28" s="1"/>
  <c r="H3" i="29" s="1"/>
  <c r="J3" i="29" s="1"/>
  <c r="V417" i="37"/>
  <c r="Z417" i="37"/>
  <c r="W417" i="37"/>
  <c r="AA417" i="39" l="1"/>
  <c r="AB417" i="39" s="1"/>
  <c r="M1" i="39" s="1"/>
  <c r="AA417" i="37"/>
  <c r="AB417" i="37" s="1"/>
  <c r="K404" i="28" s="1"/>
  <c r="H4" i="29" s="1"/>
  <c r="Q91" i="28"/>
  <c r="Q39" i="28"/>
  <c r="Q94" i="28"/>
  <c r="Q19" i="28"/>
  <c r="Q51" i="28"/>
  <c r="Q11" i="28"/>
  <c r="Q93" i="28"/>
  <c r="Q16" i="28"/>
  <c r="Q47" i="28"/>
  <c r="Q87" i="28"/>
  <c r="Q30" i="28"/>
  <c r="Q59" i="28"/>
  <c r="Q44" i="28"/>
  <c r="Q64" i="28"/>
  <c r="Q45" i="28"/>
  <c r="Q6" i="28"/>
  <c r="Q101" i="28"/>
  <c r="Q78" i="28"/>
  <c r="Q86" i="28"/>
  <c r="Q35" i="28"/>
  <c r="Q62" i="28"/>
  <c r="Q72" i="28"/>
  <c r="Q92" i="28"/>
  <c r="Q88" i="28"/>
  <c r="Q71" i="28"/>
  <c r="Q46" i="28"/>
  <c r="Q22" i="28"/>
  <c r="Q52" i="28"/>
  <c r="Q3" i="28"/>
  <c r="Q53" i="28"/>
  <c r="Q70" i="28"/>
  <c r="Q48" i="28"/>
  <c r="Q37" i="28"/>
  <c r="Q24" i="28"/>
  <c r="Q41" i="28"/>
  <c r="Q33" i="28"/>
  <c r="Q34" i="28"/>
  <c r="Q9" i="28"/>
  <c r="Q42" i="28"/>
  <c r="Q104" i="28"/>
  <c r="Q97" i="28"/>
  <c r="Q81" i="28"/>
  <c r="Q96" i="28"/>
  <c r="Q74" i="28"/>
  <c r="Q50" i="28"/>
  <c r="Q89" i="28"/>
  <c r="Q57" i="28"/>
  <c r="Q49" i="28"/>
  <c r="Q73" i="28" l="1"/>
  <c r="Q58" i="28"/>
  <c r="Q65" i="28"/>
  <c r="Q69" i="28"/>
  <c r="Q95" i="28"/>
  <c r="Q12" i="28"/>
  <c r="Q43" i="28"/>
  <c r="Q84" i="28"/>
  <c r="Q63" i="28"/>
  <c r="Q40" i="28"/>
  <c r="Q99" i="28"/>
  <c r="Q67" i="28"/>
  <c r="Q98" i="28"/>
  <c r="Q90" i="28"/>
  <c r="Q25" i="28"/>
  <c r="Q15" i="28"/>
  <c r="Q102" i="28"/>
  <c r="Q38" i="28"/>
  <c r="Q56" i="28"/>
  <c r="Q23" i="28"/>
  <c r="Q100" i="28"/>
  <c r="Q85" i="28"/>
  <c r="Q55" i="28"/>
  <c r="Q36" i="28"/>
  <c r="Q26" i="28"/>
  <c r="Q10" i="28"/>
  <c r="Q32" i="28"/>
  <c r="Q8" i="28"/>
  <c r="Q7" i="28"/>
  <c r="Q68" i="28"/>
  <c r="Q31" i="28"/>
  <c r="Q5" i="28"/>
  <c r="Q29" i="28"/>
  <c r="Q76" i="28"/>
  <c r="Q79" i="28"/>
  <c r="Q66" i="28"/>
  <c r="Q82" i="28"/>
  <c r="Q18" i="28"/>
  <c r="Q17" i="28"/>
  <c r="Q83" i="28"/>
  <c r="Q13" i="28"/>
  <c r="Q60" i="28"/>
  <c r="Q77" i="28"/>
  <c r="Q20" i="28"/>
  <c r="Q14" i="28"/>
  <c r="Q75" i="28"/>
  <c r="Q103" i="28"/>
  <c r="Q28" i="28"/>
  <c r="Q61" i="28"/>
  <c r="Q4" i="28"/>
  <c r="Q21" i="28"/>
  <c r="Q80" i="28"/>
  <c r="Q54" i="28"/>
  <c r="Q27" i="28"/>
  <c r="H5" i="29"/>
  <c r="J5" i="29" s="1"/>
  <c r="J4"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Kai Wakerman-Powell</author>
  </authors>
  <commentList>
    <comment ref="A3" authorId="0" shapeId="0" xr:uid="{00000000-0006-0000-0500-000001000000}">
      <text>
        <r>
          <rPr>
            <b/>
            <sz val="9"/>
            <color indexed="81"/>
            <rFont val="Tahoma"/>
            <family val="2"/>
          </rPr>
          <t>Kai Wakerman-Powell:</t>
        </r>
        <r>
          <rPr>
            <sz val="9"/>
            <color indexed="81"/>
            <rFont val="Tahoma"/>
            <family val="2"/>
          </rPr>
          <t xml:space="preserve">
You may cause computational problems for values over 10,000 iterations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Kai Wakerman-Powell</author>
  </authors>
  <commentList>
    <comment ref="E3" authorId="0" shapeId="0" xr:uid="{00000000-0006-0000-0600-000001000000}">
      <text>
        <r>
          <rPr>
            <b/>
            <sz val="9"/>
            <color indexed="81"/>
            <rFont val="Tahoma"/>
            <family val="2"/>
          </rPr>
          <t>Kai Wakerman-Powell:</t>
        </r>
        <r>
          <rPr>
            <sz val="9"/>
            <color indexed="81"/>
            <rFont val="Tahoma"/>
            <family val="2"/>
          </rPr>
          <t xml:space="preserve">
Blacksoil in the MDBA LIDAR area</t>
        </r>
      </text>
    </comment>
    <comment ref="E48" authorId="0" shapeId="0" xr:uid="{00000000-0006-0000-0600-000002000000}">
      <text>
        <r>
          <rPr>
            <b/>
            <sz val="9"/>
            <color indexed="81"/>
            <rFont val="Tahoma"/>
            <family val="2"/>
          </rPr>
          <t>Kai Wakerman-Powell:</t>
        </r>
        <r>
          <rPr>
            <sz val="9"/>
            <color indexed="81"/>
            <rFont val="Tahoma"/>
            <family val="2"/>
          </rPr>
          <t xml:space="preserve">
Generally assume 1/2 property size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Kai Wakerman-Powell</author>
  </authors>
  <commentList>
    <comment ref="K15" authorId="0" shapeId="0" xr:uid="{00000000-0006-0000-0700-000001000000}">
      <text>
        <r>
          <rPr>
            <b/>
            <sz val="9"/>
            <color indexed="81"/>
            <rFont val="Tahoma"/>
            <family val="2"/>
          </rPr>
          <t>Kai Wakerman-Powell:</t>
        </r>
        <r>
          <rPr>
            <sz val="9"/>
            <color indexed="81"/>
            <rFont val="Tahoma"/>
            <family val="2"/>
          </rPr>
          <t xml:space="preserve">
% blacksoil
</t>
        </r>
      </text>
    </comment>
    <comment ref="O15" authorId="0" shapeId="0" xr:uid="{00000000-0006-0000-0700-000002000000}">
      <text>
        <r>
          <rPr>
            <b/>
            <sz val="9"/>
            <color indexed="81"/>
            <rFont val="Tahoma"/>
            <family val="2"/>
          </rPr>
          <t>Kai Wakerman-Powell:</t>
        </r>
        <r>
          <rPr>
            <sz val="9"/>
            <color indexed="81"/>
            <rFont val="Tahoma"/>
            <family val="2"/>
          </rPr>
          <t xml:space="preserve">
% blacksoil
</t>
        </r>
      </text>
    </comment>
    <comment ref="P15" authorId="0" shapeId="0" xr:uid="{00000000-0006-0000-0700-000003000000}">
      <text>
        <r>
          <rPr>
            <b/>
            <sz val="9"/>
            <color indexed="81"/>
            <rFont val="Tahoma"/>
            <family val="2"/>
          </rPr>
          <t>Kai Wakerman-Powell:</t>
        </r>
        <r>
          <rPr>
            <sz val="9"/>
            <color indexed="81"/>
            <rFont val="Tahoma"/>
            <family val="2"/>
          </rPr>
          <t xml:space="preserve">
% blacksoil
</t>
        </r>
      </text>
    </comment>
    <comment ref="T15" authorId="0" shapeId="0" xr:uid="{00000000-0006-0000-0700-000004000000}">
      <text>
        <r>
          <rPr>
            <b/>
            <sz val="9"/>
            <color indexed="81"/>
            <rFont val="Tahoma"/>
            <family val="2"/>
          </rPr>
          <t>Kai Wakerman-Powell:</t>
        </r>
        <r>
          <rPr>
            <sz val="9"/>
            <color indexed="81"/>
            <rFont val="Tahoma"/>
            <family val="2"/>
          </rPr>
          <t xml:space="preserve">
Supplementary feed 1/0
</t>
        </r>
      </text>
    </comment>
    <comment ref="U15" authorId="0" shapeId="0" xr:uid="{00000000-0006-0000-0700-000005000000}">
      <text>
        <r>
          <rPr>
            <b/>
            <sz val="9"/>
            <color indexed="81"/>
            <rFont val="Tahoma"/>
            <family val="2"/>
          </rPr>
          <t>Kai Wakerman-Powell:</t>
        </r>
        <r>
          <rPr>
            <sz val="9"/>
            <color indexed="81"/>
            <rFont val="Tahoma"/>
            <family val="2"/>
          </rPr>
          <t xml:space="preserve">
Supplementary feed 1/0
</t>
        </r>
      </text>
    </comment>
    <comment ref="V15" authorId="0" shapeId="0" xr:uid="{00000000-0006-0000-0700-000006000000}">
      <text>
        <r>
          <rPr>
            <b/>
            <sz val="9"/>
            <color indexed="81"/>
            <rFont val="Tahoma"/>
            <family val="2"/>
          </rPr>
          <t>Kai Wakerman-Powell:</t>
        </r>
        <r>
          <rPr>
            <sz val="9"/>
            <color indexed="81"/>
            <rFont val="Tahoma"/>
            <family val="2"/>
          </rPr>
          <t xml:space="preserve">
Sheep %</t>
        </r>
      </text>
    </comment>
    <comment ref="W15" authorId="0" shapeId="0" xr:uid="{00000000-0006-0000-0700-000007000000}">
      <text>
        <r>
          <rPr>
            <b/>
            <sz val="9"/>
            <color indexed="81"/>
            <rFont val="Tahoma"/>
            <family val="2"/>
          </rPr>
          <t>Kai Wakerman-Powell:</t>
        </r>
        <r>
          <rPr>
            <sz val="9"/>
            <color indexed="81"/>
            <rFont val="Tahoma"/>
            <family val="2"/>
          </rPr>
          <t xml:space="preserve">
Cattle %
</t>
        </r>
      </text>
    </comment>
    <comment ref="X15" authorId="0" shapeId="0" xr:uid="{00000000-0006-0000-0700-000008000000}">
      <text>
        <r>
          <rPr>
            <b/>
            <sz val="9"/>
            <color indexed="81"/>
            <rFont val="Tahoma"/>
            <family val="2"/>
          </rPr>
          <t>Kai Wakerman-Powell:</t>
        </r>
        <r>
          <rPr>
            <sz val="9"/>
            <color indexed="81"/>
            <rFont val="Tahoma"/>
            <family val="2"/>
          </rPr>
          <t xml:space="preserve">
sheep %, cattle %
</t>
        </r>
      </text>
    </comment>
    <comment ref="Y15" authorId="0" shapeId="0" xr:uid="{00000000-0006-0000-0700-000009000000}">
      <text>
        <r>
          <rPr>
            <b/>
            <sz val="9"/>
            <color indexed="81"/>
            <rFont val="Tahoma"/>
            <family val="2"/>
          </rPr>
          <t>Kai Wakerman-Powell:</t>
        </r>
        <r>
          <rPr>
            <sz val="9"/>
            <color indexed="81"/>
            <rFont val="Tahoma"/>
            <family val="2"/>
          </rPr>
          <t xml:space="preserve">
Agistment %
</t>
        </r>
      </text>
    </comment>
    <comment ref="Z15" authorId="0" shapeId="0" xr:uid="{00000000-0006-0000-0700-00000A000000}">
      <text>
        <r>
          <rPr>
            <b/>
            <sz val="9"/>
            <color indexed="81"/>
            <rFont val="Tahoma"/>
            <family val="2"/>
          </rPr>
          <t>Kai Wakerman-Powell:</t>
        </r>
        <r>
          <rPr>
            <sz val="9"/>
            <color indexed="81"/>
            <rFont val="Tahoma"/>
            <family val="2"/>
          </rPr>
          <t xml:space="preserve">
Agistment %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Kai Wakerman-Powell</author>
  </authors>
  <commentList>
    <comment ref="K15" authorId="0" shapeId="0" xr:uid="{00000000-0006-0000-0800-000001000000}">
      <text>
        <r>
          <rPr>
            <b/>
            <sz val="9"/>
            <color indexed="81"/>
            <rFont val="Tahoma"/>
            <family val="2"/>
          </rPr>
          <t>Kai Wakerman-Powell:</t>
        </r>
        <r>
          <rPr>
            <sz val="9"/>
            <color indexed="81"/>
            <rFont val="Tahoma"/>
            <family val="2"/>
          </rPr>
          <t xml:space="preserve">
% blacksoil
</t>
        </r>
      </text>
    </comment>
    <comment ref="O15" authorId="0" shapeId="0" xr:uid="{00000000-0006-0000-0800-000002000000}">
      <text>
        <r>
          <rPr>
            <b/>
            <sz val="9"/>
            <color indexed="81"/>
            <rFont val="Tahoma"/>
            <family val="2"/>
          </rPr>
          <t>Kai Wakerman-Powell:</t>
        </r>
        <r>
          <rPr>
            <sz val="9"/>
            <color indexed="81"/>
            <rFont val="Tahoma"/>
            <family val="2"/>
          </rPr>
          <t xml:space="preserve">
% blacksoil
</t>
        </r>
      </text>
    </comment>
    <comment ref="P15" authorId="0" shapeId="0" xr:uid="{00000000-0006-0000-0800-000003000000}">
      <text>
        <r>
          <rPr>
            <b/>
            <sz val="9"/>
            <color indexed="81"/>
            <rFont val="Tahoma"/>
            <family val="2"/>
          </rPr>
          <t>Kai Wakerman-Powell:</t>
        </r>
        <r>
          <rPr>
            <sz val="9"/>
            <color indexed="81"/>
            <rFont val="Tahoma"/>
            <family val="2"/>
          </rPr>
          <t xml:space="preserve">
% blacksoil
</t>
        </r>
      </text>
    </comment>
    <comment ref="T15" authorId="0" shapeId="0" xr:uid="{00000000-0006-0000-0800-000004000000}">
      <text>
        <r>
          <rPr>
            <b/>
            <sz val="9"/>
            <color indexed="81"/>
            <rFont val="Tahoma"/>
            <family val="2"/>
          </rPr>
          <t>Kai Wakerman-Powell:</t>
        </r>
        <r>
          <rPr>
            <sz val="9"/>
            <color indexed="81"/>
            <rFont val="Tahoma"/>
            <family val="2"/>
          </rPr>
          <t xml:space="preserve">
Supplementary feed 1/0
</t>
        </r>
      </text>
    </comment>
    <comment ref="U15" authorId="0" shapeId="0" xr:uid="{00000000-0006-0000-0800-000005000000}">
      <text>
        <r>
          <rPr>
            <b/>
            <sz val="9"/>
            <color indexed="81"/>
            <rFont val="Tahoma"/>
            <family val="2"/>
          </rPr>
          <t>Kai Wakerman-Powell:</t>
        </r>
        <r>
          <rPr>
            <sz val="9"/>
            <color indexed="81"/>
            <rFont val="Tahoma"/>
            <family val="2"/>
          </rPr>
          <t xml:space="preserve">
Supplementary feed 1/0
</t>
        </r>
      </text>
    </comment>
    <comment ref="V15" authorId="0" shapeId="0" xr:uid="{00000000-0006-0000-0800-000006000000}">
      <text>
        <r>
          <rPr>
            <b/>
            <sz val="9"/>
            <color indexed="81"/>
            <rFont val="Tahoma"/>
            <family val="2"/>
          </rPr>
          <t>Kai Wakerman-Powell:</t>
        </r>
        <r>
          <rPr>
            <sz val="9"/>
            <color indexed="81"/>
            <rFont val="Tahoma"/>
            <family val="2"/>
          </rPr>
          <t xml:space="preserve">
Sheep %</t>
        </r>
      </text>
    </comment>
    <comment ref="W15" authorId="0" shapeId="0" xr:uid="{00000000-0006-0000-0800-000007000000}">
      <text>
        <r>
          <rPr>
            <b/>
            <sz val="9"/>
            <color indexed="81"/>
            <rFont val="Tahoma"/>
            <family val="2"/>
          </rPr>
          <t>Kai Wakerman-Powell:</t>
        </r>
        <r>
          <rPr>
            <sz val="9"/>
            <color indexed="81"/>
            <rFont val="Tahoma"/>
            <family val="2"/>
          </rPr>
          <t xml:space="preserve">
Cattle %
</t>
        </r>
      </text>
    </comment>
    <comment ref="X15" authorId="0" shapeId="0" xr:uid="{00000000-0006-0000-0800-000008000000}">
      <text>
        <r>
          <rPr>
            <b/>
            <sz val="9"/>
            <color indexed="81"/>
            <rFont val="Tahoma"/>
            <family val="2"/>
          </rPr>
          <t>Kai Wakerman-Powell:</t>
        </r>
        <r>
          <rPr>
            <sz val="9"/>
            <color indexed="81"/>
            <rFont val="Tahoma"/>
            <family val="2"/>
          </rPr>
          <t xml:space="preserve">
sheep %, cattle %
</t>
        </r>
      </text>
    </comment>
    <comment ref="Y15" authorId="0" shapeId="0" xr:uid="{00000000-0006-0000-0800-000009000000}">
      <text>
        <r>
          <rPr>
            <b/>
            <sz val="9"/>
            <color indexed="81"/>
            <rFont val="Tahoma"/>
            <family val="2"/>
          </rPr>
          <t>Kai Wakerman-Powell:</t>
        </r>
        <r>
          <rPr>
            <sz val="9"/>
            <color indexed="81"/>
            <rFont val="Tahoma"/>
            <family val="2"/>
          </rPr>
          <t xml:space="preserve">
Agistment %
</t>
        </r>
      </text>
    </comment>
    <comment ref="Z15" authorId="0" shapeId="0" xr:uid="{00000000-0006-0000-0800-00000A000000}">
      <text>
        <r>
          <rPr>
            <b/>
            <sz val="9"/>
            <color indexed="81"/>
            <rFont val="Tahoma"/>
            <family val="2"/>
          </rPr>
          <t>Kai Wakerman-Powell:</t>
        </r>
        <r>
          <rPr>
            <sz val="9"/>
            <color indexed="81"/>
            <rFont val="Tahoma"/>
            <family val="2"/>
          </rPr>
          <t xml:space="preserve">
Agistment %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Kai Wakerman-Powell</author>
  </authors>
  <commentList>
    <comment ref="K15" authorId="0" shapeId="0" xr:uid="{00000000-0006-0000-0900-000001000000}">
      <text>
        <r>
          <rPr>
            <b/>
            <sz val="9"/>
            <color indexed="81"/>
            <rFont val="Tahoma"/>
            <family val="2"/>
          </rPr>
          <t>Kai Wakerman-Powell:</t>
        </r>
        <r>
          <rPr>
            <sz val="9"/>
            <color indexed="81"/>
            <rFont val="Tahoma"/>
            <family val="2"/>
          </rPr>
          <t xml:space="preserve">
% blacksoil
</t>
        </r>
      </text>
    </comment>
    <comment ref="O15" authorId="0" shapeId="0" xr:uid="{00000000-0006-0000-0900-000002000000}">
      <text>
        <r>
          <rPr>
            <b/>
            <sz val="9"/>
            <color indexed="81"/>
            <rFont val="Tahoma"/>
            <family val="2"/>
          </rPr>
          <t>Kai Wakerman-Powell:</t>
        </r>
        <r>
          <rPr>
            <sz val="9"/>
            <color indexed="81"/>
            <rFont val="Tahoma"/>
            <family val="2"/>
          </rPr>
          <t xml:space="preserve">
% blacksoil
</t>
        </r>
      </text>
    </comment>
    <comment ref="P15" authorId="0" shapeId="0" xr:uid="{00000000-0006-0000-0900-000003000000}">
      <text>
        <r>
          <rPr>
            <b/>
            <sz val="9"/>
            <color indexed="81"/>
            <rFont val="Tahoma"/>
            <family val="2"/>
          </rPr>
          <t>Kai Wakerman-Powell:</t>
        </r>
        <r>
          <rPr>
            <sz val="9"/>
            <color indexed="81"/>
            <rFont val="Tahoma"/>
            <family val="2"/>
          </rPr>
          <t xml:space="preserve">
% blacksoil
</t>
        </r>
      </text>
    </comment>
    <comment ref="T15" authorId="0" shapeId="0" xr:uid="{00000000-0006-0000-0900-000004000000}">
      <text>
        <r>
          <rPr>
            <b/>
            <sz val="9"/>
            <color indexed="81"/>
            <rFont val="Tahoma"/>
            <family val="2"/>
          </rPr>
          <t>Kai Wakerman-Powell:</t>
        </r>
        <r>
          <rPr>
            <sz val="9"/>
            <color indexed="81"/>
            <rFont val="Tahoma"/>
            <family val="2"/>
          </rPr>
          <t xml:space="preserve">
Supplementary feed 1/0
</t>
        </r>
      </text>
    </comment>
    <comment ref="U15" authorId="0" shapeId="0" xr:uid="{00000000-0006-0000-0900-000005000000}">
      <text>
        <r>
          <rPr>
            <b/>
            <sz val="9"/>
            <color indexed="81"/>
            <rFont val="Tahoma"/>
            <family val="2"/>
          </rPr>
          <t>Kai Wakerman-Powell:</t>
        </r>
        <r>
          <rPr>
            <sz val="9"/>
            <color indexed="81"/>
            <rFont val="Tahoma"/>
            <family val="2"/>
          </rPr>
          <t xml:space="preserve">
Supplementary feed 1/0
</t>
        </r>
      </text>
    </comment>
    <comment ref="V15" authorId="0" shapeId="0" xr:uid="{00000000-0006-0000-0900-000006000000}">
      <text>
        <r>
          <rPr>
            <b/>
            <sz val="9"/>
            <color indexed="81"/>
            <rFont val="Tahoma"/>
            <family val="2"/>
          </rPr>
          <t>Kai Wakerman-Powell:</t>
        </r>
        <r>
          <rPr>
            <sz val="9"/>
            <color indexed="81"/>
            <rFont val="Tahoma"/>
            <family val="2"/>
          </rPr>
          <t xml:space="preserve">
Sheep %</t>
        </r>
      </text>
    </comment>
    <comment ref="W15" authorId="0" shapeId="0" xr:uid="{00000000-0006-0000-0900-000007000000}">
      <text>
        <r>
          <rPr>
            <b/>
            <sz val="9"/>
            <color indexed="81"/>
            <rFont val="Tahoma"/>
            <family val="2"/>
          </rPr>
          <t>Kai Wakerman-Powell:</t>
        </r>
        <r>
          <rPr>
            <sz val="9"/>
            <color indexed="81"/>
            <rFont val="Tahoma"/>
            <family val="2"/>
          </rPr>
          <t xml:space="preserve">
Cattle %
</t>
        </r>
      </text>
    </comment>
    <comment ref="X15" authorId="0" shapeId="0" xr:uid="{00000000-0006-0000-0900-000008000000}">
      <text>
        <r>
          <rPr>
            <b/>
            <sz val="9"/>
            <color indexed="81"/>
            <rFont val="Tahoma"/>
            <family val="2"/>
          </rPr>
          <t>Kai Wakerman-Powell:</t>
        </r>
        <r>
          <rPr>
            <sz val="9"/>
            <color indexed="81"/>
            <rFont val="Tahoma"/>
            <family val="2"/>
          </rPr>
          <t xml:space="preserve">
sheep %, cattle %
</t>
        </r>
      </text>
    </comment>
    <comment ref="Y15" authorId="0" shapeId="0" xr:uid="{00000000-0006-0000-0900-000009000000}">
      <text>
        <r>
          <rPr>
            <b/>
            <sz val="9"/>
            <color indexed="81"/>
            <rFont val="Tahoma"/>
            <family val="2"/>
          </rPr>
          <t>Kai Wakerman-Powell:</t>
        </r>
        <r>
          <rPr>
            <sz val="9"/>
            <color indexed="81"/>
            <rFont val="Tahoma"/>
            <family val="2"/>
          </rPr>
          <t xml:space="preserve">
Agistment %
</t>
        </r>
      </text>
    </comment>
    <comment ref="Z15" authorId="0" shapeId="0" xr:uid="{00000000-0006-0000-0900-00000A000000}">
      <text>
        <r>
          <rPr>
            <b/>
            <sz val="9"/>
            <color indexed="81"/>
            <rFont val="Tahoma"/>
            <family val="2"/>
          </rPr>
          <t>Kai Wakerman-Powell:</t>
        </r>
        <r>
          <rPr>
            <sz val="9"/>
            <color indexed="81"/>
            <rFont val="Tahoma"/>
            <family val="2"/>
          </rPr>
          <t xml:space="preserve">
Agistment %
</t>
        </r>
      </text>
    </comment>
  </commentList>
</comments>
</file>

<file path=xl/sharedStrings.xml><?xml version="1.0" encoding="utf-8"?>
<sst xmlns="http://schemas.openxmlformats.org/spreadsheetml/2006/main" count="1197" uniqueCount="319">
  <si>
    <t>OB</t>
  </si>
  <si>
    <t>Winter</t>
  </si>
  <si>
    <t>Spring</t>
  </si>
  <si>
    <t>Summer</t>
  </si>
  <si>
    <t>Autumn</t>
  </si>
  <si>
    <t>Variables</t>
  </si>
  <si>
    <t>Fixed</t>
  </si>
  <si>
    <t>DSE</t>
  </si>
  <si>
    <t>LB Blacksoil Area</t>
  </si>
  <si>
    <t>Rain</t>
  </si>
  <si>
    <t>delta(DSE)</t>
  </si>
  <si>
    <t>Sell off rule</t>
  </si>
  <si>
    <t>Buy back rule</t>
  </si>
  <si>
    <t>Spring rule 1</t>
  </si>
  <si>
    <t>Winter rule</t>
  </si>
  <si>
    <t>Summer rule</t>
  </si>
  <si>
    <t>Autumn rule 1</t>
  </si>
  <si>
    <t>Rain-avg</t>
  </si>
  <si>
    <t>Summer average rains</t>
  </si>
  <si>
    <t>Autumn average rains</t>
  </si>
  <si>
    <t>Winter average rains</t>
  </si>
  <si>
    <t>Spring average rains</t>
  </si>
  <si>
    <t>Sell-off rule threshold</t>
  </si>
  <si>
    <t>Buy-back rule ob threshold</t>
  </si>
  <si>
    <t>Buy-back rule rain threshold</t>
  </si>
  <si>
    <t>Max assumed DSE</t>
  </si>
  <si>
    <t>Summer threshold</t>
  </si>
  <si>
    <t>Summer increase</t>
  </si>
  <si>
    <t>Spring intercept</t>
  </si>
  <si>
    <t>Spring coef</t>
  </si>
  <si>
    <t>Autumn rule 2</t>
  </si>
  <si>
    <t>Spring rule 2</t>
  </si>
  <si>
    <t>Spring 2 threshold</t>
  </si>
  <si>
    <t>Spring 2 decrease</t>
  </si>
  <si>
    <t>Autumn 2 threshold</t>
  </si>
  <si>
    <t>Autumn 2 decrease</t>
  </si>
  <si>
    <t>Autumn intercept</t>
  </si>
  <si>
    <t>Autumn slope</t>
  </si>
  <si>
    <t>Date</t>
  </si>
  <si>
    <t>Spring DSE cap</t>
  </si>
  <si>
    <t>Without development</t>
  </si>
  <si>
    <t>Baseline</t>
  </si>
  <si>
    <t>Supplementary Variables</t>
  </si>
  <si>
    <t>Low-water feed rule</t>
  </si>
  <si>
    <t>High-water feed rule</t>
  </si>
  <si>
    <t>High-water feed min success</t>
  </si>
  <si>
    <t>Wool Income</t>
  </si>
  <si>
    <t>Wool kg/DSE</t>
  </si>
  <si>
    <t>$/kg wool</t>
  </si>
  <si>
    <t>Wool income per DSE</t>
  </si>
  <si>
    <t>Sheep sales</t>
  </si>
  <si>
    <t>Lamb sales per DSE</t>
  </si>
  <si>
    <t>Ewe sales per DSE</t>
  </si>
  <si>
    <t>Sheep sales per DSE</t>
  </si>
  <si>
    <t>Sheep costs</t>
  </si>
  <si>
    <t>Cost per DSE</t>
  </si>
  <si>
    <t>Grain value</t>
  </si>
  <si>
    <t>Supplementary feed costs</t>
  </si>
  <si>
    <t>Delivery costs</t>
  </si>
  <si>
    <t>Total costs</t>
  </si>
  <si>
    <t>$/kg - lamb</t>
  </si>
  <si>
    <t>$/kg - ewe</t>
  </si>
  <si>
    <t>Sheep sell off/buy back</t>
  </si>
  <si>
    <t>Agistment</t>
  </si>
  <si>
    <t>$/DSE/week</t>
  </si>
  <si>
    <t>$/DSE/year</t>
  </si>
  <si>
    <t>Sheep</t>
  </si>
  <si>
    <t>Cattle</t>
  </si>
  <si>
    <t>Buy on/Sell off</t>
  </si>
  <si>
    <t>Earnings</t>
  </si>
  <si>
    <t>Earnings/ha</t>
  </si>
  <si>
    <t>Total revenue per DSE</t>
  </si>
  <si>
    <t>Yearling sales per DSE</t>
  </si>
  <si>
    <t>Bull sales per DSE</t>
  </si>
  <si>
    <t>Yearling $/kg</t>
  </si>
  <si>
    <t>Bull $/kg</t>
  </si>
  <si>
    <t>Cattle sales</t>
  </si>
  <si>
    <t>Cattle costs</t>
  </si>
  <si>
    <t>Cattle sales per DSE</t>
  </si>
  <si>
    <t>kg/lamb</t>
  </si>
  <si>
    <t>kg/ewe</t>
  </si>
  <si>
    <t>kg/yearling</t>
  </si>
  <si>
    <t>kg/bull</t>
  </si>
  <si>
    <t>Cattle sell off/buy back</t>
  </si>
  <si>
    <t>Sheep Normal</t>
  </si>
  <si>
    <t>Cattle Normal</t>
  </si>
  <si>
    <t>Supplementary Feed</t>
  </si>
  <si>
    <t>Buy-back min</t>
  </si>
  <si>
    <t>ID tag</t>
  </si>
  <si>
    <t>Register tag</t>
  </si>
  <si>
    <t>Selling costs</t>
  </si>
  <si>
    <t>Total cost per DSE</t>
  </si>
  <si>
    <t>Heifer sales per DSE</t>
  </si>
  <si>
    <t>Heifer $/kg</t>
  </si>
  <si>
    <t>Buy-back overbank response</t>
  </si>
  <si>
    <t>Model run:</t>
  </si>
  <si>
    <t>Supplementary feed:</t>
  </si>
  <si>
    <t>Stock division:</t>
  </si>
  <si>
    <t>100% check</t>
  </si>
  <si>
    <t>845 - With Development</t>
  </si>
  <si>
    <t>844 - Without Development</t>
  </si>
  <si>
    <t>1065 - Northern Standard</t>
  </si>
  <si>
    <t>1066 - 415GL recovery</t>
  </si>
  <si>
    <t>1075 - 278GL recovery</t>
  </si>
  <si>
    <t>Gauges</t>
  </si>
  <si>
    <t>None</t>
  </si>
  <si>
    <t>Scenarios</t>
  </si>
  <si>
    <t>DSE/ha</t>
  </si>
  <si>
    <t>Property size</t>
  </si>
  <si>
    <t>$/ha</t>
  </si>
  <si>
    <t>Scenario 1</t>
  </si>
  <si>
    <t>Scenario 2</t>
  </si>
  <si>
    <t>Difference</t>
  </si>
  <si>
    <t>Outcomes</t>
  </si>
  <si>
    <t>Model Variables</t>
  </si>
  <si>
    <t>Pricing Variables</t>
  </si>
  <si>
    <t>Average Quarterly Earnings/ha</t>
  </si>
  <si>
    <t>Average Annual Earnings/ha</t>
  </si>
  <si>
    <t>Scenario 1:</t>
  </si>
  <si>
    <t>Scenario:</t>
  </si>
  <si>
    <t>Starting assumed DSE</t>
  </si>
  <si>
    <t>% black soil:</t>
  </si>
  <si>
    <t>Contact Details:</t>
  </si>
  <si>
    <t>Kai Wakerman Powell</t>
  </si>
  <si>
    <t>Murray-Darling Basin Authority</t>
  </si>
  <si>
    <t>p:   GPO Box 1801 Canberra ACT 2601</t>
  </si>
  <si>
    <t>ph: (02) 6279 0434</t>
  </si>
  <si>
    <t>e:   Kai.Wakerman-Powell@mdba.gov.au</t>
  </si>
  <si>
    <t xml:space="preserve">w:   www.mdba.gov.au </t>
  </si>
  <si>
    <t>Analyst – Northern Basin Social &amp; Economic</t>
  </si>
  <si>
    <t>Monte Carlo Engine:</t>
  </si>
  <si>
    <t>% blacksoil:</t>
  </si>
  <si>
    <t>Sheep:</t>
  </si>
  <si>
    <t>Cattle:</t>
  </si>
  <si>
    <t>Agistment:</t>
  </si>
  <si>
    <r>
      <t xml:space="preserve">Iterations </t>
    </r>
    <r>
      <rPr>
        <b/>
        <sz val="11"/>
        <color rgb="FFFF0000"/>
        <rFont val="Calibri"/>
        <family val="2"/>
        <scheme val="minor"/>
      </rPr>
      <t>(WARNING)</t>
    </r>
    <r>
      <rPr>
        <sz val="11"/>
        <color theme="1"/>
        <rFont val="Calibri"/>
        <family val="2"/>
        <scheme val="minor"/>
      </rPr>
      <t>:</t>
    </r>
  </si>
  <si>
    <t>Mean</t>
  </si>
  <si>
    <t>Standard Error</t>
  </si>
  <si>
    <t>Median</t>
  </si>
  <si>
    <t>Mode</t>
  </si>
  <si>
    <t>Standard Deviation</t>
  </si>
  <si>
    <t>Sample Variance</t>
  </si>
  <si>
    <t>Kurtosis</t>
  </si>
  <si>
    <t>Skewness</t>
  </si>
  <si>
    <t>Range</t>
  </si>
  <si>
    <t>Minimum</t>
  </si>
  <si>
    <t>Maximum</t>
  </si>
  <si>
    <t>Sum</t>
  </si>
  <si>
    <t>Count</t>
  </si>
  <si>
    <t>4.75-5.25</t>
  </si>
  <si>
    <t>0.475-0.525</t>
  </si>
  <si>
    <t>0.214-0.236</t>
  </si>
  <si>
    <t>19-21</t>
  </si>
  <si>
    <t>24.7-27.3</t>
  </si>
  <si>
    <t>4.37-4.83</t>
  </si>
  <si>
    <t>3.135-3.465</t>
  </si>
  <si>
    <t>0.071-0.079</t>
  </si>
  <si>
    <t>0.029-0.032</t>
  </si>
  <si>
    <t>0.01-0.011</t>
  </si>
  <si>
    <t>332.5-367.5</t>
  </si>
  <si>
    <t>475-525</t>
  </si>
  <si>
    <t>807.5-892.5</t>
  </si>
  <si>
    <t>2.147-2.373</t>
  </si>
  <si>
    <t>1.482-1.638</t>
  </si>
  <si>
    <t>1.71-1.89</t>
  </si>
  <si>
    <t>2.85-3.15</t>
  </si>
  <si>
    <t>2.375-2.625</t>
  </si>
  <si>
    <t>0.05-0.3</t>
  </si>
  <si>
    <t xml:space="preserve">                                                                                                                                                                                                                                                                                                                                                                                                                                                                                                                                                                                                                                                                                                                                                                                                                                                                                                                                                                                                                                                                                                                                                                                                                                                                                                                                                                                                                                                                                                                                                                                                                                                                                                                                                                                                                                                                                                               </t>
  </si>
  <si>
    <t>0.475-0.8</t>
  </si>
  <si>
    <t>Supplementary</t>
  </si>
  <si>
    <t>More</t>
  </si>
  <si>
    <t>Frequency</t>
  </si>
  <si>
    <t>kg/heifer</t>
  </si>
  <si>
    <t>75-100</t>
  </si>
  <si>
    <t>45-60</t>
  </si>
  <si>
    <t>6.5-12.</t>
  </si>
  <si>
    <t>Working costs</t>
  </si>
  <si>
    <t>10-18</t>
  </si>
  <si>
    <t>5-10</t>
  </si>
  <si>
    <t>Working Costs</t>
  </si>
  <si>
    <t>Other input costs</t>
  </si>
  <si>
    <t>0.5-1.5</t>
  </si>
  <si>
    <t>Rainfall</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</si>
  <si>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</si>
  <si>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</si>
  <si>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</si>
  <si>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</si>
  <si>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</si>
  <si>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</si>
  <si>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</si>
  <si>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</si>
  <si>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</si>
  <si>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</si>
  <si>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</si>
  <si>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</si>
  <si>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</si>
  <si>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</si>
  <si>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</si>
  <si>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</si>
  <si>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</si>
  <si>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</si>
  <si>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</si>
  <si>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</si>
  <si>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</si>
  <si>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</si>
  <si>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</si>
  <si>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</si>
  <si>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</si>
  <si>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</si>
  <si>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</si>
  <si>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</si>
  <si>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</si>
  <si>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</si>
  <si>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</si>
  <si>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</si>
  <si>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</si>
  <si>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</si>
  <si>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</si>
  <si>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</si>
  <si>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</si>
  <si>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</si>
  <si>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</si>
  <si>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</si>
  <si>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</si>
  <si>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</si>
  <si>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</si>
  <si>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</si>
  <si>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</si>
  <si>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</si>
  <si>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</si>
  <si>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</si>
  <si>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</si>
  <si>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</si>
  <si>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</si>
  <si>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</si>
  <si>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</si>
  <si>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</si>
  <si>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</si>
  <si>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</si>
  <si>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</si>
  <si>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</si>
  <si>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</si>
  <si>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</si>
  <si>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</si>
  <si>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</si>
  <si>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</si>
  <si>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</si>
  <si>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</si>
  <si>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</si>
  <si>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</si>
  <si>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</si>
  <si>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</si>
  <si>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</si>
  <si>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</si>
  <si>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</si>
  <si>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</si>
  <si>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</si>
  <si>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</si>
  <si>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</si>
  <si>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</si>
  <si>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</si>
  <si>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</si>
  <si>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</si>
  <si>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</si>
  <si>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</si>
  <si>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</si>
  <si>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</si>
  <si>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</si>
  <si>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</si>
  <si>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</si>
  <si>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</si>
  <si>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</si>
  <si>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</si>
  <si>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</si>
  <si>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</si>
  <si>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</si>
  <si>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</si>
  <si>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</si>
  <si>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</si>
  <si>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</si>
  <si>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</si>
  <si>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</si>
  <si>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</si>
  <si>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</si>
  <si>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</si>
  <si>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</si>
  <si>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</si>
  <si>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</si>
  <si>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</si>
  <si>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20-26</t>
  </si>
  <si>
    <t>Sheep sell off per DSE</t>
  </si>
  <si>
    <t>Sheep buy back per DSE</t>
  </si>
  <si>
    <t>Cattle sell off per DES</t>
  </si>
  <si>
    <t>Cattle buy back per DSE</t>
  </si>
  <si>
    <t xml:space="preserve">This model described is a simulation model, wherein numbers of animals and earnings reflect simulated responses to water availability and not actual observations. It is intended to guide understandings about scenario impacts of water recover across the northern Murray-Darling Basin as part of the Northern Basin Review being carried out by the Murry-Darling Basin Authority. It should not be relied on to make business decisions nor be used for any other purpose. In its current state it should not be read as representing any single property or the Lower-Balonne Floodplain. </t>
  </si>
  <si>
    <t>For further details, please see the associated report.</t>
  </si>
  <si>
    <r>
      <t xml:space="preserve">To the extent permitted by law, the </t>
    </r>
    <r>
      <rPr>
        <sz val="11"/>
        <color theme="1"/>
        <rFont val="Arial"/>
        <family val="2"/>
      </rPr>
      <t>Murray</t>
    </r>
    <r>
      <rPr>
        <sz val="11"/>
        <color rgb="FF201D1E"/>
        <rFont val="Arial"/>
        <family val="2"/>
      </rPr>
      <t>‒</t>
    </r>
    <r>
      <rPr>
        <sz val="11"/>
        <color theme="1"/>
        <rFont val="Arial"/>
        <family val="2"/>
      </rPr>
      <t xml:space="preserve">Darling Basin Authority </t>
    </r>
    <r>
      <rPr>
        <sz val="11"/>
        <color rgb="FF201D1E"/>
        <rFont val="Arial"/>
        <family val="2"/>
      </rPr>
      <t>and the Commonwealth excludes all liability to any person for any consequences, including but not limited to all losses, damages, costs, expenses and any other compensation, arising directly or indirectly from using this report/model (in part or in whole) and any information or material contained within it.</t>
    </r>
  </si>
  <si>
    <t>Hiflo</t>
  </si>
  <si>
    <t>Hiflo 1</t>
  </si>
  <si>
    <t>Hiflo 2</t>
  </si>
  <si>
    <t>Winter Int</t>
  </si>
  <si>
    <t>Spring OB coef</t>
  </si>
  <si>
    <t>Summer HIFLO</t>
  </si>
  <si>
    <t>Summ/Autu HIFLO</t>
  </si>
  <si>
    <t>Wint/Spri HIFLO</t>
  </si>
  <si>
    <t>415GL</t>
  </si>
  <si>
    <t>390GL</t>
  </si>
  <si>
    <t>350GL</t>
  </si>
  <si>
    <t>Current water recovery</t>
  </si>
  <si>
    <t>320GL</t>
  </si>
  <si>
    <t>500GL</t>
  </si>
  <si>
    <t>390GL Unco</t>
  </si>
  <si>
    <t>345GL</t>
  </si>
  <si>
    <t>321GL</t>
  </si>
  <si>
    <t>320GL PR</t>
  </si>
  <si>
    <t>1089/1110</t>
  </si>
  <si>
    <t>1-10</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</si>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</sst>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0.000"/>
    <numFmt numFmtId="165" formatCode="_-&quot;$&quot;* #,##0_-;\-&quot;$&quot;* #,##0_-;_-&quot;$&quot;* &quot;-&quot;??_-;_-@_-"/>
    <numFmt numFmtId="166" formatCode="0.0"/>
    <numFmt numFmtId="167" formatCode="&quot;$&quot;#,##0.00"/>
    <numFmt numFmtId="168" formatCode="&quot;$&quot;#,##0"/>
    <numFmt numFmtId="169" formatCode="0.0000"/>
    <numFmt numFmtId="170" formatCode="##,#00"/>
    <numFmt numFmtId="171" formatCode="0.000%"/>
  </numFmts>
  <fonts count="19" x14ac:knownFonts="1">
    <font>
      <sz val="11"/>
      <color theme="1"/>
      <name val="Calibri"/>
      <family val="2"/>
      <scheme val="minor"/>
    </font>
    <font>
      <b/>
      <sz val="11"/>
      <color theme="1"/>
      <name val="Calibri"/>
      <family val="2"/>
      <scheme val="minor"/>
    </font>
    <font>
      <sz val="11"/>
      <color theme="0"/>
      <name val="Calibri"/>
      <family val="2"/>
      <scheme val="minor"/>
    </font>
    <font>
      <sz val="9"/>
      <color indexed="81"/>
      <name val="Tahoma"/>
      <family val="2"/>
    </font>
    <font>
      <b/>
      <sz val="9"/>
      <color indexed="81"/>
      <name val="Tahoma"/>
      <family val="2"/>
    </font>
    <font>
      <b/>
      <sz val="11"/>
      <color theme="0"/>
      <name val="Calibri"/>
      <family val="2"/>
      <scheme val="minor"/>
    </font>
    <font>
      <sz val="11"/>
      <color rgb="FFFF0000"/>
      <name val="Calibri"/>
      <family val="2"/>
      <scheme val="minor"/>
    </font>
    <font>
      <i/>
      <sz val="11"/>
      <color theme="1"/>
      <name val="Calibri"/>
      <family val="2"/>
      <scheme val="minor"/>
    </font>
    <font>
      <sz val="11"/>
      <color theme="1"/>
      <name val="Calibri"/>
      <family val="2"/>
      <scheme val="minor"/>
    </font>
    <font>
      <sz val="11"/>
      <name val="Calibri"/>
      <family val="2"/>
      <scheme val="minor"/>
    </font>
    <font>
      <u/>
      <sz val="11"/>
      <color theme="10"/>
      <name val="Calibri"/>
      <family val="2"/>
      <scheme val="minor"/>
    </font>
    <font>
      <sz val="11"/>
      <color theme="2"/>
      <name val="Calibri"/>
      <family val="2"/>
      <scheme val="minor"/>
    </font>
    <font>
      <b/>
      <sz val="11"/>
      <color rgb="FFFF0000"/>
      <name val="Calibri"/>
      <family val="2"/>
      <scheme val="minor"/>
    </font>
    <font>
      <sz val="11"/>
      <color rgb="FF000000"/>
      <name val="Calibri"/>
      <family val="2"/>
    </font>
    <font>
      <sz val="11"/>
      <color theme="1"/>
      <name val="Arial"/>
      <family val="2"/>
    </font>
    <font>
      <sz val="10"/>
      <color rgb="FF201D1E"/>
      <name val="Arial"/>
      <family val="2"/>
    </font>
    <font>
      <sz val="11"/>
      <color rgb="FF201D1E"/>
      <name val="Arial"/>
      <family val="2"/>
    </font>
    <font>
      <b/>
      <sz val="11"/>
      <color theme="1"/>
      <name val="Arial"/>
      <family val="2"/>
    </font>
    <font>
      <u/>
      <sz val="11"/>
      <color theme="1"/>
      <name val="Arial"/>
      <family val="2"/>
    </font>
  </fonts>
  <fills count="13">
    <fill>
      <patternFill patternType="none"/>
    </fill>
    <fill>
      <patternFill patternType="gray125"/>
    </fill>
    <fill>
      <patternFill patternType="solid">
        <fgColor theme="8"/>
      </patternFill>
    </fill>
    <fill>
      <patternFill patternType="solid">
        <fgColor theme="9"/>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9"/>
        <bgColor indexed="64"/>
      </patternFill>
    </fill>
    <fill>
      <patternFill patternType="solid">
        <fgColor rgb="FF00B0F0"/>
        <bgColor indexed="64"/>
      </patternFill>
    </fill>
    <fill>
      <patternFill patternType="solid">
        <fgColor theme="2" tint="-0.249977111117893"/>
        <bgColor indexed="64"/>
      </patternFill>
    </fill>
    <fill>
      <patternFill patternType="solid">
        <fgColor theme="7"/>
        <bgColor indexed="64"/>
      </patternFill>
    </fill>
    <fill>
      <patternFill patternType="solid">
        <fgColor theme="9" tint="-0.249977111117893"/>
        <bgColor indexed="64"/>
      </patternFill>
    </fill>
  </fills>
  <borders count="30">
    <border>
      <left/>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0" fontId="2" fillId="2" borderId="0" applyNumberFormat="0" applyBorder="0" applyAlignment="0" applyProtection="0"/>
    <xf numFmtId="0" fontId="2" fillId="3" borderId="0" applyNumberFormat="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0" fillId="0" borderId="0" applyNumberFormat="0" applyFill="0" applyBorder="0" applyAlignment="0" applyProtection="0"/>
    <xf numFmtId="43" fontId="8" fillId="0" borderId="0" applyFont="0" applyFill="0" applyBorder="0" applyAlignment="0" applyProtection="0"/>
  </cellStyleXfs>
  <cellXfs count="198">
    <xf numFmtId="0" fontId="0" fillId="0" borderId="0" xfId="0"/>
    <xf numFmtId="14" fontId="0" fillId="0" borderId="0" xfId="0" applyNumberFormat="1"/>
    <xf numFmtId="0" fontId="0" fillId="0" borderId="0" xfId="0" applyBorder="1"/>
    <xf numFmtId="14" fontId="0" fillId="0" borderId="2" xfId="0" applyNumberFormat="1" applyBorder="1"/>
    <xf numFmtId="0" fontId="0" fillId="0" borderId="2" xfId="0" applyBorder="1"/>
    <xf numFmtId="0" fontId="2" fillId="2" borderId="0" xfId="1"/>
    <xf numFmtId="1" fontId="0" fillId="0" borderId="0" xfId="0" applyNumberFormat="1"/>
    <xf numFmtId="0" fontId="5" fillId="2" borderId="0" xfId="1" applyFont="1"/>
    <xf numFmtId="0" fontId="5" fillId="2" borderId="2" xfId="1" applyFont="1" applyBorder="1"/>
    <xf numFmtId="0" fontId="5" fillId="2" borderId="0" xfId="1" applyFont="1" applyBorder="1"/>
    <xf numFmtId="49" fontId="0" fillId="0" borderId="2" xfId="0" applyNumberFormat="1" applyBorder="1"/>
    <xf numFmtId="49" fontId="0" fillId="0" borderId="0" xfId="0" applyNumberFormat="1"/>
    <xf numFmtId="1" fontId="0" fillId="0" borderId="2" xfId="0" applyNumberFormat="1" applyBorder="1"/>
    <xf numFmtId="0" fontId="0" fillId="7" borderId="0" xfId="0" applyFill="1"/>
    <xf numFmtId="44" fontId="0" fillId="0" borderId="0" xfId="0" applyNumberFormat="1"/>
    <xf numFmtId="44" fontId="0" fillId="7" borderId="0" xfId="0" applyNumberFormat="1" applyFill="1"/>
    <xf numFmtId="9" fontId="0" fillId="0" borderId="0" xfId="4" applyFont="1"/>
    <xf numFmtId="0" fontId="0" fillId="7" borderId="0" xfId="0" applyFill="1" applyBorder="1"/>
    <xf numFmtId="0" fontId="0" fillId="0" borderId="2" xfId="0" applyNumberFormat="1" applyBorder="1"/>
    <xf numFmtId="0" fontId="0" fillId="0" borderId="0" xfId="0" applyNumberFormat="1"/>
    <xf numFmtId="164" fontId="0" fillId="0" borderId="0" xfId="0" applyNumberFormat="1"/>
    <xf numFmtId="0" fontId="0" fillId="0" borderId="7" xfId="0" applyBorder="1"/>
    <xf numFmtId="0" fontId="0" fillId="0" borderId="8" xfId="0" applyBorder="1"/>
    <xf numFmtId="0" fontId="0" fillId="0" borderId="9" xfId="0" applyBorder="1"/>
    <xf numFmtId="0" fontId="0" fillId="0" borderId="10" xfId="0" applyBorder="1"/>
    <xf numFmtId="0" fontId="0" fillId="7" borderId="2" xfId="0" applyFill="1" applyBorder="1"/>
    <xf numFmtId="0" fontId="0" fillId="0" borderId="0" xfId="0" applyAlignment="1">
      <alignment horizontal="center"/>
    </xf>
    <xf numFmtId="2" fontId="0" fillId="4" borderId="3" xfId="0" applyNumberFormat="1" applyFill="1" applyBorder="1" applyProtection="1">
      <protection locked="0"/>
    </xf>
    <xf numFmtId="0" fontId="0" fillId="4" borderId="3" xfId="0" applyFill="1" applyBorder="1" applyProtection="1">
      <protection locked="0"/>
    </xf>
    <xf numFmtId="44" fontId="0" fillId="4" borderId="3" xfId="3" applyFont="1" applyFill="1" applyBorder="1" applyProtection="1">
      <protection locked="0"/>
    </xf>
    <xf numFmtId="44" fontId="6" fillId="4" borderId="3" xfId="3" applyFont="1" applyFill="1" applyBorder="1" applyProtection="1">
      <protection locked="0"/>
    </xf>
    <xf numFmtId="44" fontId="6" fillId="4" borderId="3" xfId="0" applyNumberFormat="1" applyFont="1" applyFill="1" applyBorder="1" applyProtection="1">
      <protection locked="0"/>
    </xf>
    <xf numFmtId="0" fontId="0" fillId="7" borderId="0" xfId="0" applyFill="1" applyAlignment="1" applyProtection="1">
      <alignment horizontal="left" vertical="top"/>
    </xf>
    <xf numFmtId="2" fontId="0" fillId="7" borderId="3" xfId="0" applyNumberFormat="1" applyFill="1" applyBorder="1" applyAlignment="1" applyProtection="1">
      <alignment horizontal="left" vertical="top"/>
    </xf>
    <xf numFmtId="0" fontId="9" fillId="6" borderId="3" xfId="0" applyFont="1" applyFill="1" applyBorder="1" applyAlignment="1" applyProtection="1">
      <alignment horizontal="left" vertical="top"/>
      <protection locked="0"/>
    </xf>
    <xf numFmtId="0" fontId="0" fillId="6" borderId="3" xfId="0" applyFill="1" applyBorder="1" applyAlignment="1" applyProtection="1">
      <alignment horizontal="left" vertical="top"/>
      <protection locked="0"/>
    </xf>
    <xf numFmtId="44" fontId="0" fillId="7" borderId="3" xfId="0" applyNumberFormat="1" applyFill="1" applyBorder="1" applyAlignment="1" applyProtection="1">
      <alignment horizontal="left" vertical="top"/>
    </xf>
    <xf numFmtId="9" fontId="0" fillId="6" borderId="3" xfId="4" applyFont="1" applyFill="1" applyBorder="1" applyAlignment="1" applyProtection="1">
      <alignment horizontal="left" vertical="top"/>
      <protection locked="0"/>
    </xf>
    <xf numFmtId="0" fontId="1" fillId="7" borderId="0" xfId="0" applyFont="1" applyFill="1" applyAlignment="1" applyProtection="1">
      <alignment horizontal="left" vertical="top"/>
    </xf>
    <xf numFmtId="9" fontId="0" fillId="6" borderId="4" xfId="4" applyFont="1" applyFill="1" applyBorder="1" applyAlignment="1" applyProtection="1">
      <alignment horizontal="left" vertical="top"/>
      <protection locked="0"/>
    </xf>
    <xf numFmtId="9" fontId="0" fillId="6" borderId="5" xfId="4" applyFont="1" applyFill="1" applyBorder="1" applyAlignment="1" applyProtection="1">
      <alignment horizontal="left" vertical="top"/>
      <protection locked="0"/>
    </xf>
    <xf numFmtId="44" fontId="0" fillId="7" borderId="0" xfId="0" applyNumberFormat="1" applyFill="1" applyAlignment="1" applyProtection="1">
      <alignment horizontal="left" vertical="top"/>
    </xf>
    <xf numFmtId="9" fontId="0" fillId="6" borderId="6" xfId="4" applyFont="1" applyFill="1" applyBorder="1" applyAlignment="1" applyProtection="1">
      <alignment horizontal="left" vertical="top"/>
      <protection locked="0"/>
    </xf>
    <xf numFmtId="0" fontId="0" fillId="7" borderId="0" xfId="0" applyFill="1" applyBorder="1" applyAlignment="1" applyProtection="1">
      <alignment horizontal="left" vertical="top"/>
    </xf>
    <xf numFmtId="0" fontId="0" fillId="7" borderId="13" xfId="0" applyFill="1" applyBorder="1"/>
    <xf numFmtId="0" fontId="0" fillId="7" borderId="7" xfId="0" applyFill="1" applyBorder="1"/>
    <xf numFmtId="0" fontId="0" fillId="7" borderId="10" xfId="0" applyFill="1" applyBorder="1"/>
    <xf numFmtId="9" fontId="0" fillId="7" borderId="9" xfId="4" applyFont="1" applyFill="1" applyBorder="1" applyAlignment="1">
      <alignment horizontal="right"/>
    </xf>
    <xf numFmtId="9" fontId="0" fillId="7" borderId="1" xfId="4" applyFont="1" applyFill="1" applyBorder="1" applyAlignment="1">
      <alignment horizontal="right"/>
    </xf>
    <xf numFmtId="9" fontId="0" fillId="7" borderId="12" xfId="4" applyFont="1" applyFill="1" applyBorder="1" applyAlignment="1">
      <alignment horizontal="right"/>
    </xf>
    <xf numFmtId="166" fontId="11" fillId="7" borderId="8" xfId="0" applyNumberFormat="1" applyFont="1" applyFill="1" applyBorder="1" applyAlignment="1">
      <alignment horizontal="right"/>
    </xf>
    <xf numFmtId="166" fontId="11" fillId="7" borderId="0" xfId="0" applyNumberFormat="1" applyFont="1" applyFill="1" applyBorder="1" applyAlignment="1">
      <alignment horizontal="right"/>
    </xf>
    <xf numFmtId="166" fontId="11" fillId="7" borderId="11" xfId="0" applyNumberFormat="1" applyFont="1" applyFill="1" applyBorder="1" applyAlignment="1">
      <alignment horizontal="right"/>
    </xf>
    <xf numFmtId="9" fontId="0" fillId="7" borderId="14" xfId="4" applyFont="1" applyFill="1" applyBorder="1" applyAlignment="1"/>
    <xf numFmtId="2" fontId="0" fillId="7" borderId="0" xfId="0" applyNumberFormat="1" applyFill="1"/>
    <xf numFmtId="164" fontId="11" fillId="7" borderId="15" xfId="0" applyNumberFormat="1" applyFont="1" applyFill="1" applyBorder="1"/>
    <xf numFmtId="2" fontId="0" fillId="7" borderId="16" xfId="0" applyNumberFormat="1" applyFill="1" applyBorder="1"/>
    <xf numFmtId="0" fontId="0" fillId="7" borderId="17" xfId="0" applyFill="1" applyBorder="1"/>
    <xf numFmtId="2" fontId="0" fillId="7" borderId="18" xfId="0" applyNumberFormat="1" applyFill="1" applyBorder="1"/>
    <xf numFmtId="2" fontId="0" fillId="7" borderId="19" xfId="0" applyNumberFormat="1" applyFill="1" applyBorder="1"/>
    <xf numFmtId="0" fontId="0" fillId="7" borderId="20" xfId="0" applyFill="1" applyBorder="1"/>
    <xf numFmtId="14" fontId="0" fillId="7" borderId="0" xfId="0" applyNumberFormat="1" applyFill="1"/>
    <xf numFmtId="1" fontId="0" fillId="7" borderId="0" xfId="0" applyNumberFormat="1" applyFill="1"/>
    <xf numFmtId="1" fontId="0" fillId="7" borderId="2" xfId="0" applyNumberFormat="1" applyFill="1" applyBorder="1"/>
    <xf numFmtId="1" fontId="0" fillId="7" borderId="0" xfId="0" applyNumberFormat="1" applyFill="1" applyBorder="1"/>
    <xf numFmtId="2" fontId="0" fillId="7" borderId="2" xfId="0" applyNumberFormat="1" applyFill="1" applyBorder="1"/>
    <xf numFmtId="0" fontId="0" fillId="7" borderId="21" xfId="0" applyFill="1" applyBorder="1"/>
    <xf numFmtId="0" fontId="0" fillId="7" borderId="22" xfId="0" applyFill="1" applyBorder="1"/>
    <xf numFmtId="0" fontId="0" fillId="7" borderId="23" xfId="0" applyFill="1" applyBorder="1"/>
    <xf numFmtId="0" fontId="0" fillId="7" borderId="24" xfId="0" applyFill="1" applyBorder="1"/>
    <xf numFmtId="0" fontId="0" fillId="7" borderId="25" xfId="0" applyFill="1" applyBorder="1"/>
    <xf numFmtId="2" fontId="0" fillId="10" borderId="2" xfId="0" applyNumberFormat="1" applyFill="1" applyBorder="1"/>
    <xf numFmtId="1" fontId="0" fillId="10" borderId="0" xfId="0" applyNumberFormat="1" applyFill="1"/>
    <xf numFmtId="1" fontId="0" fillId="10" borderId="0" xfId="0" applyNumberFormat="1" applyFill="1" applyBorder="1"/>
    <xf numFmtId="1" fontId="0" fillId="10" borderId="2" xfId="0" applyNumberFormat="1" applyFill="1" applyBorder="1"/>
    <xf numFmtId="0" fontId="1" fillId="9" borderId="0" xfId="0" applyFont="1" applyFill="1"/>
    <xf numFmtId="9" fontId="0" fillId="9" borderId="0" xfId="0" applyNumberFormat="1" applyFill="1"/>
    <xf numFmtId="0" fontId="0" fillId="7" borderId="11" xfId="0" applyFill="1" applyBorder="1" applyAlignment="1"/>
    <xf numFmtId="0" fontId="0" fillId="7" borderId="12" xfId="0" applyFill="1" applyBorder="1" applyAlignment="1"/>
    <xf numFmtId="2" fontId="1" fillId="9" borderId="0" xfId="0" applyNumberFormat="1" applyFont="1" applyFill="1"/>
    <xf numFmtId="2" fontId="0" fillId="7" borderId="11" xfId="0" applyNumberFormat="1" applyFill="1" applyBorder="1"/>
    <xf numFmtId="2" fontId="11" fillId="7" borderId="15" xfId="0" applyNumberFormat="1" applyFont="1" applyFill="1" applyBorder="1"/>
    <xf numFmtId="2" fontId="11" fillId="7" borderId="8" xfId="0" applyNumberFormat="1" applyFont="1" applyFill="1" applyBorder="1" applyAlignment="1">
      <alignment horizontal="right"/>
    </xf>
    <xf numFmtId="2" fontId="11" fillId="7" borderId="0" xfId="0" applyNumberFormat="1" applyFont="1" applyFill="1" applyBorder="1" applyAlignment="1">
      <alignment horizontal="right"/>
    </xf>
    <xf numFmtId="2" fontId="11" fillId="7" borderId="11" xfId="0" applyNumberFormat="1" applyFont="1" applyFill="1" applyBorder="1" applyAlignment="1">
      <alignment horizontal="right"/>
    </xf>
    <xf numFmtId="44" fontId="1" fillId="9" borderId="0" xfId="3" applyNumberFormat="1" applyFont="1" applyFill="1"/>
    <xf numFmtId="44" fontId="0" fillId="7" borderId="11" xfId="3" applyNumberFormat="1" applyFont="1" applyFill="1" applyBorder="1"/>
    <xf numFmtId="44" fontId="0" fillId="7" borderId="8" xfId="3" applyNumberFormat="1" applyFont="1" applyFill="1" applyBorder="1"/>
    <xf numFmtId="44" fontId="0" fillId="7" borderId="0" xfId="3" applyNumberFormat="1" applyFont="1" applyFill="1" applyBorder="1"/>
    <xf numFmtId="2" fontId="11" fillId="7" borderId="15" xfId="3" applyNumberFormat="1" applyFont="1" applyFill="1" applyBorder="1"/>
    <xf numFmtId="167" fontId="1" fillId="10" borderId="2" xfId="0" applyNumberFormat="1" applyFont="1" applyFill="1" applyBorder="1"/>
    <xf numFmtId="167" fontId="1" fillId="7" borderId="2" xfId="0" applyNumberFormat="1" applyFont="1" applyFill="1" applyBorder="1"/>
    <xf numFmtId="168" fontId="0" fillId="10" borderId="2" xfId="3" applyNumberFormat="1" applyFont="1" applyFill="1" applyBorder="1"/>
    <xf numFmtId="168" fontId="0" fillId="10" borderId="0" xfId="3" applyNumberFormat="1" applyFont="1" applyFill="1" applyBorder="1"/>
    <xf numFmtId="168" fontId="0" fillId="10" borderId="0" xfId="0" applyNumberFormat="1" applyFill="1"/>
    <xf numFmtId="168" fontId="0" fillId="7" borderId="0" xfId="0" applyNumberFormat="1" applyFill="1"/>
    <xf numFmtId="168" fontId="0" fillId="7" borderId="2" xfId="3" applyNumberFormat="1" applyFont="1" applyFill="1" applyBorder="1"/>
    <xf numFmtId="168" fontId="0" fillId="7" borderId="0" xfId="3" applyNumberFormat="1" applyFont="1" applyFill="1" applyBorder="1"/>
    <xf numFmtId="167" fontId="0" fillId="0" borderId="0" xfId="0" applyNumberFormat="1"/>
    <xf numFmtId="0" fontId="0" fillId="0" borderId="0" xfId="0" applyFill="1" applyBorder="1" applyAlignment="1"/>
    <xf numFmtId="0" fontId="0" fillId="0" borderId="20" xfId="0" applyFill="1" applyBorder="1" applyAlignment="1"/>
    <xf numFmtId="0" fontId="7" fillId="0" borderId="26" xfId="0" applyFont="1" applyFill="1" applyBorder="1" applyAlignment="1">
      <alignment horizontal="center"/>
    </xf>
    <xf numFmtId="0" fontId="0" fillId="0" borderId="0" xfId="0" applyNumberFormat="1" applyFill="1" applyBorder="1" applyAlignment="1"/>
    <xf numFmtId="167" fontId="0" fillId="0" borderId="0" xfId="0" applyNumberFormat="1" applyFill="1" applyBorder="1" applyAlignment="1"/>
    <xf numFmtId="167" fontId="0" fillId="0" borderId="20" xfId="0" applyNumberFormat="1" applyFill="1" applyBorder="1" applyAlignment="1"/>
    <xf numFmtId="49" fontId="0" fillId="0" borderId="0" xfId="0" applyNumberFormat="1" applyBorder="1"/>
    <xf numFmtId="0" fontId="0" fillId="0" borderId="1" xfId="0" applyBorder="1"/>
    <xf numFmtId="14" fontId="0" fillId="0" borderId="8" xfId="0" applyNumberFormat="1" applyBorder="1"/>
    <xf numFmtId="169" fontId="0" fillId="7" borderId="0" xfId="0" applyNumberFormat="1" applyFill="1"/>
    <xf numFmtId="0" fontId="0" fillId="7" borderId="0" xfId="0" applyNumberFormat="1" applyFill="1"/>
    <xf numFmtId="1" fontId="0" fillId="0" borderId="0" xfId="0" applyNumberFormat="1" applyBorder="1"/>
    <xf numFmtId="0" fontId="0" fillId="0" borderId="0" xfId="0" applyAlignment="1">
      <alignment horizontal="center"/>
    </xf>
    <xf numFmtId="170" fontId="0" fillId="0" borderId="0" xfId="0" applyNumberFormat="1"/>
    <xf numFmtId="165" fontId="0" fillId="0" borderId="0" xfId="3" applyNumberFormat="1" applyFont="1"/>
    <xf numFmtId="0" fontId="1" fillId="7" borderId="3" xfId="0" applyFont="1" applyFill="1" applyBorder="1" applyProtection="1"/>
    <xf numFmtId="171" fontId="0" fillId="7" borderId="3" xfId="4" applyNumberFormat="1" applyFont="1" applyFill="1" applyBorder="1" applyAlignment="1" applyProtection="1">
      <alignment horizontal="left" vertical="top"/>
    </xf>
    <xf numFmtId="0" fontId="15" fillId="7" borderId="0" xfId="0" applyFont="1" applyFill="1" applyBorder="1" applyAlignment="1">
      <alignment horizontal="left" vertical="top" wrapText="1"/>
    </xf>
    <xf numFmtId="0" fontId="16" fillId="7" borderId="0" xfId="0" applyFont="1" applyFill="1" applyBorder="1" applyAlignment="1">
      <alignment horizontal="left" vertical="top" wrapText="1"/>
    </xf>
    <xf numFmtId="0" fontId="14" fillId="7" borderId="0" xfId="0" applyFont="1" applyFill="1" applyAlignment="1">
      <alignment wrapText="1"/>
    </xf>
    <xf numFmtId="0" fontId="14" fillId="7" borderId="0" xfId="0" applyFont="1" applyFill="1"/>
    <xf numFmtId="0" fontId="14" fillId="7" borderId="0" xfId="0" applyFont="1" applyFill="1" applyAlignment="1">
      <alignment horizontal="left" wrapText="1"/>
    </xf>
    <xf numFmtId="0" fontId="17" fillId="7" borderId="0" xfId="0" applyFont="1" applyFill="1"/>
    <xf numFmtId="0" fontId="14" fillId="7" borderId="0" xfId="0" applyFont="1" applyFill="1" applyAlignment="1">
      <alignment vertical="center"/>
    </xf>
    <xf numFmtId="0" fontId="17" fillId="7" borderId="0" xfId="0" applyFont="1" applyFill="1" applyAlignment="1">
      <alignment vertical="center"/>
    </xf>
    <xf numFmtId="0" fontId="18" fillId="7" borderId="0" xfId="5" applyFont="1" applyFill="1" applyAlignment="1">
      <alignment vertical="center"/>
    </xf>
    <xf numFmtId="2" fontId="0" fillId="0" borderId="0" xfId="0" applyNumberFormat="1" applyBorder="1"/>
    <xf numFmtId="2" fontId="0" fillId="0" borderId="1" xfId="0" applyNumberFormat="1" applyBorder="1"/>
    <xf numFmtId="0" fontId="6" fillId="0" borderId="0" xfId="0" applyFont="1" applyBorder="1"/>
    <xf numFmtId="2" fontId="0" fillId="0" borderId="0" xfId="0" applyNumberFormat="1" applyFill="1" applyBorder="1"/>
    <xf numFmtId="2" fontId="0" fillId="0" borderId="0" xfId="6" applyNumberFormat="1" applyFont="1" applyBorder="1"/>
    <xf numFmtId="2" fontId="0" fillId="0" borderId="11" xfId="0" applyNumberFormat="1" applyBorder="1"/>
    <xf numFmtId="2" fontId="0" fillId="0" borderId="12" xfId="0" applyNumberFormat="1" applyBorder="1"/>
    <xf numFmtId="2" fontId="0" fillId="0" borderId="11" xfId="6" applyNumberFormat="1" applyFont="1" applyBorder="1"/>
    <xf numFmtId="0" fontId="1" fillId="7" borderId="27" xfId="0" applyFont="1" applyFill="1" applyBorder="1"/>
    <xf numFmtId="0" fontId="1" fillId="7" borderId="28" xfId="0" applyFont="1" applyFill="1" applyBorder="1"/>
    <xf numFmtId="0" fontId="0" fillId="7" borderId="28" xfId="0" applyFill="1" applyBorder="1"/>
    <xf numFmtId="0" fontId="0" fillId="7" borderId="29" xfId="0" applyFill="1" applyBorder="1"/>
    <xf numFmtId="0" fontId="0" fillId="7" borderId="27" xfId="0" applyFill="1" applyBorder="1"/>
    <xf numFmtId="9" fontId="0" fillId="7" borderId="28" xfId="0" applyNumberFormat="1" applyFill="1" applyBorder="1"/>
    <xf numFmtId="9" fontId="0" fillId="7" borderId="29" xfId="0" applyNumberFormat="1" applyFill="1" applyBorder="1"/>
    <xf numFmtId="2" fontId="1" fillId="7" borderId="28" xfId="0" applyNumberFormat="1" applyFont="1" applyFill="1" applyBorder="1"/>
    <xf numFmtId="2" fontId="0" fillId="7" borderId="27" xfId="0" applyNumberFormat="1" applyFill="1" applyBorder="1"/>
    <xf numFmtId="167" fontId="0" fillId="7" borderId="29" xfId="0" applyNumberFormat="1" applyFill="1" applyBorder="1"/>
    <xf numFmtId="0" fontId="0" fillId="7" borderId="0" xfId="0" applyFill="1" applyProtection="1">
      <protection locked="0"/>
    </xf>
    <xf numFmtId="2" fontId="0" fillId="5" borderId="3" xfId="0" applyNumberFormat="1" applyFill="1" applyBorder="1" applyProtection="1">
      <protection locked="0"/>
    </xf>
    <xf numFmtId="0" fontId="5" fillId="8" borderId="0" xfId="0" applyFont="1" applyFill="1" applyAlignment="1" applyProtection="1">
      <alignment horizontal="center"/>
    </xf>
    <xf numFmtId="0" fontId="0" fillId="7" borderId="0" xfId="0" applyFill="1" applyProtection="1"/>
    <xf numFmtId="0" fontId="5" fillId="3" borderId="0" xfId="2" applyFont="1" applyProtection="1"/>
    <xf numFmtId="0" fontId="5" fillId="3" borderId="0" xfId="2" applyFont="1" applyAlignment="1" applyProtection="1">
      <alignment horizontal="center"/>
    </xf>
    <xf numFmtId="0" fontId="0" fillId="7" borderId="3" xfId="0" applyFill="1" applyBorder="1" applyProtection="1"/>
    <xf numFmtId="0" fontId="0" fillId="7" borderId="0" xfId="0" applyFill="1" applyBorder="1" applyProtection="1"/>
    <xf numFmtId="2" fontId="0" fillId="7" borderId="3" xfId="0" applyNumberFormat="1" applyFill="1" applyBorder="1" applyProtection="1"/>
    <xf numFmtId="2" fontId="0" fillId="7" borderId="0" xfId="0" applyNumberFormat="1" applyFill="1" applyBorder="1" applyProtection="1"/>
    <xf numFmtId="2" fontId="9" fillId="7" borderId="3" xfId="3" applyNumberFormat="1" applyFont="1" applyFill="1" applyBorder="1" applyProtection="1"/>
    <xf numFmtId="2" fontId="9" fillId="7" borderId="3" xfId="0" applyNumberFormat="1" applyFont="1" applyFill="1" applyBorder="1" applyProtection="1"/>
    <xf numFmtId="2" fontId="0" fillId="7" borderId="3" xfId="3" applyNumberFormat="1" applyFont="1" applyFill="1" applyBorder="1" applyProtection="1"/>
    <xf numFmtId="44" fontId="6" fillId="7" borderId="3" xfId="0" applyNumberFormat="1" applyFont="1" applyFill="1" applyBorder="1" applyProtection="1"/>
    <xf numFmtId="2" fontId="6" fillId="7" borderId="0" xfId="0" applyNumberFormat="1" applyFont="1" applyFill="1" applyBorder="1" applyProtection="1"/>
    <xf numFmtId="44" fontId="0" fillId="7" borderId="3" xfId="3" applyFont="1" applyFill="1" applyBorder="1" applyProtection="1"/>
    <xf numFmtId="2" fontId="0" fillId="7" borderId="0" xfId="3" applyNumberFormat="1" applyFont="1" applyFill="1" applyBorder="1" applyProtection="1"/>
    <xf numFmtId="2" fontId="0" fillId="7" borderId="0" xfId="0" applyNumberFormat="1" applyFill="1" applyProtection="1"/>
    <xf numFmtId="1" fontId="0" fillId="4" borderId="3" xfId="0" applyNumberFormat="1" applyFill="1" applyBorder="1" applyProtection="1"/>
    <xf numFmtId="1" fontId="0" fillId="7" borderId="3" xfId="0" applyNumberFormat="1" applyFill="1" applyBorder="1" applyProtection="1"/>
    <xf numFmtId="44" fontId="0" fillId="7" borderId="3" xfId="0" applyNumberFormat="1" applyFill="1" applyBorder="1" applyProtection="1"/>
    <xf numFmtId="0" fontId="0" fillId="0" borderId="3" xfId="0" applyBorder="1" applyProtection="1"/>
    <xf numFmtId="44" fontId="6" fillId="0" borderId="3" xfId="0" applyNumberFormat="1" applyFont="1" applyBorder="1" applyProtection="1"/>
    <xf numFmtId="2" fontId="6" fillId="0" borderId="0" xfId="0" applyNumberFormat="1" applyFont="1" applyBorder="1" applyProtection="1"/>
    <xf numFmtId="44" fontId="0" fillId="7" borderId="0" xfId="0" applyNumberFormat="1" applyFill="1" applyProtection="1"/>
    <xf numFmtId="49" fontId="9" fillId="7" borderId="3" xfId="3" applyNumberFormat="1" applyFont="1" applyFill="1" applyBorder="1" applyProtection="1"/>
    <xf numFmtId="49" fontId="9" fillId="7" borderId="3" xfId="0" applyNumberFormat="1" applyFont="1" applyFill="1" applyBorder="1" applyProtection="1"/>
    <xf numFmtId="44" fontId="6" fillId="7" borderId="3" xfId="3" applyFont="1" applyFill="1" applyBorder="1" applyProtection="1"/>
    <xf numFmtId="2" fontId="6" fillId="7" borderId="0" xfId="3" applyNumberFormat="1" applyFont="1" applyFill="1" applyBorder="1" applyProtection="1"/>
    <xf numFmtId="44" fontId="0" fillId="7" borderId="0" xfId="3" applyFont="1" applyFill="1" applyProtection="1"/>
    <xf numFmtId="2" fontId="0" fillId="7" borderId="0" xfId="3" applyNumberFormat="1" applyFont="1" applyFill="1" applyProtection="1"/>
    <xf numFmtId="0" fontId="1" fillId="7" borderId="0" xfId="0" applyFont="1" applyFill="1" applyProtection="1"/>
    <xf numFmtId="164" fontId="0" fillId="7" borderId="0" xfId="0" applyNumberFormat="1" applyFill="1" applyProtection="1"/>
    <xf numFmtId="1" fontId="0" fillId="7" borderId="0" xfId="0" applyNumberFormat="1" applyFill="1" applyBorder="1" applyProtection="1"/>
    <xf numFmtId="49" fontId="0" fillId="7" borderId="3" xfId="0" applyNumberFormat="1" applyFill="1" applyBorder="1" applyProtection="1"/>
    <xf numFmtId="0" fontId="0" fillId="0" borderId="2" xfId="0" applyBorder="1" applyAlignment="1">
      <alignment horizontal="center"/>
    </xf>
    <xf numFmtId="0" fontId="0" fillId="0" borderId="0" xfId="0" applyBorder="1" applyAlignment="1">
      <alignment horizontal="center"/>
    </xf>
    <xf numFmtId="0" fontId="0" fillId="0" borderId="1" xfId="0" applyBorder="1" applyAlignment="1">
      <alignment horizontal="center"/>
    </xf>
    <xf numFmtId="14" fontId="0" fillId="0" borderId="1" xfId="0" applyNumberFormat="1" applyBorder="1" applyAlignment="1">
      <alignment horizontal="center"/>
    </xf>
    <xf numFmtId="14" fontId="0" fillId="0" borderId="2" xfId="0" applyNumberFormat="1" applyBorder="1" applyAlignment="1">
      <alignment horizontal="center" vertical="center"/>
    </xf>
    <xf numFmtId="14" fontId="0" fillId="0" borderId="0" xfId="0" applyNumberFormat="1" applyBorder="1" applyAlignment="1">
      <alignment horizontal="center" vertical="center"/>
    </xf>
    <xf numFmtId="14" fontId="0" fillId="0" borderId="1" xfId="0" applyNumberFormat="1" applyBorder="1" applyAlignment="1">
      <alignment horizontal="center" vertical="center"/>
    </xf>
    <xf numFmtId="0" fontId="0" fillId="0" borderId="0" xfId="0" applyAlignment="1">
      <alignment horizontal="center"/>
    </xf>
    <xf numFmtId="0" fontId="0" fillId="11" borderId="0" xfId="0" applyFill="1" applyAlignment="1" applyProtection="1">
      <alignment horizontal="left" vertical="top"/>
    </xf>
    <xf numFmtId="2" fontId="9" fillId="4" borderId="13" xfId="0" applyNumberFormat="1" applyFont="1" applyFill="1" applyBorder="1" applyAlignment="1" applyProtection="1">
      <alignment horizontal="center" vertical="top"/>
      <protection locked="0"/>
    </xf>
    <xf numFmtId="2" fontId="9" fillId="4" borderId="15" xfId="0" applyNumberFormat="1" applyFont="1" applyFill="1" applyBorder="1" applyAlignment="1" applyProtection="1">
      <alignment horizontal="center" vertical="top"/>
      <protection locked="0"/>
    </xf>
    <xf numFmtId="2" fontId="9" fillId="4" borderId="14" xfId="0" applyNumberFormat="1" applyFont="1" applyFill="1" applyBorder="1" applyAlignment="1" applyProtection="1">
      <alignment horizontal="center" vertical="top"/>
      <protection locked="0"/>
    </xf>
    <xf numFmtId="0" fontId="9" fillId="4" borderId="13" xfId="0" applyFont="1" applyFill="1" applyBorder="1" applyAlignment="1" applyProtection="1">
      <alignment horizontal="center" vertical="center"/>
      <protection locked="0"/>
    </xf>
    <xf numFmtId="0" fontId="9" fillId="4" borderId="15" xfId="0" applyFont="1" applyFill="1" applyBorder="1" applyAlignment="1" applyProtection="1">
      <alignment horizontal="center" vertical="center"/>
      <protection locked="0"/>
    </xf>
    <xf numFmtId="0" fontId="9" fillId="4" borderId="14" xfId="0" applyFont="1" applyFill="1" applyBorder="1" applyAlignment="1" applyProtection="1">
      <alignment horizontal="center" vertical="center"/>
      <protection locked="0"/>
    </xf>
    <xf numFmtId="0" fontId="5" fillId="12" borderId="0" xfId="0" applyFont="1" applyFill="1" applyAlignment="1" applyProtection="1">
      <alignment horizontal="center"/>
    </xf>
    <xf numFmtId="0" fontId="5" fillId="8" borderId="0" xfId="0" applyFont="1" applyFill="1" applyAlignment="1" applyProtection="1">
      <alignment horizontal="center"/>
    </xf>
    <xf numFmtId="0" fontId="5" fillId="3" borderId="0" xfId="2" applyFont="1" applyAlignment="1" applyProtection="1">
      <alignment horizontal="center"/>
    </xf>
    <xf numFmtId="0" fontId="5" fillId="12" borderId="0" xfId="0" applyFont="1" applyFill="1" applyBorder="1" applyAlignment="1" applyProtection="1">
      <alignment horizontal="center"/>
    </xf>
    <xf numFmtId="0" fontId="5" fillId="12" borderId="11" xfId="0" applyFont="1" applyFill="1" applyBorder="1" applyAlignment="1" applyProtection="1">
      <alignment horizontal="center"/>
    </xf>
  </cellXfs>
  <cellStyles count="7">
    <cellStyle name="Accent5" xfId="1" builtinId="45"/>
    <cellStyle name="Accent6" xfId="2" builtinId="49"/>
    <cellStyle name="Comma" xfId="6" builtinId="3"/>
    <cellStyle name="Currency" xfId="3" builtinId="4"/>
    <cellStyle name="Hyperlink" xfId="5" builtinId="8"/>
    <cellStyle name="Normal" xfId="0" builtinId="0"/>
    <cellStyle name="Percent" xfId="4" builtinId="5"/>
  </cellStyles>
  <dxfs count="7">
    <dxf>
      <font>
        <color rgb="FFFF0000"/>
      </font>
      <numFmt numFmtId="34" formatCode="_-&quot;$&quot;* #,##0.00_-;\-&quot;$&quot;* #,##0.00_-;_-&quot;$&quot;* &quot;-&quot;??_-;_-@_-"/>
      <fill>
        <patternFill patternType="none">
          <bgColor auto="1"/>
        </patternFill>
      </fill>
    </dxf>
    <dxf>
      <font>
        <color rgb="FFFF0000"/>
      </font>
      <numFmt numFmtId="34" formatCode="_-&quot;$&quot;* #,##0.00_-;\-&quot;$&quot;* #,##0.00_-;_-&quot;$&quot;* &quot;-&quot;??_-;_-@_-"/>
      <fill>
        <patternFill patternType="none">
          <bgColor auto="1"/>
        </patternFill>
      </fill>
    </dxf>
    <dxf>
      <font>
        <color rgb="FFFF0000"/>
      </font>
      <numFmt numFmtId="34" formatCode="_-&quot;$&quot;* #,##0.00_-;\-&quot;$&quot;* #,##0.00_-;_-&quot;$&quot;* &quot;-&quot;??_-;_-@_-"/>
      <fill>
        <patternFill patternType="none">
          <bgColor auto="1"/>
        </patternFill>
      </fill>
    </dxf>
    <dxf>
      <font>
        <color theme="9" tint="-0.499984740745262"/>
      </font>
      <fill>
        <patternFill>
          <bgColor theme="9"/>
        </patternFill>
      </fill>
    </dxf>
    <dxf>
      <font>
        <color rgb="FFC00000"/>
      </font>
      <fill>
        <patternFill>
          <bgColor rgb="FFFF0000"/>
        </patternFill>
      </fill>
    </dxf>
    <dxf>
      <font>
        <color theme="9" tint="-0.499984740745262"/>
      </font>
      <fill>
        <patternFill>
          <bgColor theme="9"/>
        </patternFill>
      </fill>
    </dxf>
    <dxf>
      <font>
        <color rgb="FFC00000"/>
      </font>
      <fill>
        <patternFill>
          <bgColor rgb="FFFF0000"/>
        </patternFill>
      </fill>
    </dxf>
  </dxfs>
  <tableStyles count="0" defaultTableStyle="TableStyleMedium2" defaultPivotStyle="PivotStyleLight16"/>
  <colors>
    <mruColors>
      <color rgb="FF5F6062"/>
      <color rgb="FF00A18E"/>
      <color rgb="FFE8941A"/>
      <color rgb="FF009DDC"/>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'LR Comparison'!$B$1:$B$2</c:f>
              <c:strCache>
                <c:ptCount val="2"/>
                <c:pt idx="0">
                  <c:v>DSE/ha</c:v>
                </c:pt>
                <c:pt idx="1">
                  <c:v>390GL</c:v>
                </c:pt>
              </c:strCache>
            </c:strRef>
          </c:tx>
          <c:spPr>
            <a:ln w="28575" cap="rnd">
              <a:solidFill>
                <a:schemeClr val="accent1"/>
              </a:solidFill>
              <a:round/>
            </a:ln>
            <a:effectLst/>
          </c:spPr>
          <c:marker>
            <c:symbol val="none"/>
          </c:marker>
          <c:cat>
            <c:numRef>
              <c:f>'LR Comparison'!$A$284:$A$404</c:f>
              <c:numCache>
                <c:formatCode>m/d/yyyy</c:formatCode>
                <c:ptCount val="121"/>
                <c:pt idx="0">
                  <c:v>29098</c:v>
                </c:pt>
                <c:pt idx="1">
                  <c:v>29189</c:v>
                </c:pt>
                <c:pt idx="2">
                  <c:v>29279</c:v>
                </c:pt>
                <c:pt idx="3">
                  <c:v>29372</c:v>
                </c:pt>
                <c:pt idx="4">
                  <c:v>29464</c:v>
                </c:pt>
                <c:pt idx="5">
                  <c:v>29555</c:v>
                </c:pt>
                <c:pt idx="6">
                  <c:v>29645</c:v>
                </c:pt>
                <c:pt idx="7">
                  <c:v>29737</c:v>
                </c:pt>
                <c:pt idx="8">
                  <c:v>29829</c:v>
                </c:pt>
                <c:pt idx="9">
                  <c:v>29920</c:v>
                </c:pt>
                <c:pt idx="10">
                  <c:v>30010</c:v>
                </c:pt>
                <c:pt idx="11">
                  <c:v>30102</c:v>
                </c:pt>
                <c:pt idx="12">
                  <c:v>30194</c:v>
                </c:pt>
                <c:pt idx="13">
                  <c:v>30285</c:v>
                </c:pt>
                <c:pt idx="14">
                  <c:v>30375</c:v>
                </c:pt>
                <c:pt idx="15">
                  <c:v>30467</c:v>
                </c:pt>
                <c:pt idx="16">
                  <c:v>30559</c:v>
                </c:pt>
                <c:pt idx="17">
                  <c:v>30650</c:v>
                </c:pt>
                <c:pt idx="18">
                  <c:v>30740</c:v>
                </c:pt>
                <c:pt idx="19">
                  <c:v>30833</c:v>
                </c:pt>
                <c:pt idx="20">
                  <c:v>30925</c:v>
                </c:pt>
                <c:pt idx="21">
                  <c:v>31016</c:v>
                </c:pt>
                <c:pt idx="22">
                  <c:v>31106</c:v>
                </c:pt>
                <c:pt idx="23">
                  <c:v>31198</c:v>
                </c:pt>
                <c:pt idx="24">
                  <c:v>31290</c:v>
                </c:pt>
                <c:pt idx="25">
                  <c:v>31381</c:v>
                </c:pt>
                <c:pt idx="26">
                  <c:v>31471</c:v>
                </c:pt>
                <c:pt idx="27">
                  <c:v>31563</c:v>
                </c:pt>
                <c:pt idx="28">
                  <c:v>31655</c:v>
                </c:pt>
                <c:pt idx="29">
                  <c:v>31746</c:v>
                </c:pt>
                <c:pt idx="30">
                  <c:v>31836</c:v>
                </c:pt>
                <c:pt idx="31">
                  <c:v>31928</c:v>
                </c:pt>
                <c:pt idx="32">
                  <c:v>32020</c:v>
                </c:pt>
                <c:pt idx="33">
                  <c:v>32111</c:v>
                </c:pt>
                <c:pt idx="34">
                  <c:v>32201</c:v>
                </c:pt>
                <c:pt idx="35">
                  <c:v>32294</c:v>
                </c:pt>
                <c:pt idx="36">
                  <c:v>32386</c:v>
                </c:pt>
                <c:pt idx="37">
                  <c:v>32477</c:v>
                </c:pt>
                <c:pt idx="38">
                  <c:v>32567</c:v>
                </c:pt>
                <c:pt idx="39">
                  <c:v>32659</c:v>
                </c:pt>
                <c:pt idx="40">
                  <c:v>32751</c:v>
                </c:pt>
                <c:pt idx="41">
                  <c:v>32842</c:v>
                </c:pt>
                <c:pt idx="42">
                  <c:v>32932</c:v>
                </c:pt>
                <c:pt idx="43">
                  <c:v>33024</c:v>
                </c:pt>
                <c:pt idx="44">
                  <c:v>33116</c:v>
                </c:pt>
                <c:pt idx="45">
                  <c:v>33207</c:v>
                </c:pt>
                <c:pt idx="46">
                  <c:v>33297</c:v>
                </c:pt>
                <c:pt idx="47">
                  <c:v>33389</c:v>
                </c:pt>
                <c:pt idx="48">
                  <c:v>33481</c:v>
                </c:pt>
                <c:pt idx="49">
                  <c:v>33572</c:v>
                </c:pt>
                <c:pt idx="50">
                  <c:v>33662</c:v>
                </c:pt>
                <c:pt idx="51">
                  <c:v>33755</c:v>
                </c:pt>
                <c:pt idx="52">
                  <c:v>33847</c:v>
                </c:pt>
                <c:pt idx="53">
                  <c:v>33938</c:v>
                </c:pt>
                <c:pt idx="54">
                  <c:v>34028</c:v>
                </c:pt>
                <c:pt idx="55">
                  <c:v>34120</c:v>
                </c:pt>
                <c:pt idx="56">
                  <c:v>34212</c:v>
                </c:pt>
                <c:pt idx="57">
                  <c:v>34303</c:v>
                </c:pt>
                <c:pt idx="58">
                  <c:v>34393</c:v>
                </c:pt>
                <c:pt idx="59">
                  <c:v>34485</c:v>
                </c:pt>
                <c:pt idx="60">
                  <c:v>34577</c:v>
                </c:pt>
                <c:pt idx="61">
                  <c:v>34668</c:v>
                </c:pt>
                <c:pt idx="62">
                  <c:v>34758</c:v>
                </c:pt>
                <c:pt idx="63">
                  <c:v>34850</c:v>
                </c:pt>
                <c:pt idx="64">
                  <c:v>34942</c:v>
                </c:pt>
                <c:pt idx="65">
                  <c:v>35033</c:v>
                </c:pt>
                <c:pt idx="66">
                  <c:v>35123</c:v>
                </c:pt>
                <c:pt idx="67">
                  <c:v>35216</c:v>
                </c:pt>
                <c:pt idx="68">
                  <c:v>35308</c:v>
                </c:pt>
                <c:pt idx="69">
                  <c:v>35399</c:v>
                </c:pt>
                <c:pt idx="70">
                  <c:v>35489</c:v>
                </c:pt>
                <c:pt idx="71">
                  <c:v>35581</c:v>
                </c:pt>
                <c:pt idx="72">
                  <c:v>35673</c:v>
                </c:pt>
                <c:pt idx="73">
                  <c:v>35764</c:v>
                </c:pt>
                <c:pt idx="74">
                  <c:v>35854</c:v>
                </c:pt>
                <c:pt idx="75">
                  <c:v>35946</c:v>
                </c:pt>
                <c:pt idx="76">
                  <c:v>36038</c:v>
                </c:pt>
                <c:pt idx="77">
                  <c:v>36129</c:v>
                </c:pt>
                <c:pt idx="78">
                  <c:v>36219</c:v>
                </c:pt>
                <c:pt idx="79">
                  <c:v>36311</c:v>
                </c:pt>
                <c:pt idx="80">
                  <c:v>36403</c:v>
                </c:pt>
                <c:pt idx="81">
                  <c:v>36494</c:v>
                </c:pt>
                <c:pt idx="82">
                  <c:v>36584</c:v>
                </c:pt>
                <c:pt idx="83">
                  <c:v>36677</c:v>
                </c:pt>
                <c:pt idx="84">
                  <c:v>36769</c:v>
                </c:pt>
                <c:pt idx="85">
                  <c:v>36860</c:v>
                </c:pt>
                <c:pt idx="86">
                  <c:v>36950</c:v>
                </c:pt>
                <c:pt idx="87">
                  <c:v>37042</c:v>
                </c:pt>
                <c:pt idx="88">
                  <c:v>37134</c:v>
                </c:pt>
                <c:pt idx="89">
                  <c:v>37225</c:v>
                </c:pt>
                <c:pt idx="90">
                  <c:v>37315</c:v>
                </c:pt>
                <c:pt idx="91">
                  <c:v>37407</c:v>
                </c:pt>
                <c:pt idx="92">
                  <c:v>37499</c:v>
                </c:pt>
                <c:pt idx="93">
                  <c:v>37590</c:v>
                </c:pt>
                <c:pt idx="94">
                  <c:v>37680</c:v>
                </c:pt>
                <c:pt idx="95">
                  <c:v>37772</c:v>
                </c:pt>
                <c:pt idx="96">
                  <c:v>37864</c:v>
                </c:pt>
                <c:pt idx="97">
                  <c:v>37955</c:v>
                </c:pt>
                <c:pt idx="98">
                  <c:v>38045</c:v>
                </c:pt>
                <c:pt idx="99">
                  <c:v>38138</c:v>
                </c:pt>
                <c:pt idx="100">
                  <c:v>38230</c:v>
                </c:pt>
                <c:pt idx="101">
                  <c:v>38321</c:v>
                </c:pt>
                <c:pt idx="102">
                  <c:v>38411</c:v>
                </c:pt>
                <c:pt idx="103">
                  <c:v>38503</c:v>
                </c:pt>
                <c:pt idx="104">
                  <c:v>38595</c:v>
                </c:pt>
                <c:pt idx="105">
                  <c:v>38686</c:v>
                </c:pt>
                <c:pt idx="106">
                  <c:v>38776</c:v>
                </c:pt>
                <c:pt idx="107">
                  <c:v>38868</c:v>
                </c:pt>
                <c:pt idx="108">
                  <c:v>38960</c:v>
                </c:pt>
                <c:pt idx="109">
                  <c:v>39051</c:v>
                </c:pt>
                <c:pt idx="110">
                  <c:v>39141</c:v>
                </c:pt>
                <c:pt idx="111">
                  <c:v>39233</c:v>
                </c:pt>
                <c:pt idx="112">
                  <c:v>39325</c:v>
                </c:pt>
                <c:pt idx="113">
                  <c:v>39416</c:v>
                </c:pt>
                <c:pt idx="114">
                  <c:v>39506</c:v>
                </c:pt>
                <c:pt idx="115">
                  <c:v>39599</c:v>
                </c:pt>
                <c:pt idx="116">
                  <c:v>39691</c:v>
                </c:pt>
                <c:pt idx="117">
                  <c:v>39782</c:v>
                </c:pt>
                <c:pt idx="118">
                  <c:v>39872</c:v>
                </c:pt>
                <c:pt idx="119">
                  <c:v>39964</c:v>
                </c:pt>
                <c:pt idx="120">
                  <c:v>40056</c:v>
                </c:pt>
              </c:numCache>
            </c:numRef>
          </c:cat>
          <c:val>
            <c:numRef>
              <c:f>'LR Comparison'!$B$284:$B$404</c:f>
              <c:numCache>
                <c:formatCode>0.000</c:formatCode>
                <c:ptCount val="121"/>
                <c:pt idx="0">
                  <c:v>0.18140844409738793</c:v>
                </c:pt>
                <c:pt idx="1">
                  <c:v>0.161</c:v>
                </c:pt>
                <c:pt idx="2">
                  <c:v>0.161</c:v>
                </c:pt>
                <c:pt idx="3">
                  <c:v>0.161</c:v>
                </c:pt>
                <c:pt idx="4">
                  <c:v>0.161</c:v>
                </c:pt>
                <c:pt idx="5">
                  <c:v>0.161</c:v>
                </c:pt>
                <c:pt idx="6">
                  <c:v>0.161</c:v>
                </c:pt>
                <c:pt idx="7">
                  <c:v>0.161</c:v>
                </c:pt>
                <c:pt idx="8">
                  <c:v>0.26590262272491522</c:v>
                </c:pt>
                <c:pt idx="9">
                  <c:v>0.30648051863612424</c:v>
                </c:pt>
                <c:pt idx="10">
                  <c:v>0.30648051863612424</c:v>
                </c:pt>
                <c:pt idx="11">
                  <c:v>0.30648051863612424</c:v>
                </c:pt>
                <c:pt idx="12">
                  <c:v>0.161</c:v>
                </c:pt>
                <c:pt idx="13">
                  <c:v>0.161</c:v>
                </c:pt>
                <c:pt idx="14">
                  <c:v>0.161</c:v>
                </c:pt>
                <c:pt idx="15">
                  <c:v>0.95042173780424954</c:v>
                </c:pt>
                <c:pt idx="16">
                  <c:v>0.47716375145101714</c:v>
                </c:pt>
                <c:pt idx="17">
                  <c:v>0.53127465745538216</c:v>
                </c:pt>
                <c:pt idx="18">
                  <c:v>1.1186414784243939</c:v>
                </c:pt>
                <c:pt idx="19">
                  <c:v>1.6259243920281841</c:v>
                </c:pt>
                <c:pt idx="20">
                  <c:v>0.81630307011735692</c:v>
                </c:pt>
                <c:pt idx="21">
                  <c:v>0.82112173905914321</c:v>
                </c:pt>
                <c:pt idx="22">
                  <c:v>0.82112173905914321</c:v>
                </c:pt>
                <c:pt idx="23">
                  <c:v>0.17068348077100587</c:v>
                </c:pt>
                <c:pt idx="24">
                  <c:v>0.161</c:v>
                </c:pt>
                <c:pt idx="25">
                  <c:v>0.161</c:v>
                </c:pt>
                <c:pt idx="26">
                  <c:v>0.161</c:v>
                </c:pt>
                <c:pt idx="27">
                  <c:v>0.34500000000000003</c:v>
                </c:pt>
                <c:pt idx="28">
                  <c:v>0.17320889001436818</c:v>
                </c:pt>
                <c:pt idx="29">
                  <c:v>0.33508862018860808</c:v>
                </c:pt>
                <c:pt idx="30">
                  <c:v>0.33508862018860808</c:v>
                </c:pt>
                <c:pt idx="31">
                  <c:v>0.33508862018860808</c:v>
                </c:pt>
                <c:pt idx="32">
                  <c:v>0.1682328346646812</c:v>
                </c:pt>
                <c:pt idx="33">
                  <c:v>0.161</c:v>
                </c:pt>
                <c:pt idx="34">
                  <c:v>0.161</c:v>
                </c:pt>
                <c:pt idx="35">
                  <c:v>0.97219580315956022</c:v>
                </c:pt>
                <c:pt idx="36">
                  <c:v>0.48809552446925969</c:v>
                </c:pt>
                <c:pt idx="37">
                  <c:v>0.48809552446925969</c:v>
                </c:pt>
                <c:pt idx="38">
                  <c:v>0.48809552446925969</c:v>
                </c:pt>
                <c:pt idx="39">
                  <c:v>0.79425724514330887</c:v>
                </c:pt>
                <c:pt idx="40">
                  <c:v>0.39876062555693464</c:v>
                </c:pt>
                <c:pt idx="41">
                  <c:v>0.39876062555693464</c:v>
                </c:pt>
                <c:pt idx="42">
                  <c:v>0.39876062555693464</c:v>
                </c:pt>
                <c:pt idx="43">
                  <c:v>1.1232163241262372</c:v>
                </c:pt>
                <c:pt idx="44">
                  <c:v>0.56391609492151973</c:v>
                </c:pt>
                <c:pt idx="45">
                  <c:v>0.56391609492151973</c:v>
                </c:pt>
                <c:pt idx="46">
                  <c:v>0.56391609492151973</c:v>
                </c:pt>
                <c:pt idx="47">
                  <c:v>0.56391609492151973</c:v>
                </c:pt>
                <c:pt idx="48">
                  <c:v>0.28311675612345943</c:v>
                </c:pt>
                <c:pt idx="49">
                  <c:v>0.161</c:v>
                </c:pt>
                <c:pt idx="50">
                  <c:v>0.161</c:v>
                </c:pt>
                <c:pt idx="51">
                  <c:v>0.161</c:v>
                </c:pt>
                <c:pt idx="52">
                  <c:v>0.161</c:v>
                </c:pt>
                <c:pt idx="53">
                  <c:v>0.161</c:v>
                </c:pt>
                <c:pt idx="54">
                  <c:v>0.161</c:v>
                </c:pt>
                <c:pt idx="55">
                  <c:v>0.34500000000000003</c:v>
                </c:pt>
                <c:pt idx="56">
                  <c:v>0.17320889001436818</c:v>
                </c:pt>
                <c:pt idx="57">
                  <c:v>0.43748130149511583</c:v>
                </c:pt>
                <c:pt idx="58">
                  <c:v>0.43748130149511583</c:v>
                </c:pt>
                <c:pt idx="59">
                  <c:v>0.43748130149511583</c:v>
                </c:pt>
                <c:pt idx="60">
                  <c:v>0.2196395670551019</c:v>
                </c:pt>
                <c:pt idx="61">
                  <c:v>0.161</c:v>
                </c:pt>
                <c:pt idx="62">
                  <c:v>0.34562630906087133</c:v>
                </c:pt>
                <c:pt idx="63">
                  <c:v>0.67708300392117082</c:v>
                </c:pt>
                <c:pt idx="64">
                  <c:v>0.33993274074429014</c:v>
                </c:pt>
                <c:pt idx="65">
                  <c:v>0.39725580576864256</c:v>
                </c:pt>
                <c:pt idx="66">
                  <c:v>0.39725580576864256</c:v>
                </c:pt>
                <c:pt idx="67">
                  <c:v>0.9079668508424148</c:v>
                </c:pt>
                <c:pt idx="68">
                  <c:v>0.45584907363552474</c:v>
                </c:pt>
                <c:pt idx="69">
                  <c:v>0.46459892746209164</c:v>
                </c:pt>
                <c:pt idx="70">
                  <c:v>0.86190855066965022</c:v>
                </c:pt>
                <c:pt idx="71">
                  <c:v>0.86190855066965022</c:v>
                </c:pt>
                <c:pt idx="72">
                  <c:v>0.43272528508806646</c:v>
                </c:pt>
                <c:pt idx="73">
                  <c:v>0.43272528508806646</c:v>
                </c:pt>
                <c:pt idx="74">
                  <c:v>0.43272528508806646</c:v>
                </c:pt>
                <c:pt idx="75">
                  <c:v>0.69808958627392714</c:v>
                </c:pt>
                <c:pt idx="76">
                  <c:v>0.35047919527274324</c:v>
                </c:pt>
                <c:pt idx="77">
                  <c:v>0.67760197551391177</c:v>
                </c:pt>
                <c:pt idx="78">
                  <c:v>1.1489313129126624</c:v>
                </c:pt>
                <c:pt idx="79">
                  <c:v>1.6659504037233606</c:v>
                </c:pt>
                <c:pt idx="80">
                  <c:v>0.83639831955916466</c:v>
                </c:pt>
                <c:pt idx="81">
                  <c:v>0.83639831955916466</c:v>
                </c:pt>
                <c:pt idx="82">
                  <c:v>1.2139318745362719</c:v>
                </c:pt>
                <c:pt idx="83">
                  <c:v>1.9306679728238738</c:v>
                </c:pt>
                <c:pt idx="84">
                  <c:v>0.96930103350467678</c:v>
                </c:pt>
                <c:pt idx="85">
                  <c:v>0.96930103350467678</c:v>
                </c:pt>
                <c:pt idx="86">
                  <c:v>1.3818877280944131</c:v>
                </c:pt>
                <c:pt idx="87">
                  <c:v>1.3818877280944131</c:v>
                </c:pt>
                <c:pt idx="88">
                  <c:v>0.6937833029208994</c:v>
                </c:pt>
                <c:pt idx="89">
                  <c:v>0.6937833029208994</c:v>
                </c:pt>
                <c:pt idx="90">
                  <c:v>0.6937833029208994</c:v>
                </c:pt>
                <c:pt idx="91">
                  <c:v>0.6937833029208994</c:v>
                </c:pt>
                <c:pt idx="92">
                  <c:v>0.34831720524472792</c:v>
                </c:pt>
                <c:pt idx="93">
                  <c:v>0.16100000000000003</c:v>
                </c:pt>
                <c:pt idx="94">
                  <c:v>0.161</c:v>
                </c:pt>
                <c:pt idx="95">
                  <c:v>0.161</c:v>
                </c:pt>
                <c:pt idx="96">
                  <c:v>0.161</c:v>
                </c:pt>
                <c:pt idx="97">
                  <c:v>0.161</c:v>
                </c:pt>
                <c:pt idx="98">
                  <c:v>0.34557703473211504</c:v>
                </c:pt>
                <c:pt idx="99">
                  <c:v>0.67902132276887717</c:v>
                </c:pt>
                <c:pt idx="100">
                  <c:v>0.34090588293589924</c:v>
                </c:pt>
                <c:pt idx="101">
                  <c:v>0.36458805767405711</c:v>
                </c:pt>
                <c:pt idx="102">
                  <c:v>0.36458805767405711</c:v>
                </c:pt>
                <c:pt idx="103">
                  <c:v>0.36458805767405711</c:v>
                </c:pt>
                <c:pt idx="104">
                  <c:v>0.16100000000000003</c:v>
                </c:pt>
                <c:pt idx="105">
                  <c:v>0.161</c:v>
                </c:pt>
                <c:pt idx="106">
                  <c:v>0.161</c:v>
                </c:pt>
                <c:pt idx="107">
                  <c:v>0.161</c:v>
                </c:pt>
                <c:pt idx="108">
                  <c:v>0.161</c:v>
                </c:pt>
                <c:pt idx="109">
                  <c:v>0.161</c:v>
                </c:pt>
                <c:pt idx="110">
                  <c:v>0.161</c:v>
                </c:pt>
                <c:pt idx="111">
                  <c:v>0.161</c:v>
                </c:pt>
                <c:pt idx="112">
                  <c:v>0.161</c:v>
                </c:pt>
                <c:pt idx="113">
                  <c:v>0.161</c:v>
                </c:pt>
                <c:pt idx="114">
                  <c:v>0.75622652264730872</c:v>
                </c:pt>
                <c:pt idx="115">
                  <c:v>1.6357697507968756</c:v>
                </c:pt>
                <c:pt idx="116">
                  <c:v>0.82124597928871435</c:v>
                </c:pt>
                <c:pt idx="117">
                  <c:v>0.82124597928871435</c:v>
                </c:pt>
                <c:pt idx="118">
                  <c:v>1.2873731790064189</c:v>
                </c:pt>
                <c:pt idx="119">
                  <c:v>1.2873731790064189</c:v>
                </c:pt>
                <c:pt idx="120">
                  <c:v>0.64633182426078351</c:v>
                </c:pt>
              </c:numCache>
            </c:numRef>
          </c:val>
          <c:smooth val="0"/>
          <c:extLst>
            <c:ext xmlns:c16="http://schemas.microsoft.com/office/drawing/2014/chart" uri="{C3380CC4-5D6E-409C-BE32-E72D297353CC}">
              <c16:uniqueId val="{00000000-A88E-41AE-9637-A24E22778F59}"/>
            </c:ext>
          </c:extLst>
        </c:ser>
        <c:ser>
          <c:idx val="1"/>
          <c:order val="1"/>
          <c:tx>
            <c:strRef>
              <c:f>'LR Comparison'!$C$1:$C$2</c:f>
              <c:strCache>
                <c:ptCount val="2"/>
                <c:pt idx="0">
                  <c:v>DSE/ha</c:v>
                </c:pt>
                <c:pt idx="1">
                  <c:v>Without development</c:v>
                </c:pt>
              </c:strCache>
            </c:strRef>
          </c:tx>
          <c:spPr>
            <a:ln w="28575" cap="rnd">
              <a:solidFill>
                <a:schemeClr val="accent2"/>
              </a:solidFill>
              <a:round/>
            </a:ln>
            <a:effectLst/>
          </c:spPr>
          <c:marker>
            <c:symbol val="none"/>
          </c:marker>
          <c:cat>
            <c:numRef>
              <c:f>'LR Comparison'!$A$284:$A$404</c:f>
              <c:numCache>
                <c:formatCode>m/d/yyyy</c:formatCode>
                <c:ptCount val="121"/>
                <c:pt idx="0">
                  <c:v>29098</c:v>
                </c:pt>
                <c:pt idx="1">
                  <c:v>29189</c:v>
                </c:pt>
                <c:pt idx="2">
                  <c:v>29279</c:v>
                </c:pt>
                <c:pt idx="3">
                  <c:v>29372</c:v>
                </c:pt>
                <c:pt idx="4">
                  <c:v>29464</c:v>
                </c:pt>
                <c:pt idx="5">
                  <c:v>29555</c:v>
                </c:pt>
                <c:pt idx="6">
                  <c:v>29645</c:v>
                </c:pt>
                <c:pt idx="7">
                  <c:v>29737</c:v>
                </c:pt>
                <c:pt idx="8">
                  <c:v>29829</c:v>
                </c:pt>
                <c:pt idx="9">
                  <c:v>29920</c:v>
                </c:pt>
                <c:pt idx="10">
                  <c:v>30010</c:v>
                </c:pt>
                <c:pt idx="11">
                  <c:v>30102</c:v>
                </c:pt>
                <c:pt idx="12">
                  <c:v>30194</c:v>
                </c:pt>
                <c:pt idx="13">
                  <c:v>30285</c:v>
                </c:pt>
                <c:pt idx="14">
                  <c:v>30375</c:v>
                </c:pt>
                <c:pt idx="15">
                  <c:v>30467</c:v>
                </c:pt>
                <c:pt idx="16">
                  <c:v>30559</c:v>
                </c:pt>
                <c:pt idx="17">
                  <c:v>30650</c:v>
                </c:pt>
                <c:pt idx="18">
                  <c:v>30740</c:v>
                </c:pt>
                <c:pt idx="19">
                  <c:v>30833</c:v>
                </c:pt>
                <c:pt idx="20">
                  <c:v>30925</c:v>
                </c:pt>
                <c:pt idx="21">
                  <c:v>31016</c:v>
                </c:pt>
                <c:pt idx="22">
                  <c:v>31106</c:v>
                </c:pt>
                <c:pt idx="23">
                  <c:v>31198</c:v>
                </c:pt>
                <c:pt idx="24">
                  <c:v>31290</c:v>
                </c:pt>
                <c:pt idx="25">
                  <c:v>31381</c:v>
                </c:pt>
                <c:pt idx="26">
                  <c:v>31471</c:v>
                </c:pt>
                <c:pt idx="27">
                  <c:v>31563</c:v>
                </c:pt>
                <c:pt idx="28">
                  <c:v>31655</c:v>
                </c:pt>
                <c:pt idx="29">
                  <c:v>31746</c:v>
                </c:pt>
                <c:pt idx="30">
                  <c:v>31836</c:v>
                </c:pt>
                <c:pt idx="31">
                  <c:v>31928</c:v>
                </c:pt>
                <c:pt idx="32">
                  <c:v>32020</c:v>
                </c:pt>
                <c:pt idx="33">
                  <c:v>32111</c:v>
                </c:pt>
                <c:pt idx="34">
                  <c:v>32201</c:v>
                </c:pt>
                <c:pt idx="35">
                  <c:v>32294</c:v>
                </c:pt>
                <c:pt idx="36">
                  <c:v>32386</c:v>
                </c:pt>
                <c:pt idx="37">
                  <c:v>32477</c:v>
                </c:pt>
                <c:pt idx="38">
                  <c:v>32567</c:v>
                </c:pt>
                <c:pt idx="39">
                  <c:v>32659</c:v>
                </c:pt>
                <c:pt idx="40">
                  <c:v>32751</c:v>
                </c:pt>
                <c:pt idx="41">
                  <c:v>32842</c:v>
                </c:pt>
                <c:pt idx="42">
                  <c:v>32932</c:v>
                </c:pt>
                <c:pt idx="43">
                  <c:v>33024</c:v>
                </c:pt>
                <c:pt idx="44">
                  <c:v>33116</c:v>
                </c:pt>
                <c:pt idx="45">
                  <c:v>33207</c:v>
                </c:pt>
                <c:pt idx="46">
                  <c:v>33297</c:v>
                </c:pt>
                <c:pt idx="47">
                  <c:v>33389</c:v>
                </c:pt>
                <c:pt idx="48">
                  <c:v>33481</c:v>
                </c:pt>
                <c:pt idx="49">
                  <c:v>33572</c:v>
                </c:pt>
                <c:pt idx="50">
                  <c:v>33662</c:v>
                </c:pt>
                <c:pt idx="51">
                  <c:v>33755</c:v>
                </c:pt>
                <c:pt idx="52">
                  <c:v>33847</c:v>
                </c:pt>
                <c:pt idx="53">
                  <c:v>33938</c:v>
                </c:pt>
                <c:pt idx="54">
                  <c:v>34028</c:v>
                </c:pt>
                <c:pt idx="55">
                  <c:v>34120</c:v>
                </c:pt>
                <c:pt idx="56">
                  <c:v>34212</c:v>
                </c:pt>
                <c:pt idx="57">
                  <c:v>34303</c:v>
                </c:pt>
                <c:pt idx="58">
                  <c:v>34393</c:v>
                </c:pt>
                <c:pt idx="59">
                  <c:v>34485</c:v>
                </c:pt>
                <c:pt idx="60">
                  <c:v>34577</c:v>
                </c:pt>
                <c:pt idx="61">
                  <c:v>34668</c:v>
                </c:pt>
                <c:pt idx="62">
                  <c:v>34758</c:v>
                </c:pt>
                <c:pt idx="63">
                  <c:v>34850</c:v>
                </c:pt>
                <c:pt idx="64">
                  <c:v>34942</c:v>
                </c:pt>
                <c:pt idx="65">
                  <c:v>35033</c:v>
                </c:pt>
                <c:pt idx="66">
                  <c:v>35123</c:v>
                </c:pt>
                <c:pt idx="67">
                  <c:v>35216</c:v>
                </c:pt>
                <c:pt idx="68">
                  <c:v>35308</c:v>
                </c:pt>
                <c:pt idx="69">
                  <c:v>35399</c:v>
                </c:pt>
                <c:pt idx="70">
                  <c:v>35489</c:v>
                </c:pt>
                <c:pt idx="71">
                  <c:v>35581</c:v>
                </c:pt>
                <c:pt idx="72">
                  <c:v>35673</c:v>
                </c:pt>
                <c:pt idx="73">
                  <c:v>35764</c:v>
                </c:pt>
                <c:pt idx="74">
                  <c:v>35854</c:v>
                </c:pt>
                <c:pt idx="75">
                  <c:v>35946</c:v>
                </c:pt>
                <c:pt idx="76">
                  <c:v>36038</c:v>
                </c:pt>
                <c:pt idx="77">
                  <c:v>36129</c:v>
                </c:pt>
                <c:pt idx="78">
                  <c:v>36219</c:v>
                </c:pt>
                <c:pt idx="79">
                  <c:v>36311</c:v>
                </c:pt>
                <c:pt idx="80">
                  <c:v>36403</c:v>
                </c:pt>
                <c:pt idx="81">
                  <c:v>36494</c:v>
                </c:pt>
                <c:pt idx="82">
                  <c:v>36584</c:v>
                </c:pt>
                <c:pt idx="83">
                  <c:v>36677</c:v>
                </c:pt>
                <c:pt idx="84">
                  <c:v>36769</c:v>
                </c:pt>
                <c:pt idx="85">
                  <c:v>36860</c:v>
                </c:pt>
                <c:pt idx="86">
                  <c:v>36950</c:v>
                </c:pt>
                <c:pt idx="87">
                  <c:v>37042</c:v>
                </c:pt>
                <c:pt idx="88">
                  <c:v>37134</c:v>
                </c:pt>
                <c:pt idx="89">
                  <c:v>37225</c:v>
                </c:pt>
                <c:pt idx="90">
                  <c:v>37315</c:v>
                </c:pt>
                <c:pt idx="91">
                  <c:v>37407</c:v>
                </c:pt>
                <c:pt idx="92">
                  <c:v>37499</c:v>
                </c:pt>
                <c:pt idx="93">
                  <c:v>37590</c:v>
                </c:pt>
                <c:pt idx="94">
                  <c:v>37680</c:v>
                </c:pt>
                <c:pt idx="95">
                  <c:v>37772</c:v>
                </c:pt>
                <c:pt idx="96">
                  <c:v>37864</c:v>
                </c:pt>
                <c:pt idx="97">
                  <c:v>37955</c:v>
                </c:pt>
                <c:pt idx="98">
                  <c:v>38045</c:v>
                </c:pt>
                <c:pt idx="99">
                  <c:v>38138</c:v>
                </c:pt>
                <c:pt idx="100">
                  <c:v>38230</c:v>
                </c:pt>
                <c:pt idx="101">
                  <c:v>38321</c:v>
                </c:pt>
                <c:pt idx="102">
                  <c:v>38411</c:v>
                </c:pt>
                <c:pt idx="103">
                  <c:v>38503</c:v>
                </c:pt>
                <c:pt idx="104">
                  <c:v>38595</c:v>
                </c:pt>
                <c:pt idx="105">
                  <c:v>38686</c:v>
                </c:pt>
                <c:pt idx="106">
                  <c:v>38776</c:v>
                </c:pt>
                <c:pt idx="107">
                  <c:v>38868</c:v>
                </c:pt>
                <c:pt idx="108">
                  <c:v>38960</c:v>
                </c:pt>
                <c:pt idx="109">
                  <c:v>39051</c:v>
                </c:pt>
                <c:pt idx="110">
                  <c:v>39141</c:v>
                </c:pt>
                <c:pt idx="111">
                  <c:v>39233</c:v>
                </c:pt>
                <c:pt idx="112">
                  <c:v>39325</c:v>
                </c:pt>
                <c:pt idx="113">
                  <c:v>39416</c:v>
                </c:pt>
                <c:pt idx="114">
                  <c:v>39506</c:v>
                </c:pt>
                <c:pt idx="115">
                  <c:v>39599</c:v>
                </c:pt>
                <c:pt idx="116">
                  <c:v>39691</c:v>
                </c:pt>
                <c:pt idx="117">
                  <c:v>39782</c:v>
                </c:pt>
                <c:pt idx="118">
                  <c:v>39872</c:v>
                </c:pt>
                <c:pt idx="119">
                  <c:v>39964</c:v>
                </c:pt>
                <c:pt idx="120">
                  <c:v>40056</c:v>
                </c:pt>
              </c:numCache>
            </c:numRef>
          </c:cat>
          <c:val>
            <c:numRef>
              <c:f>'LR Comparison'!$C$284:$C$404</c:f>
              <c:numCache>
                <c:formatCode>0.000</c:formatCode>
                <c:ptCount val="121"/>
                <c:pt idx="0">
                  <c:v>0.18343240126918028</c:v>
                </c:pt>
                <c:pt idx="1">
                  <c:v>0.161</c:v>
                </c:pt>
                <c:pt idx="2">
                  <c:v>0.161</c:v>
                </c:pt>
                <c:pt idx="3">
                  <c:v>0.161</c:v>
                </c:pt>
                <c:pt idx="4">
                  <c:v>0.161</c:v>
                </c:pt>
                <c:pt idx="5">
                  <c:v>0.161</c:v>
                </c:pt>
                <c:pt idx="6">
                  <c:v>0.18570449305220152</c:v>
                </c:pt>
                <c:pt idx="7">
                  <c:v>0.16832325342417667</c:v>
                </c:pt>
                <c:pt idx="8">
                  <c:v>0.27215295174662441</c:v>
                </c:pt>
                <c:pt idx="9">
                  <c:v>0.31721860916458194</c:v>
                </c:pt>
                <c:pt idx="10">
                  <c:v>0.31721860916458194</c:v>
                </c:pt>
                <c:pt idx="11">
                  <c:v>0.32056844307592647</c:v>
                </c:pt>
                <c:pt idx="12">
                  <c:v>0.161</c:v>
                </c:pt>
                <c:pt idx="13">
                  <c:v>0.161</c:v>
                </c:pt>
                <c:pt idx="14">
                  <c:v>0.18551500760892803</c:v>
                </c:pt>
                <c:pt idx="15">
                  <c:v>0.87139595426356342</c:v>
                </c:pt>
                <c:pt idx="16">
                  <c:v>0.43748848116232741</c:v>
                </c:pt>
                <c:pt idx="17">
                  <c:v>0.48489329535457754</c:v>
                </c:pt>
                <c:pt idx="18">
                  <c:v>1.1883563189022621</c:v>
                </c:pt>
                <c:pt idx="19">
                  <c:v>1.7365204422121083</c:v>
                </c:pt>
                <c:pt idx="20">
                  <c:v>0.87182834284875088</c:v>
                </c:pt>
                <c:pt idx="21">
                  <c:v>0.55386567046467161</c:v>
                </c:pt>
                <c:pt idx="22">
                  <c:v>0.55386567046467161</c:v>
                </c:pt>
                <c:pt idx="23">
                  <c:v>0.16100000000000003</c:v>
                </c:pt>
                <c:pt idx="24">
                  <c:v>0.161</c:v>
                </c:pt>
                <c:pt idx="25">
                  <c:v>0.161</c:v>
                </c:pt>
                <c:pt idx="26">
                  <c:v>0.161</c:v>
                </c:pt>
                <c:pt idx="27">
                  <c:v>0.34500000000000003</c:v>
                </c:pt>
                <c:pt idx="28">
                  <c:v>0.17320889001436818</c:v>
                </c:pt>
                <c:pt idx="29">
                  <c:v>0.33508862018860808</c:v>
                </c:pt>
                <c:pt idx="30">
                  <c:v>0.33508862018860808</c:v>
                </c:pt>
                <c:pt idx="31">
                  <c:v>0.33508862018860808</c:v>
                </c:pt>
                <c:pt idx="32">
                  <c:v>0.1682328346646812</c:v>
                </c:pt>
                <c:pt idx="33">
                  <c:v>0.161</c:v>
                </c:pt>
                <c:pt idx="34">
                  <c:v>0.161</c:v>
                </c:pt>
                <c:pt idx="35">
                  <c:v>1.1475953485354469</c:v>
                </c:pt>
                <c:pt idx="36">
                  <c:v>0.57615570001587457</c:v>
                </c:pt>
                <c:pt idx="37">
                  <c:v>0.57615570001587457</c:v>
                </c:pt>
                <c:pt idx="38">
                  <c:v>0.96814103766087822</c:v>
                </c:pt>
                <c:pt idx="39">
                  <c:v>1.4057466468323772</c:v>
                </c:pt>
                <c:pt idx="40">
                  <c:v>0.70576178649059729</c:v>
                </c:pt>
                <c:pt idx="41">
                  <c:v>0.70576178649059729</c:v>
                </c:pt>
                <c:pt idx="42">
                  <c:v>0.70576178649059729</c:v>
                </c:pt>
                <c:pt idx="43">
                  <c:v>1.490057113370969</c:v>
                </c:pt>
                <c:pt idx="44">
                  <c:v>0.74809025699999732</c:v>
                </c:pt>
                <c:pt idx="45">
                  <c:v>0.74809025699999732</c:v>
                </c:pt>
                <c:pt idx="46">
                  <c:v>1.1238755745431603</c:v>
                </c:pt>
                <c:pt idx="47">
                  <c:v>1.1238755745431603</c:v>
                </c:pt>
                <c:pt idx="48">
                  <c:v>0.5642470747271916</c:v>
                </c:pt>
                <c:pt idx="49">
                  <c:v>0.5642470747271916</c:v>
                </c:pt>
                <c:pt idx="50">
                  <c:v>0.5642470747271916</c:v>
                </c:pt>
                <c:pt idx="51">
                  <c:v>0.5642470747271916</c:v>
                </c:pt>
                <c:pt idx="52">
                  <c:v>0.28328292610826411</c:v>
                </c:pt>
                <c:pt idx="53">
                  <c:v>0.19074770425545853</c:v>
                </c:pt>
                <c:pt idx="54">
                  <c:v>0.19074770425545853</c:v>
                </c:pt>
                <c:pt idx="55">
                  <c:v>0.19074770425545853</c:v>
                </c:pt>
                <c:pt idx="56">
                  <c:v>0.161</c:v>
                </c:pt>
                <c:pt idx="57">
                  <c:v>0.42527241148074763</c:v>
                </c:pt>
                <c:pt idx="58">
                  <c:v>0.42527241148074763</c:v>
                </c:pt>
                <c:pt idx="59">
                  <c:v>0.43100143551431275</c:v>
                </c:pt>
                <c:pt idx="60">
                  <c:v>0.21638631953632867</c:v>
                </c:pt>
                <c:pt idx="61">
                  <c:v>0.161</c:v>
                </c:pt>
                <c:pt idx="62">
                  <c:v>0.34702532191862168</c:v>
                </c:pt>
                <c:pt idx="63">
                  <c:v>0.67944151356550642</c:v>
                </c:pt>
                <c:pt idx="64">
                  <c:v>0.34111684172279311</c:v>
                </c:pt>
                <c:pt idx="65">
                  <c:v>0.39843990674714558</c:v>
                </c:pt>
                <c:pt idx="66">
                  <c:v>0.39843990674714558</c:v>
                </c:pt>
                <c:pt idx="67">
                  <c:v>1.1071339061080738</c:v>
                </c:pt>
                <c:pt idx="68">
                  <c:v>0.5558418405050759</c:v>
                </c:pt>
                <c:pt idx="69">
                  <c:v>0.57154422070406585</c:v>
                </c:pt>
                <c:pt idx="70">
                  <c:v>0.9999447904794071</c:v>
                </c:pt>
                <c:pt idx="71">
                  <c:v>1.1130771809465378</c:v>
                </c:pt>
                <c:pt idx="72">
                  <c:v>0.55882568989006332</c:v>
                </c:pt>
                <c:pt idx="73">
                  <c:v>0.55882568989006332</c:v>
                </c:pt>
                <c:pt idx="74">
                  <c:v>0.55882568989006332</c:v>
                </c:pt>
                <c:pt idx="75">
                  <c:v>0.84614786922928464</c:v>
                </c:pt>
                <c:pt idx="76">
                  <c:v>0.42481256004993373</c:v>
                </c:pt>
                <c:pt idx="77">
                  <c:v>0.44559362828855703</c:v>
                </c:pt>
                <c:pt idx="78">
                  <c:v>0.98761062542957589</c:v>
                </c:pt>
                <c:pt idx="79">
                  <c:v>1.444933092389719</c:v>
                </c:pt>
                <c:pt idx="80">
                  <c:v>0.72543552776188902</c:v>
                </c:pt>
                <c:pt idx="81">
                  <c:v>0.72543552776188902</c:v>
                </c:pt>
                <c:pt idx="82">
                  <c:v>1.1120431714991452</c:v>
                </c:pt>
                <c:pt idx="83">
                  <c:v>1.835357702095032</c:v>
                </c:pt>
                <c:pt idx="84">
                  <c:v>0.92145005901217947</c:v>
                </c:pt>
                <c:pt idx="85">
                  <c:v>0.92145005901217947</c:v>
                </c:pt>
                <c:pt idx="86">
                  <c:v>1.3374168660345593</c:v>
                </c:pt>
                <c:pt idx="87">
                  <c:v>1.3374168660345593</c:v>
                </c:pt>
                <c:pt idx="88">
                  <c:v>0.67145649522417661</c:v>
                </c:pt>
                <c:pt idx="89">
                  <c:v>0.67145649522417661</c:v>
                </c:pt>
                <c:pt idx="90">
                  <c:v>0.67145649522417661</c:v>
                </c:pt>
                <c:pt idx="91">
                  <c:v>0.67145649522417661</c:v>
                </c:pt>
                <c:pt idx="92">
                  <c:v>0.33710792530642769</c:v>
                </c:pt>
                <c:pt idx="93">
                  <c:v>0.16100000000000003</c:v>
                </c:pt>
                <c:pt idx="94">
                  <c:v>0.161</c:v>
                </c:pt>
                <c:pt idx="95">
                  <c:v>0.161</c:v>
                </c:pt>
                <c:pt idx="96">
                  <c:v>0.161</c:v>
                </c:pt>
                <c:pt idx="97">
                  <c:v>0.161</c:v>
                </c:pt>
                <c:pt idx="98">
                  <c:v>0.34740327537035137</c:v>
                </c:pt>
                <c:pt idx="99">
                  <c:v>0.74065325450947184</c:v>
                </c:pt>
                <c:pt idx="100">
                  <c:v>0.37184848724381148</c:v>
                </c:pt>
                <c:pt idx="101">
                  <c:v>0.37184848724381148</c:v>
                </c:pt>
                <c:pt idx="102">
                  <c:v>0.37184848724381148</c:v>
                </c:pt>
                <c:pt idx="103">
                  <c:v>0.37184848724381148</c:v>
                </c:pt>
                <c:pt idx="104">
                  <c:v>0.16100000000000003</c:v>
                </c:pt>
                <c:pt idx="105">
                  <c:v>0.161</c:v>
                </c:pt>
                <c:pt idx="106">
                  <c:v>0.161</c:v>
                </c:pt>
                <c:pt idx="107">
                  <c:v>0.161</c:v>
                </c:pt>
                <c:pt idx="108">
                  <c:v>0.161</c:v>
                </c:pt>
                <c:pt idx="109">
                  <c:v>0.161</c:v>
                </c:pt>
                <c:pt idx="110">
                  <c:v>0.161</c:v>
                </c:pt>
                <c:pt idx="111">
                  <c:v>0.161</c:v>
                </c:pt>
                <c:pt idx="112">
                  <c:v>0.161</c:v>
                </c:pt>
                <c:pt idx="113">
                  <c:v>0.161</c:v>
                </c:pt>
                <c:pt idx="114">
                  <c:v>0.78626094396229351</c:v>
                </c:pt>
                <c:pt idx="115">
                  <c:v>1.7251125472615594</c:v>
                </c:pt>
                <c:pt idx="116">
                  <c:v>0.86610095495951867</c:v>
                </c:pt>
                <c:pt idx="117">
                  <c:v>0.86610095495951867</c:v>
                </c:pt>
                <c:pt idx="118">
                  <c:v>1.3427331962509403</c:v>
                </c:pt>
                <c:pt idx="119">
                  <c:v>1.3427331962509403</c:v>
                </c:pt>
                <c:pt idx="120">
                  <c:v>0.67412558408136269</c:v>
                </c:pt>
              </c:numCache>
            </c:numRef>
          </c:val>
          <c:smooth val="0"/>
          <c:extLst>
            <c:ext xmlns:c16="http://schemas.microsoft.com/office/drawing/2014/chart" uri="{C3380CC4-5D6E-409C-BE32-E72D297353CC}">
              <c16:uniqueId val="{00000001-A88E-41AE-9637-A24E22778F59}"/>
            </c:ext>
          </c:extLst>
        </c:ser>
        <c:dLbls>
          <c:showLegendKey val="0"/>
          <c:showVal val="0"/>
          <c:showCatName val="0"/>
          <c:showSerName val="0"/>
          <c:showPercent val="0"/>
          <c:showBubbleSize val="0"/>
        </c:dLbls>
        <c:smooth val="0"/>
        <c:axId val="324440536"/>
        <c:axId val="324441320"/>
      </c:lineChart>
      <c:dateAx>
        <c:axId val="32444053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4441320"/>
        <c:crosses val="autoZero"/>
        <c:auto val="1"/>
        <c:lblOffset val="100"/>
        <c:baseTimeUnit val="months"/>
      </c:dateAx>
      <c:valAx>
        <c:axId val="32444132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4440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Frequency</c:v>
          </c:tx>
          <c:invertIfNegative val="0"/>
          <c:cat>
            <c:strRef>
              <c:f>'MC engine'!$R$2:$R$85</c:f>
              <c:strCache>
                <c:ptCount val="84"/>
                <c:pt idx="0">
                  <c:v>$10.00</c:v>
                </c:pt>
                <c:pt idx="1">
                  <c:v>$10.25</c:v>
                </c:pt>
                <c:pt idx="2">
                  <c:v>$10.50</c:v>
                </c:pt>
                <c:pt idx="3">
                  <c:v>$10.75</c:v>
                </c:pt>
                <c:pt idx="4">
                  <c:v>$11.00</c:v>
                </c:pt>
                <c:pt idx="5">
                  <c:v>$11.25</c:v>
                </c:pt>
                <c:pt idx="6">
                  <c:v>$11.50</c:v>
                </c:pt>
                <c:pt idx="7">
                  <c:v>$11.75</c:v>
                </c:pt>
                <c:pt idx="8">
                  <c:v>$12.00</c:v>
                </c:pt>
                <c:pt idx="9">
                  <c:v>$12.25</c:v>
                </c:pt>
                <c:pt idx="10">
                  <c:v>$12.50</c:v>
                </c:pt>
                <c:pt idx="11">
                  <c:v>$12.75</c:v>
                </c:pt>
                <c:pt idx="12">
                  <c:v>$13.00</c:v>
                </c:pt>
                <c:pt idx="13">
                  <c:v>$13.25</c:v>
                </c:pt>
                <c:pt idx="14">
                  <c:v>$13.50</c:v>
                </c:pt>
                <c:pt idx="15">
                  <c:v>$13.75</c:v>
                </c:pt>
                <c:pt idx="16">
                  <c:v>$14.00</c:v>
                </c:pt>
                <c:pt idx="17">
                  <c:v>$14.25</c:v>
                </c:pt>
                <c:pt idx="18">
                  <c:v>$14.50</c:v>
                </c:pt>
                <c:pt idx="19">
                  <c:v>$14.75</c:v>
                </c:pt>
                <c:pt idx="20">
                  <c:v>$15.00</c:v>
                </c:pt>
                <c:pt idx="21">
                  <c:v>$15.25</c:v>
                </c:pt>
                <c:pt idx="22">
                  <c:v>$15.50</c:v>
                </c:pt>
                <c:pt idx="23">
                  <c:v>$15.75</c:v>
                </c:pt>
                <c:pt idx="24">
                  <c:v>$16.00</c:v>
                </c:pt>
                <c:pt idx="25">
                  <c:v>$16.25</c:v>
                </c:pt>
                <c:pt idx="26">
                  <c:v>$16.50</c:v>
                </c:pt>
                <c:pt idx="27">
                  <c:v>$16.75</c:v>
                </c:pt>
                <c:pt idx="28">
                  <c:v>$17.00</c:v>
                </c:pt>
                <c:pt idx="29">
                  <c:v>$17.25</c:v>
                </c:pt>
                <c:pt idx="30">
                  <c:v>$17.50</c:v>
                </c:pt>
                <c:pt idx="31">
                  <c:v>$17.75</c:v>
                </c:pt>
                <c:pt idx="32">
                  <c:v>$18.00</c:v>
                </c:pt>
                <c:pt idx="33">
                  <c:v>$18.25</c:v>
                </c:pt>
                <c:pt idx="34">
                  <c:v>$18.50</c:v>
                </c:pt>
                <c:pt idx="35">
                  <c:v>$18.75</c:v>
                </c:pt>
                <c:pt idx="36">
                  <c:v>$19.00</c:v>
                </c:pt>
                <c:pt idx="37">
                  <c:v>$19.25</c:v>
                </c:pt>
                <c:pt idx="38">
                  <c:v>$19.50</c:v>
                </c:pt>
                <c:pt idx="39">
                  <c:v>$19.75</c:v>
                </c:pt>
                <c:pt idx="40">
                  <c:v>$20.00</c:v>
                </c:pt>
                <c:pt idx="41">
                  <c:v>$20.25</c:v>
                </c:pt>
                <c:pt idx="42">
                  <c:v>$20.50</c:v>
                </c:pt>
                <c:pt idx="43">
                  <c:v>$20.75</c:v>
                </c:pt>
                <c:pt idx="44">
                  <c:v>$21.00</c:v>
                </c:pt>
                <c:pt idx="45">
                  <c:v>$21.25</c:v>
                </c:pt>
                <c:pt idx="46">
                  <c:v>$21.50</c:v>
                </c:pt>
                <c:pt idx="47">
                  <c:v>$21.75</c:v>
                </c:pt>
                <c:pt idx="48">
                  <c:v>$22.00</c:v>
                </c:pt>
                <c:pt idx="49">
                  <c:v>$22.25</c:v>
                </c:pt>
                <c:pt idx="50">
                  <c:v>$22.50</c:v>
                </c:pt>
                <c:pt idx="51">
                  <c:v>$22.75</c:v>
                </c:pt>
                <c:pt idx="52">
                  <c:v>$23.00</c:v>
                </c:pt>
                <c:pt idx="53">
                  <c:v>$23.25</c:v>
                </c:pt>
                <c:pt idx="54">
                  <c:v>$23.50</c:v>
                </c:pt>
                <c:pt idx="55">
                  <c:v>$23.75</c:v>
                </c:pt>
                <c:pt idx="56">
                  <c:v>$24.00</c:v>
                </c:pt>
                <c:pt idx="57">
                  <c:v>$24.25</c:v>
                </c:pt>
                <c:pt idx="58">
                  <c:v>$24.50</c:v>
                </c:pt>
                <c:pt idx="59">
                  <c:v>$24.75</c:v>
                </c:pt>
                <c:pt idx="60">
                  <c:v>$25.00</c:v>
                </c:pt>
                <c:pt idx="61">
                  <c:v>$25.25</c:v>
                </c:pt>
                <c:pt idx="62">
                  <c:v>$25.50</c:v>
                </c:pt>
                <c:pt idx="63">
                  <c:v>$25.75</c:v>
                </c:pt>
                <c:pt idx="64">
                  <c:v>$26.00</c:v>
                </c:pt>
                <c:pt idx="65">
                  <c:v>$26.25</c:v>
                </c:pt>
                <c:pt idx="66">
                  <c:v>$26.50</c:v>
                </c:pt>
                <c:pt idx="67">
                  <c:v>$26.75</c:v>
                </c:pt>
                <c:pt idx="68">
                  <c:v>$27.00</c:v>
                </c:pt>
                <c:pt idx="69">
                  <c:v>$27.25</c:v>
                </c:pt>
                <c:pt idx="70">
                  <c:v>$27.50</c:v>
                </c:pt>
                <c:pt idx="71">
                  <c:v>$27.75</c:v>
                </c:pt>
                <c:pt idx="72">
                  <c:v>$28.00</c:v>
                </c:pt>
                <c:pt idx="73">
                  <c:v>$28.25</c:v>
                </c:pt>
                <c:pt idx="74">
                  <c:v>$28.50</c:v>
                </c:pt>
                <c:pt idx="75">
                  <c:v>$28.75</c:v>
                </c:pt>
                <c:pt idx="76">
                  <c:v>$29.00</c:v>
                </c:pt>
                <c:pt idx="77">
                  <c:v>$29.25</c:v>
                </c:pt>
                <c:pt idx="78">
                  <c:v>$29.50</c:v>
                </c:pt>
                <c:pt idx="79">
                  <c:v>$29.75</c:v>
                </c:pt>
                <c:pt idx="80">
                  <c:v>$30.00</c:v>
                </c:pt>
                <c:pt idx="81">
                  <c:v>$30.25</c:v>
                </c:pt>
                <c:pt idx="82">
                  <c:v>$30.50</c:v>
                </c:pt>
                <c:pt idx="83">
                  <c:v>More</c:v>
                </c:pt>
              </c:strCache>
            </c:strRef>
          </c:cat>
          <c:val>
            <c:numRef>
              <c:f>'MC engine'!$S$2:$S$85</c:f>
              <c:numCache>
                <c:formatCode>General</c:formatCode>
                <c:ptCount val="8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1</c:v>
                </c:pt>
                <c:pt idx="24">
                  <c:v>0</c:v>
                </c:pt>
                <c:pt idx="25">
                  <c:v>1</c:v>
                </c:pt>
                <c:pt idx="26">
                  <c:v>0</c:v>
                </c:pt>
                <c:pt idx="27">
                  <c:v>1</c:v>
                </c:pt>
                <c:pt idx="28">
                  <c:v>2</c:v>
                </c:pt>
                <c:pt idx="29">
                  <c:v>2</c:v>
                </c:pt>
                <c:pt idx="30">
                  <c:v>0</c:v>
                </c:pt>
                <c:pt idx="31">
                  <c:v>2</c:v>
                </c:pt>
                <c:pt idx="32">
                  <c:v>3</c:v>
                </c:pt>
                <c:pt idx="33">
                  <c:v>0</c:v>
                </c:pt>
                <c:pt idx="34">
                  <c:v>3</c:v>
                </c:pt>
                <c:pt idx="35">
                  <c:v>1</c:v>
                </c:pt>
                <c:pt idx="36">
                  <c:v>4</c:v>
                </c:pt>
                <c:pt idx="37">
                  <c:v>4</c:v>
                </c:pt>
                <c:pt idx="38">
                  <c:v>8</c:v>
                </c:pt>
                <c:pt idx="39">
                  <c:v>3</c:v>
                </c:pt>
                <c:pt idx="40">
                  <c:v>6</c:v>
                </c:pt>
                <c:pt idx="41">
                  <c:v>4</c:v>
                </c:pt>
                <c:pt idx="42">
                  <c:v>7</c:v>
                </c:pt>
                <c:pt idx="43">
                  <c:v>4</c:v>
                </c:pt>
                <c:pt idx="44">
                  <c:v>3</c:v>
                </c:pt>
                <c:pt idx="45">
                  <c:v>3</c:v>
                </c:pt>
                <c:pt idx="46">
                  <c:v>2</c:v>
                </c:pt>
                <c:pt idx="47">
                  <c:v>5</c:v>
                </c:pt>
                <c:pt idx="48">
                  <c:v>4</c:v>
                </c:pt>
                <c:pt idx="49">
                  <c:v>3</c:v>
                </c:pt>
                <c:pt idx="50">
                  <c:v>3</c:v>
                </c:pt>
                <c:pt idx="51">
                  <c:v>0</c:v>
                </c:pt>
                <c:pt idx="52">
                  <c:v>2</c:v>
                </c:pt>
                <c:pt idx="53">
                  <c:v>2</c:v>
                </c:pt>
                <c:pt idx="54">
                  <c:v>3</c:v>
                </c:pt>
                <c:pt idx="55">
                  <c:v>5</c:v>
                </c:pt>
                <c:pt idx="56">
                  <c:v>0</c:v>
                </c:pt>
                <c:pt idx="57">
                  <c:v>0</c:v>
                </c:pt>
                <c:pt idx="58">
                  <c:v>0</c:v>
                </c:pt>
                <c:pt idx="59">
                  <c:v>3</c:v>
                </c:pt>
                <c:pt idx="60">
                  <c:v>1</c:v>
                </c:pt>
                <c:pt idx="61">
                  <c:v>1</c:v>
                </c:pt>
                <c:pt idx="62">
                  <c:v>0</c:v>
                </c:pt>
                <c:pt idx="63">
                  <c:v>0</c:v>
                </c:pt>
                <c:pt idx="64">
                  <c:v>0</c:v>
                </c:pt>
                <c:pt idx="65">
                  <c:v>0</c:v>
                </c:pt>
                <c:pt idx="66">
                  <c:v>0</c:v>
                </c:pt>
                <c:pt idx="67">
                  <c:v>0</c:v>
                </c:pt>
                <c:pt idx="68">
                  <c:v>2</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numCache>
            </c:numRef>
          </c:val>
          <c:extLst>
            <c:ext xmlns:c16="http://schemas.microsoft.com/office/drawing/2014/chart" uri="{C3380CC4-5D6E-409C-BE32-E72D297353CC}">
              <c16:uniqueId val="{00000000-6A93-4059-AD3E-CD63DE56676A}"/>
            </c:ext>
          </c:extLst>
        </c:ser>
        <c:dLbls>
          <c:showLegendKey val="0"/>
          <c:showVal val="0"/>
          <c:showCatName val="0"/>
          <c:showSerName val="0"/>
          <c:showPercent val="0"/>
          <c:showBubbleSize val="0"/>
        </c:dLbls>
        <c:gapWidth val="0"/>
        <c:axId val="327801344"/>
        <c:axId val="328359080"/>
      </c:barChart>
      <c:catAx>
        <c:axId val="327801344"/>
        <c:scaling>
          <c:orientation val="minMax"/>
        </c:scaling>
        <c:delete val="0"/>
        <c:axPos val="b"/>
        <c:title>
          <c:tx>
            <c:rich>
              <a:bodyPr/>
              <a:lstStyle/>
              <a:p>
                <a:pPr>
                  <a:defRPr/>
                </a:pPr>
                <a:r>
                  <a:rPr lang="en-AU"/>
                  <a:t>Earnings/ha</a:t>
                </a:r>
              </a:p>
            </c:rich>
          </c:tx>
          <c:overlay val="0"/>
        </c:title>
        <c:numFmt formatCode="General" sourceLinked="1"/>
        <c:majorTickMark val="out"/>
        <c:minorTickMark val="none"/>
        <c:tickLblPos val="nextTo"/>
        <c:crossAx val="328359080"/>
        <c:crosses val="autoZero"/>
        <c:auto val="1"/>
        <c:lblAlgn val="ctr"/>
        <c:lblOffset val="100"/>
        <c:noMultiLvlLbl val="0"/>
      </c:catAx>
      <c:valAx>
        <c:axId val="328359080"/>
        <c:scaling>
          <c:orientation val="minMax"/>
        </c:scaling>
        <c:delete val="0"/>
        <c:axPos val="l"/>
        <c:title>
          <c:tx>
            <c:rich>
              <a:bodyPr/>
              <a:lstStyle/>
              <a:p>
                <a:pPr>
                  <a:defRPr/>
                </a:pPr>
                <a:r>
                  <a:rPr lang="en-AU"/>
                  <a:t>Frequency</a:t>
                </a:r>
              </a:p>
            </c:rich>
          </c:tx>
          <c:overlay val="0"/>
        </c:title>
        <c:numFmt formatCode="General" sourceLinked="1"/>
        <c:majorTickMark val="out"/>
        <c:minorTickMark val="none"/>
        <c:tickLblPos val="nextTo"/>
        <c:crossAx val="327801344"/>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'LR Comparison'!$Q$1:$Q$2</c:f>
              <c:strCache>
                <c:ptCount val="2"/>
                <c:pt idx="0">
                  <c:v>$/ha</c:v>
                </c:pt>
                <c:pt idx="1">
                  <c:v>390GL</c:v>
                </c:pt>
              </c:strCache>
            </c:strRef>
          </c:tx>
          <c:spPr>
            <a:solidFill>
              <a:schemeClr val="accent1"/>
            </a:solidFill>
            <a:ln>
              <a:noFill/>
            </a:ln>
            <a:effectLst/>
          </c:spPr>
          <c:invertIfNegative val="0"/>
          <c:cat>
            <c:strRef>
              <c:f>'LR Comparison'!$P$3:$P$104</c:f>
              <c:strCache>
                <c:ptCount val="102"/>
                <c:pt idx="0">
                  <c:v>1908/09</c:v>
                </c:pt>
                <c:pt idx="1">
                  <c:v>1909/10</c:v>
                </c:pt>
                <c:pt idx="2">
                  <c:v>1910/11</c:v>
                </c:pt>
                <c:pt idx="3">
                  <c:v>1911/12</c:v>
                </c:pt>
                <c:pt idx="4">
                  <c:v>1912/13</c:v>
                </c:pt>
                <c:pt idx="5">
                  <c:v>1913/14</c:v>
                </c:pt>
                <c:pt idx="6">
                  <c:v>1914/15</c:v>
                </c:pt>
                <c:pt idx="7">
                  <c:v>1915/16</c:v>
                </c:pt>
                <c:pt idx="8">
                  <c:v>1916/17</c:v>
                </c:pt>
                <c:pt idx="9">
                  <c:v>1917/18</c:v>
                </c:pt>
                <c:pt idx="10">
                  <c:v>1918/19</c:v>
                </c:pt>
                <c:pt idx="11">
                  <c:v>1919/20</c:v>
                </c:pt>
                <c:pt idx="12">
                  <c:v>1920/21</c:v>
                </c:pt>
                <c:pt idx="13">
                  <c:v>1921/22</c:v>
                </c:pt>
                <c:pt idx="14">
                  <c:v>1922/23</c:v>
                </c:pt>
                <c:pt idx="15">
                  <c:v>1923/24</c:v>
                </c:pt>
                <c:pt idx="16">
                  <c:v>1924/25</c:v>
                </c:pt>
                <c:pt idx="17">
                  <c:v>1925/26</c:v>
                </c:pt>
                <c:pt idx="18">
                  <c:v>1926/27</c:v>
                </c:pt>
                <c:pt idx="19">
                  <c:v>1927/28</c:v>
                </c:pt>
                <c:pt idx="20">
                  <c:v>1928/29</c:v>
                </c:pt>
                <c:pt idx="21">
                  <c:v>1929/30</c:v>
                </c:pt>
                <c:pt idx="22">
                  <c:v>1930/31</c:v>
                </c:pt>
                <c:pt idx="23">
                  <c:v>1931/32</c:v>
                </c:pt>
                <c:pt idx="24">
                  <c:v>1932/33</c:v>
                </c:pt>
                <c:pt idx="25">
                  <c:v>1933/34</c:v>
                </c:pt>
                <c:pt idx="26">
                  <c:v>1934/35</c:v>
                </c:pt>
                <c:pt idx="27">
                  <c:v>1935/36</c:v>
                </c:pt>
                <c:pt idx="28">
                  <c:v>1936/37</c:v>
                </c:pt>
                <c:pt idx="29">
                  <c:v>1937/38</c:v>
                </c:pt>
                <c:pt idx="30">
                  <c:v>1938/39</c:v>
                </c:pt>
                <c:pt idx="31">
                  <c:v>1939/40</c:v>
                </c:pt>
                <c:pt idx="32">
                  <c:v>1940/41</c:v>
                </c:pt>
                <c:pt idx="33">
                  <c:v>1941/42</c:v>
                </c:pt>
                <c:pt idx="34">
                  <c:v>1942/43</c:v>
                </c:pt>
                <c:pt idx="35">
                  <c:v>1943/44</c:v>
                </c:pt>
                <c:pt idx="36">
                  <c:v>1944/45</c:v>
                </c:pt>
                <c:pt idx="37">
                  <c:v>1945/46</c:v>
                </c:pt>
                <c:pt idx="38">
                  <c:v>1946/47</c:v>
                </c:pt>
                <c:pt idx="39">
                  <c:v>1947/48</c:v>
                </c:pt>
                <c:pt idx="40">
                  <c:v>1948/49</c:v>
                </c:pt>
                <c:pt idx="41">
                  <c:v>1949/50</c:v>
                </c:pt>
                <c:pt idx="42">
                  <c:v>1950/51</c:v>
                </c:pt>
                <c:pt idx="43">
                  <c:v>1951/52</c:v>
                </c:pt>
                <c:pt idx="44">
                  <c:v>1952/53</c:v>
                </c:pt>
                <c:pt idx="45">
                  <c:v>1953/54</c:v>
                </c:pt>
                <c:pt idx="46">
                  <c:v>1954/55</c:v>
                </c:pt>
                <c:pt idx="47">
                  <c:v>1955/56</c:v>
                </c:pt>
                <c:pt idx="48">
                  <c:v>1956/57</c:v>
                </c:pt>
                <c:pt idx="49">
                  <c:v>1957/58</c:v>
                </c:pt>
                <c:pt idx="50">
                  <c:v>1958/59</c:v>
                </c:pt>
                <c:pt idx="51">
                  <c:v>1959/60</c:v>
                </c:pt>
                <c:pt idx="52">
                  <c:v>1960/61</c:v>
                </c:pt>
                <c:pt idx="53">
                  <c:v>1961/62</c:v>
                </c:pt>
                <c:pt idx="54">
                  <c:v>1962/63</c:v>
                </c:pt>
                <c:pt idx="55">
                  <c:v>1963/64</c:v>
                </c:pt>
                <c:pt idx="56">
                  <c:v>1964/65</c:v>
                </c:pt>
                <c:pt idx="57">
                  <c:v>1965/66</c:v>
                </c:pt>
                <c:pt idx="58">
                  <c:v>1966/67</c:v>
                </c:pt>
                <c:pt idx="59">
                  <c:v>1967/68</c:v>
                </c:pt>
                <c:pt idx="60">
                  <c:v>1968/69</c:v>
                </c:pt>
                <c:pt idx="61">
                  <c:v>1969/70</c:v>
                </c:pt>
                <c:pt idx="62">
                  <c:v>1970/71</c:v>
                </c:pt>
                <c:pt idx="63">
                  <c:v>1971/72</c:v>
                </c:pt>
                <c:pt idx="64">
                  <c:v>1972/73</c:v>
                </c:pt>
                <c:pt idx="65">
                  <c:v>1973/74</c:v>
                </c:pt>
                <c:pt idx="66">
                  <c:v>1974/75</c:v>
                </c:pt>
                <c:pt idx="67">
                  <c:v>1975/76</c:v>
                </c:pt>
                <c:pt idx="68">
                  <c:v>1976/77</c:v>
                </c:pt>
                <c:pt idx="69">
                  <c:v>1977/78</c:v>
                </c:pt>
                <c:pt idx="70">
                  <c:v>1978/79</c:v>
                </c:pt>
                <c:pt idx="71">
                  <c:v>1979/80</c:v>
                </c:pt>
                <c:pt idx="72">
                  <c:v>1980/81</c:v>
                </c:pt>
                <c:pt idx="73">
                  <c:v>1981/82</c:v>
                </c:pt>
                <c:pt idx="74">
                  <c:v>1982/83</c:v>
                </c:pt>
                <c:pt idx="75">
                  <c:v>1983/84</c:v>
                </c:pt>
                <c:pt idx="76">
                  <c:v>1984/85</c:v>
                </c:pt>
                <c:pt idx="77">
                  <c:v>1985/86</c:v>
                </c:pt>
                <c:pt idx="78">
                  <c:v>1986/87</c:v>
                </c:pt>
                <c:pt idx="79">
                  <c:v>1987/88</c:v>
                </c:pt>
                <c:pt idx="80">
                  <c:v>1988/89</c:v>
                </c:pt>
                <c:pt idx="81">
                  <c:v>1989/90</c:v>
                </c:pt>
                <c:pt idx="82">
                  <c:v>1990/91</c:v>
                </c:pt>
                <c:pt idx="83">
                  <c:v>1991/92</c:v>
                </c:pt>
                <c:pt idx="84">
                  <c:v>1992/93</c:v>
                </c:pt>
                <c:pt idx="85">
                  <c:v>1993/94</c:v>
                </c:pt>
                <c:pt idx="86">
                  <c:v>1994/95</c:v>
                </c:pt>
                <c:pt idx="87">
                  <c:v>1995/96</c:v>
                </c:pt>
                <c:pt idx="88">
                  <c:v>1996/97</c:v>
                </c:pt>
                <c:pt idx="89">
                  <c:v>1997/98</c:v>
                </c:pt>
                <c:pt idx="90">
                  <c:v>1998/99</c:v>
                </c:pt>
                <c:pt idx="91">
                  <c:v>1999/00</c:v>
                </c:pt>
                <c:pt idx="92">
                  <c:v>2000/01</c:v>
                </c:pt>
                <c:pt idx="93">
                  <c:v>2001/02</c:v>
                </c:pt>
                <c:pt idx="94">
                  <c:v>2002/03</c:v>
                </c:pt>
                <c:pt idx="95">
                  <c:v>2003/04</c:v>
                </c:pt>
                <c:pt idx="96">
                  <c:v>2004/05</c:v>
                </c:pt>
                <c:pt idx="97">
                  <c:v>2005/06</c:v>
                </c:pt>
                <c:pt idx="98">
                  <c:v>2006/07</c:v>
                </c:pt>
                <c:pt idx="99">
                  <c:v>2007/08</c:v>
                </c:pt>
                <c:pt idx="100">
                  <c:v>2008/09</c:v>
                </c:pt>
                <c:pt idx="101">
                  <c:v>2009/10</c:v>
                </c:pt>
              </c:strCache>
            </c:strRef>
          </c:cat>
          <c:val>
            <c:numRef>
              <c:f>'LR Comparison'!$Q$3:$Q$104</c:f>
              <c:numCache>
                <c:formatCode>_-"$"* #,##0_-;\-"$"* #,##0_-;_-"$"* "-"??_-;_-@_-</c:formatCode>
                <c:ptCount val="102"/>
                <c:pt idx="0">
                  <c:v>46.319098491946292</c:v>
                </c:pt>
                <c:pt idx="1">
                  <c:v>-6.5644694835644763</c:v>
                </c:pt>
                <c:pt idx="2">
                  <c:v>80.536060022392093</c:v>
                </c:pt>
                <c:pt idx="3">
                  <c:v>26.274451050795427</c:v>
                </c:pt>
                <c:pt idx="4">
                  <c:v>37.60489354967752</c:v>
                </c:pt>
                <c:pt idx="5">
                  <c:v>-54.900562748859301</c:v>
                </c:pt>
                <c:pt idx="6">
                  <c:v>36.937636898116182</c:v>
                </c:pt>
                <c:pt idx="7">
                  <c:v>-51.092922853008524</c:v>
                </c:pt>
                <c:pt idx="8">
                  <c:v>70.415109577465373</c:v>
                </c:pt>
                <c:pt idx="9">
                  <c:v>38.854159524099728</c:v>
                </c:pt>
                <c:pt idx="10">
                  <c:v>14.792969800000002</c:v>
                </c:pt>
                <c:pt idx="11">
                  <c:v>-49.875461532406561</c:v>
                </c:pt>
                <c:pt idx="12">
                  <c:v>90.096352450238513</c:v>
                </c:pt>
                <c:pt idx="13">
                  <c:v>162.02198927768706</c:v>
                </c:pt>
                <c:pt idx="14">
                  <c:v>92.317860464788794</c:v>
                </c:pt>
                <c:pt idx="15">
                  <c:v>-98.366566218826478</c:v>
                </c:pt>
                <c:pt idx="16">
                  <c:v>53.462404059546103</c:v>
                </c:pt>
                <c:pt idx="17">
                  <c:v>47.603133223402523</c:v>
                </c:pt>
                <c:pt idx="18">
                  <c:v>87.927365667840931</c:v>
                </c:pt>
                <c:pt idx="19">
                  <c:v>43.944766697373204</c:v>
                </c:pt>
                <c:pt idx="20">
                  <c:v>23.539875227855973</c:v>
                </c:pt>
                <c:pt idx="21">
                  <c:v>7.3964849000000008</c:v>
                </c:pt>
                <c:pt idx="22">
                  <c:v>-74.148488773486392</c:v>
                </c:pt>
                <c:pt idx="23">
                  <c:v>56.612874784734693</c:v>
                </c:pt>
                <c:pt idx="24">
                  <c:v>-14.056256046566595</c:v>
                </c:pt>
                <c:pt idx="25">
                  <c:v>-23.968662831544872</c:v>
                </c:pt>
                <c:pt idx="26">
                  <c:v>43.735223404761427</c:v>
                </c:pt>
                <c:pt idx="27">
                  <c:v>-16.839818635299359</c:v>
                </c:pt>
                <c:pt idx="28">
                  <c:v>18.802699087116764</c:v>
                </c:pt>
                <c:pt idx="29">
                  <c:v>7.3964849000000008</c:v>
                </c:pt>
                <c:pt idx="30">
                  <c:v>-4.8976602862426795</c:v>
                </c:pt>
                <c:pt idx="31">
                  <c:v>23.9395808481922</c:v>
                </c:pt>
                <c:pt idx="32">
                  <c:v>21.314190569346017</c:v>
                </c:pt>
                <c:pt idx="33">
                  <c:v>-34.791179727623472</c:v>
                </c:pt>
                <c:pt idx="34">
                  <c:v>21.598459541186422</c:v>
                </c:pt>
                <c:pt idx="35">
                  <c:v>7.3964849000000008</c:v>
                </c:pt>
                <c:pt idx="36">
                  <c:v>0</c:v>
                </c:pt>
                <c:pt idx="37">
                  <c:v>14.792969800000002</c:v>
                </c:pt>
                <c:pt idx="38">
                  <c:v>-49.635131533977265</c:v>
                </c:pt>
                <c:pt idx="39">
                  <c:v>68.690354260393008</c:v>
                </c:pt>
                <c:pt idx="40">
                  <c:v>66.033930928046615</c:v>
                </c:pt>
                <c:pt idx="41">
                  <c:v>109.41778110604534</c:v>
                </c:pt>
                <c:pt idx="42">
                  <c:v>212.54194049027353</c:v>
                </c:pt>
                <c:pt idx="43">
                  <c:v>61.424184620252824</c:v>
                </c:pt>
                <c:pt idx="44">
                  <c:v>59.070960639501344</c:v>
                </c:pt>
                <c:pt idx="45">
                  <c:v>-29.877264385616467</c:v>
                </c:pt>
                <c:pt idx="46">
                  <c:v>145.90523599168176</c:v>
                </c:pt>
                <c:pt idx="47">
                  <c:v>286.3440585438932</c:v>
                </c:pt>
                <c:pt idx="48">
                  <c:v>254.9297886593954</c:v>
                </c:pt>
                <c:pt idx="49">
                  <c:v>138.40169189728115</c:v>
                </c:pt>
                <c:pt idx="50">
                  <c:v>73.252708553607306</c:v>
                </c:pt>
                <c:pt idx="51">
                  <c:v>118.35328710971832</c:v>
                </c:pt>
                <c:pt idx="52">
                  <c:v>-50.227692578051403</c:v>
                </c:pt>
                <c:pt idx="53">
                  <c:v>64.770541578966075</c:v>
                </c:pt>
                <c:pt idx="54">
                  <c:v>183.39002331325483</c:v>
                </c:pt>
                <c:pt idx="55">
                  <c:v>171.23850685839531</c:v>
                </c:pt>
                <c:pt idx="56">
                  <c:v>71.603386916451299</c:v>
                </c:pt>
                <c:pt idx="57">
                  <c:v>-44.199257356172559</c:v>
                </c:pt>
                <c:pt idx="58">
                  <c:v>47.301301588066472</c:v>
                </c:pt>
                <c:pt idx="59">
                  <c:v>14.004999824107347</c:v>
                </c:pt>
                <c:pt idx="60">
                  <c:v>-21.930170634461554</c:v>
                </c:pt>
                <c:pt idx="61">
                  <c:v>41.928487289685549</c:v>
                </c:pt>
                <c:pt idx="62">
                  <c:v>36.859050117532313</c:v>
                </c:pt>
                <c:pt idx="63">
                  <c:v>112.43283234403606</c:v>
                </c:pt>
                <c:pt idx="64">
                  <c:v>60.469979010169524</c:v>
                </c:pt>
                <c:pt idx="65">
                  <c:v>257.26027438061408</c:v>
                </c:pt>
                <c:pt idx="66">
                  <c:v>245.32967820828355</c:v>
                </c:pt>
                <c:pt idx="67">
                  <c:v>298.00923037032578</c:v>
                </c:pt>
                <c:pt idx="68">
                  <c:v>315.85361961440697</c:v>
                </c:pt>
                <c:pt idx="69">
                  <c:v>207.62360285830491</c:v>
                </c:pt>
                <c:pt idx="70">
                  <c:v>41.533900986834183</c:v>
                </c:pt>
                <c:pt idx="71">
                  <c:v>13.7464698</c:v>
                </c:pt>
                <c:pt idx="72">
                  <c:v>-10.417297774906535</c:v>
                </c:pt>
                <c:pt idx="73">
                  <c:v>28.159981717220642</c:v>
                </c:pt>
                <c:pt idx="74">
                  <c:v>-144.84912505560681</c:v>
                </c:pt>
                <c:pt idx="75">
                  <c:v>201.31259561377149</c:v>
                </c:pt>
                <c:pt idx="76">
                  <c:v>120.13729661297089</c:v>
                </c:pt>
                <c:pt idx="77">
                  <c:v>-66.695499317072915</c:v>
                </c:pt>
                <c:pt idx="78">
                  <c:v>38.5173134164923</c:v>
                </c:pt>
                <c:pt idx="79">
                  <c:v>-144.23609780917326</c:v>
                </c:pt>
                <c:pt idx="80">
                  <c:v>95.551284398791211</c:v>
                </c:pt>
                <c:pt idx="81">
                  <c:v>121.73461669805971</c:v>
                </c:pt>
                <c:pt idx="82">
                  <c:v>64.820264431752321</c:v>
                </c:pt>
                <c:pt idx="83">
                  <c:v>14.792969800000002</c:v>
                </c:pt>
                <c:pt idx="84">
                  <c:v>-91.628117215207538</c:v>
                </c:pt>
                <c:pt idx="85">
                  <c:v>50.287008833835664</c:v>
                </c:pt>
                <c:pt idx="86">
                  <c:v>21.062901615015946</c:v>
                </c:pt>
                <c:pt idx="87">
                  <c:v>102.24931311872841</c:v>
                </c:pt>
                <c:pt idx="88">
                  <c:v>118.95328717032336</c:v>
                </c:pt>
                <c:pt idx="89">
                  <c:v>99.181627182746851</c:v>
                </c:pt>
                <c:pt idx="90">
                  <c:v>206.16798257387515</c:v>
                </c:pt>
                <c:pt idx="91">
                  <c:v>233.52687082785772</c:v>
                </c:pt>
                <c:pt idx="92">
                  <c:v>190.71639053754274</c:v>
                </c:pt>
                <c:pt idx="93">
                  <c:v>103.162715232336</c:v>
                </c:pt>
                <c:pt idx="94">
                  <c:v>2.2383528722281381E-15</c:v>
                </c:pt>
                <c:pt idx="95">
                  <c:v>19.70786930609065</c:v>
                </c:pt>
                <c:pt idx="96">
                  <c:v>58.947514206853313</c:v>
                </c:pt>
                <c:pt idx="97">
                  <c:v>14.792969800000002</c:v>
                </c:pt>
                <c:pt idx="98">
                  <c:v>14.792969800000002</c:v>
                </c:pt>
                <c:pt idx="99">
                  <c:v>6.7151350995742973</c:v>
                </c:pt>
                <c:pt idx="100">
                  <c:v>118.28616495883198</c:v>
                </c:pt>
                <c:pt idx="101">
                  <c:v>29.693065705182228</c:v>
                </c:pt>
              </c:numCache>
            </c:numRef>
          </c:val>
          <c:extLst>
            <c:ext xmlns:c16="http://schemas.microsoft.com/office/drawing/2014/chart" uri="{C3380CC4-5D6E-409C-BE32-E72D297353CC}">
              <c16:uniqueId val="{00000000-DF13-4D28-9198-2B965FBDFD00}"/>
            </c:ext>
          </c:extLst>
        </c:ser>
        <c:ser>
          <c:idx val="1"/>
          <c:order val="1"/>
          <c:tx>
            <c:strRef>
              <c:f>'LR Comparison'!$R$1:$R$2</c:f>
              <c:strCache>
                <c:ptCount val="2"/>
                <c:pt idx="0">
                  <c:v>$/ha</c:v>
                </c:pt>
                <c:pt idx="1">
                  <c:v>Without development</c:v>
                </c:pt>
              </c:strCache>
            </c:strRef>
          </c:tx>
          <c:spPr>
            <a:solidFill>
              <a:schemeClr val="accent2"/>
            </a:solidFill>
            <a:ln>
              <a:noFill/>
            </a:ln>
            <a:effectLst/>
          </c:spPr>
          <c:invertIfNegative val="0"/>
          <c:cat>
            <c:strRef>
              <c:f>'LR Comparison'!$P$3:$P$104</c:f>
              <c:strCache>
                <c:ptCount val="102"/>
                <c:pt idx="0">
                  <c:v>1908/09</c:v>
                </c:pt>
                <c:pt idx="1">
                  <c:v>1909/10</c:v>
                </c:pt>
                <c:pt idx="2">
                  <c:v>1910/11</c:v>
                </c:pt>
                <c:pt idx="3">
                  <c:v>1911/12</c:v>
                </c:pt>
                <c:pt idx="4">
                  <c:v>1912/13</c:v>
                </c:pt>
                <c:pt idx="5">
                  <c:v>1913/14</c:v>
                </c:pt>
                <c:pt idx="6">
                  <c:v>1914/15</c:v>
                </c:pt>
                <c:pt idx="7">
                  <c:v>1915/16</c:v>
                </c:pt>
                <c:pt idx="8">
                  <c:v>1916/17</c:v>
                </c:pt>
                <c:pt idx="9">
                  <c:v>1917/18</c:v>
                </c:pt>
                <c:pt idx="10">
                  <c:v>1918/19</c:v>
                </c:pt>
                <c:pt idx="11">
                  <c:v>1919/20</c:v>
                </c:pt>
                <c:pt idx="12">
                  <c:v>1920/21</c:v>
                </c:pt>
                <c:pt idx="13">
                  <c:v>1921/22</c:v>
                </c:pt>
                <c:pt idx="14">
                  <c:v>1922/23</c:v>
                </c:pt>
                <c:pt idx="15">
                  <c:v>1923/24</c:v>
                </c:pt>
                <c:pt idx="16">
                  <c:v>1924/25</c:v>
                </c:pt>
                <c:pt idx="17">
                  <c:v>1925/26</c:v>
                </c:pt>
                <c:pt idx="18">
                  <c:v>1926/27</c:v>
                </c:pt>
                <c:pt idx="19">
                  <c:v>1927/28</c:v>
                </c:pt>
                <c:pt idx="20">
                  <c:v>1928/29</c:v>
                </c:pt>
                <c:pt idx="21">
                  <c:v>1929/30</c:v>
                </c:pt>
                <c:pt idx="22">
                  <c:v>1930/31</c:v>
                </c:pt>
                <c:pt idx="23">
                  <c:v>1931/32</c:v>
                </c:pt>
                <c:pt idx="24">
                  <c:v>1932/33</c:v>
                </c:pt>
                <c:pt idx="25">
                  <c:v>1933/34</c:v>
                </c:pt>
                <c:pt idx="26">
                  <c:v>1934/35</c:v>
                </c:pt>
                <c:pt idx="27">
                  <c:v>1935/36</c:v>
                </c:pt>
                <c:pt idx="28">
                  <c:v>1936/37</c:v>
                </c:pt>
                <c:pt idx="29">
                  <c:v>1937/38</c:v>
                </c:pt>
                <c:pt idx="30">
                  <c:v>1938/39</c:v>
                </c:pt>
                <c:pt idx="31">
                  <c:v>1939/40</c:v>
                </c:pt>
                <c:pt idx="32">
                  <c:v>1940/41</c:v>
                </c:pt>
                <c:pt idx="33">
                  <c:v>1941/42</c:v>
                </c:pt>
                <c:pt idx="34">
                  <c:v>1942/43</c:v>
                </c:pt>
                <c:pt idx="35">
                  <c:v>1943/44</c:v>
                </c:pt>
                <c:pt idx="36">
                  <c:v>1944/45</c:v>
                </c:pt>
                <c:pt idx="37">
                  <c:v>1945/46</c:v>
                </c:pt>
                <c:pt idx="38">
                  <c:v>1946/47</c:v>
                </c:pt>
                <c:pt idx="39">
                  <c:v>1947/48</c:v>
                </c:pt>
                <c:pt idx="40">
                  <c:v>1948/49</c:v>
                </c:pt>
                <c:pt idx="41">
                  <c:v>1949/50</c:v>
                </c:pt>
                <c:pt idx="42">
                  <c:v>1950/51</c:v>
                </c:pt>
                <c:pt idx="43">
                  <c:v>1951/52</c:v>
                </c:pt>
                <c:pt idx="44">
                  <c:v>1952/53</c:v>
                </c:pt>
                <c:pt idx="45">
                  <c:v>1953/54</c:v>
                </c:pt>
                <c:pt idx="46">
                  <c:v>1954/55</c:v>
                </c:pt>
                <c:pt idx="47">
                  <c:v>1955/56</c:v>
                </c:pt>
                <c:pt idx="48">
                  <c:v>1956/57</c:v>
                </c:pt>
                <c:pt idx="49">
                  <c:v>1957/58</c:v>
                </c:pt>
                <c:pt idx="50">
                  <c:v>1958/59</c:v>
                </c:pt>
                <c:pt idx="51">
                  <c:v>1959/60</c:v>
                </c:pt>
                <c:pt idx="52">
                  <c:v>1960/61</c:v>
                </c:pt>
                <c:pt idx="53">
                  <c:v>1961/62</c:v>
                </c:pt>
                <c:pt idx="54">
                  <c:v>1962/63</c:v>
                </c:pt>
                <c:pt idx="55">
                  <c:v>1963/64</c:v>
                </c:pt>
                <c:pt idx="56">
                  <c:v>1964/65</c:v>
                </c:pt>
                <c:pt idx="57">
                  <c:v>1965/66</c:v>
                </c:pt>
                <c:pt idx="58">
                  <c:v>1966/67</c:v>
                </c:pt>
                <c:pt idx="59">
                  <c:v>1967/68</c:v>
                </c:pt>
                <c:pt idx="60">
                  <c:v>1968/69</c:v>
                </c:pt>
                <c:pt idx="61">
                  <c:v>1969/70</c:v>
                </c:pt>
                <c:pt idx="62">
                  <c:v>1970/71</c:v>
                </c:pt>
                <c:pt idx="63">
                  <c:v>1971/72</c:v>
                </c:pt>
                <c:pt idx="64">
                  <c:v>1972/73</c:v>
                </c:pt>
                <c:pt idx="65">
                  <c:v>1973/74</c:v>
                </c:pt>
                <c:pt idx="66">
                  <c:v>1974/75</c:v>
                </c:pt>
                <c:pt idx="67">
                  <c:v>1975/76</c:v>
                </c:pt>
                <c:pt idx="68">
                  <c:v>1976/77</c:v>
                </c:pt>
                <c:pt idx="69">
                  <c:v>1977/78</c:v>
                </c:pt>
                <c:pt idx="70">
                  <c:v>1978/79</c:v>
                </c:pt>
                <c:pt idx="71">
                  <c:v>1979/80</c:v>
                </c:pt>
                <c:pt idx="72">
                  <c:v>1980/81</c:v>
                </c:pt>
                <c:pt idx="73">
                  <c:v>1981/82</c:v>
                </c:pt>
                <c:pt idx="74">
                  <c:v>1982/83</c:v>
                </c:pt>
                <c:pt idx="75">
                  <c:v>1983/84</c:v>
                </c:pt>
                <c:pt idx="76">
                  <c:v>1984/85</c:v>
                </c:pt>
                <c:pt idx="77">
                  <c:v>1985/86</c:v>
                </c:pt>
                <c:pt idx="78">
                  <c:v>1986/87</c:v>
                </c:pt>
                <c:pt idx="79">
                  <c:v>1987/88</c:v>
                </c:pt>
                <c:pt idx="80">
                  <c:v>1988/89</c:v>
                </c:pt>
                <c:pt idx="81">
                  <c:v>1989/90</c:v>
                </c:pt>
                <c:pt idx="82">
                  <c:v>1990/91</c:v>
                </c:pt>
                <c:pt idx="83">
                  <c:v>1991/92</c:v>
                </c:pt>
                <c:pt idx="84">
                  <c:v>1992/93</c:v>
                </c:pt>
                <c:pt idx="85">
                  <c:v>1993/94</c:v>
                </c:pt>
                <c:pt idx="86">
                  <c:v>1994/95</c:v>
                </c:pt>
                <c:pt idx="87">
                  <c:v>1995/96</c:v>
                </c:pt>
                <c:pt idx="88">
                  <c:v>1996/97</c:v>
                </c:pt>
                <c:pt idx="89">
                  <c:v>1997/98</c:v>
                </c:pt>
                <c:pt idx="90">
                  <c:v>1998/99</c:v>
                </c:pt>
                <c:pt idx="91">
                  <c:v>1999/00</c:v>
                </c:pt>
                <c:pt idx="92">
                  <c:v>2000/01</c:v>
                </c:pt>
                <c:pt idx="93">
                  <c:v>2001/02</c:v>
                </c:pt>
                <c:pt idx="94">
                  <c:v>2002/03</c:v>
                </c:pt>
                <c:pt idx="95">
                  <c:v>2003/04</c:v>
                </c:pt>
                <c:pt idx="96">
                  <c:v>2004/05</c:v>
                </c:pt>
                <c:pt idx="97">
                  <c:v>2005/06</c:v>
                </c:pt>
                <c:pt idx="98">
                  <c:v>2006/07</c:v>
                </c:pt>
                <c:pt idx="99">
                  <c:v>2007/08</c:v>
                </c:pt>
                <c:pt idx="100">
                  <c:v>2008/09</c:v>
                </c:pt>
                <c:pt idx="101">
                  <c:v>2009/10</c:v>
                </c:pt>
              </c:strCache>
            </c:strRef>
          </c:cat>
          <c:val>
            <c:numRef>
              <c:f>'LR Comparison'!$R$3:$R$104</c:f>
              <c:numCache>
                <c:formatCode>_-"$"* #,##0_-;\-"$"* #,##0_-;_-"$"* "-"??_-;_-@_-</c:formatCode>
                <c:ptCount val="102"/>
                <c:pt idx="0">
                  <c:v>15.445504290682234</c:v>
                </c:pt>
                <c:pt idx="1">
                  <c:v>-4.0907839054156643</c:v>
                </c:pt>
                <c:pt idx="2">
                  <c:v>47.285121461896537</c:v>
                </c:pt>
                <c:pt idx="3">
                  <c:v>17.266259152095756</c:v>
                </c:pt>
                <c:pt idx="4">
                  <c:v>16.457900623973988</c:v>
                </c:pt>
                <c:pt idx="5">
                  <c:v>-18.107174178581342</c:v>
                </c:pt>
                <c:pt idx="6">
                  <c:v>11.416367583468066</c:v>
                </c:pt>
                <c:pt idx="7">
                  <c:v>-20.990293035854553</c:v>
                </c:pt>
                <c:pt idx="8">
                  <c:v>35.69644202553242</c:v>
                </c:pt>
                <c:pt idx="9">
                  <c:v>25.437821910121293</c:v>
                </c:pt>
                <c:pt idx="10">
                  <c:v>3.6416392880557429</c:v>
                </c:pt>
                <c:pt idx="11">
                  <c:v>-19.775099041471044</c:v>
                </c:pt>
                <c:pt idx="12">
                  <c:v>31.032659060550493</c:v>
                </c:pt>
                <c:pt idx="13">
                  <c:v>46.488614323727568</c:v>
                </c:pt>
                <c:pt idx="14">
                  <c:v>33.298535936297199</c:v>
                </c:pt>
                <c:pt idx="15">
                  <c:v>-10.777043999393646</c:v>
                </c:pt>
                <c:pt idx="16">
                  <c:v>11.472644349058216</c:v>
                </c:pt>
                <c:pt idx="17">
                  <c:v>16.279129206285688</c:v>
                </c:pt>
                <c:pt idx="18">
                  <c:v>27.791837628997811</c:v>
                </c:pt>
                <c:pt idx="19">
                  <c:v>16.25158505230262</c:v>
                </c:pt>
                <c:pt idx="20">
                  <c:v>5.9273133444496633</c:v>
                </c:pt>
                <c:pt idx="21">
                  <c:v>-1.1094058285156072</c:v>
                </c:pt>
                <c:pt idx="22">
                  <c:v>-24.748639008952331</c:v>
                </c:pt>
                <c:pt idx="23">
                  <c:v>20.742810985210106</c:v>
                </c:pt>
                <c:pt idx="24">
                  <c:v>-4.2991644239976488</c:v>
                </c:pt>
                <c:pt idx="25">
                  <c:v>-5.2249410173044559</c:v>
                </c:pt>
                <c:pt idx="26">
                  <c:v>13.479058262414632</c:v>
                </c:pt>
                <c:pt idx="27">
                  <c:v>-7.8672728784331234</c:v>
                </c:pt>
                <c:pt idx="28">
                  <c:v>-17.856777086594384</c:v>
                </c:pt>
                <c:pt idx="29">
                  <c:v>-10.3436029739966</c:v>
                </c:pt>
                <c:pt idx="30">
                  <c:v>-14.227519962295457</c:v>
                </c:pt>
                <c:pt idx="31">
                  <c:v>12.409898283949735</c:v>
                </c:pt>
                <c:pt idx="32">
                  <c:v>8.5649284016401257</c:v>
                </c:pt>
                <c:pt idx="33">
                  <c:v>-12.946407593036497</c:v>
                </c:pt>
                <c:pt idx="34">
                  <c:v>-3.0912342198717777</c:v>
                </c:pt>
                <c:pt idx="35">
                  <c:v>5.9194485942079087</c:v>
                </c:pt>
                <c:pt idx="36">
                  <c:v>-4.5080000000000009</c:v>
                </c:pt>
                <c:pt idx="37">
                  <c:v>2.6769899333333322</c:v>
                </c:pt>
                <c:pt idx="38">
                  <c:v>-20.256540560814027</c:v>
                </c:pt>
                <c:pt idx="39">
                  <c:v>25.461783356093413</c:v>
                </c:pt>
                <c:pt idx="40">
                  <c:v>24.077840094528597</c:v>
                </c:pt>
                <c:pt idx="41">
                  <c:v>40.285118787449711</c:v>
                </c:pt>
                <c:pt idx="42">
                  <c:v>61.417020498530839</c:v>
                </c:pt>
                <c:pt idx="43">
                  <c:v>24.143495423806435</c:v>
                </c:pt>
                <c:pt idx="44">
                  <c:v>21.244489164637127</c:v>
                </c:pt>
                <c:pt idx="45">
                  <c:v>-12.858831310704337</c:v>
                </c:pt>
                <c:pt idx="46">
                  <c:v>52.109863392151212</c:v>
                </c:pt>
                <c:pt idx="47">
                  <c:v>96.497740388863804</c:v>
                </c:pt>
                <c:pt idx="48">
                  <c:v>87.777507033652682</c:v>
                </c:pt>
                <c:pt idx="49">
                  <c:v>44.502997324739688</c:v>
                </c:pt>
                <c:pt idx="50">
                  <c:v>26.790374782698684</c:v>
                </c:pt>
                <c:pt idx="51">
                  <c:v>67.22163360849558</c:v>
                </c:pt>
                <c:pt idx="52">
                  <c:v>-17.600501978634405</c:v>
                </c:pt>
                <c:pt idx="53">
                  <c:v>25.497390029157771</c:v>
                </c:pt>
                <c:pt idx="54">
                  <c:v>68.498825095953649</c:v>
                </c:pt>
                <c:pt idx="55">
                  <c:v>62.00946383886054</c:v>
                </c:pt>
                <c:pt idx="56">
                  <c:v>24.802259213918113</c:v>
                </c:pt>
                <c:pt idx="57">
                  <c:v>-18.162522614154014</c:v>
                </c:pt>
                <c:pt idx="58">
                  <c:v>14.663217558950819</c:v>
                </c:pt>
                <c:pt idx="59">
                  <c:v>4.9174872636528644</c:v>
                </c:pt>
                <c:pt idx="60">
                  <c:v>-8.4182740728538086</c:v>
                </c:pt>
                <c:pt idx="61">
                  <c:v>12.910532784015617</c:v>
                </c:pt>
                <c:pt idx="62">
                  <c:v>-16.490998761197737</c:v>
                </c:pt>
                <c:pt idx="63">
                  <c:v>63.025502631262853</c:v>
                </c:pt>
                <c:pt idx="64">
                  <c:v>33.146036441127187</c:v>
                </c:pt>
                <c:pt idx="65">
                  <c:v>94.127031191801919</c:v>
                </c:pt>
                <c:pt idx="66">
                  <c:v>86.197439698373927</c:v>
                </c:pt>
                <c:pt idx="67">
                  <c:v>101.48388699827305</c:v>
                </c:pt>
                <c:pt idx="68">
                  <c:v>79.005118908075559</c:v>
                </c:pt>
                <c:pt idx="69">
                  <c:v>67.753656581373278</c:v>
                </c:pt>
                <c:pt idx="70">
                  <c:v>12.872096954938035</c:v>
                </c:pt>
                <c:pt idx="71">
                  <c:v>1.2011565999999987</c:v>
                </c:pt>
                <c:pt idx="72">
                  <c:v>-5.3154331397018044</c:v>
                </c:pt>
                <c:pt idx="73">
                  <c:v>7.5128370627586545</c:v>
                </c:pt>
                <c:pt idx="74">
                  <c:v>25.828286333079483</c:v>
                </c:pt>
                <c:pt idx="75">
                  <c:v>61.61304881754721</c:v>
                </c:pt>
                <c:pt idx="76">
                  <c:v>21.470098729444793</c:v>
                </c:pt>
                <c:pt idx="77">
                  <c:v>-22.231833105690974</c:v>
                </c:pt>
                <c:pt idx="78">
                  <c:v>11.712104472164098</c:v>
                </c:pt>
                <c:pt idx="79">
                  <c:v>-59.618253223554255</c:v>
                </c:pt>
                <c:pt idx="80">
                  <c:v>43.187840979575157</c:v>
                </c:pt>
                <c:pt idx="81">
                  <c:v>56.537925290757528</c:v>
                </c:pt>
                <c:pt idx="82">
                  <c:v>51.702582545242869</c:v>
                </c:pt>
                <c:pt idx="83">
                  <c:v>24.540476885715208</c:v>
                </c:pt>
                <c:pt idx="84">
                  <c:v>-16.386196594234285</c:v>
                </c:pt>
                <c:pt idx="85">
                  <c:v>15.29932448153396</c:v>
                </c:pt>
                <c:pt idx="86">
                  <c:v>6.9797971230532676</c:v>
                </c:pt>
                <c:pt idx="87">
                  <c:v>40.320182092801133</c:v>
                </c:pt>
                <c:pt idx="88">
                  <c:v>49.473347120141</c:v>
                </c:pt>
                <c:pt idx="89">
                  <c:v>34.844331146661936</c:v>
                </c:pt>
                <c:pt idx="90">
                  <c:v>44.276609579164337</c:v>
                </c:pt>
                <c:pt idx="91">
                  <c:v>73.356912941949332</c:v>
                </c:pt>
                <c:pt idx="92">
                  <c:v>61.526300134834308</c:v>
                </c:pt>
                <c:pt idx="93">
                  <c:v>31.938054517300756</c:v>
                </c:pt>
                <c:pt idx="94">
                  <c:v>-4.508</c:v>
                </c:pt>
                <c:pt idx="95">
                  <c:v>7.9498959608840263</c:v>
                </c:pt>
                <c:pt idx="96">
                  <c:v>17.920056413571618</c:v>
                </c:pt>
                <c:pt idx="97">
                  <c:v>2.6769899333333322</c:v>
                </c:pt>
                <c:pt idx="98">
                  <c:v>2.6769899333333322</c:v>
                </c:pt>
                <c:pt idx="99">
                  <c:v>2.5425326303565363</c:v>
                </c:pt>
                <c:pt idx="100">
                  <c:v>41.124247663763214</c:v>
                </c:pt>
                <c:pt idx="101">
                  <c:v>10.323312015241157</c:v>
                </c:pt>
              </c:numCache>
            </c:numRef>
          </c:val>
          <c:extLst>
            <c:ext xmlns:c16="http://schemas.microsoft.com/office/drawing/2014/chart" uri="{C3380CC4-5D6E-409C-BE32-E72D297353CC}">
              <c16:uniqueId val="{00000001-DF13-4D28-9198-2B965FBDFD00}"/>
            </c:ext>
          </c:extLst>
        </c:ser>
        <c:dLbls>
          <c:showLegendKey val="0"/>
          <c:showVal val="0"/>
          <c:showCatName val="0"/>
          <c:showSerName val="0"/>
          <c:showPercent val="0"/>
          <c:showBubbleSize val="0"/>
        </c:dLbls>
        <c:gapWidth val="0"/>
        <c:axId val="324440144"/>
        <c:axId val="324443280"/>
      </c:barChart>
      <c:catAx>
        <c:axId val="32444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4443280"/>
        <c:crosses val="autoZero"/>
        <c:auto val="1"/>
        <c:lblAlgn val="ctr"/>
        <c:lblOffset val="100"/>
        <c:noMultiLvlLbl val="0"/>
      </c:catAx>
      <c:valAx>
        <c:axId val="32444328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4440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'LR Comparison'!$Q$1:$Q$2</c:f>
              <c:strCache>
                <c:ptCount val="2"/>
                <c:pt idx="0">
                  <c:v>$/ha</c:v>
                </c:pt>
                <c:pt idx="1">
                  <c:v>390GL</c:v>
                </c:pt>
              </c:strCache>
            </c:strRef>
          </c:tx>
          <c:spPr>
            <a:solidFill>
              <a:schemeClr val="accent1"/>
            </a:solidFill>
            <a:ln>
              <a:noFill/>
            </a:ln>
            <a:effectLst/>
          </c:spPr>
          <c:invertIfNegative val="0"/>
          <c:cat>
            <c:strRef>
              <c:f>'LR Comparison'!$P$74:$P$104</c:f>
              <c:strCache>
                <c:ptCount val="31"/>
                <c:pt idx="0">
                  <c:v>1979/80</c:v>
                </c:pt>
                <c:pt idx="1">
                  <c:v>1980/81</c:v>
                </c:pt>
                <c:pt idx="2">
                  <c:v>1981/82</c:v>
                </c:pt>
                <c:pt idx="3">
                  <c:v>1982/83</c:v>
                </c:pt>
                <c:pt idx="4">
                  <c:v>1983/84</c:v>
                </c:pt>
                <c:pt idx="5">
                  <c:v>1984/85</c:v>
                </c:pt>
                <c:pt idx="6">
                  <c:v>1985/86</c:v>
                </c:pt>
                <c:pt idx="7">
                  <c:v>1986/87</c:v>
                </c:pt>
                <c:pt idx="8">
                  <c:v>1987/88</c:v>
                </c:pt>
                <c:pt idx="9">
                  <c:v>1988/89</c:v>
                </c:pt>
                <c:pt idx="10">
                  <c:v>1989/90</c:v>
                </c:pt>
                <c:pt idx="11">
                  <c:v>1990/91</c:v>
                </c:pt>
                <c:pt idx="12">
                  <c:v>1991/92</c:v>
                </c:pt>
                <c:pt idx="13">
                  <c:v>1992/93</c:v>
                </c:pt>
                <c:pt idx="14">
                  <c:v>1993/94</c:v>
                </c:pt>
                <c:pt idx="15">
                  <c:v>1994/95</c:v>
                </c:pt>
                <c:pt idx="16">
                  <c:v>1995/96</c:v>
                </c:pt>
                <c:pt idx="17">
                  <c:v>1996/97</c:v>
                </c:pt>
                <c:pt idx="18">
                  <c:v>1997/98</c:v>
                </c:pt>
                <c:pt idx="19">
                  <c:v>1998/99</c:v>
                </c:pt>
                <c:pt idx="20">
                  <c:v>1999/00</c:v>
                </c:pt>
                <c:pt idx="21">
                  <c:v>2000/01</c:v>
                </c:pt>
                <c:pt idx="22">
                  <c:v>2001/02</c:v>
                </c:pt>
                <c:pt idx="23">
                  <c:v>2002/03</c:v>
                </c:pt>
                <c:pt idx="24">
                  <c:v>2003/04</c:v>
                </c:pt>
                <c:pt idx="25">
                  <c:v>2004/05</c:v>
                </c:pt>
                <c:pt idx="26">
                  <c:v>2005/06</c:v>
                </c:pt>
                <c:pt idx="27">
                  <c:v>2006/07</c:v>
                </c:pt>
                <c:pt idx="28">
                  <c:v>2007/08</c:v>
                </c:pt>
                <c:pt idx="29">
                  <c:v>2008/09</c:v>
                </c:pt>
                <c:pt idx="30">
                  <c:v>2009/10</c:v>
                </c:pt>
              </c:strCache>
            </c:strRef>
          </c:cat>
          <c:val>
            <c:numRef>
              <c:f>'LR Comparison'!$Q$74:$Q$104</c:f>
              <c:numCache>
                <c:formatCode>_-"$"* #,##0_-;\-"$"* #,##0_-;_-"$"* "-"??_-;_-@_-</c:formatCode>
                <c:ptCount val="31"/>
                <c:pt idx="0">
                  <c:v>13.7464698</c:v>
                </c:pt>
                <c:pt idx="1">
                  <c:v>-10.417297774906535</c:v>
                </c:pt>
                <c:pt idx="2">
                  <c:v>28.159981717220642</c:v>
                </c:pt>
                <c:pt idx="3">
                  <c:v>-144.84912505560681</c:v>
                </c:pt>
                <c:pt idx="4">
                  <c:v>201.31259561377149</c:v>
                </c:pt>
                <c:pt idx="5">
                  <c:v>120.13729661297089</c:v>
                </c:pt>
                <c:pt idx="6">
                  <c:v>-66.695499317072915</c:v>
                </c:pt>
                <c:pt idx="7">
                  <c:v>38.5173134164923</c:v>
                </c:pt>
                <c:pt idx="8">
                  <c:v>-144.23609780917326</c:v>
                </c:pt>
                <c:pt idx="9">
                  <c:v>95.551284398791211</c:v>
                </c:pt>
                <c:pt idx="10">
                  <c:v>121.73461669805971</c:v>
                </c:pt>
                <c:pt idx="11">
                  <c:v>64.820264431752321</c:v>
                </c:pt>
                <c:pt idx="12">
                  <c:v>14.792969800000002</c:v>
                </c:pt>
                <c:pt idx="13">
                  <c:v>-91.628117215207538</c:v>
                </c:pt>
                <c:pt idx="14">
                  <c:v>50.287008833835664</c:v>
                </c:pt>
                <c:pt idx="15">
                  <c:v>21.062901615015946</c:v>
                </c:pt>
                <c:pt idx="16">
                  <c:v>102.24931311872841</c:v>
                </c:pt>
                <c:pt idx="17">
                  <c:v>118.95328717032336</c:v>
                </c:pt>
                <c:pt idx="18">
                  <c:v>99.181627182746851</c:v>
                </c:pt>
                <c:pt idx="19">
                  <c:v>206.16798257387515</c:v>
                </c:pt>
                <c:pt idx="20">
                  <c:v>233.52687082785772</c:v>
                </c:pt>
                <c:pt idx="21">
                  <c:v>190.71639053754274</c:v>
                </c:pt>
                <c:pt idx="22">
                  <c:v>103.162715232336</c:v>
                </c:pt>
                <c:pt idx="23">
                  <c:v>2.2383528722281381E-15</c:v>
                </c:pt>
                <c:pt idx="24">
                  <c:v>19.70786930609065</c:v>
                </c:pt>
                <c:pt idx="25">
                  <c:v>58.947514206853313</c:v>
                </c:pt>
                <c:pt idx="26">
                  <c:v>14.792969800000002</c:v>
                </c:pt>
                <c:pt idx="27">
                  <c:v>14.792969800000002</c:v>
                </c:pt>
                <c:pt idx="28">
                  <c:v>6.7151350995742973</c:v>
                </c:pt>
                <c:pt idx="29">
                  <c:v>118.28616495883198</c:v>
                </c:pt>
                <c:pt idx="30">
                  <c:v>29.693065705182228</c:v>
                </c:pt>
              </c:numCache>
            </c:numRef>
          </c:val>
          <c:extLst>
            <c:ext xmlns:c16="http://schemas.microsoft.com/office/drawing/2014/chart" uri="{C3380CC4-5D6E-409C-BE32-E72D297353CC}">
              <c16:uniqueId val="{00000000-A280-4D77-AC77-D247CFD7127F}"/>
            </c:ext>
          </c:extLst>
        </c:ser>
        <c:ser>
          <c:idx val="1"/>
          <c:order val="1"/>
          <c:tx>
            <c:strRef>
              <c:f>'LR Comparison'!$R$1:$R$2</c:f>
              <c:strCache>
                <c:ptCount val="2"/>
                <c:pt idx="0">
                  <c:v>$/ha</c:v>
                </c:pt>
                <c:pt idx="1">
                  <c:v>Without development</c:v>
                </c:pt>
              </c:strCache>
            </c:strRef>
          </c:tx>
          <c:spPr>
            <a:solidFill>
              <a:schemeClr val="accent2"/>
            </a:solidFill>
            <a:ln>
              <a:noFill/>
            </a:ln>
            <a:effectLst/>
          </c:spPr>
          <c:invertIfNegative val="0"/>
          <c:cat>
            <c:strRef>
              <c:f>'LR Comparison'!$P$74:$P$104</c:f>
              <c:strCache>
                <c:ptCount val="31"/>
                <c:pt idx="0">
                  <c:v>1979/80</c:v>
                </c:pt>
                <c:pt idx="1">
                  <c:v>1980/81</c:v>
                </c:pt>
                <c:pt idx="2">
                  <c:v>1981/82</c:v>
                </c:pt>
                <c:pt idx="3">
                  <c:v>1982/83</c:v>
                </c:pt>
                <c:pt idx="4">
                  <c:v>1983/84</c:v>
                </c:pt>
                <c:pt idx="5">
                  <c:v>1984/85</c:v>
                </c:pt>
                <c:pt idx="6">
                  <c:v>1985/86</c:v>
                </c:pt>
                <c:pt idx="7">
                  <c:v>1986/87</c:v>
                </c:pt>
                <c:pt idx="8">
                  <c:v>1987/88</c:v>
                </c:pt>
                <c:pt idx="9">
                  <c:v>1988/89</c:v>
                </c:pt>
                <c:pt idx="10">
                  <c:v>1989/90</c:v>
                </c:pt>
                <c:pt idx="11">
                  <c:v>1990/91</c:v>
                </c:pt>
                <c:pt idx="12">
                  <c:v>1991/92</c:v>
                </c:pt>
                <c:pt idx="13">
                  <c:v>1992/93</c:v>
                </c:pt>
                <c:pt idx="14">
                  <c:v>1993/94</c:v>
                </c:pt>
                <c:pt idx="15">
                  <c:v>1994/95</c:v>
                </c:pt>
                <c:pt idx="16">
                  <c:v>1995/96</c:v>
                </c:pt>
                <c:pt idx="17">
                  <c:v>1996/97</c:v>
                </c:pt>
                <c:pt idx="18">
                  <c:v>1997/98</c:v>
                </c:pt>
                <c:pt idx="19">
                  <c:v>1998/99</c:v>
                </c:pt>
                <c:pt idx="20">
                  <c:v>1999/00</c:v>
                </c:pt>
                <c:pt idx="21">
                  <c:v>2000/01</c:v>
                </c:pt>
                <c:pt idx="22">
                  <c:v>2001/02</c:v>
                </c:pt>
                <c:pt idx="23">
                  <c:v>2002/03</c:v>
                </c:pt>
                <c:pt idx="24">
                  <c:v>2003/04</c:v>
                </c:pt>
                <c:pt idx="25">
                  <c:v>2004/05</c:v>
                </c:pt>
                <c:pt idx="26">
                  <c:v>2005/06</c:v>
                </c:pt>
                <c:pt idx="27">
                  <c:v>2006/07</c:v>
                </c:pt>
                <c:pt idx="28">
                  <c:v>2007/08</c:v>
                </c:pt>
                <c:pt idx="29">
                  <c:v>2008/09</c:v>
                </c:pt>
                <c:pt idx="30">
                  <c:v>2009/10</c:v>
                </c:pt>
              </c:strCache>
            </c:strRef>
          </c:cat>
          <c:val>
            <c:numRef>
              <c:f>'LR Comparison'!$R$74:$R$104</c:f>
              <c:numCache>
                <c:formatCode>_-"$"* #,##0_-;\-"$"* #,##0_-;_-"$"* "-"??_-;_-@_-</c:formatCode>
                <c:ptCount val="31"/>
                <c:pt idx="0">
                  <c:v>1.2011565999999987</c:v>
                </c:pt>
                <c:pt idx="1">
                  <c:v>-5.3154331397018044</c:v>
                </c:pt>
                <c:pt idx="2">
                  <c:v>7.5128370627586545</c:v>
                </c:pt>
                <c:pt idx="3">
                  <c:v>25.828286333079483</c:v>
                </c:pt>
                <c:pt idx="4">
                  <c:v>61.61304881754721</c:v>
                </c:pt>
                <c:pt idx="5">
                  <c:v>21.470098729444793</c:v>
                </c:pt>
                <c:pt idx="6">
                  <c:v>-22.231833105690974</c:v>
                </c:pt>
                <c:pt idx="7">
                  <c:v>11.712104472164098</c:v>
                </c:pt>
                <c:pt idx="8">
                  <c:v>-59.618253223554255</c:v>
                </c:pt>
                <c:pt idx="9">
                  <c:v>43.187840979575157</c:v>
                </c:pt>
                <c:pt idx="10">
                  <c:v>56.537925290757528</c:v>
                </c:pt>
                <c:pt idx="11">
                  <c:v>51.702582545242869</c:v>
                </c:pt>
                <c:pt idx="12">
                  <c:v>24.540476885715208</c:v>
                </c:pt>
                <c:pt idx="13">
                  <c:v>-16.386196594234285</c:v>
                </c:pt>
                <c:pt idx="14">
                  <c:v>15.29932448153396</c:v>
                </c:pt>
                <c:pt idx="15">
                  <c:v>6.9797971230532676</c:v>
                </c:pt>
                <c:pt idx="16">
                  <c:v>40.320182092801133</c:v>
                </c:pt>
                <c:pt idx="17">
                  <c:v>49.473347120141</c:v>
                </c:pt>
                <c:pt idx="18">
                  <c:v>34.844331146661936</c:v>
                </c:pt>
                <c:pt idx="19">
                  <c:v>44.276609579164337</c:v>
                </c:pt>
                <c:pt idx="20">
                  <c:v>73.356912941949332</c:v>
                </c:pt>
                <c:pt idx="21">
                  <c:v>61.526300134834308</c:v>
                </c:pt>
                <c:pt idx="22">
                  <c:v>31.938054517300756</c:v>
                </c:pt>
                <c:pt idx="23">
                  <c:v>-4.508</c:v>
                </c:pt>
                <c:pt idx="24">
                  <c:v>7.9498959608840263</c:v>
                </c:pt>
                <c:pt idx="25">
                  <c:v>17.920056413571618</c:v>
                </c:pt>
                <c:pt idx="26">
                  <c:v>2.6769899333333322</c:v>
                </c:pt>
                <c:pt idx="27">
                  <c:v>2.6769899333333322</c:v>
                </c:pt>
                <c:pt idx="28">
                  <c:v>2.5425326303565363</c:v>
                </c:pt>
                <c:pt idx="29">
                  <c:v>41.124247663763214</c:v>
                </c:pt>
                <c:pt idx="30">
                  <c:v>10.323312015241157</c:v>
                </c:pt>
              </c:numCache>
            </c:numRef>
          </c:val>
          <c:extLst>
            <c:ext xmlns:c16="http://schemas.microsoft.com/office/drawing/2014/chart" uri="{C3380CC4-5D6E-409C-BE32-E72D297353CC}">
              <c16:uniqueId val="{00000001-A280-4D77-AC77-D247CFD7127F}"/>
            </c:ext>
          </c:extLst>
        </c:ser>
        <c:dLbls>
          <c:showLegendKey val="0"/>
          <c:showVal val="0"/>
          <c:showCatName val="0"/>
          <c:showSerName val="0"/>
          <c:showPercent val="0"/>
          <c:showBubbleSize val="0"/>
        </c:dLbls>
        <c:gapWidth val="0"/>
        <c:axId val="328180520"/>
        <c:axId val="328180912"/>
      </c:barChart>
      <c:catAx>
        <c:axId val="328180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180912"/>
        <c:crosses val="autoZero"/>
        <c:auto val="1"/>
        <c:lblAlgn val="ctr"/>
        <c:lblOffset val="100"/>
        <c:noMultiLvlLbl val="0"/>
      </c:catAx>
      <c:valAx>
        <c:axId val="3281809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180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'LR Comparison'!$B$1:$B$2</c:f>
              <c:strCache>
                <c:ptCount val="2"/>
                <c:pt idx="0">
                  <c:v>DSE/ha</c:v>
                </c:pt>
                <c:pt idx="1">
                  <c:v>390GL</c:v>
                </c:pt>
              </c:strCache>
            </c:strRef>
          </c:tx>
          <c:spPr>
            <a:ln w="28575" cap="rnd">
              <a:solidFill>
                <a:schemeClr val="accent1"/>
              </a:solidFill>
              <a:round/>
            </a:ln>
            <a:effectLst/>
          </c:spPr>
          <c:marker>
            <c:symbol val="none"/>
          </c:marker>
          <c:cat>
            <c:numRef>
              <c:f>'LR Comparison'!$A$3:$A$404</c:f>
              <c:numCache>
                <c:formatCode>m/d/yyyy</c:formatCode>
                <c:ptCount val="402"/>
                <c:pt idx="0">
                  <c:v>3439</c:v>
                </c:pt>
                <c:pt idx="1">
                  <c:v>3531</c:v>
                </c:pt>
                <c:pt idx="2">
                  <c:v>3622</c:v>
                </c:pt>
                <c:pt idx="3">
                  <c:v>3712</c:v>
                </c:pt>
                <c:pt idx="4">
                  <c:v>3804</c:v>
                </c:pt>
                <c:pt idx="5">
                  <c:v>3896</c:v>
                </c:pt>
                <c:pt idx="6">
                  <c:v>3987</c:v>
                </c:pt>
                <c:pt idx="7">
                  <c:v>4077</c:v>
                </c:pt>
                <c:pt idx="8">
                  <c:v>4169</c:v>
                </c:pt>
                <c:pt idx="9">
                  <c:v>4261</c:v>
                </c:pt>
                <c:pt idx="10">
                  <c:v>4352</c:v>
                </c:pt>
                <c:pt idx="11">
                  <c:v>4442</c:v>
                </c:pt>
                <c:pt idx="12">
                  <c:v>4535</c:v>
                </c:pt>
                <c:pt idx="13">
                  <c:v>4627</c:v>
                </c:pt>
                <c:pt idx="14">
                  <c:v>4718</c:v>
                </c:pt>
                <c:pt idx="15">
                  <c:v>4808</c:v>
                </c:pt>
                <c:pt idx="16">
                  <c:v>4900</c:v>
                </c:pt>
                <c:pt idx="17">
                  <c:v>4992</c:v>
                </c:pt>
                <c:pt idx="18">
                  <c:v>5083</c:v>
                </c:pt>
                <c:pt idx="19">
                  <c:v>5173</c:v>
                </c:pt>
                <c:pt idx="20">
                  <c:v>5265</c:v>
                </c:pt>
                <c:pt idx="21">
                  <c:v>5357</c:v>
                </c:pt>
                <c:pt idx="22">
                  <c:v>5448</c:v>
                </c:pt>
                <c:pt idx="23">
                  <c:v>5538</c:v>
                </c:pt>
                <c:pt idx="24">
                  <c:v>5630</c:v>
                </c:pt>
                <c:pt idx="25">
                  <c:v>5722</c:v>
                </c:pt>
                <c:pt idx="26">
                  <c:v>5813</c:v>
                </c:pt>
                <c:pt idx="27">
                  <c:v>5903</c:v>
                </c:pt>
                <c:pt idx="28">
                  <c:v>5996</c:v>
                </c:pt>
                <c:pt idx="29">
                  <c:v>6088</c:v>
                </c:pt>
                <c:pt idx="30">
                  <c:v>6179</c:v>
                </c:pt>
                <c:pt idx="31">
                  <c:v>6269</c:v>
                </c:pt>
                <c:pt idx="32">
                  <c:v>6361</c:v>
                </c:pt>
                <c:pt idx="33">
                  <c:v>6453</c:v>
                </c:pt>
                <c:pt idx="34">
                  <c:v>6544</c:v>
                </c:pt>
                <c:pt idx="35">
                  <c:v>6634</c:v>
                </c:pt>
                <c:pt idx="36">
                  <c:v>6726</c:v>
                </c:pt>
                <c:pt idx="37">
                  <c:v>6818</c:v>
                </c:pt>
                <c:pt idx="38">
                  <c:v>6909</c:v>
                </c:pt>
                <c:pt idx="39">
                  <c:v>6999</c:v>
                </c:pt>
                <c:pt idx="40">
                  <c:v>7091</c:v>
                </c:pt>
                <c:pt idx="41">
                  <c:v>7183</c:v>
                </c:pt>
                <c:pt idx="42">
                  <c:v>7274</c:v>
                </c:pt>
                <c:pt idx="43">
                  <c:v>7364</c:v>
                </c:pt>
                <c:pt idx="44">
                  <c:v>7457</c:v>
                </c:pt>
                <c:pt idx="45">
                  <c:v>7549</c:v>
                </c:pt>
                <c:pt idx="46">
                  <c:v>7640</c:v>
                </c:pt>
                <c:pt idx="47">
                  <c:v>7730</c:v>
                </c:pt>
                <c:pt idx="48">
                  <c:v>7822</c:v>
                </c:pt>
                <c:pt idx="49">
                  <c:v>7914</c:v>
                </c:pt>
                <c:pt idx="50">
                  <c:v>8005</c:v>
                </c:pt>
                <c:pt idx="51">
                  <c:v>8095</c:v>
                </c:pt>
                <c:pt idx="52">
                  <c:v>8187</c:v>
                </c:pt>
                <c:pt idx="53">
                  <c:v>8279</c:v>
                </c:pt>
                <c:pt idx="54">
                  <c:v>8370</c:v>
                </c:pt>
                <c:pt idx="55">
                  <c:v>8460</c:v>
                </c:pt>
                <c:pt idx="56">
                  <c:v>8552</c:v>
                </c:pt>
                <c:pt idx="57">
                  <c:v>8644</c:v>
                </c:pt>
                <c:pt idx="58">
                  <c:v>8735</c:v>
                </c:pt>
                <c:pt idx="59">
                  <c:v>8825</c:v>
                </c:pt>
                <c:pt idx="60">
                  <c:v>8918</c:v>
                </c:pt>
                <c:pt idx="61">
                  <c:v>9010</c:v>
                </c:pt>
                <c:pt idx="62">
                  <c:v>9101</c:v>
                </c:pt>
                <c:pt idx="63">
                  <c:v>9191</c:v>
                </c:pt>
                <c:pt idx="64">
                  <c:v>9283</c:v>
                </c:pt>
                <c:pt idx="65">
                  <c:v>9375</c:v>
                </c:pt>
                <c:pt idx="66">
                  <c:v>9466</c:v>
                </c:pt>
                <c:pt idx="67">
                  <c:v>9556</c:v>
                </c:pt>
                <c:pt idx="68">
                  <c:v>9648</c:v>
                </c:pt>
                <c:pt idx="69">
                  <c:v>9740</c:v>
                </c:pt>
                <c:pt idx="70">
                  <c:v>9831</c:v>
                </c:pt>
                <c:pt idx="71">
                  <c:v>9921</c:v>
                </c:pt>
                <c:pt idx="72">
                  <c:v>10013</c:v>
                </c:pt>
                <c:pt idx="73">
                  <c:v>10105</c:v>
                </c:pt>
                <c:pt idx="74">
                  <c:v>10196</c:v>
                </c:pt>
                <c:pt idx="75">
                  <c:v>10286</c:v>
                </c:pt>
                <c:pt idx="76">
                  <c:v>10379</c:v>
                </c:pt>
                <c:pt idx="77">
                  <c:v>10471</c:v>
                </c:pt>
                <c:pt idx="78">
                  <c:v>10562</c:v>
                </c:pt>
                <c:pt idx="79">
                  <c:v>10652</c:v>
                </c:pt>
                <c:pt idx="80">
                  <c:v>10744</c:v>
                </c:pt>
                <c:pt idx="81">
                  <c:v>10836</c:v>
                </c:pt>
                <c:pt idx="82">
                  <c:v>10927</c:v>
                </c:pt>
                <c:pt idx="83">
                  <c:v>11017</c:v>
                </c:pt>
                <c:pt idx="84">
                  <c:v>11109</c:v>
                </c:pt>
                <c:pt idx="85">
                  <c:v>11201</c:v>
                </c:pt>
                <c:pt idx="86">
                  <c:v>11292</c:v>
                </c:pt>
                <c:pt idx="87">
                  <c:v>11382</c:v>
                </c:pt>
                <c:pt idx="88">
                  <c:v>11474</c:v>
                </c:pt>
                <c:pt idx="89">
                  <c:v>11566</c:v>
                </c:pt>
                <c:pt idx="90">
                  <c:v>11657</c:v>
                </c:pt>
                <c:pt idx="91">
                  <c:v>11747</c:v>
                </c:pt>
                <c:pt idx="92">
                  <c:v>11840</c:v>
                </c:pt>
                <c:pt idx="93">
                  <c:v>11932</c:v>
                </c:pt>
                <c:pt idx="94">
                  <c:v>12023</c:v>
                </c:pt>
                <c:pt idx="95">
                  <c:v>12113</c:v>
                </c:pt>
                <c:pt idx="96">
                  <c:v>12205</c:v>
                </c:pt>
                <c:pt idx="97">
                  <c:v>12297</c:v>
                </c:pt>
                <c:pt idx="98">
                  <c:v>12388</c:v>
                </c:pt>
                <c:pt idx="99">
                  <c:v>12478</c:v>
                </c:pt>
                <c:pt idx="100">
                  <c:v>12570</c:v>
                </c:pt>
                <c:pt idx="101">
                  <c:v>12662</c:v>
                </c:pt>
                <c:pt idx="102">
                  <c:v>12753</c:v>
                </c:pt>
                <c:pt idx="103">
                  <c:v>12843</c:v>
                </c:pt>
                <c:pt idx="104">
                  <c:v>12935</c:v>
                </c:pt>
                <c:pt idx="105">
                  <c:v>13027</c:v>
                </c:pt>
                <c:pt idx="106">
                  <c:v>13118</c:v>
                </c:pt>
                <c:pt idx="107">
                  <c:v>13208</c:v>
                </c:pt>
                <c:pt idx="108">
                  <c:v>13301</c:v>
                </c:pt>
                <c:pt idx="109">
                  <c:v>13393</c:v>
                </c:pt>
                <c:pt idx="110">
                  <c:v>13484</c:v>
                </c:pt>
                <c:pt idx="111">
                  <c:v>13574</c:v>
                </c:pt>
                <c:pt idx="112">
                  <c:v>13666</c:v>
                </c:pt>
                <c:pt idx="113">
                  <c:v>13758</c:v>
                </c:pt>
                <c:pt idx="114">
                  <c:v>13849</c:v>
                </c:pt>
                <c:pt idx="115">
                  <c:v>13939</c:v>
                </c:pt>
                <c:pt idx="116">
                  <c:v>14031</c:v>
                </c:pt>
                <c:pt idx="117">
                  <c:v>14123</c:v>
                </c:pt>
                <c:pt idx="118">
                  <c:v>14214</c:v>
                </c:pt>
                <c:pt idx="119">
                  <c:v>14304</c:v>
                </c:pt>
                <c:pt idx="120">
                  <c:v>14396</c:v>
                </c:pt>
                <c:pt idx="121">
                  <c:v>14488</c:v>
                </c:pt>
                <c:pt idx="122">
                  <c:v>14579</c:v>
                </c:pt>
                <c:pt idx="123">
                  <c:v>14669</c:v>
                </c:pt>
                <c:pt idx="124">
                  <c:v>14762</c:v>
                </c:pt>
                <c:pt idx="125">
                  <c:v>14854</c:v>
                </c:pt>
                <c:pt idx="126">
                  <c:v>14945</c:v>
                </c:pt>
                <c:pt idx="127">
                  <c:v>15035</c:v>
                </c:pt>
                <c:pt idx="128">
                  <c:v>15127</c:v>
                </c:pt>
                <c:pt idx="129">
                  <c:v>15219</c:v>
                </c:pt>
                <c:pt idx="130">
                  <c:v>15310</c:v>
                </c:pt>
                <c:pt idx="131">
                  <c:v>15400</c:v>
                </c:pt>
                <c:pt idx="132">
                  <c:v>15492</c:v>
                </c:pt>
                <c:pt idx="133">
                  <c:v>15584</c:v>
                </c:pt>
                <c:pt idx="134">
                  <c:v>15675</c:v>
                </c:pt>
                <c:pt idx="135">
                  <c:v>15765</c:v>
                </c:pt>
                <c:pt idx="136">
                  <c:v>15857</c:v>
                </c:pt>
                <c:pt idx="137">
                  <c:v>15949</c:v>
                </c:pt>
                <c:pt idx="138">
                  <c:v>16040</c:v>
                </c:pt>
                <c:pt idx="139">
                  <c:v>16130</c:v>
                </c:pt>
                <c:pt idx="140">
                  <c:v>16223</c:v>
                </c:pt>
                <c:pt idx="141">
                  <c:v>16315</c:v>
                </c:pt>
                <c:pt idx="142">
                  <c:v>16406</c:v>
                </c:pt>
                <c:pt idx="143">
                  <c:v>16496</c:v>
                </c:pt>
                <c:pt idx="144">
                  <c:v>16588</c:v>
                </c:pt>
                <c:pt idx="145">
                  <c:v>16680</c:v>
                </c:pt>
                <c:pt idx="146">
                  <c:v>16771</c:v>
                </c:pt>
                <c:pt idx="147">
                  <c:v>16861</c:v>
                </c:pt>
                <c:pt idx="148">
                  <c:v>16953</c:v>
                </c:pt>
                <c:pt idx="149">
                  <c:v>17045</c:v>
                </c:pt>
                <c:pt idx="150">
                  <c:v>17136</c:v>
                </c:pt>
                <c:pt idx="151">
                  <c:v>17226</c:v>
                </c:pt>
                <c:pt idx="152">
                  <c:v>17318</c:v>
                </c:pt>
                <c:pt idx="153">
                  <c:v>17410</c:v>
                </c:pt>
                <c:pt idx="154">
                  <c:v>17501</c:v>
                </c:pt>
                <c:pt idx="155">
                  <c:v>17591</c:v>
                </c:pt>
                <c:pt idx="156">
                  <c:v>17684</c:v>
                </c:pt>
                <c:pt idx="157">
                  <c:v>17776</c:v>
                </c:pt>
                <c:pt idx="158">
                  <c:v>17867</c:v>
                </c:pt>
                <c:pt idx="159">
                  <c:v>17957</c:v>
                </c:pt>
                <c:pt idx="160">
                  <c:v>18049</c:v>
                </c:pt>
                <c:pt idx="161">
                  <c:v>18141</c:v>
                </c:pt>
                <c:pt idx="162">
                  <c:v>18232</c:v>
                </c:pt>
                <c:pt idx="163">
                  <c:v>18322</c:v>
                </c:pt>
                <c:pt idx="164">
                  <c:v>18414</c:v>
                </c:pt>
                <c:pt idx="165">
                  <c:v>18506</c:v>
                </c:pt>
                <c:pt idx="166">
                  <c:v>18597</c:v>
                </c:pt>
                <c:pt idx="167">
                  <c:v>18687</c:v>
                </c:pt>
                <c:pt idx="168">
                  <c:v>18779</c:v>
                </c:pt>
                <c:pt idx="169">
                  <c:v>18871</c:v>
                </c:pt>
                <c:pt idx="170">
                  <c:v>18962</c:v>
                </c:pt>
                <c:pt idx="171">
                  <c:v>19052</c:v>
                </c:pt>
                <c:pt idx="172">
                  <c:v>19145</c:v>
                </c:pt>
                <c:pt idx="173">
                  <c:v>19237</c:v>
                </c:pt>
                <c:pt idx="174">
                  <c:v>19328</c:v>
                </c:pt>
                <c:pt idx="175">
                  <c:v>19418</c:v>
                </c:pt>
                <c:pt idx="176">
                  <c:v>19510</c:v>
                </c:pt>
                <c:pt idx="177">
                  <c:v>19602</c:v>
                </c:pt>
                <c:pt idx="178">
                  <c:v>19693</c:v>
                </c:pt>
                <c:pt idx="179">
                  <c:v>19783</c:v>
                </c:pt>
                <c:pt idx="180">
                  <c:v>19875</c:v>
                </c:pt>
                <c:pt idx="181">
                  <c:v>19967</c:v>
                </c:pt>
                <c:pt idx="182">
                  <c:v>20058</c:v>
                </c:pt>
                <c:pt idx="183">
                  <c:v>20148</c:v>
                </c:pt>
                <c:pt idx="184">
                  <c:v>20240</c:v>
                </c:pt>
                <c:pt idx="185">
                  <c:v>20332</c:v>
                </c:pt>
                <c:pt idx="186">
                  <c:v>20423</c:v>
                </c:pt>
                <c:pt idx="187">
                  <c:v>20513</c:v>
                </c:pt>
                <c:pt idx="188">
                  <c:v>20606</c:v>
                </c:pt>
                <c:pt idx="189">
                  <c:v>20698</c:v>
                </c:pt>
                <c:pt idx="190">
                  <c:v>20789</c:v>
                </c:pt>
                <c:pt idx="191">
                  <c:v>20879</c:v>
                </c:pt>
                <c:pt idx="192">
                  <c:v>20971</c:v>
                </c:pt>
                <c:pt idx="193">
                  <c:v>21063</c:v>
                </c:pt>
                <c:pt idx="194">
                  <c:v>21154</c:v>
                </c:pt>
                <c:pt idx="195">
                  <c:v>21244</c:v>
                </c:pt>
                <c:pt idx="196">
                  <c:v>21336</c:v>
                </c:pt>
                <c:pt idx="197">
                  <c:v>21428</c:v>
                </c:pt>
                <c:pt idx="198">
                  <c:v>21519</c:v>
                </c:pt>
                <c:pt idx="199">
                  <c:v>21609</c:v>
                </c:pt>
                <c:pt idx="200">
                  <c:v>21701</c:v>
                </c:pt>
                <c:pt idx="201">
                  <c:v>21793</c:v>
                </c:pt>
                <c:pt idx="202">
                  <c:v>21884</c:v>
                </c:pt>
                <c:pt idx="203">
                  <c:v>21974</c:v>
                </c:pt>
                <c:pt idx="204">
                  <c:v>22067</c:v>
                </c:pt>
                <c:pt idx="205">
                  <c:v>22159</c:v>
                </c:pt>
                <c:pt idx="206">
                  <c:v>22250</c:v>
                </c:pt>
                <c:pt idx="207">
                  <c:v>22340</c:v>
                </c:pt>
                <c:pt idx="208">
                  <c:v>22432</c:v>
                </c:pt>
                <c:pt idx="209">
                  <c:v>22524</c:v>
                </c:pt>
                <c:pt idx="210">
                  <c:v>22615</c:v>
                </c:pt>
                <c:pt idx="211">
                  <c:v>22705</c:v>
                </c:pt>
                <c:pt idx="212">
                  <c:v>22797</c:v>
                </c:pt>
                <c:pt idx="213">
                  <c:v>22889</c:v>
                </c:pt>
                <c:pt idx="214">
                  <c:v>22980</c:v>
                </c:pt>
                <c:pt idx="215">
                  <c:v>23070</c:v>
                </c:pt>
                <c:pt idx="216">
                  <c:v>23162</c:v>
                </c:pt>
                <c:pt idx="217">
                  <c:v>23254</c:v>
                </c:pt>
                <c:pt idx="218">
                  <c:v>23345</c:v>
                </c:pt>
                <c:pt idx="219">
                  <c:v>23435</c:v>
                </c:pt>
                <c:pt idx="220">
                  <c:v>23528</c:v>
                </c:pt>
                <c:pt idx="221">
                  <c:v>23620</c:v>
                </c:pt>
                <c:pt idx="222">
                  <c:v>23711</c:v>
                </c:pt>
                <c:pt idx="223">
                  <c:v>23801</c:v>
                </c:pt>
                <c:pt idx="224">
                  <c:v>23893</c:v>
                </c:pt>
                <c:pt idx="225">
                  <c:v>23985</c:v>
                </c:pt>
                <c:pt idx="226">
                  <c:v>24076</c:v>
                </c:pt>
                <c:pt idx="227">
                  <c:v>24166</c:v>
                </c:pt>
                <c:pt idx="228">
                  <c:v>24258</c:v>
                </c:pt>
                <c:pt idx="229">
                  <c:v>24350</c:v>
                </c:pt>
                <c:pt idx="230">
                  <c:v>24441</c:v>
                </c:pt>
                <c:pt idx="231">
                  <c:v>24531</c:v>
                </c:pt>
                <c:pt idx="232">
                  <c:v>24623</c:v>
                </c:pt>
                <c:pt idx="233">
                  <c:v>24715</c:v>
                </c:pt>
                <c:pt idx="234">
                  <c:v>24806</c:v>
                </c:pt>
                <c:pt idx="235">
                  <c:v>24896</c:v>
                </c:pt>
                <c:pt idx="236">
                  <c:v>24989</c:v>
                </c:pt>
                <c:pt idx="237">
                  <c:v>25081</c:v>
                </c:pt>
                <c:pt idx="238">
                  <c:v>25172</c:v>
                </c:pt>
                <c:pt idx="239">
                  <c:v>25262</c:v>
                </c:pt>
                <c:pt idx="240">
                  <c:v>25354</c:v>
                </c:pt>
                <c:pt idx="241">
                  <c:v>25446</c:v>
                </c:pt>
                <c:pt idx="242">
                  <c:v>25537</c:v>
                </c:pt>
                <c:pt idx="243">
                  <c:v>25627</c:v>
                </c:pt>
                <c:pt idx="244">
                  <c:v>25719</c:v>
                </c:pt>
                <c:pt idx="245">
                  <c:v>25811</c:v>
                </c:pt>
                <c:pt idx="246">
                  <c:v>25902</c:v>
                </c:pt>
                <c:pt idx="247">
                  <c:v>25992</c:v>
                </c:pt>
                <c:pt idx="248">
                  <c:v>26084</c:v>
                </c:pt>
                <c:pt idx="249">
                  <c:v>26176</c:v>
                </c:pt>
                <c:pt idx="250">
                  <c:v>26267</c:v>
                </c:pt>
                <c:pt idx="251">
                  <c:v>26357</c:v>
                </c:pt>
                <c:pt idx="252">
                  <c:v>26450</c:v>
                </c:pt>
                <c:pt idx="253">
                  <c:v>26542</c:v>
                </c:pt>
                <c:pt idx="254">
                  <c:v>26633</c:v>
                </c:pt>
                <c:pt idx="255">
                  <c:v>26723</c:v>
                </c:pt>
                <c:pt idx="256">
                  <c:v>26815</c:v>
                </c:pt>
                <c:pt idx="257">
                  <c:v>26907</c:v>
                </c:pt>
                <c:pt idx="258">
                  <c:v>26998</c:v>
                </c:pt>
                <c:pt idx="259">
                  <c:v>27088</c:v>
                </c:pt>
                <c:pt idx="260">
                  <c:v>27180</c:v>
                </c:pt>
                <c:pt idx="261">
                  <c:v>27272</c:v>
                </c:pt>
                <c:pt idx="262">
                  <c:v>27363</c:v>
                </c:pt>
                <c:pt idx="263">
                  <c:v>27453</c:v>
                </c:pt>
                <c:pt idx="264">
                  <c:v>27545</c:v>
                </c:pt>
                <c:pt idx="265">
                  <c:v>27637</c:v>
                </c:pt>
                <c:pt idx="266">
                  <c:v>27728</c:v>
                </c:pt>
                <c:pt idx="267">
                  <c:v>27818</c:v>
                </c:pt>
                <c:pt idx="268">
                  <c:v>27911</c:v>
                </c:pt>
                <c:pt idx="269">
                  <c:v>28003</c:v>
                </c:pt>
                <c:pt idx="270">
                  <c:v>28094</c:v>
                </c:pt>
                <c:pt idx="271">
                  <c:v>28184</c:v>
                </c:pt>
                <c:pt idx="272">
                  <c:v>28276</c:v>
                </c:pt>
                <c:pt idx="273">
                  <c:v>28368</c:v>
                </c:pt>
                <c:pt idx="274">
                  <c:v>28459</c:v>
                </c:pt>
                <c:pt idx="275">
                  <c:v>28549</c:v>
                </c:pt>
                <c:pt idx="276">
                  <c:v>28641</c:v>
                </c:pt>
                <c:pt idx="277">
                  <c:v>28733</c:v>
                </c:pt>
                <c:pt idx="278">
                  <c:v>28824</c:v>
                </c:pt>
                <c:pt idx="279">
                  <c:v>28914</c:v>
                </c:pt>
                <c:pt idx="280">
                  <c:v>29006</c:v>
                </c:pt>
                <c:pt idx="281">
                  <c:v>29098</c:v>
                </c:pt>
                <c:pt idx="282">
                  <c:v>29189</c:v>
                </c:pt>
                <c:pt idx="283">
                  <c:v>29279</c:v>
                </c:pt>
                <c:pt idx="284">
                  <c:v>29372</c:v>
                </c:pt>
                <c:pt idx="285">
                  <c:v>29464</c:v>
                </c:pt>
                <c:pt idx="286">
                  <c:v>29555</c:v>
                </c:pt>
                <c:pt idx="287">
                  <c:v>29645</c:v>
                </c:pt>
                <c:pt idx="288">
                  <c:v>29737</c:v>
                </c:pt>
                <c:pt idx="289">
                  <c:v>29829</c:v>
                </c:pt>
                <c:pt idx="290">
                  <c:v>29920</c:v>
                </c:pt>
                <c:pt idx="291">
                  <c:v>30010</c:v>
                </c:pt>
                <c:pt idx="292">
                  <c:v>30102</c:v>
                </c:pt>
                <c:pt idx="293">
                  <c:v>30194</c:v>
                </c:pt>
                <c:pt idx="294">
                  <c:v>30285</c:v>
                </c:pt>
                <c:pt idx="295">
                  <c:v>30375</c:v>
                </c:pt>
                <c:pt idx="296">
                  <c:v>30467</c:v>
                </c:pt>
                <c:pt idx="297">
                  <c:v>30559</c:v>
                </c:pt>
                <c:pt idx="298">
                  <c:v>30650</c:v>
                </c:pt>
                <c:pt idx="299">
                  <c:v>30740</c:v>
                </c:pt>
                <c:pt idx="300">
                  <c:v>30833</c:v>
                </c:pt>
                <c:pt idx="301">
                  <c:v>30925</c:v>
                </c:pt>
                <c:pt idx="302">
                  <c:v>31016</c:v>
                </c:pt>
                <c:pt idx="303">
                  <c:v>31106</c:v>
                </c:pt>
                <c:pt idx="304">
                  <c:v>31198</c:v>
                </c:pt>
                <c:pt idx="305">
                  <c:v>31290</c:v>
                </c:pt>
                <c:pt idx="306">
                  <c:v>31381</c:v>
                </c:pt>
                <c:pt idx="307">
                  <c:v>31471</c:v>
                </c:pt>
                <c:pt idx="308">
                  <c:v>31563</c:v>
                </c:pt>
                <c:pt idx="309">
                  <c:v>31655</c:v>
                </c:pt>
                <c:pt idx="310">
                  <c:v>31746</c:v>
                </c:pt>
                <c:pt idx="311">
                  <c:v>31836</c:v>
                </c:pt>
                <c:pt idx="312">
                  <c:v>31928</c:v>
                </c:pt>
                <c:pt idx="313">
                  <c:v>32020</c:v>
                </c:pt>
                <c:pt idx="314">
                  <c:v>32111</c:v>
                </c:pt>
                <c:pt idx="315">
                  <c:v>32201</c:v>
                </c:pt>
                <c:pt idx="316">
                  <c:v>32294</c:v>
                </c:pt>
                <c:pt idx="317">
                  <c:v>32386</c:v>
                </c:pt>
                <c:pt idx="318">
                  <c:v>32477</c:v>
                </c:pt>
                <c:pt idx="319">
                  <c:v>32567</c:v>
                </c:pt>
                <c:pt idx="320">
                  <c:v>32659</c:v>
                </c:pt>
                <c:pt idx="321">
                  <c:v>32751</c:v>
                </c:pt>
                <c:pt idx="322">
                  <c:v>32842</c:v>
                </c:pt>
                <c:pt idx="323">
                  <c:v>32932</c:v>
                </c:pt>
                <c:pt idx="324">
                  <c:v>33024</c:v>
                </c:pt>
                <c:pt idx="325">
                  <c:v>33116</c:v>
                </c:pt>
                <c:pt idx="326">
                  <c:v>33207</c:v>
                </c:pt>
                <c:pt idx="327">
                  <c:v>33297</c:v>
                </c:pt>
                <c:pt idx="328">
                  <c:v>33389</c:v>
                </c:pt>
                <c:pt idx="329">
                  <c:v>33481</c:v>
                </c:pt>
                <c:pt idx="330">
                  <c:v>33572</c:v>
                </c:pt>
                <c:pt idx="331">
                  <c:v>33662</c:v>
                </c:pt>
                <c:pt idx="332">
                  <c:v>33755</c:v>
                </c:pt>
                <c:pt idx="333">
                  <c:v>33847</c:v>
                </c:pt>
                <c:pt idx="334">
                  <c:v>33938</c:v>
                </c:pt>
                <c:pt idx="335">
                  <c:v>34028</c:v>
                </c:pt>
                <c:pt idx="336">
                  <c:v>34120</c:v>
                </c:pt>
                <c:pt idx="337">
                  <c:v>34212</c:v>
                </c:pt>
                <c:pt idx="338">
                  <c:v>34303</c:v>
                </c:pt>
                <c:pt idx="339">
                  <c:v>34393</c:v>
                </c:pt>
                <c:pt idx="340">
                  <c:v>34485</c:v>
                </c:pt>
                <c:pt idx="341">
                  <c:v>34577</c:v>
                </c:pt>
                <c:pt idx="342">
                  <c:v>34668</c:v>
                </c:pt>
                <c:pt idx="343">
                  <c:v>34758</c:v>
                </c:pt>
                <c:pt idx="344">
                  <c:v>34850</c:v>
                </c:pt>
                <c:pt idx="345">
                  <c:v>34942</c:v>
                </c:pt>
                <c:pt idx="346">
                  <c:v>35033</c:v>
                </c:pt>
                <c:pt idx="347">
                  <c:v>35123</c:v>
                </c:pt>
                <c:pt idx="348">
                  <c:v>35216</c:v>
                </c:pt>
                <c:pt idx="349">
                  <c:v>35308</c:v>
                </c:pt>
                <c:pt idx="350">
                  <c:v>35399</c:v>
                </c:pt>
                <c:pt idx="351">
                  <c:v>35489</c:v>
                </c:pt>
                <c:pt idx="352">
                  <c:v>35581</c:v>
                </c:pt>
                <c:pt idx="353">
                  <c:v>35673</c:v>
                </c:pt>
                <c:pt idx="354">
                  <c:v>35764</c:v>
                </c:pt>
                <c:pt idx="355">
                  <c:v>35854</c:v>
                </c:pt>
                <c:pt idx="356">
                  <c:v>35946</c:v>
                </c:pt>
                <c:pt idx="357">
                  <c:v>36038</c:v>
                </c:pt>
                <c:pt idx="358">
                  <c:v>36129</c:v>
                </c:pt>
                <c:pt idx="359">
                  <c:v>36219</c:v>
                </c:pt>
                <c:pt idx="360">
                  <c:v>36311</c:v>
                </c:pt>
                <c:pt idx="361">
                  <c:v>36403</c:v>
                </c:pt>
                <c:pt idx="362">
                  <c:v>36494</c:v>
                </c:pt>
                <c:pt idx="363">
                  <c:v>36584</c:v>
                </c:pt>
                <c:pt idx="364">
                  <c:v>36677</c:v>
                </c:pt>
                <c:pt idx="365">
                  <c:v>36769</c:v>
                </c:pt>
                <c:pt idx="366">
                  <c:v>36860</c:v>
                </c:pt>
                <c:pt idx="367">
                  <c:v>36950</c:v>
                </c:pt>
                <c:pt idx="368">
                  <c:v>37042</c:v>
                </c:pt>
                <c:pt idx="369">
                  <c:v>37134</c:v>
                </c:pt>
                <c:pt idx="370">
                  <c:v>37225</c:v>
                </c:pt>
                <c:pt idx="371">
                  <c:v>37315</c:v>
                </c:pt>
                <c:pt idx="372">
                  <c:v>37407</c:v>
                </c:pt>
                <c:pt idx="373">
                  <c:v>37499</c:v>
                </c:pt>
                <c:pt idx="374">
                  <c:v>37590</c:v>
                </c:pt>
                <c:pt idx="375">
                  <c:v>37680</c:v>
                </c:pt>
                <c:pt idx="376">
                  <c:v>37772</c:v>
                </c:pt>
                <c:pt idx="377">
                  <c:v>37864</c:v>
                </c:pt>
                <c:pt idx="378">
                  <c:v>37955</c:v>
                </c:pt>
                <c:pt idx="379">
                  <c:v>38045</c:v>
                </c:pt>
                <c:pt idx="380">
                  <c:v>38138</c:v>
                </c:pt>
                <c:pt idx="381">
                  <c:v>38230</c:v>
                </c:pt>
                <c:pt idx="382">
                  <c:v>38321</c:v>
                </c:pt>
                <c:pt idx="383">
                  <c:v>38411</c:v>
                </c:pt>
                <c:pt idx="384">
                  <c:v>38503</c:v>
                </c:pt>
                <c:pt idx="385">
                  <c:v>38595</c:v>
                </c:pt>
                <c:pt idx="386">
                  <c:v>38686</c:v>
                </c:pt>
                <c:pt idx="387">
                  <c:v>38776</c:v>
                </c:pt>
                <c:pt idx="388">
                  <c:v>38868</c:v>
                </c:pt>
                <c:pt idx="389">
                  <c:v>38960</c:v>
                </c:pt>
                <c:pt idx="390">
                  <c:v>39051</c:v>
                </c:pt>
                <c:pt idx="391">
                  <c:v>39141</c:v>
                </c:pt>
                <c:pt idx="392">
                  <c:v>39233</c:v>
                </c:pt>
                <c:pt idx="393">
                  <c:v>39325</c:v>
                </c:pt>
                <c:pt idx="394">
                  <c:v>39416</c:v>
                </c:pt>
                <c:pt idx="395">
                  <c:v>39506</c:v>
                </c:pt>
                <c:pt idx="396">
                  <c:v>39599</c:v>
                </c:pt>
                <c:pt idx="397">
                  <c:v>39691</c:v>
                </c:pt>
                <c:pt idx="398">
                  <c:v>39782</c:v>
                </c:pt>
                <c:pt idx="399">
                  <c:v>39872</c:v>
                </c:pt>
                <c:pt idx="400">
                  <c:v>39964</c:v>
                </c:pt>
                <c:pt idx="401">
                  <c:v>40056</c:v>
                </c:pt>
              </c:numCache>
            </c:numRef>
          </c:cat>
          <c:val>
            <c:numRef>
              <c:f>'LR Comparison'!$B$3:$B$404</c:f>
              <c:numCache>
                <c:formatCode>0.000</c:formatCode>
                <c:ptCount val="402"/>
                <c:pt idx="0">
                  <c:v>0.5</c:v>
                </c:pt>
                <c:pt idx="1">
                  <c:v>0.25102737683241766</c:v>
                </c:pt>
                <c:pt idx="2">
                  <c:v>0.25720490620832148</c:v>
                </c:pt>
                <c:pt idx="3">
                  <c:v>0.25720490620832148</c:v>
                </c:pt>
                <c:pt idx="4">
                  <c:v>0.25795324742667314</c:v>
                </c:pt>
                <c:pt idx="5">
                  <c:v>0.161</c:v>
                </c:pt>
                <c:pt idx="6">
                  <c:v>0.28945091870182504</c:v>
                </c:pt>
                <c:pt idx="7">
                  <c:v>0.28945091870182504</c:v>
                </c:pt>
                <c:pt idx="8">
                  <c:v>0.73029206232352439</c:v>
                </c:pt>
                <c:pt idx="9">
                  <c:v>0.36664660145322153</c:v>
                </c:pt>
                <c:pt idx="10">
                  <c:v>0.36664660145322153</c:v>
                </c:pt>
                <c:pt idx="11">
                  <c:v>0.36664660145322153</c:v>
                </c:pt>
                <c:pt idx="12">
                  <c:v>0.16100000000000003</c:v>
                </c:pt>
                <c:pt idx="13">
                  <c:v>0.161</c:v>
                </c:pt>
                <c:pt idx="14">
                  <c:v>0.23213736748895103</c:v>
                </c:pt>
                <c:pt idx="15">
                  <c:v>0.23213736748895103</c:v>
                </c:pt>
                <c:pt idx="16">
                  <c:v>0.39040652473162674</c:v>
                </c:pt>
                <c:pt idx="17">
                  <c:v>0.19600545160328128</c:v>
                </c:pt>
                <c:pt idx="18">
                  <c:v>0.161</c:v>
                </c:pt>
                <c:pt idx="19">
                  <c:v>0.34509258467185389</c:v>
                </c:pt>
                <c:pt idx="20">
                  <c:v>0.34509258467185389</c:v>
                </c:pt>
                <c:pt idx="21">
                  <c:v>0.1732553725889889</c:v>
                </c:pt>
                <c:pt idx="22">
                  <c:v>0.32134592689213454</c:v>
                </c:pt>
                <c:pt idx="23">
                  <c:v>0.32134592689213454</c:v>
                </c:pt>
                <c:pt idx="24">
                  <c:v>0.32134592689213454</c:v>
                </c:pt>
                <c:pt idx="25">
                  <c:v>0.16133325016702879</c:v>
                </c:pt>
                <c:pt idx="26">
                  <c:v>0.161</c:v>
                </c:pt>
                <c:pt idx="27">
                  <c:v>0.161</c:v>
                </c:pt>
                <c:pt idx="28">
                  <c:v>0.161</c:v>
                </c:pt>
                <c:pt idx="29">
                  <c:v>0.161</c:v>
                </c:pt>
                <c:pt idx="30">
                  <c:v>0.37512493984808432</c:v>
                </c:pt>
                <c:pt idx="31">
                  <c:v>0.37512493984808432</c:v>
                </c:pt>
                <c:pt idx="32">
                  <c:v>0.54564486517294353</c:v>
                </c:pt>
                <c:pt idx="33">
                  <c:v>0.27394359837288446</c:v>
                </c:pt>
                <c:pt idx="34">
                  <c:v>0.33801907632384165</c:v>
                </c:pt>
                <c:pt idx="35">
                  <c:v>0.33801907632384165</c:v>
                </c:pt>
                <c:pt idx="36">
                  <c:v>0.33801907632384165</c:v>
                </c:pt>
                <c:pt idx="37">
                  <c:v>0.16970408409778148</c:v>
                </c:pt>
                <c:pt idx="38">
                  <c:v>0.161</c:v>
                </c:pt>
                <c:pt idx="39">
                  <c:v>0.161</c:v>
                </c:pt>
                <c:pt idx="40">
                  <c:v>0.161</c:v>
                </c:pt>
                <c:pt idx="41">
                  <c:v>0.161</c:v>
                </c:pt>
                <c:pt idx="42">
                  <c:v>0.161</c:v>
                </c:pt>
                <c:pt idx="43">
                  <c:v>0.161</c:v>
                </c:pt>
                <c:pt idx="44">
                  <c:v>0.161</c:v>
                </c:pt>
                <c:pt idx="45">
                  <c:v>0.161</c:v>
                </c:pt>
                <c:pt idx="46">
                  <c:v>0.4005008067039284</c:v>
                </c:pt>
                <c:pt idx="47">
                  <c:v>0.4005008067039284</c:v>
                </c:pt>
                <c:pt idx="48">
                  <c:v>0.77871751948522261</c:v>
                </c:pt>
                <c:pt idx="49">
                  <c:v>0.39095883241964496</c:v>
                </c:pt>
                <c:pt idx="50">
                  <c:v>0.39095883241964496</c:v>
                </c:pt>
                <c:pt idx="51">
                  <c:v>0.90098079207310589</c:v>
                </c:pt>
                <c:pt idx="52">
                  <c:v>1.3101916144640879</c:v>
                </c:pt>
                <c:pt idx="53">
                  <c:v>0.65778792825350052</c:v>
                </c:pt>
                <c:pt idx="54">
                  <c:v>0.65778792825350052</c:v>
                </c:pt>
                <c:pt idx="55">
                  <c:v>0.65778792825350052</c:v>
                </c:pt>
                <c:pt idx="56">
                  <c:v>0.16100000000000003</c:v>
                </c:pt>
                <c:pt idx="57">
                  <c:v>0.16100000000000003</c:v>
                </c:pt>
                <c:pt idx="58">
                  <c:v>0.16100000000000003</c:v>
                </c:pt>
                <c:pt idx="59">
                  <c:v>0.16100000000000003</c:v>
                </c:pt>
                <c:pt idx="60">
                  <c:v>0.34512403949700332</c:v>
                </c:pt>
                <c:pt idx="61">
                  <c:v>0.17327116463348086</c:v>
                </c:pt>
                <c:pt idx="62">
                  <c:v>0.46510625013136214</c:v>
                </c:pt>
                <c:pt idx="63">
                  <c:v>0.46510625013136214</c:v>
                </c:pt>
                <c:pt idx="64">
                  <c:v>0.46510625013136214</c:v>
                </c:pt>
                <c:pt idx="65">
                  <c:v>0.23350880383767628</c:v>
                </c:pt>
                <c:pt idx="66">
                  <c:v>0.161</c:v>
                </c:pt>
                <c:pt idx="67">
                  <c:v>0.34501894923947296</c:v>
                </c:pt>
                <c:pt idx="68">
                  <c:v>0.9923390621493875</c:v>
                </c:pt>
                <c:pt idx="69">
                  <c:v>0.49820854339940435</c:v>
                </c:pt>
                <c:pt idx="70">
                  <c:v>0.49820854339940435</c:v>
                </c:pt>
                <c:pt idx="71">
                  <c:v>0.49820854339940435</c:v>
                </c:pt>
                <c:pt idx="72">
                  <c:v>0.49820854339940435</c:v>
                </c:pt>
                <c:pt idx="73">
                  <c:v>0.16100000000000003</c:v>
                </c:pt>
                <c:pt idx="74">
                  <c:v>0.16100000000000003</c:v>
                </c:pt>
                <c:pt idx="75">
                  <c:v>0.18400756601015281</c:v>
                </c:pt>
                <c:pt idx="76">
                  <c:v>0.53278950083385357</c:v>
                </c:pt>
                <c:pt idx="77">
                  <c:v>0.26748950159635093</c:v>
                </c:pt>
                <c:pt idx="78">
                  <c:v>0.25543843063805077</c:v>
                </c:pt>
                <c:pt idx="79">
                  <c:v>0.25543843063805077</c:v>
                </c:pt>
                <c:pt idx="80">
                  <c:v>0.161</c:v>
                </c:pt>
                <c:pt idx="81">
                  <c:v>0.161</c:v>
                </c:pt>
                <c:pt idx="82">
                  <c:v>0.161</c:v>
                </c:pt>
                <c:pt idx="83">
                  <c:v>0.161</c:v>
                </c:pt>
                <c:pt idx="84">
                  <c:v>0.161</c:v>
                </c:pt>
                <c:pt idx="85">
                  <c:v>0.161</c:v>
                </c:pt>
                <c:pt idx="86">
                  <c:v>0.161</c:v>
                </c:pt>
                <c:pt idx="87">
                  <c:v>0.161</c:v>
                </c:pt>
                <c:pt idx="88">
                  <c:v>0.34500000000000003</c:v>
                </c:pt>
                <c:pt idx="89">
                  <c:v>0.17320889001436818</c:v>
                </c:pt>
                <c:pt idx="90">
                  <c:v>0.36569637976320141</c:v>
                </c:pt>
                <c:pt idx="91">
                  <c:v>0.36569637976320141</c:v>
                </c:pt>
                <c:pt idx="92">
                  <c:v>0.45059833803874449</c:v>
                </c:pt>
                <c:pt idx="93">
                  <c:v>0.22622503760582602</c:v>
                </c:pt>
                <c:pt idx="94">
                  <c:v>0.18977814874157412</c:v>
                </c:pt>
                <c:pt idx="95">
                  <c:v>0.18977814874157412</c:v>
                </c:pt>
                <c:pt idx="96">
                  <c:v>0.18977814874157412</c:v>
                </c:pt>
                <c:pt idx="97">
                  <c:v>0.16100000000000003</c:v>
                </c:pt>
                <c:pt idx="98">
                  <c:v>0.30940732051871428</c:v>
                </c:pt>
                <c:pt idx="99">
                  <c:v>0.30940732051871428</c:v>
                </c:pt>
                <c:pt idx="100">
                  <c:v>0.30940732051871428</c:v>
                </c:pt>
                <c:pt idx="101">
                  <c:v>0.161</c:v>
                </c:pt>
                <c:pt idx="102">
                  <c:v>0.38048281057076505</c:v>
                </c:pt>
                <c:pt idx="103">
                  <c:v>0.38048281057076505</c:v>
                </c:pt>
                <c:pt idx="104">
                  <c:v>0.38048281057076505</c:v>
                </c:pt>
                <c:pt idx="105">
                  <c:v>0.1910232037348096</c:v>
                </c:pt>
                <c:pt idx="106">
                  <c:v>0.16100000000000003</c:v>
                </c:pt>
                <c:pt idx="107">
                  <c:v>0.161</c:v>
                </c:pt>
                <c:pt idx="108">
                  <c:v>0.161</c:v>
                </c:pt>
                <c:pt idx="109">
                  <c:v>0.26483081534003849</c:v>
                </c:pt>
                <c:pt idx="110">
                  <c:v>0.161</c:v>
                </c:pt>
                <c:pt idx="111">
                  <c:v>0.161</c:v>
                </c:pt>
                <c:pt idx="112">
                  <c:v>0.2482801640176131</c:v>
                </c:pt>
                <c:pt idx="113">
                  <c:v>0.161</c:v>
                </c:pt>
                <c:pt idx="114">
                  <c:v>0.161</c:v>
                </c:pt>
                <c:pt idx="115">
                  <c:v>0.161</c:v>
                </c:pt>
                <c:pt idx="116">
                  <c:v>0.161</c:v>
                </c:pt>
                <c:pt idx="117">
                  <c:v>0.161</c:v>
                </c:pt>
                <c:pt idx="118">
                  <c:v>0.161</c:v>
                </c:pt>
                <c:pt idx="119">
                  <c:v>0.161</c:v>
                </c:pt>
                <c:pt idx="120">
                  <c:v>0.161</c:v>
                </c:pt>
                <c:pt idx="121">
                  <c:v>0.26494429408763359</c:v>
                </c:pt>
                <c:pt idx="122">
                  <c:v>0.26054758230892516</c:v>
                </c:pt>
                <c:pt idx="123">
                  <c:v>0.26054758230892516</c:v>
                </c:pt>
                <c:pt idx="124">
                  <c:v>0.26054758230892516</c:v>
                </c:pt>
                <c:pt idx="125">
                  <c:v>0.161</c:v>
                </c:pt>
                <c:pt idx="126">
                  <c:v>0.161</c:v>
                </c:pt>
                <c:pt idx="127">
                  <c:v>0.18478206502019009</c:v>
                </c:pt>
                <c:pt idx="128">
                  <c:v>0.3776297547204322</c:v>
                </c:pt>
                <c:pt idx="129">
                  <c:v>0.18959081348267875</c:v>
                </c:pt>
                <c:pt idx="130">
                  <c:v>0.161</c:v>
                </c:pt>
                <c:pt idx="131">
                  <c:v>0.34635660883231073</c:v>
                </c:pt>
                <c:pt idx="132">
                  <c:v>0.16391427540913017</c:v>
                </c:pt>
                <c:pt idx="133">
                  <c:v>0.26811677937465767</c:v>
                </c:pt>
                <c:pt idx="134">
                  <c:v>0.23506787569667142</c:v>
                </c:pt>
                <c:pt idx="135">
                  <c:v>0.23506787569667142</c:v>
                </c:pt>
                <c:pt idx="136">
                  <c:v>0.23506787569667142</c:v>
                </c:pt>
                <c:pt idx="137">
                  <c:v>0.161</c:v>
                </c:pt>
                <c:pt idx="138">
                  <c:v>0.161</c:v>
                </c:pt>
                <c:pt idx="139">
                  <c:v>0.161</c:v>
                </c:pt>
                <c:pt idx="140">
                  <c:v>0.161</c:v>
                </c:pt>
                <c:pt idx="141">
                  <c:v>0.161</c:v>
                </c:pt>
                <c:pt idx="142">
                  <c:v>0.161</c:v>
                </c:pt>
                <c:pt idx="143">
                  <c:v>0.161</c:v>
                </c:pt>
                <c:pt idx="144">
                  <c:v>0.161</c:v>
                </c:pt>
                <c:pt idx="145">
                  <c:v>0.161</c:v>
                </c:pt>
                <c:pt idx="146">
                  <c:v>0.161</c:v>
                </c:pt>
                <c:pt idx="147">
                  <c:v>0.161</c:v>
                </c:pt>
                <c:pt idx="148">
                  <c:v>0.161</c:v>
                </c:pt>
                <c:pt idx="149">
                  <c:v>0.161</c:v>
                </c:pt>
                <c:pt idx="150">
                  <c:v>0.161</c:v>
                </c:pt>
                <c:pt idx="151">
                  <c:v>0.161</c:v>
                </c:pt>
                <c:pt idx="152">
                  <c:v>0.51204544593174328</c:v>
                </c:pt>
                <c:pt idx="153">
                  <c:v>0.25707485022246213</c:v>
                </c:pt>
                <c:pt idx="154">
                  <c:v>0.33937514641239314</c:v>
                </c:pt>
                <c:pt idx="155">
                  <c:v>0.33937514641239314</c:v>
                </c:pt>
                <c:pt idx="156">
                  <c:v>0.53470386979265483</c:v>
                </c:pt>
                <c:pt idx="157">
                  <c:v>0.26845061963238548</c:v>
                </c:pt>
                <c:pt idx="158">
                  <c:v>0.35265992858975459</c:v>
                </c:pt>
                <c:pt idx="159">
                  <c:v>0.35265992858975459</c:v>
                </c:pt>
                <c:pt idx="160">
                  <c:v>0.51376883859896016</c:v>
                </c:pt>
                <c:pt idx="161">
                  <c:v>0.25794008770346949</c:v>
                </c:pt>
                <c:pt idx="162">
                  <c:v>0.31299808672294765</c:v>
                </c:pt>
                <c:pt idx="163">
                  <c:v>0.31299808672294765</c:v>
                </c:pt>
                <c:pt idx="164">
                  <c:v>1.0169655205321206</c:v>
                </c:pt>
                <c:pt idx="165">
                  <c:v>0.51057237389638477</c:v>
                </c:pt>
                <c:pt idx="166">
                  <c:v>0.54117141043306827</c:v>
                </c:pt>
                <c:pt idx="167">
                  <c:v>1.1808505573256585</c:v>
                </c:pt>
                <c:pt idx="168">
                  <c:v>1.7192525370401601</c:v>
                </c:pt>
                <c:pt idx="169">
                  <c:v>0.86315890897134062</c:v>
                </c:pt>
                <c:pt idx="170">
                  <c:v>0.86315890897134062</c:v>
                </c:pt>
                <c:pt idx="171">
                  <c:v>0.16099999999999995</c:v>
                </c:pt>
                <c:pt idx="172">
                  <c:v>0.16099999999999995</c:v>
                </c:pt>
                <c:pt idx="173">
                  <c:v>0.161</c:v>
                </c:pt>
                <c:pt idx="174">
                  <c:v>0.30386925626761707</c:v>
                </c:pt>
                <c:pt idx="175">
                  <c:v>0.30386925626761707</c:v>
                </c:pt>
                <c:pt idx="176">
                  <c:v>0.50170571236565453</c:v>
                </c:pt>
                <c:pt idx="177">
                  <c:v>0.25188373783397938</c:v>
                </c:pt>
                <c:pt idx="178">
                  <c:v>0.22834458949563491</c:v>
                </c:pt>
                <c:pt idx="179">
                  <c:v>0.22834458949563491</c:v>
                </c:pt>
                <c:pt idx="180">
                  <c:v>0.23543608166654528</c:v>
                </c:pt>
                <c:pt idx="181">
                  <c:v>0.161</c:v>
                </c:pt>
                <c:pt idx="182">
                  <c:v>0.37549801158690382</c:v>
                </c:pt>
                <c:pt idx="183">
                  <c:v>0.76825255673327852</c:v>
                </c:pt>
                <c:pt idx="184">
                  <c:v>1.2002350230824197</c:v>
                </c:pt>
                <c:pt idx="185">
                  <c:v>0.60258369885355201</c:v>
                </c:pt>
                <c:pt idx="186">
                  <c:v>0.60486206159360412</c:v>
                </c:pt>
                <c:pt idx="187">
                  <c:v>1.1554803643770972</c:v>
                </c:pt>
                <c:pt idx="188">
                  <c:v>2.5300000000000002</c:v>
                </c:pt>
                <c:pt idx="189">
                  <c:v>1.2701985267720333</c:v>
                </c:pt>
                <c:pt idx="190">
                  <c:v>1.2771998409587118</c:v>
                </c:pt>
                <c:pt idx="191">
                  <c:v>1.8471634529218568</c:v>
                </c:pt>
                <c:pt idx="192">
                  <c:v>1.8471634529218568</c:v>
                </c:pt>
                <c:pt idx="193">
                  <c:v>0.92737719233536942</c:v>
                </c:pt>
                <c:pt idx="194">
                  <c:v>0.92737719233536942</c:v>
                </c:pt>
                <c:pt idx="195">
                  <c:v>0.92737719233536942</c:v>
                </c:pt>
                <c:pt idx="196">
                  <c:v>0.16099999999999995</c:v>
                </c:pt>
                <c:pt idx="197">
                  <c:v>0.161</c:v>
                </c:pt>
                <c:pt idx="198">
                  <c:v>0.161</c:v>
                </c:pt>
                <c:pt idx="199">
                  <c:v>0.34533724292762952</c:v>
                </c:pt>
                <c:pt idx="200">
                  <c:v>1.2717668207370894</c:v>
                </c:pt>
                <c:pt idx="201">
                  <c:v>0.63849657790427006</c:v>
                </c:pt>
                <c:pt idx="202">
                  <c:v>0.63849657790427006</c:v>
                </c:pt>
                <c:pt idx="203">
                  <c:v>0.63849657790427006</c:v>
                </c:pt>
                <c:pt idx="204">
                  <c:v>0.63849657790427006</c:v>
                </c:pt>
                <c:pt idx="205">
                  <c:v>0.16100000000000003</c:v>
                </c:pt>
                <c:pt idx="206">
                  <c:v>0.16100000000000003</c:v>
                </c:pt>
                <c:pt idx="207">
                  <c:v>0.16100000000000003</c:v>
                </c:pt>
                <c:pt idx="208">
                  <c:v>0.48747706064677521</c:v>
                </c:pt>
                <c:pt idx="209">
                  <c:v>0.2447401756002747</c:v>
                </c:pt>
                <c:pt idx="210">
                  <c:v>0.20859197047083736</c:v>
                </c:pt>
                <c:pt idx="211">
                  <c:v>0.20859197047083736</c:v>
                </c:pt>
                <c:pt idx="212">
                  <c:v>0.56348061298065166</c:v>
                </c:pt>
                <c:pt idx="213">
                  <c:v>0.28289812034491146</c:v>
                </c:pt>
                <c:pt idx="214">
                  <c:v>0.35489592003913756</c:v>
                </c:pt>
                <c:pt idx="215">
                  <c:v>0.77945397978145381</c:v>
                </c:pt>
                <c:pt idx="216">
                  <c:v>1.6029135776804777</c:v>
                </c:pt>
                <c:pt idx="217">
                  <c:v>0.80475038138839206</c:v>
                </c:pt>
                <c:pt idx="218">
                  <c:v>0.80475038138839206</c:v>
                </c:pt>
                <c:pt idx="219">
                  <c:v>1.2407553988300033</c:v>
                </c:pt>
                <c:pt idx="220">
                  <c:v>1.2407553988300033</c:v>
                </c:pt>
                <c:pt idx="221">
                  <c:v>0.62292714611791178</c:v>
                </c:pt>
                <c:pt idx="222">
                  <c:v>0.62292714611791178</c:v>
                </c:pt>
                <c:pt idx="223">
                  <c:v>0.62292714611791178</c:v>
                </c:pt>
                <c:pt idx="224">
                  <c:v>0.62292714611791178</c:v>
                </c:pt>
                <c:pt idx="225">
                  <c:v>0.31274353489536699</c:v>
                </c:pt>
                <c:pt idx="226">
                  <c:v>0.161</c:v>
                </c:pt>
                <c:pt idx="227">
                  <c:v>0.161</c:v>
                </c:pt>
                <c:pt idx="228">
                  <c:v>0.161</c:v>
                </c:pt>
                <c:pt idx="229">
                  <c:v>0.161</c:v>
                </c:pt>
                <c:pt idx="230">
                  <c:v>0.34681419858797768</c:v>
                </c:pt>
                <c:pt idx="231">
                  <c:v>0.34681419858797768</c:v>
                </c:pt>
                <c:pt idx="232">
                  <c:v>0.45457583505911681</c:v>
                </c:pt>
                <c:pt idx="233">
                  <c:v>0.2282219588925917</c:v>
                </c:pt>
                <c:pt idx="234">
                  <c:v>0.161</c:v>
                </c:pt>
                <c:pt idx="235">
                  <c:v>0.34502552102839451</c:v>
                </c:pt>
                <c:pt idx="236">
                  <c:v>0.64413024422131138</c:v>
                </c:pt>
                <c:pt idx="237">
                  <c:v>0.32338865109060067</c:v>
                </c:pt>
                <c:pt idx="238">
                  <c:v>0.28993827671827033</c:v>
                </c:pt>
                <c:pt idx="239">
                  <c:v>0.28993827671827033</c:v>
                </c:pt>
                <c:pt idx="240">
                  <c:v>0.28993827671827033</c:v>
                </c:pt>
                <c:pt idx="241">
                  <c:v>0.161</c:v>
                </c:pt>
                <c:pt idx="242">
                  <c:v>0.36476476956153731</c:v>
                </c:pt>
                <c:pt idx="243">
                  <c:v>0.36476476956153731</c:v>
                </c:pt>
                <c:pt idx="244">
                  <c:v>0.36476476956153731</c:v>
                </c:pt>
                <c:pt idx="245">
                  <c:v>0.183131886527828</c:v>
                </c:pt>
                <c:pt idx="246">
                  <c:v>0.161</c:v>
                </c:pt>
                <c:pt idx="247">
                  <c:v>0.34971771659882184</c:v>
                </c:pt>
                <c:pt idx="248">
                  <c:v>0.88807196895180052</c:v>
                </c:pt>
                <c:pt idx="249">
                  <c:v>0.44586075360874144</c:v>
                </c:pt>
                <c:pt idx="250">
                  <c:v>0.44586075360874144</c:v>
                </c:pt>
                <c:pt idx="251">
                  <c:v>0.81466281326530965</c:v>
                </c:pt>
                <c:pt idx="252">
                  <c:v>0.81466281326530965</c:v>
                </c:pt>
                <c:pt idx="253">
                  <c:v>0.40900533803381667</c:v>
                </c:pt>
                <c:pt idx="254">
                  <c:v>0.40900533803381667</c:v>
                </c:pt>
                <c:pt idx="255">
                  <c:v>0.40900533803381667</c:v>
                </c:pt>
                <c:pt idx="256">
                  <c:v>0.40900533803381667</c:v>
                </c:pt>
                <c:pt idx="257">
                  <c:v>0.2053430742341705</c:v>
                </c:pt>
                <c:pt idx="258">
                  <c:v>0.29290211343115585</c:v>
                </c:pt>
                <c:pt idx="259">
                  <c:v>0.86035880900047879</c:v>
                </c:pt>
                <c:pt idx="260">
                  <c:v>2.3648659774246181</c:v>
                </c:pt>
                <c:pt idx="261">
                  <c:v>1.1872922057462665</c:v>
                </c:pt>
                <c:pt idx="262">
                  <c:v>1.1872922057462665</c:v>
                </c:pt>
                <c:pt idx="263">
                  <c:v>1.7776032290556711</c:v>
                </c:pt>
                <c:pt idx="264">
                  <c:v>1.7776032290556711</c:v>
                </c:pt>
                <c:pt idx="265">
                  <c:v>0.89245415127736072</c:v>
                </c:pt>
                <c:pt idx="266">
                  <c:v>0.89245415127736072</c:v>
                </c:pt>
                <c:pt idx="267">
                  <c:v>1.416398598485515</c:v>
                </c:pt>
                <c:pt idx="268">
                  <c:v>2.5300000000000002</c:v>
                </c:pt>
                <c:pt idx="269">
                  <c:v>1.2701985267720333</c:v>
                </c:pt>
                <c:pt idx="270">
                  <c:v>1.2701985267720333</c:v>
                </c:pt>
                <c:pt idx="271">
                  <c:v>1.804819139747901</c:v>
                </c:pt>
                <c:pt idx="272">
                  <c:v>2.5300000000000002</c:v>
                </c:pt>
                <c:pt idx="273">
                  <c:v>1.2701985267720333</c:v>
                </c:pt>
                <c:pt idx="274">
                  <c:v>1.2701985267720333</c:v>
                </c:pt>
                <c:pt idx="275">
                  <c:v>1.2701985267720333</c:v>
                </c:pt>
                <c:pt idx="276">
                  <c:v>1.2701985267720333</c:v>
                </c:pt>
                <c:pt idx="277">
                  <c:v>0.16099999999999995</c:v>
                </c:pt>
                <c:pt idx="278">
                  <c:v>0.36133199172633201</c:v>
                </c:pt>
                <c:pt idx="279">
                  <c:v>0.36133199172633201</c:v>
                </c:pt>
                <c:pt idx="280">
                  <c:v>0.36133199172633201</c:v>
                </c:pt>
                <c:pt idx="281">
                  <c:v>0.18140844409738793</c:v>
                </c:pt>
                <c:pt idx="282">
                  <c:v>0.161</c:v>
                </c:pt>
                <c:pt idx="283">
                  <c:v>0.161</c:v>
                </c:pt>
                <c:pt idx="284">
                  <c:v>0.161</c:v>
                </c:pt>
                <c:pt idx="285">
                  <c:v>0.161</c:v>
                </c:pt>
                <c:pt idx="286">
                  <c:v>0.161</c:v>
                </c:pt>
                <c:pt idx="287">
                  <c:v>0.161</c:v>
                </c:pt>
                <c:pt idx="288">
                  <c:v>0.161</c:v>
                </c:pt>
                <c:pt idx="289">
                  <c:v>0.26590262272491522</c:v>
                </c:pt>
                <c:pt idx="290">
                  <c:v>0.30648051863612424</c:v>
                </c:pt>
                <c:pt idx="291">
                  <c:v>0.30648051863612424</c:v>
                </c:pt>
                <c:pt idx="292">
                  <c:v>0.30648051863612424</c:v>
                </c:pt>
                <c:pt idx="293">
                  <c:v>0.161</c:v>
                </c:pt>
                <c:pt idx="294">
                  <c:v>0.161</c:v>
                </c:pt>
                <c:pt idx="295">
                  <c:v>0.161</c:v>
                </c:pt>
                <c:pt idx="296">
                  <c:v>0.95042173780424954</c:v>
                </c:pt>
                <c:pt idx="297">
                  <c:v>0.47716375145101714</c:v>
                </c:pt>
                <c:pt idx="298">
                  <c:v>0.53127465745538216</c:v>
                </c:pt>
                <c:pt idx="299">
                  <c:v>1.1186414784243939</c:v>
                </c:pt>
                <c:pt idx="300">
                  <c:v>1.6259243920281841</c:v>
                </c:pt>
                <c:pt idx="301">
                  <c:v>0.81630307011735692</c:v>
                </c:pt>
                <c:pt idx="302">
                  <c:v>0.82112173905914321</c:v>
                </c:pt>
                <c:pt idx="303">
                  <c:v>0.82112173905914321</c:v>
                </c:pt>
                <c:pt idx="304">
                  <c:v>0.17068348077100587</c:v>
                </c:pt>
                <c:pt idx="305">
                  <c:v>0.161</c:v>
                </c:pt>
                <c:pt idx="306">
                  <c:v>0.161</c:v>
                </c:pt>
                <c:pt idx="307">
                  <c:v>0.161</c:v>
                </c:pt>
                <c:pt idx="308">
                  <c:v>0.34500000000000003</c:v>
                </c:pt>
                <c:pt idx="309">
                  <c:v>0.17320889001436818</c:v>
                </c:pt>
                <c:pt idx="310">
                  <c:v>0.33508862018860808</c:v>
                </c:pt>
                <c:pt idx="311">
                  <c:v>0.33508862018860808</c:v>
                </c:pt>
                <c:pt idx="312">
                  <c:v>0.33508862018860808</c:v>
                </c:pt>
                <c:pt idx="313">
                  <c:v>0.1682328346646812</c:v>
                </c:pt>
                <c:pt idx="314">
                  <c:v>0.161</c:v>
                </c:pt>
                <c:pt idx="315">
                  <c:v>0.161</c:v>
                </c:pt>
                <c:pt idx="316">
                  <c:v>0.97219580315956022</c:v>
                </c:pt>
                <c:pt idx="317">
                  <c:v>0.48809552446925969</c:v>
                </c:pt>
                <c:pt idx="318">
                  <c:v>0.48809552446925969</c:v>
                </c:pt>
                <c:pt idx="319">
                  <c:v>0.48809552446925969</c:v>
                </c:pt>
                <c:pt idx="320">
                  <c:v>0.79425724514330887</c:v>
                </c:pt>
                <c:pt idx="321">
                  <c:v>0.39876062555693464</c:v>
                </c:pt>
                <c:pt idx="322">
                  <c:v>0.39876062555693464</c:v>
                </c:pt>
                <c:pt idx="323">
                  <c:v>0.39876062555693464</c:v>
                </c:pt>
                <c:pt idx="324">
                  <c:v>1.1232163241262372</c:v>
                </c:pt>
                <c:pt idx="325">
                  <c:v>0.56391609492151973</c:v>
                </c:pt>
                <c:pt idx="326">
                  <c:v>0.56391609492151973</c:v>
                </c:pt>
                <c:pt idx="327">
                  <c:v>0.56391609492151973</c:v>
                </c:pt>
                <c:pt idx="328">
                  <c:v>0.56391609492151973</c:v>
                </c:pt>
                <c:pt idx="329">
                  <c:v>0.28311675612345943</c:v>
                </c:pt>
                <c:pt idx="330">
                  <c:v>0.161</c:v>
                </c:pt>
                <c:pt idx="331">
                  <c:v>0.161</c:v>
                </c:pt>
                <c:pt idx="332">
                  <c:v>0.161</c:v>
                </c:pt>
                <c:pt idx="333">
                  <c:v>0.161</c:v>
                </c:pt>
                <c:pt idx="334">
                  <c:v>0.161</c:v>
                </c:pt>
                <c:pt idx="335">
                  <c:v>0.161</c:v>
                </c:pt>
                <c:pt idx="336">
                  <c:v>0.34500000000000003</c:v>
                </c:pt>
                <c:pt idx="337">
                  <c:v>0.17320889001436818</c:v>
                </c:pt>
                <c:pt idx="338">
                  <c:v>0.43748130149511583</c:v>
                </c:pt>
                <c:pt idx="339">
                  <c:v>0.43748130149511583</c:v>
                </c:pt>
                <c:pt idx="340">
                  <c:v>0.43748130149511583</c:v>
                </c:pt>
                <c:pt idx="341">
                  <c:v>0.2196395670551019</c:v>
                </c:pt>
                <c:pt idx="342">
                  <c:v>0.161</c:v>
                </c:pt>
                <c:pt idx="343">
                  <c:v>0.34562630906087133</c:v>
                </c:pt>
                <c:pt idx="344">
                  <c:v>0.67708300392117082</c:v>
                </c:pt>
                <c:pt idx="345">
                  <c:v>0.33993274074429014</c:v>
                </c:pt>
                <c:pt idx="346">
                  <c:v>0.39725580576864256</c:v>
                </c:pt>
                <c:pt idx="347">
                  <c:v>0.39725580576864256</c:v>
                </c:pt>
                <c:pt idx="348">
                  <c:v>0.9079668508424148</c:v>
                </c:pt>
                <c:pt idx="349">
                  <c:v>0.45584907363552474</c:v>
                </c:pt>
                <c:pt idx="350">
                  <c:v>0.46459892746209164</c:v>
                </c:pt>
                <c:pt idx="351">
                  <c:v>0.86190855066965022</c:v>
                </c:pt>
                <c:pt idx="352">
                  <c:v>0.86190855066965022</c:v>
                </c:pt>
                <c:pt idx="353">
                  <c:v>0.43272528508806646</c:v>
                </c:pt>
                <c:pt idx="354">
                  <c:v>0.43272528508806646</c:v>
                </c:pt>
                <c:pt idx="355">
                  <c:v>0.43272528508806646</c:v>
                </c:pt>
                <c:pt idx="356">
                  <c:v>0.69808958627392714</c:v>
                </c:pt>
                <c:pt idx="357">
                  <c:v>0.35047919527274324</c:v>
                </c:pt>
                <c:pt idx="358">
                  <c:v>0.67760197551391177</c:v>
                </c:pt>
                <c:pt idx="359">
                  <c:v>1.1489313129126624</c:v>
                </c:pt>
                <c:pt idx="360">
                  <c:v>1.6659504037233606</c:v>
                </c:pt>
                <c:pt idx="361">
                  <c:v>0.83639831955916466</c:v>
                </c:pt>
                <c:pt idx="362">
                  <c:v>0.83639831955916466</c:v>
                </c:pt>
                <c:pt idx="363">
                  <c:v>1.2139318745362719</c:v>
                </c:pt>
                <c:pt idx="364">
                  <c:v>1.9306679728238738</c:v>
                </c:pt>
                <c:pt idx="365">
                  <c:v>0.96930103350467678</c:v>
                </c:pt>
                <c:pt idx="366">
                  <c:v>0.96930103350467678</c:v>
                </c:pt>
                <c:pt idx="367">
                  <c:v>1.3818877280944131</c:v>
                </c:pt>
                <c:pt idx="368">
                  <c:v>1.3818877280944131</c:v>
                </c:pt>
                <c:pt idx="369">
                  <c:v>0.6937833029208994</c:v>
                </c:pt>
                <c:pt idx="370">
                  <c:v>0.6937833029208994</c:v>
                </c:pt>
                <c:pt idx="371">
                  <c:v>0.6937833029208994</c:v>
                </c:pt>
                <c:pt idx="372">
                  <c:v>0.6937833029208994</c:v>
                </c:pt>
                <c:pt idx="373">
                  <c:v>0.34831720524472792</c:v>
                </c:pt>
                <c:pt idx="374">
                  <c:v>0.16100000000000003</c:v>
                </c:pt>
                <c:pt idx="375">
                  <c:v>0.161</c:v>
                </c:pt>
                <c:pt idx="376">
                  <c:v>0.161</c:v>
                </c:pt>
                <c:pt idx="377">
                  <c:v>0.161</c:v>
                </c:pt>
                <c:pt idx="378">
                  <c:v>0.161</c:v>
                </c:pt>
                <c:pt idx="379">
                  <c:v>0.34557703473211504</c:v>
                </c:pt>
                <c:pt idx="380">
                  <c:v>0.67902132276887717</c:v>
                </c:pt>
                <c:pt idx="381">
                  <c:v>0.34090588293589924</c:v>
                </c:pt>
                <c:pt idx="382">
                  <c:v>0.36458805767405711</c:v>
                </c:pt>
                <c:pt idx="383">
                  <c:v>0.36458805767405711</c:v>
                </c:pt>
                <c:pt idx="384">
                  <c:v>0.36458805767405711</c:v>
                </c:pt>
                <c:pt idx="385">
                  <c:v>0.16100000000000003</c:v>
                </c:pt>
                <c:pt idx="386">
                  <c:v>0.161</c:v>
                </c:pt>
                <c:pt idx="387">
                  <c:v>0.161</c:v>
                </c:pt>
                <c:pt idx="388">
                  <c:v>0.161</c:v>
                </c:pt>
                <c:pt idx="389">
                  <c:v>0.161</c:v>
                </c:pt>
                <c:pt idx="390">
                  <c:v>0.161</c:v>
                </c:pt>
                <c:pt idx="391">
                  <c:v>0.161</c:v>
                </c:pt>
                <c:pt idx="392">
                  <c:v>0.161</c:v>
                </c:pt>
                <c:pt idx="393">
                  <c:v>0.161</c:v>
                </c:pt>
                <c:pt idx="394">
                  <c:v>0.161</c:v>
                </c:pt>
                <c:pt idx="395">
                  <c:v>0.75622652264730872</c:v>
                </c:pt>
                <c:pt idx="396">
                  <c:v>1.6357697507968756</c:v>
                </c:pt>
                <c:pt idx="397">
                  <c:v>0.82124597928871435</c:v>
                </c:pt>
                <c:pt idx="398">
                  <c:v>0.82124597928871435</c:v>
                </c:pt>
                <c:pt idx="399">
                  <c:v>1.2873731790064189</c:v>
                </c:pt>
                <c:pt idx="400">
                  <c:v>1.2873731790064189</c:v>
                </c:pt>
                <c:pt idx="401">
                  <c:v>0.64633182426078351</c:v>
                </c:pt>
              </c:numCache>
            </c:numRef>
          </c:val>
          <c:smooth val="0"/>
          <c:extLst>
            <c:ext xmlns:c16="http://schemas.microsoft.com/office/drawing/2014/chart" uri="{C3380CC4-5D6E-409C-BE32-E72D297353CC}">
              <c16:uniqueId val="{00000000-74A7-4083-9472-9AFCDD10DCD0}"/>
            </c:ext>
          </c:extLst>
        </c:ser>
        <c:ser>
          <c:idx val="1"/>
          <c:order val="1"/>
          <c:tx>
            <c:strRef>
              <c:f>'LR Comparison'!$C$1:$C$2</c:f>
              <c:strCache>
                <c:ptCount val="2"/>
                <c:pt idx="0">
                  <c:v>DSE/ha</c:v>
                </c:pt>
                <c:pt idx="1">
                  <c:v>Without development</c:v>
                </c:pt>
              </c:strCache>
            </c:strRef>
          </c:tx>
          <c:spPr>
            <a:ln w="28575" cap="rnd">
              <a:solidFill>
                <a:schemeClr val="accent2"/>
              </a:solidFill>
              <a:round/>
            </a:ln>
            <a:effectLst/>
          </c:spPr>
          <c:marker>
            <c:symbol val="none"/>
          </c:marker>
          <c:cat>
            <c:numRef>
              <c:f>'LR Comparison'!$A$3:$A$404</c:f>
              <c:numCache>
                <c:formatCode>m/d/yyyy</c:formatCode>
                <c:ptCount val="402"/>
                <c:pt idx="0">
                  <c:v>3439</c:v>
                </c:pt>
                <c:pt idx="1">
                  <c:v>3531</c:v>
                </c:pt>
                <c:pt idx="2">
                  <c:v>3622</c:v>
                </c:pt>
                <c:pt idx="3">
                  <c:v>3712</c:v>
                </c:pt>
                <c:pt idx="4">
                  <c:v>3804</c:v>
                </c:pt>
                <c:pt idx="5">
                  <c:v>3896</c:v>
                </c:pt>
                <c:pt idx="6">
                  <c:v>3987</c:v>
                </c:pt>
                <c:pt idx="7">
                  <c:v>4077</c:v>
                </c:pt>
                <c:pt idx="8">
                  <c:v>4169</c:v>
                </c:pt>
                <c:pt idx="9">
                  <c:v>4261</c:v>
                </c:pt>
                <c:pt idx="10">
                  <c:v>4352</c:v>
                </c:pt>
                <c:pt idx="11">
                  <c:v>4442</c:v>
                </c:pt>
                <c:pt idx="12">
                  <c:v>4535</c:v>
                </c:pt>
                <c:pt idx="13">
                  <c:v>4627</c:v>
                </c:pt>
                <c:pt idx="14">
                  <c:v>4718</c:v>
                </c:pt>
                <c:pt idx="15">
                  <c:v>4808</c:v>
                </c:pt>
                <c:pt idx="16">
                  <c:v>4900</c:v>
                </c:pt>
                <c:pt idx="17">
                  <c:v>4992</c:v>
                </c:pt>
                <c:pt idx="18">
                  <c:v>5083</c:v>
                </c:pt>
                <c:pt idx="19">
                  <c:v>5173</c:v>
                </c:pt>
                <c:pt idx="20">
                  <c:v>5265</c:v>
                </c:pt>
                <c:pt idx="21">
                  <c:v>5357</c:v>
                </c:pt>
                <c:pt idx="22">
                  <c:v>5448</c:v>
                </c:pt>
                <c:pt idx="23">
                  <c:v>5538</c:v>
                </c:pt>
                <c:pt idx="24">
                  <c:v>5630</c:v>
                </c:pt>
                <c:pt idx="25">
                  <c:v>5722</c:v>
                </c:pt>
                <c:pt idx="26">
                  <c:v>5813</c:v>
                </c:pt>
                <c:pt idx="27">
                  <c:v>5903</c:v>
                </c:pt>
                <c:pt idx="28">
                  <c:v>5996</c:v>
                </c:pt>
                <c:pt idx="29">
                  <c:v>6088</c:v>
                </c:pt>
                <c:pt idx="30">
                  <c:v>6179</c:v>
                </c:pt>
                <c:pt idx="31">
                  <c:v>6269</c:v>
                </c:pt>
                <c:pt idx="32">
                  <c:v>6361</c:v>
                </c:pt>
                <c:pt idx="33">
                  <c:v>6453</c:v>
                </c:pt>
                <c:pt idx="34">
                  <c:v>6544</c:v>
                </c:pt>
                <c:pt idx="35">
                  <c:v>6634</c:v>
                </c:pt>
                <c:pt idx="36">
                  <c:v>6726</c:v>
                </c:pt>
                <c:pt idx="37">
                  <c:v>6818</c:v>
                </c:pt>
                <c:pt idx="38">
                  <c:v>6909</c:v>
                </c:pt>
                <c:pt idx="39">
                  <c:v>6999</c:v>
                </c:pt>
                <c:pt idx="40">
                  <c:v>7091</c:v>
                </c:pt>
                <c:pt idx="41">
                  <c:v>7183</c:v>
                </c:pt>
                <c:pt idx="42">
                  <c:v>7274</c:v>
                </c:pt>
                <c:pt idx="43">
                  <c:v>7364</c:v>
                </c:pt>
                <c:pt idx="44">
                  <c:v>7457</c:v>
                </c:pt>
                <c:pt idx="45">
                  <c:v>7549</c:v>
                </c:pt>
                <c:pt idx="46">
                  <c:v>7640</c:v>
                </c:pt>
                <c:pt idx="47">
                  <c:v>7730</c:v>
                </c:pt>
                <c:pt idx="48">
                  <c:v>7822</c:v>
                </c:pt>
                <c:pt idx="49">
                  <c:v>7914</c:v>
                </c:pt>
                <c:pt idx="50">
                  <c:v>8005</c:v>
                </c:pt>
                <c:pt idx="51">
                  <c:v>8095</c:v>
                </c:pt>
                <c:pt idx="52">
                  <c:v>8187</c:v>
                </c:pt>
                <c:pt idx="53">
                  <c:v>8279</c:v>
                </c:pt>
                <c:pt idx="54">
                  <c:v>8370</c:v>
                </c:pt>
                <c:pt idx="55">
                  <c:v>8460</c:v>
                </c:pt>
                <c:pt idx="56">
                  <c:v>8552</c:v>
                </c:pt>
                <c:pt idx="57">
                  <c:v>8644</c:v>
                </c:pt>
                <c:pt idx="58">
                  <c:v>8735</c:v>
                </c:pt>
                <c:pt idx="59">
                  <c:v>8825</c:v>
                </c:pt>
                <c:pt idx="60">
                  <c:v>8918</c:v>
                </c:pt>
                <c:pt idx="61">
                  <c:v>9010</c:v>
                </c:pt>
                <c:pt idx="62">
                  <c:v>9101</c:v>
                </c:pt>
                <c:pt idx="63">
                  <c:v>9191</c:v>
                </c:pt>
                <c:pt idx="64">
                  <c:v>9283</c:v>
                </c:pt>
                <c:pt idx="65">
                  <c:v>9375</c:v>
                </c:pt>
                <c:pt idx="66">
                  <c:v>9466</c:v>
                </c:pt>
                <c:pt idx="67">
                  <c:v>9556</c:v>
                </c:pt>
                <c:pt idx="68">
                  <c:v>9648</c:v>
                </c:pt>
                <c:pt idx="69">
                  <c:v>9740</c:v>
                </c:pt>
                <c:pt idx="70">
                  <c:v>9831</c:v>
                </c:pt>
                <c:pt idx="71">
                  <c:v>9921</c:v>
                </c:pt>
                <c:pt idx="72">
                  <c:v>10013</c:v>
                </c:pt>
                <c:pt idx="73">
                  <c:v>10105</c:v>
                </c:pt>
                <c:pt idx="74">
                  <c:v>10196</c:v>
                </c:pt>
                <c:pt idx="75">
                  <c:v>10286</c:v>
                </c:pt>
                <c:pt idx="76">
                  <c:v>10379</c:v>
                </c:pt>
                <c:pt idx="77">
                  <c:v>10471</c:v>
                </c:pt>
                <c:pt idx="78">
                  <c:v>10562</c:v>
                </c:pt>
                <c:pt idx="79">
                  <c:v>10652</c:v>
                </c:pt>
                <c:pt idx="80">
                  <c:v>10744</c:v>
                </c:pt>
                <c:pt idx="81">
                  <c:v>10836</c:v>
                </c:pt>
                <c:pt idx="82">
                  <c:v>10927</c:v>
                </c:pt>
                <c:pt idx="83">
                  <c:v>11017</c:v>
                </c:pt>
                <c:pt idx="84">
                  <c:v>11109</c:v>
                </c:pt>
                <c:pt idx="85">
                  <c:v>11201</c:v>
                </c:pt>
                <c:pt idx="86">
                  <c:v>11292</c:v>
                </c:pt>
                <c:pt idx="87">
                  <c:v>11382</c:v>
                </c:pt>
                <c:pt idx="88">
                  <c:v>11474</c:v>
                </c:pt>
                <c:pt idx="89">
                  <c:v>11566</c:v>
                </c:pt>
                <c:pt idx="90">
                  <c:v>11657</c:v>
                </c:pt>
                <c:pt idx="91">
                  <c:v>11747</c:v>
                </c:pt>
                <c:pt idx="92">
                  <c:v>11840</c:v>
                </c:pt>
                <c:pt idx="93">
                  <c:v>11932</c:v>
                </c:pt>
                <c:pt idx="94">
                  <c:v>12023</c:v>
                </c:pt>
                <c:pt idx="95">
                  <c:v>12113</c:v>
                </c:pt>
                <c:pt idx="96">
                  <c:v>12205</c:v>
                </c:pt>
                <c:pt idx="97">
                  <c:v>12297</c:v>
                </c:pt>
                <c:pt idx="98">
                  <c:v>12388</c:v>
                </c:pt>
                <c:pt idx="99">
                  <c:v>12478</c:v>
                </c:pt>
                <c:pt idx="100">
                  <c:v>12570</c:v>
                </c:pt>
                <c:pt idx="101">
                  <c:v>12662</c:v>
                </c:pt>
                <c:pt idx="102">
                  <c:v>12753</c:v>
                </c:pt>
                <c:pt idx="103">
                  <c:v>12843</c:v>
                </c:pt>
                <c:pt idx="104">
                  <c:v>12935</c:v>
                </c:pt>
                <c:pt idx="105">
                  <c:v>13027</c:v>
                </c:pt>
                <c:pt idx="106">
                  <c:v>13118</c:v>
                </c:pt>
                <c:pt idx="107">
                  <c:v>13208</c:v>
                </c:pt>
                <c:pt idx="108">
                  <c:v>13301</c:v>
                </c:pt>
                <c:pt idx="109">
                  <c:v>13393</c:v>
                </c:pt>
                <c:pt idx="110">
                  <c:v>13484</c:v>
                </c:pt>
                <c:pt idx="111">
                  <c:v>13574</c:v>
                </c:pt>
                <c:pt idx="112">
                  <c:v>13666</c:v>
                </c:pt>
                <c:pt idx="113">
                  <c:v>13758</c:v>
                </c:pt>
                <c:pt idx="114">
                  <c:v>13849</c:v>
                </c:pt>
                <c:pt idx="115">
                  <c:v>13939</c:v>
                </c:pt>
                <c:pt idx="116">
                  <c:v>14031</c:v>
                </c:pt>
                <c:pt idx="117">
                  <c:v>14123</c:v>
                </c:pt>
                <c:pt idx="118">
                  <c:v>14214</c:v>
                </c:pt>
                <c:pt idx="119">
                  <c:v>14304</c:v>
                </c:pt>
                <c:pt idx="120">
                  <c:v>14396</c:v>
                </c:pt>
                <c:pt idx="121">
                  <c:v>14488</c:v>
                </c:pt>
                <c:pt idx="122">
                  <c:v>14579</c:v>
                </c:pt>
                <c:pt idx="123">
                  <c:v>14669</c:v>
                </c:pt>
                <c:pt idx="124">
                  <c:v>14762</c:v>
                </c:pt>
                <c:pt idx="125">
                  <c:v>14854</c:v>
                </c:pt>
                <c:pt idx="126">
                  <c:v>14945</c:v>
                </c:pt>
                <c:pt idx="127">
                  <c:v>15035</c:v>
                </c:pt>
                <c:pt idx="128">
                  <c:v>15127</c:v>
                </c:pt>
                <c:pt idx="129">
                  <c:v>15219</c:v>
                </c:pt>
                <c:pt idx="130">
                  <c:v>15310</c:v>
                </c:pt>
                <c:pt idx="131">
                  <c:v>15400</c:v>
                </c:pt>
                <c:pt idx="132">
                  <c:v>15492</c:v>
                </c:pt>
                <c:pt idx="133">
                  <c:v>15584</c:v>
                </c:pt>
                <c:pt idx="134">
                  <c:v>15675</c:v>
                </c:pt>
                <c:pt idx="135">
                  <c:v>15765</c:v>
                </c:pt>
                <c:pt idx="136">
                  <c:v>15857</c:v>
                </c:pt>
                <c:pt idx="137">
                  <c:v>15949</c:v>
                </c:pt>
                <c:pt idx="138">
                  <c:v>16040</c:v>
                </c:pt>
                <c:pt idx="139">
                  <c:v>16130</c:v>
                </c:pt>
                <c:pt idx="140">
                  <c:v>16223</c:v>
                </c:pt>
                <c:pt idx="141">
                  <c:v>16315</c:v>
                </c:pt>
                <c:pt idx="142">
                  <c:v>16406</c:v>
                </c:pt>
                <c:pt idx="143">
                  <c:v>16496</c:v>
                </c:pt>
                <c:pt idx="144">
                  <c:v>16588</c:v>
                </c:pt>
                <c:pt idx="145">
                  <c:v>16680</c:v>
                </c:pt>
                <c:pt idx="146">
                  <c:v>16771</c:v>
                </c:pt>
                <c:pt idx="147">
                  <c:v>16861</c:v>
                </c:pt>
                <c:pt idx="148">
                  <c:v>16953</c:v>
                </c:pt>
                <c:pt idx="149">
                  <c:v>17045</c:v>
                </c:pt>
                <c:pt idx="150">
                  <c:v>17136</c:v>
                </c:pt>
                <c:pt idx="151">
                  <c:v>17226</c:v>
                </c:pt>
                <c:pt idx="152">
                  <c:v>17318</c:v>
                </c:pt>
                <c:pt idx="153">
                  <c:v>17410</c:v>
                </c:pt>
                <c:pt idx="154">
                  <c:v>17501</c:v>
                </c:pt>
                <c:pt idx="155">
                  <c:v>17591</c:v>
                </c:pt>
                <c:pt idx="156">
                  <c:v>17684</c:v>
                </c:pt>
                <c:pt idx="157">
                  <c:v>17776</c:v>
                </c:pt>
                <c:pt idx="158">
                  <c:v>17867</c:v>
                </c:pt>
                <c:pt idx="159">
                  <c:v>17957</c:v>
                </c:pt>
                <c:pt idx="160">
                  <c:v>18049</c:v>
                </c:pt>
                <c:pt idx="161">
                  <c:v>18141</c:v>
                </c:pt>
                <c:pt idx="162">
                  <c:v>18232</c:v>
                </c:pt>
                <c:pt idx="163">
                  <c:v>18322</c:v>
                </c:pt>
                <c:pt idx="164">
                  <c:v>18414</c:v>
                </c:pt>
                <c:pt idx="165">
                  <c:v>18506</c:v>
                </c:pt>
                <c:pt idx="166">
                  <c:v>18597</c:v>
                </c:pt>
                <c:pt idx="167">
                  <c:v>18687</c:v>
                </c:pt>
                <c:pt idx="168">
                  <c:v>18779</c:v>
                </c:pt>
                <c:pt idx="169">
                  <c:v>18871</c:v>
                </c:pt>
                <c:pt idx="170">
                  <c:v>18962</c:v>
                </c:pt>
                <c:pt idx="171">
                  <c:v>19052</c:v>
                </c:pt>
                <c:pt idx="172">
                  <c:v>19145</c:v>
                </c:pt>
                <c:pt idx="173">
                  <c:v>19237</c:v>
                </c:pt>
                <c:pt idx="174">
                  <c:v>19328</c:v>
                </c:pt>
                <c:pt idx="175">
                  <c:v>19418</c:v>
                </c:pt>
                <c:pt idx="176">
                  <c:v>19510</c:v>
                </c:pt>
                <c:pt idx="177">
                  <c:v>19602</c:v>
                </c:pt>
                <c:pt idx="178">
                  <c:v>19693</c:v>
                </c:pt>
                <c:pt idx="179">
                  <c:v>19783</c:v>
                </c:pt>
                <c:pt idx="180">
                  <c:v>19875</c:v>
                </c:pt>
                <c:pt idx="181">
                  <c:v>19967</c:v>
                </c:pt>
                <c:pt idx="182">
                  <c:v>20058</c:v>
                </c:pt>
                <c:pt idx="183">
                  <c:v>20148</c:v>
                </c:pt>
                <c:pt idx="184">
                  <c:v>20240</c:v>
                </c:pt>
                <c:pt idx="185">
                  <c:v>20332</c:v>
                </c:pt>
                <c:pt idx="186">
                  <c:v>20423</c:v>
                </c:pt>
                <c:pt idx="187">
                  <c:v>20513</c:v>
                </c:pt>
                <c:pt idx="188">
                  <c:v>20606</c:v>
                </c:pt>
                <c:pt idx="189">
                  <c:v>20698</c:v>
                </c:pt>
                <c:pt idx="190">
                  <c:v>20789</c:v>
                </c:pt>
                <c:pt idx="191">
                  <c:v>20879</c:v>
                </c:pt>
                <c:pt idx="192">
                  <c:v>20971</c:v>
                </c:pt>
                <c:pt idx="193">
                  <c:v>21063</c:v>
                </c:pt>
                <c:pt idx="194">
                  <c:v>21154</c:v>
                </c:pt>
                <c:pt idx="195">
                  <c:v>21244</c:v>
                </c:pt>
                <c:pt idx="196">
                  <c:v>21336</c:v>
                </c:pt>
                <c:pt idx="197">
                  <c:v>21428</c:v>
                </c:pt>
                <c:pt idx="198">
                  <c:v>21519</c:v>
                </c:pt>
                <c:pt idx="199">
                  <c:v>21609</c:v>
                </c:pt>
                <c:pt idx="200">
                  <c:v>21701</c:v>
                </c:pt>
                <c:pt idx="201">
                  <c:v>21793</c:v>
                </c:pt>
                <c:pt idx="202">
                  <c:v>21884</c:v>
                </c:pt>
                <c:pt idx="203">
                  <c:v>21974</c:v>
                </c:pt>
                <c:pt idx="204">
                  <c:v>22067</c:v>
                </c:pt>
                <c:pt idx="205">
                  <c:v>22159</c:v>
                </c:pt>
                <c:pt idx="206">
                  <c:v>22250</c:v>
                </c:pt>
                <c:pt idx="207">
                  <c:v>22340</c:v>
                </c:pt>
                <c:pt idx="208">
                  <c:v>22432</c:v>
                </c:pt>
                <c:pt idx="209">
                  <c:v>22524</c:v>
                </c:pt>
                <c:pt idx="210">
                  <c:v>22615</c:v>
                </c:pt>
                <c:pt idx="211">
                  <c:v>22705</c:v>
                </c:pt>
                <c:pt idx="212">
                  <c:v>22797</c:v>
                </c:pt>
                <c:pt idx="213">
                  <c:v>22889</c:v>
                </c:pt>
                <c:pt idx="214">
                  <c:v>22980</c:v>
                </c:pt>
                <c:pt idx="215">
                  <c:v>23070</c:v>
                </c:pt>
                <c:pt idx="216">
                  <c:v>23162</c:v>
                </c:pt>
                <c:pt idx="217">
                  <c:v>23254</c:v>
                </c:pt>
                <c:pt idx="218">
                  <c:v>23345</c:v>
                </c:pt>
                <c:pt idx="219">
                  <c:v>23435</c:v>
                </c:pt>
                <c:pt idx="220">
                  <c:v>23528</c:v>
                </c:pt>
                <c:pt idx="221">
                  <c:v>23620</c:v>
                </c:pt>
                <c:pt idx="222">
                  <c:v>23711</c:v>
                </c:pt>
                <c:pt idx="223">
                  <c:v>23801</c:v>
                </c:pt>
                <c:pt idx="224">
                  <c:v>23893</c:v>
                </c:pt>
                <c:pt idx="225">
                  <c:v>23985</c:v>
                </c:pt>
                <c:pt idx="226">
                  <c:v>24076</c:v>
                </c:pt>
                <c:pt idx="227">
                  <c:v>24166</c:v>
                </c:pt>
                <c:pt idx="228">
                  <c:v>24258</c:v>
                </c:pt>
                <c:pt idx="229">
                  <c:v>24350</c:v>
                </c:pt>
                <c:pt idx="230">
                  <c:v>24441</c:v>
                </c:pt>
                <c:pt idx="231">
                  <c:v>24531</c:v>
                </c:pt>
                <c:pt idx="232">
                  <c:v>24623</c:v>
                </c:pt>
                <c:pt idx="233">
                  <c:v>24715</c:v>
                </c:pt>
                <c:pt idx="234">
                  <c:v>24806</c:v>
                </c:pt>
                <c:pt idx="235">
                  <c:v>24896</c:v>
                </c:pt>
                <c:pt idx="236">
                  <c:v>24989</c:v>
                </c:pt>
                <c:pt idx="237">
                  <c:v>25081</c:v>
                </c:pt>
                <c:pt idx="238">
                  <c:v>25172</c:v>
                </c:pt>
                <c:pt idx="239">
                  <c:v>25262</c:v>
                </c:pt>
                <c:pt idx="240">
                  <c:v>25354</c:v>
                </c:pt>
                <c:pt idx="241">
                  <c:v>25446</c:v>
                </c:pt>
                <c:pt idx="242">
                  <c:v>25537</c:v>
                </c:pt>
                <c:pt idx="243">
                  <c:v>25627</c:v>
                </c:pt>
                <c:pt idx="244">
                  <c:v>25719</c:v>
                </c:pt>
                <c:pt idx="245">
                  <c:v>25811</c:v>
                </c:pt>
                <c:pt idx="246">
                  <c:v>25902</c:v>
                </c:pt>
                <c:pt idx="247">
                  <c:v>25992</c:v>
                </c:pt>
                <c:pt idx="248">
                  <c:v>26084</c:v>
                </c:pt>
                <c:pt idx="249">
                  <c:v>26176</c:v>
                </c:pt>
                <c:pt idx="250">
                  <c:v>26267</c:v>
                </c:pt>
                <c:pt idx="251">
                  <c:v>26357</c:v>
                </c:pt>
                <c:pt idx="252">
                  <c:v>26450</c:v>
                </c:pt>
                <c:pt idx="253">
                  <c:v>26542</c:v>
                </c:pt>
                <c:pt idx="254">
                  <c:v>26633</c:v>
                </c:pt>
                <c:pt idx="255">
                  <c:v>26723</c:v>
                </c:pt>
                <c:pt idx="256">
                  <c:v>26815</c:v>
                </c:pt>
                <c:pt idx="257">
                  <c:v>26907</c:v>
                </c:pt>
                <c:pt idx="258">
                  <c:v>26998</c:v>
                </c:pt>
                <c:pt idx="259">
                  <c:v>27088</c:v>
                </c:pt>
                <c:pt idx="260">
                  <c:v>27180</c:v>
                </c:pt>
                <c:pt idx="261">
                  <c:v>27272</c:v>
                </c:pt>
                <c:pt idx="262">
                  <c:v>27363</c:v>
                </c:pt>
                <c:pt idx="263">
                  <c:v>27453</c:v>
                </c:pt>
                <c:pt idx="264">
                  <c:v>27545</c:v>
                </c:pt>
                <c:pt idx="265">
                  <c:v>27637</c:v>
                </c:pt>
                <c:pt idx="266">
                  <c:v>27728</c:v>
                </c:pt>
                <c:pt idx="267">
                  <c:v>27818</c:v>
                </c:pt>
                <c:pt idx="268">
                  <c:v>27911</c:v>
                </c:pt>
                <c:pt idx="269">
                  <c:v>28003</c:v>
                </c:pt>
                <c:pt idx="270">
                  <c:v>28094</c:v>
                </c:pt>
                <c:pt idx="271">
                  <c:v>28184</c:v>
                </c:pt>
                <c:pt idx="272">
                  <c:v>28276</c:v>
                </c:pt>
                <c:pt idx="273">
                  <c:v>28368</c:v>
                </c:pt>
                <c:pt idx="274">
                  <c:v>28459</c:v>
                </c:pt>
                <c:pt idx="275">
                  <c:v>28549</c:v>
                </c:pt>
                <c:pt idx="276">
                  <c:v>28641</c:v>
                </c:pt>
                <c:pt idx="277">
                  <c:v>28733</c:v>
                </c:pt>
                <c:pt idx="278">
                  <c:v>28824</c:v>
                </c:pt>
                <c:pt idx="279">
                  <c:v>28914</c:v>
                </c:pt>
                <c:pt idx="280">
                  <c:v>29006</c:v>
                </c:pt>
                <c:pt idx="281">
                  <c:v>29098</c:v>
                </c:pt>
                <c:pt idx="282">
                  <c:v>29189</c:v>
                </c:pt>
                <c:pt idx="283">
                  <c:v>29279</c:v>
                </c:pt>
                <c:pt idx="284">
                  <c:v>29372</c:v>
                </c:pt>
                <c:pt idx="285">
                  <c:v>29464</c:v>
                </c:pt>
                <c:pt idx="286">
                  <c:v>29555</c:v>
                </c:pt>
                <c:pt idx="287">
                  <c:v>29645</c:v>
                </c:pt>
                <c:pt idx="288">
                  <c:v>29737</c:v>
                </c:pt>
                <c:pt idx="289">
                  <c:v>29829</c:v>
                </c:pt>
                <c:pt idx="290">
                  <c:v>29920</c:v>
                </c:pt>
                <c:pt idx="291">
                  <c:v>30010</c:v>
                </c:pt>
                <c:pt idx="292">
                  <c:v>30102</c:v>
                </c:pt>
                <c:pt idx="293">
                  <c:v>30194</c:v>
                </c:pt>
                <c:pt idx="294">
                  <c:v>30285</c:v>
                </c:pt>
                <c:pt idx="295">
                  <c:v>30375</c:v>
                </c:pt>
                <c:pt idx="296">
                  <c:v>30467</c:v>
                </c:pt>
                <c:pt idx="297">
                  <c:v>30559</c:v>
                </c:pt>
                <c:pt idx="298">
                  <c:v>30650</c:v>
                </c:pt>
                <c:pt idx="299">
                  <c:v>30740</c:v>
                </c:pt>
                <c:pt idx="300">
                  <c:v>30833</c:v>
                </c:pt>
                <c:pt idx="301">
                  <c:v>30925</c:v>
                </c:pt>
                <c:pt idx="302">
                  <c:v>31016</c:v>
                </c:pt>
                <c:pt idx="303">
                  <c:v>31106</c:v>
                </c:pt>
                <c:pt idx="304">
                  <c:v>31198</c:v>
                </c:pt>
                <c:pt idx="305">
                  <c:v>31290</c:v>
                </c:pt>
                <c:pt idx="306">
                  <c:v>31381</c:v>
                </c:pt>
                <c:pt idx="307">
                  <c:v>31471</c:v>
                </c:pt>
                <c:pt idx="308">
                  <c:v>31563</c:v>
                </c:pt>
                <c:pt idx="309">
                  <c:v>31655</c:v>
                </c:pt>
                <c:pt idx="310">
                  <c:v>31746</c:v>
                </c:pt>
                <c:pt idx="311">
                  <c:v>31836</c:v>
                </c:pt>
                <c:pt idx="312">
                  <c:v>31928</c:v>
                </c:pt>
                <c:pt idx="313">
                  <c:v>32020</c:v>
                </c:pt>
                <c:pt idx="314">
                  <c:v>32111</c:v>
                </c:pt>
                <c:pt idx="315">
                  <c:v>32201</c:v>
                </c:pt>
                <c:pt idx="316">
                  <c:v>32294</c:v>
                </c:pt>
                <c:pt idx="317">
                  <c:v>32386</c:v>
                </c:pt>
                <c:pt idx="318">
                  <c:v>32477</c:v>
                </c:pt>
                <c:pt idx="319">
                  <c:v>32567</c:v>
                </c:pt>
                <c:pt idx="320">
                  <c:v>32659</c:v>
                </c:pt>
                <c:pt idx="321">
                  <c:v>32751</c:v>
                </c:pt>
                <c:pt idx="322">
                  <c:v>32842</c:v>
                </c:pt>
                <c:pt idx="323">
                  <c:v>32932</c:v>
                </c:pt>
                <c:pt idx="324">
                  <c:v>33024</c:v>
                </c:pt>
                <c:pt idx="325">
                  <c:v>33116</c:v>
                </c:pt>
                <c:pt idx="326">
                  <c:v>33207</c:v>
                </c:pt>
                <c:pt idx="327">
                  <c:v>33297</c:v>
                </c:pt>
                <c:pt idx="328">
                  <c:v>33389</c:v>
                </c:pt>
                <c:pt idx="329">
                  <c:v>33481</c:v>
                </c:pt>
                <c:pt idx="330">
                  <c:v>33572</c:v>
                </c:pt>
                <c:pt idx="331">
                  <c:v>33662</c:v>
                </c:pt>
                <c:pt idx="332">
                  <c:v>33755</c:v>
                </c:pt>
                <c:pt idx="333">
                  <c:v>33847</c:v>
                </c:pt>
                <c:pt idx="334">
                  <c:v>33938</c:v>
                </c:pt>
                <c:pt idx="335">
                  <c:v>34028</c:v>
                </c:pt>
                <c:pt idx="336">
                  <c:v>34120</c:v>
                </c:pt>
                <c:pt idx="337">
                  <c:v>34212</c:v>
                </c:pt>
                <c:pt idx="338">
                  <c:v>34303</c:v>
                </c:pt>
                <c:pt idx="339">
                  <c:v>34393</c:v>
                </c:pt>
                <c:pt idx="340">
                  <c:v>34485</c:v>
                </c:pt>
                <c:pt idx="341">
                  <c:v>34577</c:v>
                </c:pt>
                <c:pt idx="342">
                  <c:v>34668</c:v>
                </c:pt>
                <c:pt idx="343">
                  <c:v>34758</c:v>
                </c:pt>
                <c:pt idx="344">
                  <c:v>34850</c:v>
                </c:pt>
                <c:pt idx="345">
                  <c:v>34942</c:v>
                </c:pt>
                <c:pt idx="346">
                  <c:v>35033</c:v>
                </c:pt>
                <c:pt idx="347">
                  <c:v>35123</c:v>
                </c:pt>
                <c:pt idx="348">
                  <c:v>35216</c:v>
                </c:pt>
                <c:pt idx="349">
                  <c:v>35308</c:v>
                </c:pt>
                <c:pt idx="350">
                  <c:v>35399</c:v>
                </c:pt>
                <c:pt idx="351">
                  <c:v>35489</c:v>
                </c:pt>
                <c:pt idx="352">
                  <c:v>35581</c:v>
                </c:pt>
                <c:pt idx="353">
                  <c:v>35673</c:v>
                </c:pt>
                <c:pt idx="354">
                  <c:v>35764</c:v>
                </c:pt>
                <c:pt idx="355">
                  <c:v>35854</c:v>
                </c:pt>
                <c:pt idx="356">
                  <c:v>35946</c:v>
                </c:pt>
                <c:pt idx="357">
                  <c:v>36038</c:v>
                </c:pt>
                <c:pt idx="358">
                  <c:v>36129</c:v>
                </c:pt>
                <c:pt idx="359">
                  <c:v>36219</c:v>
                </c:pt>
                <c:pt idx="360">
                  <c:v>36311</c:v>
                </c:pt>
                <c:pt idx="361">
                  <c:v>36403</c:v>
                </c:pt>
                <c:pt idx="362">
                  <c:v>36494</c:v>
                </c:pt>
                <c:pt idx="363">
                  <c:v>36584</c:v>
                </c:pt>
                <c:pt idx="364">
                  <c:v>36677</c:v>
                </c:pt>
                <c:pt idx="365">
                  <c:v>36769</c:v>
                </c:pt>
                <c:pt idx="366">
                  <c:v>36860</c:v>
                </c:pt>
                <c:pt idx="367">
                  <c:v>36950</c:v>
                </c:pt>
                <c:pt idx="368">
                  <c:v>37042</c:v>
                </c:pt>
                <c:pt idx="369">
                  <c:v>37134</c:v>
                </c:pt>
                <c:pt idx="370">
                  <c:v>37225</c:v>
                </c:pt>
                <c:pt idx="371">
                  <c:v>37315</c:v>
                </c:pt>
                <c:pt idx="372">
                  <c:v>37407</c:v>
                </c:pt>
                <c:pt idx="373">
                  <c:v>37499</c:v>
                </c:pt>
                <c:pt idx="374">
                  <c:v>37590</c:v>
                </c:pt>
                <c:pt idx="375">
                  <c:v>37680</c:v>
                </c:pt>
                <c:pt idx="376">
                  <c:v>37772</c:v>
                </c:pt>
                <c:pt idx="377">
                  <c:v>37864</c:v>
                </c:pt>
                <c:pt idx="378">
                  <c:v>37955</c:v>
                </c:pt>
                <c:pt idx="379">
                  <c:v>38045</c:v>
                </c:pt>
                <c:pt idx="380">
                  <c:v>38138</c:v>
                </c:pt>
                <c:pt idx="381">
                  <c:v>38230</c:v>
                </c:pt>
                <c:pt idx="382">
                  <c:v>38321</c:v>
                </c:pt>
                <c:pt idx="383">
                  <c:v>38411</c:v>
                </c:pt>
                <c:pt idx="384">
                  <c:v>38503</c:v>
                </c:pt>
                <c:pt idx="385">
                  <c:v>38595</c:v>
                </c:pt>
                <c:pt idx="386">
                  <c:v>38686</c:v>
                </c:pt>
                <c:pt idx="387">
                  <c:v>38776</c:v>
                </c:pt>
                <c:pt idx="388">
                  <c:v>38868</c:v>
                </c:pt>
                <c:pt idx="389">
                  <c:v>38960</c:v>
                </c:pt>
                <c:pt idx="390">
                  <c:v>39051</c:v>
                </c:pt>
                <c:pt idx="391">
                  <c:v>39141</c:v>
                </c:pt>
                <c:pt idx="392">
                  <c:v>39233</c:v>
                </c:pt>
                <c:pt idx="393">
                  <c:v>39325</c:v>
                </c:pt>
                <c:pt idx="394">
                  <c:v>39416</c:v>
                </c:pt>
                <c:pt idx="395">
                  <c:v>39506</c:v>
                </c:pt>
                <c:pt idx="396">
                  <c:v>39599</c:v>
                </c:pt>
                <c:pt idx="397">
                  <c:v>39691</c:v>
                </c:pt>
                <c:pt idx="398">
                  <c:v>39782</c:v>
                </c:pt>
                <c:pt idx="399">
                  <c:v>39872</c:v>
                </c:pt>
                <c:pt idx="400">
                  <c:v>39964</c:v>
                </c:pt>
                <c:pt idx="401">
                  <c:v>40056</c:v>
                </c:pt>
              </c:numCache>
            </c:numRef>
          </c:cat>
          <c:val>
            <c:numRef>
              <c:f>'LR Comparison'!$C$3:$C$404</c:f>
              <c:numCache>
                <c:formatCode>0.000</c:formatCode>
                <c:ptCount val="402"/>
                <c:pt idx="0">
                  <c:v>0.5</c:v>
                </c:pt>
                <c:pt idx="1">
                  <c:v>0.25102737683241766</c:v>
                </c:pt>
                <c:pt idx="2">
                  <c:v>0.25758396669909145</c:v>
                </c:pt>
                <c:pt idx="3">
                  <c:v>0.25758396669909145</c:v>
                </c:pt>
                <c:pt idx="4">
                  <c:v>0.27165544082683929</c:v>
                </c:pt>
                <c:pt idx="5">
                  <c:v>0.161</c:v>
                </c:pt>
                <c:pt idx="6">
                  <c:v>0.30166359923390151</c:v>
                </c:pt>
                <c:pt idx="7">
                  <c:v>0.67745204464186126</c:v>
                </c:pt>
                <c:pt idx="8">
                  <c:v>1.2026924382437634</c:v>
                </c:pt>
                <c:pt idx="9">
                  <c:v>0.60381745581703272</c:v>
                </c:pt>
                <c:pt idx="10">
                  <c:v>0.60381745581703272</c:v>
                </c:pt>
                <c:pt idx="11">
                  <c:v>0.60381745581703272</c:v>
                </c:pt>
                <c:pt idx="12">
                  <c:v>0.16100000000000003</c:v>
                </c:pt>
                <c:pt idx="13">
                  <c:v>0.161</c:v>
                </c:pt>
                <c:pt idx="14">
                  <c:v>0.26604238963772697</c:v>
                </c:pt>
                <c:pt idx="15">
                  <c:v>0.26604238963772697</c:v>
                </c:pt>
                <c:pt idx="16">
                  <c:v>0.42431154688040268</c:v>
                </c:pt>
                <c:pt idx="17">
                  <c:v>0.21302762914618575</c:v>
                </c:pt>
                <c:pt idx="18">
                  <c:v>0.17134056367842634</c:v>
                </c:pt>
                <c:pt idx="19">
                  <c:v>0.35610101197967969</c:v>
                </c:pt>
                <c:pt idx="20">
                  <c:v>0.35610101197967969</c:v>
                </c:pt>
                <c:pt idx="21">
                  <c:v>0.17878220584925661</c:v>
                </c:pt>
                <c:pt idx="22">
                  <c:v>0.32737016395306018</c:v>
                </c:pt>
                <c:pt idx="23">
                  <c:v>0.32737016395306018</c:v>
                </c:pt>
                <c:pt idx="24">
                  <c:v>0.32737016395306018</c:v>
                </c:pt>
                <c:pt idx="25">
                  <c:v>0.16435774702067035</c:v>
                </c:pt>
                <c:pt idx="26">
                  <c:v>0.16100000000000003</c:v>
                </c:pt>
                <c:pt idx="27">
                  <c:v>0.161</c:v>
                </c:pt>
                <c:pt idx="28">
                  <c:v>0.161</c:v>
                </c:pt>
                <c:pt idx="29">
                  <c:v>0.161</c:v>
                </c:pt>
                <c:pt idx="30">
                  <c:v>0.38225001686884463</c:v>
                </c:pt>
                <c:pt idx="31">
                  <c:v>0.79727770949007182</c:v>
                </c:pt>
                <c:pt idx="32">
                  <c:v>1.1610468602947994</c:v>
                </c:pt>
                <c:pt idx="33">
                  <c:v>0.582909095438636</c:v>
                </c:pt>
                <c:pt idx="34">
                  <c:v>0.5869680275382676</c:v>
                </c:pt>
                <c:pt idx="35">
                  <c:v>0.5869680275382676</c:v>
                </c:pt>
                <c:pt idx="36">
                  <c:v>0.5869680275382676</c:v>
                </c:pt>
                <c:pt idx="37">
                  <c:v>0.29469008847485917</c:v>
                </c:pt>
                <c:pt idx="38">
                  <c:v>0.19249642327607028</c:v>
                </c:pt>
                <c:pt idx="39">
                  <c:v>0.19249642327607028</c:v>
                </c:pt>
                <c:pt idx="40">
                  <c:v>0.19249642327607028</c:v>
                </c:pt>
                <c:pt idx="41">
                  <c:v>0.161</c:v>
                </c:pt>
                <c:pt idx="42">
                  <c:v>0.161</c:v>
                </c:pt>
                <c:pt idx="43">
                  <c:v>0.161</c:v>
                </c:pt>
                <c:pt idx="44">
                  <c:v>0.161</c:v>
                </c:pt>
                <c:pt idx="45">
                  <c:v>0.161</c:v>
                </c:pt>
                <c:pt idx="46">
                  <c:v>0.41153914589081375</c:v>
                </c:pt>
                <c:pt idx="47">
                  <c:v>0.41153914589081375</c:v>
                </c:pt>
                <c:pt idx="48">
                  <c:v>0.78975585867210796</c:v>
                </c:pt>
                <c:pt idx="49">
                  <c:v>0.39650068308098557</c:v>
                </c:pt>
                <c:pt idx="50">
                  <c:v>0.42867695833498054</c:v>
                </c:pt>
                <c:pt idx="51">
                  <c:v>1.0375370344546584</c:v>
                </c:pt>
                <c:pt idx="52">
                  <c:v>1.5166749294234294</c:v>
                </c:pt>
                <c:pt idx="53">
                  <c:v>0.76145385808131127</c:v>
                </c:pt>
                <c:pt idx="54">
                  <c:v>0.76145385808131127</c:v>
                </c:pt>
                <c:pt idx="55">
                  <c:v>0.76145385808131127</c:v>
                </c:pt>
                <c:pt idx="56">
                  <c:v>0.16100000000000003</c:v>
                </c:pt>
                <c:pt idx="57">
                  <c:v>0.16100000000000003</c:v>
                </c:pt>
                <c:pt idx="58">
                  <c:v>0.16100000000000003</c:v>
                </c:pt>
                <c:pt idx="59">
                  <c:v>0.16100000000000003</c:v>
                </c:pt>
                <c:pt idx="60">
                  <c:v>0.43106311135257153</c:v>
                </c:pt>
                <c:pt idx="61">
                  <c:v>0.21641728418411271</c:v>
                </c:pt>
                <c:pt idx="62">
                  <c:v>0.3274608443717103</c:v>
                </c:pt>
                <c:pt idx="63">
                  <c:v>0.3274608443717103</c:v>
                </c:pt>
                <c:pt idx="64">
                  <c:v>0.32975640514787186</c:v>
                </c:pt>
                <c:pt idx="65">
                  <c:v>0.16555577075591643</c:v>
                </c:pt>
                <c:pt idx="66">
                  <c:v>0.161</c:v>
                </c:pt>
                <c:pt idx="67">
                  <c:v>0.34541106388015741</c:v>
                </c:pt>
                <c:pt idx="68">
                  <c:v>1.0067816137391095</c:v>
                </c:pt>
                <c:pt idx="69">
                  <c:v>0.50545949508007393</c:v>
                </c:pt>
                <c:pt idx="70">
                  <c:v>0.50545949508007393</c:v>
                </c:pt>
                <c:pt idx="71">
                  <c:v>0.50545949508007393</c:v>
                </c:pt>
                <c:pt idx="72">
                  <c:v>0.50918913360974039</c:v>
                </c:pt>
                <c:pt idx="73">
                  <c:v>0.16100000000000003</c:v>
                </c:pt>
                <c:pt idx="74">
                  <c:v>0.16100000000000003</c:v>
                </c:pt>
                <c:pt idx="75">
                  <c:v>0.18414862633908424</c:v>
                </c:pt>
                <c:pt idx="76">
                  <c:v>0.58540496050112212</c:v>
                </c:pt>
                <c:pt idx="77">
                  <c:v>0.29390534323856349</c:v>
                </c:pt>
                <c:pt idx="78">
                  <c:v>0.28185427228026327</c:v>
                </c:pt>
                <c:pt idx="79">
                  <c:v>0.28185427228026327</c:v>
                </c:pt>
                <c:pt idx="80">
                  <c:v>0.16721347328972685</c:v>
                </c:pt>
                <c:pt idx="81">
                  <c:v>0.161</c:v>
                </c:pt>
                <c:pt idx="82">
                  <c:v>0.161</c:v>
                </c:pt>
                <c:pt idx="83">
                  <c:v>0.1863554626719135</c:v>
                </c:pt>
                <c:pt idx="84">
                  <c:v>0.1863554626719135</c:v>
                </c:pt>
                <c:pt idx="85">
                  <c:v>0.161</c:v>
                </c:pt>
                <c:pt idx="86">
                  <c:v>0.161</c:v>
                </c:pt>
                <c:pt idx="87">
                  <c:v>0.161</c:v>
                </c:pt>
                <c:pt idx="88">
                  <c:v>0.34521149168243614</c:v>
                </c:pt>
                <c:pt idx="89">
                  <c:v>0.17331507041889582</c:v>
                </c:pt>
                <c:pt idx="90">
                  <c:v>0.36601405185016511</c:v>
                </c:pt>
                <c:pt idx="91">
                  <c:v>0.36601405185016511</c:v>
                </c:pt>
                <c:pt idx="92">
                  <c:v>0.51143170250048564</c:v>
                </c:pt>
                <c:pt idx="93">
                  <c:v>0.25676671741526863</c:v>
                </c:pt>
                <c:pt idx="94">
                  <c:v>0.22031982855101673</c:v>
                </c:pt>
                <c:pt idx="95">
                  <c:v>0.22031982855101673</c:v>
                </c:pt>
                <c:pt idx="96">
                  <c:v>0.22031982855101673</c:v>
                </c:pt>
                <c:pt idx="97">
                  <c:v>0.161</c:v>
                </c:pt>
                <c:pt idx="98">
                  <c:v>0.31796654728471802</c:v>
                </c:pt>
                <c:pt idx="99">
                  <c:v>0.31796654728471802</c:v>
                </c:pt>
                <c:pt idx="100">
                  <c:v>0.32151437115390114</c:v>
                </c:pt>
                <c:pt idx="101">
                  <c:v>0.16141781840937625</c:v>
                </c:pt>
                <c:pt idx="102">
                  <c:v>0.38120446174093431</c:v>
                </c:pt>
                <c:pt idx="103">
                  <c:v>0.38120446174093431</c:v>
                </c:pt>
                <c:pt idx="104">
                  <c:v>0.38120446174093431</c:v>
                </c:pt>
                <c:pt idx="105">
                  <c:v>0.19138551213528088</c:v>
                </c:pt>
                <c:pt idx="106">
                  <c:v>0.161</c:v>
                </c:pt>
                <c:pt idx="107">
                  <c:v>0.161</c:v>
                </c:pt>
                <c:pt idx="108">
                  <c:v>0.161</c:v>
                </c:pt>
                <c:pt idx="109">
                  <c:v>0.26483081534003849</c:v>
                </c:pt>
                <c:pt idx="110">
                  <c:v>0.161</c:v>
                </c:pt>
                <c:pt idx="111">
                  <c:v>0.161</c:v>
                </c:pt>
                <c:pt idx="112">
                  <c:v>0.49293522776792825</c:v>
                </c:pt>
                <c:pt idx="113">
                  <c:v>0.24748047434974668</c:v>
                </c:pt>
                <c:pt idx="114">
                  <c:v>0.16202199081108731</c:v>
                </c:pt>
                <c:pt idx="115">
                  <c:v>0.348255752107693</c:v>
                </c:pt>
                <c:pt idx="116">
                  <c:v>0.16100000000000003</c:v>
                </c:pt>
                <c:pt idx="117">
                  <c:v>0.16100000000000003</c:v>
                </c:pt>
                <c:pt idx="118">
                  <c:v>0.16100000000000003</c:v>
                </c:pt>
                <c:pt idx="119">
                  <c:v>0.18514896016595542</c:v>
                </c:pt>
                <c:pt idx="120">
                  <c:v>0.18514896016595542</c:v>
                </c:pt>
                <c:pt idx="121">
                  <c:v>0.161</c:v>
                </c:pt>
                <c:pt idx="122">
                  <c:v>0.34178110041299542</c:v>
                </c:pt>
                <c:pt idx="123">
                  <c:v>0.34178110041299542</c:v>
                </c:pt>
                <c:pt idx="124">
                  <c:v>0.34178110041299542</c:v>
                </c:pt>
                <c:pt idx="125">
                  <c:v>0.17159282617514271</c:v>
                </c:pt>
                <c:pt idx="126">
                  <c:v>0.161</c:v>
                </c:pt>
                <c:pt idx="127">
                  <c:v>0.18737292444120698</c:v>
                </c:pt>
                <c:pt idx="128">
                  <c:v>0.49924960873488461</c:v>
                </c:pt>
                <c:pt idx="129">
                  <c:v>0.2506506393306579</c:v>
                </c:pt>
                <c:pt idx="130">
                  <c:v>0.161</c:v>
                </c:pt>
                <c:pt idx="131">
                  <c:v>0.34840191122653386</c:v>
                </c:pt>
                <c:pt idx="132">
                  <c:v>0.17047933599666998</c:v>
                </c:pt>
                <c:pt idx="133">
                  <c:v>0.27341261862115651</c:v>
                </c:pt>
                <c:pt idx="134">
                  <c:v>0.24036371494317024</c:v>
                </c:pt>
                <c:pt idx="135">
                  <c:v>0.24036371494317024</c:v>
                </c:pt>
                <c:pt idx="136">
                  <c:v>0.2443750357506396</c:v>
                </c:pt>
                <c:pt idx="137">
                  <c:v>0.161</c:v>
                </c:pt>
                <c:pt idx="138">
                  <c:v>0.28095292456412557</c:v>
                </c:pt>
                <c:pt idx="139">
                  <c:v>0.28095292456412557</c:v>
                </c:pt>
                <c:pt idx="140">
                  <c:v>0.161</c:v>
                </c:pt>
                <c:pt idx="141">
                  <c:v>0.161</c:v>
                </c:pt>
                <c:pt idx="142">
                  <c:v>0.161</c:v>
                </c:pt>
                <c:pt idx="143">
                  <c:v>0.161</c:v>
                </c:pt>
                <c:pt idx="144">
                  <c:v>0.161</c:v>
                </c:pt>
                <c:pt idx="145">
                  <c:v>0.161</c:v>
                </c:pt>
                <c:pt idx="146">
                  <c:v>0.161</c:v>
                </c:pt>
                <c:pt idx="147">
                  <c:v>0.161</c:v>
                </c:pt>
                <c:pt idx="148">
                  <c:v>0.161</c:v>
                </c:pt>
                <c:pt idx="149">
                  <c:v>0.161</c:v>
                </c:pt>
                <c:pt idx="150">
                  <c:v>0.161</c:v>
                </c:pt>
                <c:pt idx="151">
                  <c:v>0.161</c:v>
                </c:pt>
                <c:pt idx="152">
                  <c:v>0.56845965737200588</c:v>
                </c:pt>
                <c:pt idx="153">
                  <c:v>0.28539787325029903</c:v>
                </c:pt>
                <c:pt idx="154">
                  <c:v>0.36769816944023004</c:v>
                </c:pt>
                <c:pt idx="155">
                  <c:v>0.36769816944023004</c:v>
                </c:pt>
                <c:pt idx="156">
                  <c:v>0.603640970125493</c:v>
                </c:pt>
                <c:pt idx="157">
                  <c:v>0.30306081855835659</c:v>
                </c:pt>
                <c:pt idx="158">
                  <c:v>0.38828732201802141</c:v>
                </c:pt>
                <c:pt idx="159">
                  <c:v>0.38828732201802141</c:v>
                </c:pt>
                <c:pt idx="160">
                  <c:v>0.55904216982289268</c:v>
                </c:pt>
                <c:pt idx="161">
                  <c:v>0.28066977885868738</c:v>
                </c:pt>
                <c:pt idx="162">
                  <c:v>0.34431473019254027</c:v>
                </c:pt>
                <c:pt idx="163">
                  <c:v>0.34431473019254027</c:v>
                </c:pt>
                <c:pt idx="164">
                  <c:v>1.1164070297199327</c:v>
                </c:pt>
                <c:pt idx="165">
                  <c:v>0.56049745629573111</c:v>
                </c:pt>
                <c:pt idx="166">
                  <c:v>0.60945097881081289</c:v>
                </c:pt>
                <c:pt idx="167">
                  <c:v>1.3687707795691331</c:v>
                </c:pt>
                <c:pt idx="168">
                  <c:v>2.0051812977355756</c:v>
                </c:pt>
                <c:pt idx="169">
                  <c:v>1.0067108024879692</c:v>
                </c:pt>
                <c:pt idx="170">
                  <c:v>1.0067108024879692</c:v>
                </c:pt>
                <c:pt idx="171">
                  <c:v>0.16099999999999995</c:v>
                </c:pt>
                <c:pt idx="172">
                  <c:v>0.16099999999999995</c:v>
                </c:pt>
                <c:pt idx="173">
                  <c:v>0.161</c:v>
                </c:pt>
                <c:pt idx="174">
                  <c:v>0.30459075539867286</c:v>
                </c:pt>
                <c:pt idx="175">
                  <c:v>0.30459075539867286</c:v>
                </c:pt>
                <c:pt idx="176">
                  <c:v>0.55198626678008034</c:v>
                </c:pt>
                <c:pt idx="177">
                  <c:v>0.27712732919464528</c:v>
                </c:pt>
                <c:pt idx="178">
                  <c:v>0.2535881808563008</c:v>
                </c:pt>
                <c:pt idx="179">
                  <c:v>0.2535881808563008</c:v>
                </c:pt>
                <c:pt idx="180">
                  <c:v>0.29356395651691947</c:v>
                </c:pt>
                <c:pt idx="181">
                  <c:v>0.161</c:v>
                </c:pt>
                <c:pt idx="182">
                  <c:v>0.41306840065692974</c:v>
                </c:pt>
                <c:pt idx="183">
                  <c:v>0.83831364311460321</c:v>
                </c:pt>
                <c:pt idx="184">
                  <c:v>1.2768299230589908</c:v>
                </c:pt>
                <c:pt idx="185">
                  <c:v>0.64103853249327214</c:v>
                </c:pt>
                <c:pt idx="186">
                  <c:v>0.64665916426994297</c:v>
                </c:pt>
                <c:pt idx="187">
                  <c:v>1.2186850280596842</c:v>
                </c:pt>
                <c:pt idx="188">
                  <c:v>2.5300000000000002</c:v>
                </c:pt>
                <c:pt idx="189">
                  <c:v>1.2701985267720333</c:v>
                </c:pt>
                <c:pt idx="190">
                  <c:v>1.2825433037320328</c:v>
                </c:pt>
                <c:pt idx="191">
                  <c:v>1.9067453482970982</c:v>
                </c:pt>
                <c:pt idx="192">
                  <c:v>1.9086976113273892</c:v>
                </c:pt>
                <c:pt idx="193">
                  <c:v>0.95827070907563183</c:v>
                </c:pt>
                <c:pt idx="194">
                  <c:v>0.95827070907563183</c:v>
                </c:pt>
                <c:pt idx="195">
                  <c:v>0.95827070907563183</c:v>
                </c:pt>
                <c:pt idx="196">
                  <c:v>0.16099999999999995</c:v>
                </c:pt>
                <c:pt idx="197">
                  <c:v>0.161</c:v>
                </c:pt>
                <c:pt idx="198">
                  <c:v>0.1624602608955997</c:v>
                </c:pt>
                <c:pt idx="199">
                  <c:v>0.34792425526610149</c:v>
                </c:pt>
                <c:pt idx="200">
                  <c:v>1.3519584184767004</c:v>
                </c:pt>
                <c:pt idx="201">
                  <c:v>0.67875715075342014</c:v>
                </c:pt>
                <c:pt idx="202">
                  <c:v>0.67875715075342014</c:v>
                </c:pt>
                <c:pt idx="203">
                  <c:v>1.0538085760330593</c:v>
                </c:pt>
                <c:pt idx="204">
                  <c:v>1.0538085760330593</c:v>
                </c:pt>
                <c:pt idx="205">
                  <c:v>0.16099999999999995</c:v>
                </c:pt>
                <c:pt idx="206">
                  <c:v>0.16100000000000003</c:v>
                </c:pt>
                <c:pt idx="207">
                  <c:v>0.16100000000000003</c:v>
                </c:pt>
                <c:pt idx="208">
                  <c:v>0.50053068553031987</c:v>
                </c:pt>
                <c:pt idx="209">
                  <c:v>0.25129381002561585</c:v>
                </c:pt>
                <c:pt idx="210">
                  <c:v>0.21520186356218204</c:v>
                </c:pt>
                <c:pt idx="211">
                  <c:v>0.21520186356218204</c:v>
                </c:pt>
                <c:pt idx="212">
                  <c:v>0.68749375895086284</c:v>
                </c:pt>
                <c:pt idx="213">
                  <c:v>0.34515950979618709</c:v>
                </c:pt>
                <c:pt idx="214">
                  <c:v>0.41715730949041324</c:v>
                </c:pt>
                <c:pt idx="215">
                  <c:v>0.88394684196505924</c:v>
                </c:pt>
                <c:pt idx="216">
                  <c:v>1.7908775627380649</c:v>
                </c:pt>
                <c:pt idx="217">
                  <c:v>0.89911859360433977</c:v>
                </c:pt>
                <c:pt idx="218">
                  <c:v>0.89911859360433977</c:v>
                </c:pt>
                <c:pt idx="219">
                  <c:v>1.3479195500153007</c:v>
                </c:pt>
                <c:pt idx="220">
                  <c:v>1.3479195500153007</c:v>
                </c:pt>
                <c:pt idx="221">
                  <c:v>0.67672941764294725</c:v>
                </c:pt>
                <c:pt idx="222">
                  <c:v>0.67672941764294725</c:v>
                </c:pt>
                <c:pt idx="223">
                  <c:v>0.67672941764294725</c:v>
                </c:pt>
                <c:pt idx="224">
                  <c:v>0.67672941764294725</c:v>
                </c:pt>
                <c:pt idx="225">
                  <c:v>0.3397552210724773</c:v>
                </c:pt>
                <c:pt idx="226">
                  <c:v>0.16100000000000003</c:v>
                </c:pt>
                <c:pt idx="227">
                  <c:v>0.161</c:v>
                </c:pt>
                <c:pt idx="228">
                  <c:v>0.161</c:v>
                </c:pt>
                <c:pt idx="229">
                  <c:v>0.161</c:v>
                </c:pt>
                <c:pt idx="230">
                  <c:v>0.34741095623187701</c:v>
                </c:pt>
                <c:pt idx="231">
                  <c:v>0.34741095623187701</c:v>
                </c:pt>
                <c:pt idx="232">
                  <c:v>0.45518354539086642</c:v>
                </c:pt>
                <c:pt idx="233">
                  <c:v>0.22852706275349782</c:v>
                </c:pt>
                <c:pt idx="234">
                  <c:v>0.161</c:v>
                </c:pt>
                <c:pt idx="235">
                  <c:v>0.34561459800948546</c:v>
                </c:pt>
                <c:pt idx="236">
                  <c:v>0.6538065389918728</c:v>
                </c:pt>
                <c:pt idx="237">
                  <c:v>0.32824668087802322</c:v>
                </c:pt>
                <c:pt idx="238">
                  <c:v>0.29479630650569288</c:v>
                </c:pt>
                <c:pt idx="239">
                  <c:v>0.29479630650569288</c:v>
                </c:pt>
                <c:pt idx="240">
                  <c:v>0.29479630650569288</c:v>
                </c:pt>
                <c:pt idx="241">
                  <c:v>0.161</c:v>
                </c:pt>
                <c:pt idx="242">
                  <c:v>0.36636647841337255</c:v>
                </c:pt>
                <c:pt idx="243">
                  <c:v>0.36636647841337255</c:v>
                </c:pt>
                <c:pt idx="244">
                  <c:v>0.36636647841337255</c:v>
                </c:pt>
                <c:pt idx="245">
                  <c:v>0.18393603207087894</c:v>
                </c:pt>
                <c:pt idx="246">
                  <c:v>0.161</c:v>
                </c:pt>
                <c:pt idx="247">
                  <c:v>1.0456308970578536</c:v>
                </c:pt>
                <c:pt idx="248">
                  <c:v>1.790888047455486</c:v>
                </c:pt>
                <c:pt idx="249">
                  <c:v>0.89912385750656176</c:v>
                </c:pt>
                <c:pt idx="250">
                  <c:v>0.89912385750656176</c:v>
                </c:pt>
                <c:pt idx="251">
                  <c:v>1.3642869919292306</c:v>
                </c:pt>
                <c:pt idx="252">
                  <c:v>1.3714546728188333</c:v>
                </c:pt>
                <c:pt idx="253">
                  <c:v>0.68854533792454653</c:v>
                </c:pt>
                <c:pt idx="254">
                  <c:v>0.69135957573113327</c:v>
                </c:pt>
                <c:pt idx="255">
                  <c:v>0.69135957573113327</c:v>
                </c:pt>
                <c:pt idx="256">
                  <c:v>0.69135957573113327</c:v>
                </c:pt>
                <c:pt idx="257">
                  <c:v>0.34710036148751916</c:v>
                </c:pt>
                <c:pt idx="258">
                  <c:v>0.43465940068450443</c:v>
                </c:pt>
                <c:pt idx="259">
                  <c:v>1.0762194379788632</c:v>
                </c:pt>
                <c:pt idx="260">
                  <c:v>2.5300000000000002</c:v>
                </c:pt>
                <c:pt idx="261">
                  <c:v>1.2701985267720333</c:v>
                </c:pt>
                <c:pt idx="262">
                  <c:v>1.2701985267720333</c:v>
                </c:pt>
                <c:pt idx="263">
                  <c:v>1.8737013181186413</c:v>
                </c:pt>
                <c:pt idx="264">
                  <c:v>1.8737013181186413</c:v>
                </c:pt>
                <c:pt idx="265">
                  <c:v>0.9407006537095316</c:v>
                </c:pt>
                <c:pt idx="266">
                  <c:v>0.9407006537095316</c:v>
                </c:pt>
                <c:pt idx="267">
                  <c:v>1.5566316070790198</c:v>
                </c:pt>
                <c:pt idx="268">
                  <c:v>2.5300000000000002</c:v>
                </c:pt>
                <c:pt idx="269">
                  <c:v>1.2701985267720333</c:v>
                </c:pt>
                <c:pt idx="270">
                  <c:v>1.2701985267720333</c:v>
                </c:pt>
                <c:pt idx="271">
                  <c:v>1.8258441125288534</c:v>
                </c:pt>
                <c:pt idx="272">
                  <c:v>2.5300000000000002</c:v>
                </c:pt>
                <c:pt idx="273">
                  <c:v>1.2701985267720333</c:v>
                </c:pt>
                <c:pt idx="274">
                  <c:v>1.2701985267720333</c:v>
                </c:pt>
                <c:pt idx="275">
                  <c:v>1.2701985267720333</c:v>
                </c:pt>
                <c:pt idx="276">
                  <c:v>1.2701985267720333</c:v>
                </c:pt>
                <c:pt idx="277">
                  <c:v>0.16099999999999995</c:v>
                </c:pt>
                <c:pt idx="278">
                  <c:v>0.36536333921785191</c:v>
                </c:pt>
                <c:pt idx="279">
                  <c:v>0.36536333921785191</c:v>
                </c:pt>
                <c:pt idx="280">
                  <c:v>0.36536333921785191</c:v>
                </c:pt>
                <c:pt idx="281">
                  <c:v>0.18343240126918028</c:v>
                </c:pt>
                <c:pt idx="282">
                  <c:v>0.161</c:v>
                </c:pt>
                <c:pt idx="283">
                  <c:v>0.161</c:v>
                </c:pt>
                <c:pt idx="284">
                  <c:v>0.161</c:v>
                </c:pt>
                <c:pt idx="285">
                  <c:v>0.161</c:v>
                </c:pt>
                <c:pt idx="286">
                  <c:v>0.161</c:v>
                </c:pt>
                <c:pt idx="287">
                  <c:v>0.18570449305220152</c:v>
                </c:pt>
                <c:pt idx="288">
                  <c:v>0.16832325342417667</c:v>
                </c:pt>
                <c:pt idx="289">
                  <c:v>0.27215295174662441</c:v>
                </c:pt>
                <c:pt idx="290">
                  <c:v>0.31721860916458194</c:v>
                </c:pt>
                <c:pt idx="291">
                  <c:v>0.31721860916458194</c:v>
                </c:pt>
                <c:pt idx="292">
                  <c:v>0.32056844307592647</c:v>
                </c:pt>
                <c:pt idx="293">
                  <c:v>0.161</c:v>
                </c:pt>
                <c:pt idx="294">
                  <c:v>0.161</c:v>
                </c:pt>
                <c:pt idx="295">
                  <c:v>0.18551500760892803</c:v>
                </c:pt>
                <c:pt idx="296">
                  <c:v>0.87139595426356342</c:v>
                </c:pt>
                <c:pt idx="297">
                  <c:v>0.43748848116232741</c:v>
                </c:pt>
                <c:pt idx="298">
                  <c:v>0.48489329535457754</c:v>
                </c:pt>
                <c:pt idx="299">
                  <c:v>1.1883563189022621</c:v>
                </c:pt>
                <c:pt idx="300">
                  <c:v>1.7365204422121083</c:v>
                </c:pt>
                <c:pt idx="301">
                  <c:v>0.87182834284875088</c:v>
                </c:pt>
                <c:pt idx="302">
                  <c:v>0.55386567046467161</c:v>
                </c:pt>
                <c:pt idx="303">
                  <c:v>0.55386567046467161</c:v>
                </c:pt>
                <c:pt idx="304">
                  <c:v>0.16100000000000003</c:v>
                </c:pt>
                <c:pt idx="305">
                  <c:v>0.161</c:v>
                </c:pt>
                <c:pt idx="306">
                  <c:v>0.161</c:v>
                </c:pt>
                <c:pt idx="307">
                  <c:v>0.161</c:v>
                </c:pt>
                <c:pt idx="308">
                  <c:v>0.34500000000000003</c:v>
                </c:pt>
                <c:pt idx="309">
                  <c:v>0.17320889001436818</c:v>
                </c:pt>
                <c:pt idx="310">
                  <c:v>0.33508862018860808</c:v>
                </c:pt>
                <c:pt idx="311">
                  <c:v>0.33508862018860808</c:v>
                </c:pt>
                <c:pt idx="312">
                  <c:v>0.33508862018860808</c:v>
                </c:pt>
                <c:pt idx="313">
                  <c:v>0.1682328346646812</c:v>
                </c:pt>
                <c:pt idx="314">
                  <c:v>0.161</c:v>
                </c:pt>
                <c:pt idx="315">
                  <c:v>0.161</c:v>
                </c:pt>
                <c:pt idx="316">
                  <c:v>1.1475953485354469</c:v>
                </c:pt>
                <c:pt idx="317">
                  <c:v>0.57615570001587457</c:v>
                </c:pt>
                <c:pt idx="318">
                  <c:v>0.57615570001587457</c:v>
                </c:pt>
                <c:pt idx="319">
                  <c:v>0.96814103766087822</c:v>
                </c:pt>
                <c:pt idx="320">
                  <c:v>1.4057466468323772</c:v>
                </c:pt>
                <c:pt idx="321">
                  <c:v>0.70576178649059729</c:v>
                </c:pt>
                <c:pt idx="322">
                  <c:v>0.70576178649059729</c:v>
                </c:pt>
                <c:pt idx="323">
                  <c:v>0.70576178649059729</c:v>
                </c:pt>
                <c:pt idx="324">
                  <c:v>1.490057113370969</c:v>
                </c:pt>
                <c:pt idx="325">
                  <c:v>0.74809025699999732</c:v>
                </c:pt>
                <c:pt idx="326">
                  <c:v>0.74809025699999732</c:v>
                </c:pt>
                <c:pt idx="327">
                  <c:v>1.1238755745431603</c:v>
                </c:pt>
                <c:pt idx="328">
                  <c:v>1.1238755745431603</c:v>
                </c:pt>
                <c:pt idx="329">
                  <c:v>0.5642470747271916</c:v>
                </c:pt>
                <c:pt idx="330">
                  <c:v>0.5642470747271916</c:v>
                </c:pt>
                <c:pt idx="331">
                  <c:v>0.5642470747271916</c:v>
                </c:pt>
                <c:pt idx="332">
                  <c:v>0.5642470747271916</c:v>
                </c:pt>
                <c:pt idx="333">
                  <c:v>0.28328292610826411</c:v>
                </c:pt>
                <c:pt idx="334">
                  <c:v>0.19074770425545853</c:v>
                </c:pt>
                <c:pt idx="335">
                  <c:v>0.19074770425545853</c:v>
                </c:pt>
                <c:pt idx="336">
                  <c:v>0.19074770425545853</c:v>
                </c:pt>
                <c:pt idx="337">
                  <c:v>0.161</c:v>
                </c:pt>
                <c:pt idx="338">
                  <c:v>0.42527241148074763</c:v>
                </c:pt>
                <c:pt idx="339">
                  <c:v>0.42527241148074763</c:v>
                </c:pt>
                <c:pt idx="340">
                  <c:v>0.43100143551431275</c:v>
                </c:pt>
                <c:pt idx="341">
                  <c:v>0.21638631953632867</c:v>
                </c:pt>
                <c:pt idx="342">
                  <c:v>0.161</c:v>
                </c:pt>
                <c:pt idx="343">
                  <c:v>0.34702532191862168</c:v>
                </c:pt>
                <c:pt idx="344">
                  <c:v>0.67944151356550642</c:v>
                </c:pt>
                <c:pt idx="345">
                  <c:v>0.34111684172279311</c:v>
                </c:pt>
                <c:pt idx="346">
                  <c:v>0.39843990674714558</c:v>
                </c:pt>
                <c:pt idx="347">
                  <c:v>0.39843990674714558</c:v>
                </c:pt>
                <c:pt idx="348">
                  <c:v>1.1071339061080738</c:v>
                </c:pt>
                <c:pt idx="349">
                  <c:v>0.5558418405050759</c:v>
                </c:pt>
                <c:pt idx="350">
                  <c:v>0.57154422070406585</c:v>
                </c:pt>
                <c:pt idx="351">
                  <c:v>0.9999447904794071</c:v>
                </c:pt>
                <c:pt idx="352">
                  <c:v>1.1130771809465378</c:v>
                </c:pt>
                <c:pt idx="353">
                  <c:v>0.55882568989006332</c:v>
                </c:pt>
                <c:pt idx="354">
                  <c:v>0.55882568989006332</c:v>
                </c:pt>
                <c:pt idx="355">
                  <c:v>0.55882568989006332</c:v>
                </c:pt>
                <c:pt idx="356">
                  <c:v>0.84614786922928464</c:v>
                </c:pt>
                <c:pt idx="357">
                  <c:v>0.42481256004993373</c:v>
                </c:pt>
                <c:pt idx="358">
                  <c:v>0.44559362828855703</c:v>
                </c:pt>
                <c:pt idx="359">
                  <c:v>0.98761062542957589</c:v>
                </c:pt>
                <c:pt idx="360">
                  <c:v>1.444933092389719</c:v>
                </c:pt>
                <c:pt idx="361">
                  <c:v>0.72543552776188902</c:v>
                </c:pt>
                <c:pt idx="362">
                  <c:v>0.72543552776188902</c:v>
                </c:pt>
                <c:pt idx="363">
                  <c:v>1.1120431714991452</c:v>
                </c:pt>
                <c:pt idx="364">
                  <c:v>1.835357702095032</c:v>
                </c:pt>
                <c:pt idx="365">
                  <c:v>0.92145005901217947</c:v>
                </c:pt>
                <c:pt idx="366">
                  <c:v>0.92145005901217947</c:v>
                </c:pt>
                <c:pt idx="367">
                  <c:v>1.3374168660345593</c:v>
                </c:pt>
                <c:pt idx="368">
                  <c:v>1.3374168660345593</c:v>
                </c:pt>
                <c:pt idx="369">
                  <c:v>0.67145649522417661</c:v>
                </c:pt>
                <c:pt idx="370">
                  <c:v>0.67145649522417661</c:v>
                </c:pt>
                <c:pt idx="371">
                  <c:v>0.67145649522417661</c:v>
                </c:pt>
                <c:pt idx="372">
                  <c:v>0.67145649522417661</c:v>
                </c:pt>
                <c:pt idx="373">
                  <c:v>0.33710792530642769</c:v>
                </c:pt>
                <c:pt idx="374">
                  <c:v>0.16100000000000003</c:v>
                </c:pt>
                <c:pt idx="375">
                  <c:v>0.161</c:v>
                </c:pt>
                <c:pt idx="376">
                  <c:v>0.161</c:v>
                </c:pt>
                <c:pt idx="377">
                  <c:v>0.161</c:v>
                </c:pt>
                <c:pt idx="378">
                  <c:v>0.161</c:v>
                </c:pt>
                <c:pt idx="379">
                  <c:v>0.34740327537035137</c:v>
                </c:pt>
                <c:pt idx="380">
                  <c:v>0.74065325450947184</c:v>
                </c:pt>
                <c:pt idx="381">
                  <c:v>0.37184848724381148</c:v>
                </c:pt>
                <c:pt idx="382">
                  <c:v>0.37184848724381148</c:v>
                </c:pt>
                <c:pt idx="383">
                  <c:v>0.37184848724381148</c:v>
                </c:pt>
                <c:pt idx="384">
                  <c:v>0.37184848724381148</c:v>
                </c:pt>
                <c:pt idx="385">
                  <c:v>0.16100000000000003</c:v>
                </c:pt>
                <c:pt idx="386">
                  <c:v>0.161</c:v>
                </c:pt>
                <c:pt idx="387">
                  <c:v>0.161</c:v>
                </c:pt>
                <c:pt idx="388">
                  <c:v>0.161</c:v>
                </c:pt>
                <c:pt idx="389">
                  <c:v>0.161</c:v>
                </c:pt>
                <c:pt idx="390">
                  <c:v>0.161</c:v>
                </c:pt>
                <c:pt idx="391">
                  <c:v>0.161</c:v>
                </c:pt>
                <c:pt idx="392">
                  <c:v>0.161</c:v>
                </c:pt>
                <c:pt idx="393">
                  <c:v>0.161</c:v>
                </c:pt>
                <c:pt idx="394">
                  <c:v>0.161</c:v>
                </c:pt>
                <c:pt idx="395">
                  <c:v>0.78626094396229351</c:v>
                </c:pt>
                <c:pt idx="396">
                  <c:v>1.7251125472615594</c:v>
                </c:pt>
                <c:pt idx="397">
                  <c:v>0.86610095495951867</c:v>
                </c:pt>
                <c:pt idx="398">
                  <c:v>0.86610095495951867</c:v>
                </c:pt>
                <c:pt idx="399">
                  <c:v>1.3427331962509403</c:v>
                </c:pt>
                <c:pt idx="400">
                  <c:v>1.3427331962509403</c:v>
                </c:pt>
                <c:pt idx="401">
                  <c:v>0.67412558408136269</c:v>
                </c:pt>
              </c:numCache>
            </c:numRef>
          </c:val>
          <c:smooth val="0"/>
          <c:extLst>
            <c:ext xmlns:c16="http://schemas.microsoft.com/office/drawing/2014/chart" uri="{C3380CC4-5D6E-409C-BE32-E72D297353CC}">
              <c16:uniqueId val="{00000001-74A7-4083-9472-9AFCDD10DCD0}"/>
            </c:ext>
          </c:extLst>
        </c:ser>
        <c:dLbls>
          <c:showLegendKey val="0"/>
          <c:showVal val="0"/>
          <c:showCatName val="0"/>
          <c:showSerName val="0"/>
          <c:showPercent val="0"/>
          <c:showBubbleSize val="0"/>
        </c:dLbls>
        <c:smooth val="0"/>
        <c:axId val="328181304"/>
        <c:axId val="328181696"/>
      </c:lineChart>
      <c:dateAx>
        <c:axId val="32818130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181696"/>
        <c:crosses val="autoZero"/>
        <c:auto val="1"/>
        <c:lblOffset val="100"/>
        <c:baseTimeUnit val="months"/>
      </c:dateAx>
      <c:valAx>
        <c:axId val="328181696"/>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181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DSE/ha - 27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'LR Comparison'!$B$1:$B$2</c:f>
              <c:strCache>
                <c:ptCount val="2"/>
                <c:pt idx="0">
                  <c:v>DSE/ha</c:v>
                </c:pt>
                <c:pt idx="1">
                  <c:v>390GL</c:v>
                </c:pt>
              </c:strCache>
            </c:strRef>
          </c:tx>
          <c:spPr>
            <a:ln w="28575" cap="rnd">
              <a:solidFill>
                <a:schemeClr val="accent1"/>
              </a:solidFill>
              <a:round/>
            </a:ln>
            <a:effectLst/>
          </c:spPr>
          <c:marker>
            <c:symbol val="none"/>
          </c:marker>
          <c:cat>
            <c:numRef>
              <c:f>'LR Comparison'!$A$3:$A$405</c:f>
              <c:numCache>
                <c:formatCode>m/d/yyyy</c:formatCode>
                <c:ptCount val="403"/>
                <c:pt idx="0">
                  <c:v>3439</c:v>
                </c:pt>
                <c:pt idx="1">
                  <c:v>3531</c:v>
                </c:pt>
                <c:pt idx="2">
                  <c:v>3622</c:v>
                </c:pt>
                <c:pt idx="3">
                  <c:v>3712</c:v>
                </c:pt>
                <c:pt idx="4">
                  <c:v>3804</c:v>
                </c:pt>
                <c:pt idx="5">
                  <c:v>3896</c:v>
                </c:pt>
                <c:pt idx="6">
                  <c:v>3987</c:v>
                </c:pt>
                <c:pt idx="7">
                  <c:v>4077</c:v>
                </c:pt>
                <c:pt idx="8">
                  <c:v>4169</c:v>
                </c:pt>
                <c:pt idx="9">
                  <c:v>4261</c:v>
                </c:pt>
                <c:pt idx="10">
                  <c:v>4352</c:v>
                </c:pt>
                <c:pt idx="11">
                  <c:v>4442</c:v>
                </c:pt>
                <c:pt idx="12">
                  <c:v>4535</c:v>
                </c:pt>
                <c:pt idx="13">
                  <c:v>4627</c:v>
                </c:pt>
                <c:pt idx="14">
                  <c:v>4718</c:v>
                </c:pt>
                <c:pt idx="15">
                  <c:v>4808</c:v>
                </c:pt>
                <c:pt idx="16">
                  <c:v>4900</c:v>
                </c:pt>
                <c:pt idx="17">
                  <c:v>4992</c:v>
                </c:pt>
                <c:pt idx="18">
                  <c:v>5083</c:v>
                </c:pt>
                <c:pt idx="19">
                  <c:v>5173</c:v>
                </c:pt>
                <c:pt idx="20">
                  <c:v>5265</c:v>
                </c:pt>
                <c:pt idx="21">
                  <c:v>5357</c:v>
                </c:pt>
                <c:pt idx="22">
                  <c:v>5448</c:v>
                </c:pt>
                <c:pt idx="23">
                  <c:v>5538</c:v>
                </c:pt>
                <c:pt idx="24">
                  <c:v>5630</c:v>
                </c:pt>
                <c:pt idx="25">
                  <c:v>5722</c:v>
                </c:pt>
                <c:pt idx="26">
                  <c:v>5813</c:v>
                </c:pt>
                <c:pt idx="27">
                  <c:v>5903</c:v>
                </c:pt>
                <c:pt idx="28">
                  <c:v>5996</c:v>
                </c:pt>
                <c:pt idx="29">
                  <c:v>6088</c:v>
                </c:pt>
                <c:pt idx="30">
                  <c:v>6179</c:v>
                </c:pt>
                <c:pt idx="31">
                  <c:v>6269</c:v>
                </c:pt>
                <c:pt idx="32">
                  <c:v>6361</c:v>
                </c:pt>
                <c:pt idx="33">
                  <c:v>6453</c:v>
                </c:pt>
                <c:pt idx="34">
                  <c:v>6544</c:v>
                </c:pt>
                <c:pt idx="35">
                  <c:v>6634</c:v>
                </c:pt>
                <c:pt idx="36">
                  <c:v>6726</c:v>
                </c:pt>
                <c:pt idx="37">
                  <c:v>6818</c:v>
                </c:pt>
                <c:pt idx="38">
                  <c:v>6909</c:v>
                </c:pt>
                <c:pt idx="39">
                  <c:v>6999</c:v>
                </c:pt>
                <c:pt idx="40">
                  <c:v>7091</c:v>
                </c:pt>
                <c:pt idx="41">
                  <c:v>7183</c:v>
                </c:pt>
                <c:pt idx="42">
                  <c:v>7274</c:v>
                </c:pt>
                <c:pt idx="43">
                  <c:v>7364</c:v>
                </c:pt>
                <c:pt idx="44">
                  <c:v>7457</c:v>
                </c:pt>
                <c:pt idx="45">
                  <c:v>7549</c:v>
                </c:pt>
                <c:pt idx="46">
                  <c:v>7640</c:v>
                </c:pt>
                <c:pt idx="47">
                  <c:v>7730</c:v>
                </c:pt>
                <c:pt idx="48">
                  <c:v>7822</c:v>
                </c:pt>
                <c:pt idx="49">
                  <c:v>7914</c:v>
                </c:pt>
                <c:pt idx="50">
                  <c:v>8005</c:v>
                </c:pt>
                <c:pt idx="51">
                  <c:v>8095</c:v>
                </c:pt>
                <c:pt idx="52">
                  <c:v>8187</c:v>
                </c:pt>
                <c:pt idx="53">
                  <c:v>8279</c:v>
                </c:pt>
                <c:pt idx="54">
                  <c:v>8370</c:v>
                </c:pt>
                <c:pt idx="55">
                  <c:v>8460</c:v>
                </c:pt>
                <c:pt idx="56">
                  <c:v>8552</c:v>
                </c:pt>
                <c:pt idx="57">
                  <c:v>8644</c:v>
                </c:pt>
                <c:pt idx="58">
                  <c:v>8735</c:v>
                </c:pt>
                <c:pt idx="59">
                  <c:v>8825</c:v>
                </c:pt>
                <c:pt idx="60">
                  <c:v>8918</c:v>
                </c:pt>
                <c:pt idx="61">
                  <c:v>9010</c:v>
                </c:pt>
                <c:pt idx="62">
                  <c:v>9101</c:v>
                </c:pt>
                <c:pt idx="63">
                  <c:v>9191</c:v>
                </c:pt>
                <c:pt idx="64">
                  <c:v>9283</c:v>
                </c:pt>
                <c:pt idx="65">
                  <c:v>9375</c:v>
                </c:pt>
                <c:pt idx="66">
                  <c:v>9466</c:v>
                </c:pt>
                <c:pt idx="67">
                  <c:v>9556</c:v>
                </c:pt>
                <c:pt idx="68">
                  <c:v>9648</c:v>
                </c:pt>
                <c:pt idx="69">
                  <c:v>9740</c:v>
                </c:pt>
                <c:pt idx="70">
                  <c:v>9831</c:v>
                </c:pt>
                <c:pt idx="71">
                  <c:v>9921</c:v>
                </c:pt>
                <c:pt idx="72">
                  <c:v>10013</c:v>
                </c:pt>
                <c:pt idx="73">
                  <c:v>10105</c:v>
                </c:pt>
                <c:pt idx="74">
                  <c:v>10196</c:v>
                </c:pt>
                <c:pt idx="75">
                  <c:v>10286</c:v>
                </c:pt>
                <c:pt idx="76">
                  <c:v>10379</c:v>
                </c:pt>
                <c:pt idx="77">
                  <c:v>10471</c:v>
                </c:pt>
                <c:pt idx="78">
                  <c:v>10562</c:v>
                </c:pt>
                <c:pt idx="79">
                  <c:v>10652</c:v>
                </c:pt>
                <c:pt idx="80">
                  <c:v>10744</c:v>
                </c:pt>
                <c:pt idx="81">
                  <c:v>10836</c:v>
                </c:pt>
                <c:pt idx="82">
                  <c:v>10927</c:v>
                </c:pt>
                <c:pt idx="83">
                  <c:v>11017</c:v>
                </c:pt>
                <c:pt idx="84">
                  <c:v>11109</c:v>
                </c:pt>
                <c:pt idx="85">
                  <c:v>11201</c:v>
                </c:pt>
                <c:pt idx="86">
                  <c:v>11292</c:v>
                </c:pt>
                <c:pt idx="87">
                  <c:v>11382</c:v>
                </c:pt>
                <c:pt idx="88">
                  <c:v>11474</c:v>
                </c:pt>
                <c:pt idx="89">
                  <c:v>11566</c:v>
                </c:pt>
                <c:pt idx="90">
                  <c:v>11657</c:v>
                </c:pt>
                <c:pt idx="91">
                  <c:v>11747</c:v>
                </c:pt>
                <c:pt idx="92">
                  <c:v>11840</c:v>
                </c:pt>
                <c:pt idx="93">
                  <c:v>11932</c:v>
                </c:pt>
                <c:pt idx="94">
                  <c:v>12023</c:v>
                </c:pt>
                <c:pt idx="95">
                  <c:v>12113</c:v>
                </c:pt>
                <c:pt idx="96">
                  <c:v>12205</c:v>
                </c:pt>
                <c:pt idx="97">
                  <c:v>12297</c:v>
                </c:pt>
                <c:pt idx="98">
                  <c:v>12388</c:v>
                </c:pt>
                <c:pt idx="99">
                  <c:v>12478</c:v>
                </c:pt>
                <c:pt idx="100">
                  <c:v>12570</c:v>
                </c:pt>
                <c:pt idx="101">
                  <c:v>12662</c:v>
                </c:pt>
                <c:pt idx="102">
                  <c:v>12753</c:v>
                </c:pt>
                <c:pt idx="103">
                  <c:v>12843</c:v>
                </c:pt>
                <c:pt idx="104">
                  <c:v>12935</c:v>
                </c:pt>
                <c:pt idx="105">
                  <c:v>13027</c:v>
                </c:pt>
                <c:pt idx="106">
                  <c:v>13118</c:v>
                </c:pt>
                <c:pt idx="107">
                  <c:v>13208</c:v>
                </c:pt>
                <c:pt idx="108">
                  <c:v>13301</c:v>
                </c:pt>
                <c:pt idx="109">
                  <c:v>13393</c:v>
                </c:pt>
                <c:pt idx="110">
                  <c:v>13484</c:v>
                </c:pt>
                <c:pt idx="111">
                  <c:v>13574</c:v>
                </c:pt>
                <c:pt idx="112">
                  <c:v>13666</c:v>
                </c:pt>
                <c:pt idx="113">
                  <c:v>13758</c:v>
                </c:pt>
                <c:pt idx="114">
                  <c:v>13849</c:v>
                </c:pt>
                <c:pt idx="115">
                  <c:v>13939</c:v>
                </c:pt>
                <c:pt idx="116">
                  <c:v>14031</c:v>
                </c:pt>
                <c:pt idx="117">
                  <c:v>14123</c:v>
                </c:pt>
                <c:pt idx="118">
                  <c:v>14214</c:v>
                </c:pt>
                <c:pt idx="119">
                  <c:v>14304</c:v>
                </c:pt>
                <c:pt idx="120">
                  <c:v>14396</c:v>
                </c:pt>
                <c:pt idx="121">
                  <c:v>14488</c:v>
                </c:pt>
                <c:pt idx="122">
                  <c:v>14579</c:v>
                </c:pt>
                <c:pt idx="123">
                  <c:v>14669</c:v>
                </c:pt>
                <c:pt idx="124">
                  <c:v>14762</c:v>
                </c:pt>
                <c:pt idx="125">
                  <c:v>14854</c:v>
                </c:pt>
                <c:pt idx="126">
                  <c:v>14945</c:v>
                </c:pt>
                <c:pt idx="127">
                  <c:v>15035</c:v>
                </c:pt>
                <c:pt idx="128">
                  <c:v>15127</c:v>
                </c:pt>
                <c:pt idx="129">
                  <c:v>15219</c:v>
                </c:pt>
                <c:pt idx="130">
                  <c:v>15310</c:v>
                </c:pt>
                <c:pt idx="131">
                  <c:v>15400</c:v>
                </c:pt>
                <c:pt idx="132">
                  <c:v>15492</c:v>
                </c:pt>
                <c:pt idx="133">
                  <c:v>15584</c:v>
                </c:pt>
                <c:pt idx="134">
                  <c:v>15675</c:v>
                </c:pt>
                <c:pt idx="135">
                  <c:v>15765</c:v>
                </c:pt>
                <c:pt idx="136">
                  <c:v>15857</c:v>
                </c:pt>
                <c:pt idx="137">
                  <c:v>15949</c:v>
                </c:pt>
                <c:pt idx="138">
                  <c:v>16040</c:v>
                </c:pt>
                <c:pt idx="139">
                  <c:v>16130</c:v>
                </c:pt>
                <c:pt idx="140">
                  <c:v>16223</c:v>
                </c:pt>
                <c:pt idx="141">
                  <c:v>16315</c:v>
                </c:pt>
                <c:pt idx="142">
                  <c:v>16406</c:v>
                </c:pt>
                <c:pt idx="143">
                  <c:v>16496</c:v>
                </c:pt>
                <c:pt idx="144">
                  <c:v>16588</c:v>
                </c:pt>
                <c:pt idx="145">
                  <c:v>16680</c:v>
                </c:pt>
                <c:pt idx="146">
                  <c:v>16771</c:v>
                </c:pt>
                <c:pt idx="147">
                  <c:v>16861</c:v>
                </c:pt>
                <c:pt idx="148">
                  <c:v>16953</c:v>
                </c:pt>
                <c:pt idx="149">
                  <c:v>17045</c:v>
                </c:pt>
                <c:pt idx="150">
                  <c:v>17136</c:v>
                </c:pt>
                <c:pt idx="151">
                  <c:v>17226</c:v>
                </c:pt>
                <c:pt idx="152">
                  <c:v>17318</c:v>
                </c:pt>
                <c:pt idx="153">
                  <c:v>17410</c:v>
                </c:pt>
                <c:pt idx="154">
                  <c:v>17501</c:v>
                </c:pt>
                <c:pt idx="155">
                  <c:v>17591</c:v>
                </c:pt>
                <c:pt idx="156">
                  <c:v>17684</c:v>
                </c:pt>
                <c:pt idx="157">
                  <c:v>17776</c:v>
                </c:pt>
                <c:pt idx="158">
                  <c:v>17867</c:v>
                </c:pt>
                <c:pt idx="159">
                  <c:v>17957</c:v>
                </c:pt>
                <c:pt idx="160">
                  <c:v>18049</c:v>
                </c:pt>
                <c:pt idx="161">
                  <c:v>18141</c:v>
                </c:pt>
                <c:pt idx="162">
                  <c:v>18232</c:v>
                </c:pt>
                <c:pt idx="163">
                  <c:v>18322</c:v>
                </c:pt>
                <c:pt idx="164">
                  <c:v>18414</c:v>
                </c:pt>
                <c:pt idx="165">
                  <c:v>18506</c:v>
                </c:pt>
                <c:pt idx="166">
                  <c:v>18597</c:v>
                </c:pt>
                <c:pt idx="167">
                  <c:v>18687</c:v>
                </c:pt>
                <c:pt idx="168">
                  <c:v>18779</c:v>
                </c:pt>
                <c:pt idx="169">
                  <c:v>18871</c:v>
                </c:pt>
                <c:pt idx="170">
                  <c:v>18962</c:v>
                </c:pt>
                <c:pt idx="171">
                  <c:v>19052</c:v>
                </c:pt>
                <c:pt idx="172">
                  <c:v>19145</c:v>
                </c:pt>
                <c:pt idx="173">
                  <c:v>19237</c:v>
                </c:pt>
                <c:pt idx="174">
                  <c:v>19328</c:v>
                </c:pt>
                <c:pt idx="175">
                  <c:v>19418</c:v>
                </c:pt>
                <c:pt idx="176">
                  <c:v>19510</c:v>
                </c:pt>
                <c:pt idx="177">
                  <c:v>19602</c:v>
                </c:pt>
                <c:pt idx="178">
                  <c:v>19693</c:v>
                </c:pt>
                <c:pt idx="179">
                  <c:v>19783</c:v>
                </c:pt>
                <c:pt idx="180">
                  <c:v>19875</c:v>
                </c:pt>
                <c:pt idx="181">
                  <c:v>19967</c:v>
                </c:pt>
                <c:pt idx="182">
                  <c:v>20058</c:v>
                </c:pt>
                <c:pt idx="183">
                  <c:v>20148</c:v>
                </c:pt>
                <c:pt idx="184">
                  <c:v>20240</c:v>
                </c:pt>
                <c:pt idx="185">
                  <c:v>20332</c:v>
                </c:pt>
                <c:pt idx="186">
                  <c:v>20423</c:v>
                </c:pt>
                <c:pt idx="187">
                  <c:v>20513</c:v>
                </c:pt>
                <c:pt idx="188">
                  <c:v>20606</c:v>
                </c:pt>
                <c:pt idx="189">
                  <c:v>20698</c:v>
                </c:pt>
                <c:pt idx="190">
                  <c:v>20789</c:v>
                </c:pt>
                <c:pt idx="191">
                  <c:v>20879</c:v>
                </c:pt>
                <c:pt idx="192">
                  <c:v>20971</c:v>
                </c:pt>
                <c:pt idx="193">
                  <c:v>21063</c:v>
                </c:pt>
                <c:pt idx="194">
                  <c:v>21154</c:v>
                </c:pt>
                <c:pt idx="195">
                  <c:v>21244</c:v>
                </c:pt>
                <c:pt idx="196">
                  <c:v>21336</c:v>
                </c:pt>
                <c:pt idx="197">
                  <c:v>21428</c:v>
                </c:pt>
                <c:pt idx="198">
                  <c:v>21519</c:v>
                </c:pt>
                <c:pt idx="199">
                  <c:v>21609</c:v>
                </c:pt>
                <c:pt idx="200">
                  <c:v>21701</c:v>
                </c:pt>
                <c:pt idx="201">
                  <c:v>21793</c:v>
                </c:pt>
                <c:pt idx="202">
                  <c:v>21884</c:v>
                </c:pt>
                <c:pt idx="203">
                  <c:v>21974</c:v>
                </c:pt>
                <c:pt idx="204">
                  <c:v>22067</c:v>
                </c:pt>
                <c:pt idx="205">
                  <c:v>22159</c:v>
                </c:pt>
                <c:pt idx="206">
                  <c:v>22250</c:v>
                </c:pt>
                <c:pt idx="207">
                  <c:v>22340</c:v>
                </c:pt>
                <c:pt idx="208">
                  <c:v>22432</c:v>
                </c:pt>
                <c:pt idx="209">
                  <c:v>22524</c:v>
                </c:pt>
                <c:pt idx="210">
                  <c:v>22615</c:v>
                </c:pt>
                <c:pt idx="211">
                  <c:v>22705</c:v>
                </c:pt>
                <c:pt idx="212">
                  <c:v>22797</c:v>
                </c:pt>
                <c:pt idx="213">
                  <c:v>22889</c:v>
                </c:pt>
                <c:pt idx="214">
                  <c:v>22980</c:v>
                </c:pt>
                <c:pt idx="215">
                  <c:v>23070</c:v>
                </c:pt>
                <c:pt idx="216">
                  <c:v>23162</c:v>
                </c:pt>
                <c:pt idx="217">
                  <c:v>23254</c:v>
                </c:pt>
                <c:pt idx="218">
                  <c:v>23345</c:v>
                </c:pt>
                <c:pt idx="219">
                  <c:v>23435</c:v>
                </c:pt>
                <c:pt idx="220">
                  <c:v>23528</c:v>
                </c:pt>
                <c:pt idx="221">
                  <c:v>23620</c:v>
                </c:pt>
                <c:pt idx="222">
                  <c:v>23711</c:v>
                </c:pt>
                <c:pt idx="223">
                  <c:v>23801</c:v>
                </c:pt>
                <c:pt idx="224">
                  <c:v>23893</c:v>
                </c:pt>
                <c:pt idx="225">
                  <c:v>23985</c:v>
                </c:pt>
                <c:pt idx="226">
                  <c:v>24076</c:v>
                </c:pt>
                <c:pt idx="227">
                  <c:v>24166</c:v>
                </c:pt>
                <c:pt idx="228">
                  <c:v>24258</c:v>
                </c:pt>
                <c:pt idx="229">
                  <c:v>24350</c:v>
                </c:pt>
                <c:pt idx="230">
                  <c:v>24441</c:v>
                </c:pt>
                <c:pt idx="231">
                  <c:v>24531</c:v>
                </c:pt>
                <c:pt idx="232">
                  <c:v>24623</c:v>
                </c:pt>
                <c:pt idx="233">
                  <c:v>24715</c:v>
                </c:pt>
                <c:pt idx="234">
                  <c:v>24806</c:v>
                </c:pt>
                <c:pt idx="235">
                  <c:v>24896</c:v>
                </c:pt>
                <c:pt idx="236">
                  <c:v>24989</c:v>
                </c:pt>
                <c:pt idx="237">
                  <c:v>25081</c:v>
                </c:pt>
                <c:pt idx="238">
                  <c:v>25172</c:v>
                </c:pt>
                <c:pt idx="239">
                  <c:v>25262</c:v>
                </c:pt>
                <c:pt idx="240">
                  <c:v>25354</c:v>
                </c:pt>
                <c:pt idx="241">
                  <c:v>25446</c:v>
                </c:pt>
                <c:pt idx="242">
                  <c:v>25537</c:v>
                </c:pt>
                <c:pt idx="243">
                  <c:v>25627</c:v>
                </c:pt>
                <c:pt idx="244">
                  <c:v>25719</c:v>
                </c:pt>
                <c:pt idx="245">
                  <c:v>25811</c:v>
                </c:pt>
                <c:pt idx="246">
                  <c:v>25902</c:v>
                </c:pt>
                <c:pt idx="247">
                  <c:v>25992</c:v>
                </c:pt>
                <c:pt idx="248">
                  <c:v>26084</c:v>
                </c:pt>
                <c:pt idx="249">
                  <c:v>26176</c:v>
                </c:pt>
                <c:pt idx="250">
                  <c:v>26267</c:v>
                </c:pt>
                <c:pt idx="251">
                  <c:v>26357</c:v>
                </c:pt>
                <c:pt idx="252">
                  <c:v>26450</c:v>
                </c:pt>
                <c:pt idx="253">
                  <c:v>26542</c:v>
                </c:pt>
                <c:pt idx="254">
                  <c:v>26633</c:v>
                </c:pt>
                <c:pt idx="255">
                  <c:v>26723</c:v>
                </c:pt>
                <c:pt idx="256">
                  <c:v>26815</c:v>
                </c:pt>
                <c:pt idx="257">
                  <c:v>26907</c:v>
                </c:pt>
                <c:pt idx="258">
                  <c:v>26998</c:v>
                </c:pt>
                <c:pt idx="259">
                  <c:v>27088</c:v>
                </c:pt>
                <c:pt idx="260">
                  <c:v>27180</c:v>
                </c:pt>
                <c:pt idx="261">
                  <c:v>27272</c:v>
                </c:pt>
                <c:pt idx="262">
                  <c:v>27363</c:v>
                </c:pt>
                <c:pt idx="263">
                  <c:v>27453</c:v>
                </c:pt>
                <c:pt idx="264">
                  <c:v>27545</c:v>
                </c:pt>
                <c:pt idx="265">
                  <c:v>27637</c:v>
                </c:pt>
                <c:pt idx="266">
                  <c:v>27728</c:v>
                </c:pt>
                <c:pt idx="267">
                  <c:v>27818</c:v>
                </c:pt>
                <c:pt idx="268">
                  <c:v>27911</c:v>
                </c:pt>
                <c:pt idx="269">
                  <c:v>28003</c:v>
                </c:pt>
                <c:pt idx="270">
                  <c:v>28094</c:v>
                </c:pt>
                <c:pt idx="271">
                  <c:v>28184</c:v>
                </c:pt>
                <c:pt idx="272">
                  <c:v>28276</c:v>
                </c:pt>
                <c:pt idx="273">
                  <c:v>28368</c:v>
                </c:pt>
                <c:pt idx="274">
                  <c:v>28459</c:v>
                </c:pt>
                <c:pt idx="275">
                  <c:v>28549</c:v>
                </c:pt>
                <c:pt idx="276">
                  <c:v>28641</c:v>
                </c:pt>
                <c:pt idx="277">
                  <c:v>28733</c:v>
                </c:pt>
                <c:pt idx="278">
                  <c:v>28824</c:v>
                </c:pt>
                <c:pt idx="279">
                  <c:v>28914</c:v>
                </c:pt>
                <c:pt idx="280">
                  <c:v>29006</c:v>
                </c:pt>
                <c:pt idx="281">
                  <c:v>29098</c:v>
                </c:pt>
                <c:pt idx="282">
                  <c:v>29189</c:v>
                </c:pt>
                <c:pt idx="283">
                  <c:v>29279</c:v>
                </c:pt>
                <c:pt idx="284">
                  <c:v>29372</c:v>
                </c:pt>
                <c:pt idx="285">
                  <c:v>29464</c:v>
                </c:pt>
                <c:pt idx="286">
                  <c:v>29555</c:v>
                </c:pt>
                <c:pt idx="287">
                  <c:v>29645</c:v>
                </c:pt>
                <c:pt idx="288">
                  <c:v>29737</c:v>
                </c:pt>
                <c:pt idx="289">
                  <c:v>29829</c:v>
                </c:pt>
                <c:pt idx="290">
                  <c:v>29920</c:v>
                </c:pt>
                <c:pt idx="291">
                  <c:v>30010</c:v>
                </c:pt>
                <c:pt idx="292">
                  <c:v>30102</c:v>
                </c:pt>
                <c:pt idx="293">
                  <c:v>30194</c:v>
                </c:pt>
                <c:pt idx="294">
                  <c:v>30285</c:v>
                </c:pt>
                <c:pt idx="295">
                  <c:v>30375</c:v>
                </c:pt>
                <c:pt idx="296">
                  <c:v>30467</c:v>
                </c:pt>
                <c:pt idx="297">
                  <c:v>30559</c:v>
                </c:pt>
                <c:pt idx="298">
                  <c:v>30650</c:v>
                </c:pt>
                <c:pt idx="299">
                  <c:v>30740</c:v>
                </c:pt>
                <c:pt idx="300">
                  <c:v>30833</c:v>
                </c:pt>
                <c:pt idx="301">
                  <c:v>30925</c:v>
                </c:pt>
                <c:pt idx="302">
                  <c:v>31016</c:v>
                </c:pt>
                <c:pt idx="303">
                  <c:v>31106</c:v>
                </c:pt>
                <c:pt idx="304">
                  <c:v>31198</c:v>
                </c:pt>
                <c:pt idx="305">
                  <c:v>31290</c:v>
                </c:pt>
                <c:pt idx="306">
                  <c:v>31381</c:v>
                </c:pt>
                <c:pt idx="307">
                  <c:v>31471</c:v>
                </c:pt>
                <c:pt idx="308">
                  <c:v>31563</c:v>
                </c:pt>
                <c:pt idx="309">
                  <c:v>31655</c:v>
                </c:pt>
                <c:pt idx="310">
                  <c:v>31746</c:v>
                </c:pt>
                <c:pt idx="311">
                  <c:v>31836</c:v>
                </c:pt>
                <c:pt idx="312">
                  <c:v>31928</c:v>
                </c:pt>
                <c:pt idx="313">
                  <c:v>32020</c:v>
                </c:pt>
                <c:pt idx="314">
                  <c:v>32111</c:v>
                </c:pt>
                <c:pt idx="315">
                  <c:v>32201</c:v>
                </c:pt>
                <c:pt idx="316">
                  <c:v>32294</c:v>
                </c:pt>
                <c:pt idx="317">
                  <c:v>32386</c:v>
                </c:pt>
                <c:pt idx="318">
                  <c:v>32477</c:v>
                </c:pt>
                <c:pt idx="319">
                  <c:v>32567</c:v>
                </c:pt>
                <c:pt idx="320">
                  <c:v>32659</c:v>
                </c:pt>
                <c:pt idx="321">
                  <c:v>32751</c:v>
                </c:pt>
                <c:pt idx="322">
                  <c:v>32842</c:v>
                </c:pt>
                <c:pt idx="323">
                  <c:v>32932</c:v>
                </c:pt>
                <c:pt idx="324">
                  <c:v>33024</c:v>
                </c:pt>
                <c:pt idx="325">
                  <c:v>33116</c:v>
                </c:pt>
                <c:pt idx="326">
                  <c:v>33207</c:v>
                </c:pt>
                <c:pt idx="327">
                  <c:v>33297</c:v>
                </c:pt>
                <c:pt idx="328">
                  <c:v>33389</c:v>
                </c:pt>
                <c:pt idx="329">
                  <c:v>33481</c:v>
                </c:pt>
                <c:pt idx="330">
                  <c:v>33572</c:v>
                </c:pt>
                <c:pt idx="331">
                  <c:v>33662</c:v>
                </c:pt>
                <c:pt idx="332">
                  <c:v>33755</c:v>
                </c:pt>
                <c:pt idx="333">
                  <c:v>33847</c:v>
                </c:pt>
                <c:pt idx="334">
                  <c:v>33938</c:v>
                </c:pt>
                <c:pt idx="335">
                  <c:v>34028</c:v>
                </c:pt>
                <c:pt idx="336">
                  <c:v>34120</c:v>
                </c:pt>
                <c:pt idx="337">
                  <c:v>34212</c:v>
                </c:pt>
                <c:pt idx="338">
                  <c:v>34303</c:v>
                </c:pt>
                <c:pt idx="339">
                  <c:v>34393</c:v>
                </c:pt>
                <c:pt idx="340">
                  <c:v>34485</c:v>
                </c:pt>
                <c:pt idx="341">
                  <c:v>34577</c:v>
                </c:pt>
                <c:pt idx="342">
                  <c:v>34668</c:v>
                </c:pt>
                <c:pt idx="343">
                  <c:v>34758</c:v>
                </c:pt>
                <c:pt idx="344">
                  <c:v>34850</c:v>
                </c:pt>
                <c:pt idx="345">
                  <c:v>34942</c:v>
                </c:pt>
                <c:pt idx="346">
                  <c:v>35033</c:v>
                </c:pt>
                <c:pt idx="347">
                  <c:v>35123</c:v>
                </c:pt>
                <c:pt idx="348">
                  <c:v>35216</c:v>
                </c:pt>
                <c:pt idx="349">
                  <c:v>35308</c:v>
                </c:pt>
                <c:pt idx="350">
                  <c:v>35399</c:v>
                </c:pt>
                <c:pt idx="351">
                  <c:v>35489</c:v>
                </c:pt>
                <c:pt idx="352">
                  <c:v>35581</c:v>
                </c:pt>
                <c:pt idx="353">
                  <c:v>35673</c:v>
                </c:pt>
                <c:pt idx="354">
                  <c:v>35764</c:v>
                </c:pt>
                <c:pt idx="355">
                  <c:v>35854</c:v>
                </c:pt>
                <c:pt idx="356">
                  <c:v>35946</c:v>
                </c:pt>
                <c:pt idx="357">
                  <c:v>36038</c:v>
                </c:pt>
                <c:pt idx="358">
                  <c:v>36129</c:v>
                </c:pt>
                <c:pt idx="359">
                  <c:v>36219</c:v>
                </c:pt>
                <c:pt idx="360">
                  <c:v>36311</c:v>
                </c:pt>
                <c:pt idx="361">
                  <c:v>36403</c:v>
                </c:pt>
                <c:pt idx="362">
                  <c:v>36494</c:v>
                </c:pt>
                <c:pt idx="363">
                  <c:v>36584</c:v>
                </c:pt>
                <c:pt idx="364">
                  <c:v>36677</c:v>
                </c:pt>
                <c:pt idx="365">
                  <c:v>36769</c:v>
                </c:pt>
                <c:pt idx="366">
                  <c:v>36860</c:v>
                </c:pt>
                <c:pt idx="367">
                  <c:v>36950</c:v>
                </c:pt>
                <c:pt idx="368">
                  <c:v>37042</c:v>
                </c:pt>
                <c:pt idx="369">
                  <c:v>37134</c:v>
                </c:pt>
                <c:pt idx="370">
                  <c:v>37225</c:v>
                </c:pt>
                <c:pt idx="371">
                  <c:v>37315</c:v>
                </c:pt>
                <c:pt idx="372">
                  <c:v>37407</c:v>
                </c:pt>
                <c:pt idx="373">
                  <c:v>37499</c:v>
                </c:pt>
                <c:pt idx="374">
                  <c:v>37590</c:v>
                </c:pt>
                <c:pt idx="375">
                  <c:v>37680</c:v>
                </c:pt>
                <c:pt idx="376">
                  <c:v>37772</c:v>
                </c:pt>
                <c:pt idx="377">
                  <c:v>37864</c:v>
                </c:pt>
                <c:pt idx="378">
                  <c:v>37955</c:v>
                </c:pt>
                <c:pt idx="379">
                  <c:v>38045</c:v>
                </c:pt>
                <c:pt idx="380">
                  <c:v>38138</c:v>
                </c:pt>
                <c:pt idx="381">
                  <c:v>38230</c:v>
                </c:pt>
                <c:pt idx="382">
                  <c:v>38321</c:v>
                </c:pt>
                <c:pt idx="383">
                  <c:v>38411</c:v>
                </c:pt>
                <c:pt idx="384">
                  <c:v>38503</c:v>
                </c:pt>
                <c:pt idx="385">
                  <c:v>38595</c:v>
                </c:pt>
                <c:pt idx="386">
                  <c:v>38686</c:v>
                </c:pt>
                <c:pt idx="387">
                  <c:v>38776</c:v>
                </c:pt>
                <c:pt idx="388">
                  <c:v>38868</c:v>
                </c:pt>
                <c:pt idx="389">
                  <c:v>38960</c:v>
                </c:pt>
                <c:pt idx="390">
                  <c:v>39051</c:v>
                </c:pt>
                <c:pt idx="391">
                  <c:v>39141</c:v>
                </c:pt>
                <c:pt idx="392">
                  <c:v>39233</c:v>
                </c:pt>
                <c:pt idx="393">
                  <c:v>39325</c:v>
                </c:pt>
                <c:pt idx="394">
                  <c:v>39416</c:v>
                </c:pt>
                <c:pt idx="395">
                  <c:v>39506</c:v>
                </c:pt>
                <c:pt idx="396">
                  <c:v>39599</c:v>
                </c:pt>
                <c:pt idx="397">
                  <c:v>39691</c:v>
                </c:pt>
                <c:pt idx="398">
                  <c:v>39782</c:v>
                </c:pt>
                <c:pt idx="399">
                  <c:v>39872</c:v>
                </c:pt>
                <c:pt idx="400">
                  <c:v>39964</c:v>
                </c:pt>
                <c:pt idx="401">
                  <c:v>40056</c:v>
                </c:pt>
              </c:numCache>
            </c:numRef>
          </c:cat>
          <c:val>
            <c:numRef>
              <c:f>'LR Comparison'!$B$3:$B$405</c:f>
              <c:numCache>
                <c:formatCode>0.000</c:formatCode>
                <c:ptCount val="403"/>
                <c:pt idx="0">
                  <c:v>0.5</c:v>
                </c:pt>
                <c:pt idx="1">
                  <c:v>0.25102737683241766</c:v>
                </c:pt>
                <c:pt idx="2">
                  <c:v>0.25720490620832148</c:v>
                </c:pt>
                <c:pt idx="3">
                  <c:v>0.25720490620832148</c:v>
                </c:pt>
                <c:pt idx="4">
                  <c:v>0.25795324742667314</c:v>
                </c:pt>
                <c:pt idx="5">
                  <c:v>0.161</c:v>
                </c:pt>
                <c:pt idx="6">
                  <c:v>0.28945091870182504</c:v>
                </c:pt>
                <c:pt idx="7">
                  <c:v>0.28945091870182504</c:v>
                </c:pt>
                <c:pt idx="8">
                  <c:v>0.73029206232352439</c:v>
                </c:pt>
                <c:pt idx="9">
                  <c:v>0.36664660145322153</c:v>
                </c:pt>
                <c:pt idx="10">
                  <c:v>0.36664660145322153</c:v>
                </c:pt>
                <c:pt idx="11">
                  <c:v>0.36664660145322153</c:v>
                </c:pt>
                <c:pt idx="12">
                  <c:v>0.16100000000000003</c:v>
                </c:pt>
                <c:pt idx="13">
                  <c:v>0.161</c:v>
                </c:pt>
                <c:pt idx="14">
                  <c:v>0.23213736748895103</c:v>
                </c:pt>
                <c:pt idx="15">
                  <c:v>0.23213736748895103</c:v>
                </c:pt>
                <c:pt idx="16">
                  <c:v>0.39040652473162674</c:v>
                </c:pt>
                <c:pt idx="17">
                  <c:v>0.19600545160328128</c:v>
                </c:pt>
                <c:pt idx="18">
                  <c:v>0.161</c:v>
                </c:pt>
                <c:pt idx="19">
                  <c:v>0.34509258467185389</c:v>
                </c:pt>
                <c:pt idx="20">
                  <c:v>0.34509258467185389</c:v>
                </c:pt>
                <c:pt idx="21">
                  <c:v>0.1732553725889889</c:v>
                </c:pt>
                <c:pt idx="22">
                  <c:v>0.32134592689213454</c:v>
                </c:pt>
                <c:pt idx="23">
                  <c:v>0.32134592689213454</c:v>
                </c:pt>
                <c:pt idx="24">
                  <c:v>0.32134592689213454</c:v>
                </c:pt>
                <c:pt idx="25">
                  <c:v>0.16133325016702879</c:v>
                </c:pt>
                <c:pt idx="26">
                  <c:v>0.161</c:v>
                </c:pt>
                <c:pt idx="27">
                  <c:v>0.161</c:v>
                </c:pt>
                <c:pt idx="28">
                  <c:v>0.161</c:v>
                </c:pt>
                <c:pt idx="29">
                  <c:v>0.161</c:v>
                </c:pt>
                <c:pt idx="30">
                  <c:v>0.37512493984808432</c:v>
                </c:pt>
                <c:pt idx="31">
                  <c:v>0.37512493984808432</c:v>
                </c:pt>
                <c:pt idx="32">
                  <c:v>0.54564486517294353</c:v>
                </c:pt>
                <c:pt idx="33">
                  <c:v>0.27394359837288446</c:v>
                </c:pt>
                <c:pt idx="34">
                  <c:v>0.33801907632384165</c:v>
                </c:pt>
                <c:pt idx="35">
                  <c:v>0.33801907632384165</c:v>
                </c:pt>
                <c:pt idx="36">
                  <c:v>0.33801907632384165</c:v>
                </c:pt>
                <c:pt idx="37">
                  <c:v>0.16970408409778148</c:v>
                </c:pt>
                <c:pt idx="38">
                  <c:v>0.161</c:v>
                </c:pt>
                <c:pt idx="39">
                  <c:v>0.161</c:v>
                </c:pt>
                <c:pt idx="40">
                  <c:v>0.161</c:v>
                </c:pt>
                <c:pt idx="41">
                  <c:v>0.161</c:v>
                </c:pt>
                <c:pt idx="42">
                  <c:v>0.161</c:v>
                </c:pt>
                <c:pt idx="43">
                  <c:v>0.161</c:v>
                </c:pt>
                <c:pt idx="44">
                  <c:v>0.161</c:v>
                </c:pt>
                <c:pt idx="45">
                  <c:v>0.161</c:v>
                </c:pt>
                <c:pt idx="46">
                  <c:v>0.4005008067039284</c:v>
                </c:pt>
                <c:pt idx="47">
                  <c:v>0.4005008067039284</c:v>
                </c:pt>
                <c:pt idx="48">
                  <c:v>0.77871751948522261</c:v>
                </c:pt>
                <c:pt idx="49">
                  <c:v>0.39095883241964496</c:v>
                </c:pt>
                <c:pt idx="50">
                  <c:v>0.39095883241964496</c:v>
                </c:pt>
                <c:pt idx="51">
                  <c:v>0.90098079207310589</c:v>
                </c:pt>
                <c:pt idx="52">
                  <c:v>1.3101916144640879</c:v>
                </c:pt>
                <c:pt idx="53">
                  <c:v>0.65778792825350052</c:v>
                </c:pt>
                <c:pt idx="54">
                  <c:v>0.65778792825350052</c:v>
                </c:pt>
                <c:pt idx="55">
                  <c:v>0.65778792825350052</c:v>
                </c:pt>
                <c:pt idx="56">
                  <c:v>0.16100000000000003</c:v>
                </c:pt>
                <c:pt idx="57">
                  <c:v>0.16100000000000003</c:v>
                </c:pt>
                <c:pt idx="58">
                  <c:v>0.16100000000000003</c:v>
                </c:pt>
                <c:pt idx="59">
                  <c:v>0.16100000000000003</c:v>
                </c:pt>
                <c:pt idx="60">
                  <c:v>0.34512403949700332</c:v>
                </c:pt>
                <c:pt idx="61">
                  <c:v>0.17327116463348086</c:v>
                </c:pt>
                <c:pt idx="62">
                  <c:v>0.46510625013136214</c:v>
                </c:pt>
                <c:pt idx="63">
                  <c:v>0.46510625013136214</c:v>
                </c:pt>
                <c:pt idx="64">
                  <c:v>0.46510625013136214</c:v>
                </c:pt>
                <c:pt idx="65">
                  <c:v>0.23350880383767628</c:v>
                </c:pt>
                <c:pt idx="66">
                  <c:v>0.161</c:v>
                </c:pt>
                <c:pt idx="67">
                  <c:v>0.34501894923947296</c:v>
                </c:pt>
                <c:pt idx="68">
                  <c:v>0.9923390621493875</c:v>
                </c:pt>
                <c:pt idx="69">
                  <c:v>0.49820854339940435</c:v>
                </c:pt>
                <c:pt idx="70">
                  <c:v>0.49820854339940435</c:v>
                </c:pt>
                <c:pt idx="71">
                  <c:v>0.49820854339940435</c:v>
                </c:pt>
                <c:pt idx="72">
                  <c:v>0.49820854339940435</c:v>
                </c:pt>
                <c:pt idx="73">
                  <c:v>0.16100000000000003</c:v>
                </c:pt>
                <c:pt idx="74">
                  <c:v>0.16100000000000003</c:v>
                </c:pt>
                <c:pt idx="75">
                  <c:v>0.18400756601015281</c:v>
                </c:pt>
                <c:pt idx="76">
                  <c:v>0.53278950083385357</c:v>
                </c:pt>
                <c:pt idx="77">
                  <c:v>0.26748950159635093</c:v>
                </c:pt>
                <c:pt idx="78">
                  <c:v>0.25543843063805077</c:v>
                </c:pt>
                <c:pt idx="79">
                  <c:v>0.25543843063805077</c:v>
                </c:pt>
                <c:pt idx="80">
                  <c:v>0.161</c:v>
                </c:pt>
                <c:pt idx="81">
                  <c:v>0.161</c:v>
                </c:pt>
                <c:pt idx="82">
                  <c:v>0.161</c:v>
                </c:pt>
                <c:pt idx="83">
                  <c:v>0.161</c:v>
                </c:pt>
                <c:pt idx="84">
                  <c:v>0.161</c:v>
                </c:pt>
                <c:pt idx="85">
                  <c:v>0.161</c:v>
                </c:pt>
                <c:pt idx="86">
                  <c:v>0.161</c:v>
                </c:pt>
                <c:pt idx="87">
                  <c:v>0.161</c:v>
                </c:pt>
                <c:pt idx="88">
                  <c:v>0.34500000000000003</c:v>
                </c:pt>
                <c:pt idx="89">
                  <c:v>0.17320889001436818</c:v>
                </c:pt>
                <c:pt idx="90">
                  <c:v>0.36569637976320141</c:v>
                </c:pt>
                <c:pt idx="91">
                  <c:v>0.36569637976320141</c:v>
                </c:pt>
                <c:pt idx="92">
                  <c:v>0.45059833803874449</c:v>
                </c:pt>
                <c:pt idx="93">
                  <c:v>0.22622503760582602</c:v>
                </c:pt>
                <c:pt idx="94">
                  <c:v>0.18977814874157412</c:v>
                </c:pt>
                <c:pt idx="95">
                  <c:v>0.18977814874157412</c:v>
                </c:pt>
                <c:pt idx="96">
                  <c:v>0.18977814874157412</c:v>
                </c:pt>
                <c:pt idx="97">
                  <c:v>0.16100000000000003</c:v>
                </c:pt>
                <c:pt idx="98">
                  <c:v>0.30940732051871428</c:v>
                </c:pt>
                <c:pt idx="99">
                  <c:v>0.30940732051871428</c:v>
                </c:pt>
                <c:pt idx="100">
                  <c:v>0.30940732051871428</c:v>
                </c:pt>
                <c:pt idx="101">
                  <c:v>0.161</c:v>
                </c:pt>
                <c:pt idx="102">
                  <c:v>0.38048281057076505</c:v>
                </c:pt>
                <c:pt idx="103">
                  <c:v>0.38048281057076505</c:v>
                </c:pt>
                <c:pt idx="104">
                  <c:v>0.38048281057076505</c:v>
                </c:pt>
                <c:pt idx="105">
                  <c:v>0.1910232037348096</c:v>
                </c:pt>
                <c:pt idx="106">
                  <c:v>0.16100000000000003</c:v>
                </c:pt>
                <c:pt idx="107">
                  <c:v>0.161</c:v>
                </c:pt>
                <c:pt idx="108">
                  <c:v>0.161</c:v>
                </c:pt>
                <c:pt idx="109">
                  <c:v>0.26483081534003849</c:v>
                </c:pt>
                <c:pt idx="110">
                  <c:v>0.161</c:v>
                </c:pt>
                <c:pt idx="111">
                  <c:v>0.161</c:v>
                </c:pt>
                <c:pt idx="112">
                  <c:v>0.2482801640176131</c:v>
                </c:pt>
                <c:pt idx="113">
                  <c:v>0.161</c:v>
                </c:pt>
                <c:pt idx="114">
                  <c:v>0.161</c:v>
                </c:pt>
                <c:pt idx="115">
                  <c:v>0.161</c:v>
                </c:pt>
                <c:pt idx="116">
                  <c:v>0.161</c:v>
                </c:pt>
                <c:pt idx="117">
                  <c:v>0.161</c:v>
                </c:pt>
                <c:pt idx="118">
                  <c:v>0.161</c:v>
                </c:pt>
                <c:pt idx="119">
                  <c:v>0.161</c:v>
                </c:pt>
                <c:pt idx="120">
                  <c:v>0.161</c:v>
                </c:pt>
                <c:pt idx="121">
                  <c:v>0.26494429408763359</c:v>
                </c:pt>
                <c:pt idx="122">
                  <c:v>0.26054758230892516</c:v>
                </c:pt>
                <c:pt idx="123">
                  <c:v>0.26054758230892516</c:v>
                </c:pt>
                <c:pt idx="124">
                  <c:v>0.26054758230892516</c:v>
                </c:pt>
                <c:pt idx="125">
                  <c:v>0.161</c:v>
                </c:pt>
                <c:pt idx="126">
                  <c:v>0.161</c:v>
                </c:pt>
                <c:pt idx="127">
                  <c:v>0.18478206502019009</c:v>
                </c:pt>
                <c:pt idx="128">
                  <c:v>0.3776297547204322</c:v>
                </c:pt>
                <c:pt idx="129">
                  <c:v>0.18959081348267875</c:v>
                </c:pt>
                <c:pt idx="130">
                  <c:v>0.161</c:v>
                </c:pt>
                <c:pt idx="131">
                  <c:v>0.34635660883231073</c:v>
                </c:pt>
                <c:pt idx="132">
                  <c:v>0.16391427540913017</c:v>
                </c:pt>
                <c:pt idx="133">
                  <c:v>0.26811677937465767</c:v>
                </c:pt>
                <c:pt idx="134">
                  <c:v>0.23506787569667142</c:v>
                </c:pt>
                <c:pt idx="135">
                  <c:v>0.23506787569667142</c:v>
                </c:pt>
                <c:pt idx="136">
                  <c:v>0.23506787569667142</c:v>
                </c:pt>
                <c:pt idx="137">
                  <c:v>0.161</c:v>
                </c:pt>
                <c:pt idx="138">
                  <c:v>0.161</c:v>
                </c:pt>
                <c:pt idx="139">
                  <c:v>0.161</c:v>
                </c:pt>
                <c:pt idx="140">
                  <c:v>0.161</c:v>
                </c:pt>
                <c:pt idx="141">
                  <c:v>0.161</c:v>
                </c:pt>
                <c:pt idx="142">
                  <c:v>0.161</c:v>
                </c:pt>
                <c:pt idx="143">
                  <c:v>0.161</c:v>
                </c:pt>
                <c:pt idx="144">
                  <c:v>0.161</c:v>
                </c:pt>
                <c:pt idx="145">
                  <c:v>0.161</c:v>
                </c:pt>
                <c:pt idx="146">
                  <c:v>0.161</c:v>
                </c:pt>
                <c:pt idx="147">
                  <c:v>0.161</c:v>
                </c:pt>
                <c:pt idx="148">
                  <c:v>0.161</c:v>
                </c:pt>
                <c:pt idx="149">
                  <c:v>0.161</c:v>
                </c:pt>
                <c:pt idx="150">
                  <c:v>0.161</c:v>
                </c:pt>
                <c:pt idx="151">
                  <c:v>0.161</c:v>
                </c:pt>
                <c:pt idx="152">
                  <c:v>0.51204544593174328</c:v>
                </c:pt>
                <c:pt idx="153">
                  <c:v>0.25707485022246213</c:v>
                </c:pt>
                <c:pt idx="154">
                  <c:v>0.33937514641239314</c:v>
                </c:pt>
                <c:pt idx="155">
                  <c:v>0.33937514641239314</c:v>
                </c:pt>
                <c:pt idx="156">
                  <c:v>0.53470386979265483</c:v>
                </c:pt>
                <c:pt idx="157">
                  <c:v>0.26845061963238548</c:v>
                </c:pt>
                <c:pt idx="158">
                  <c:v>0.35265992858975459</c:v>
                </c:pt>
                <c:pt idx="159">
                  <c:v>0.35265992858975459</c:v>
                </c:pt>
                <c:pt idx="160">
                  <c:v>0.51376883859896016</c:v>
                </c:pt>
                <c:pt idx="161">
                  <c:v>0.25794008770346949</c:v>
                </c:pt>
                <c:pt idx="162">
                  <c:v>0.31299808672294765</c:v>
                </c:pt>
                <c:pt idx="163">
                  <c:v>0.31299808672294765</c:v>
                </c:pt>
                <c:pt idx="164">
                  <c:v>1.0169655205321206</c:v>
                </c:pt>
                <c:pt idx="165">
                  <c:v>0.51057237389638477</c:v>
                </c:pt>
                <c:pt idx="166">
                  <c:v>0.54117141043306827</c:v>
                </c:pt>
                <c:pt idx="167">
                  <c:v>1.1808505573256585</c:v>
                </c:pt>
                <c:pt idx="168">
                  <c:v>1.7192525370401601</c:v>
                </c:pt>
                <c:pt idx="169">
                  <c:v>0.86315890897134062</c:v>
                </c:pt>
                <c:pt idx="170">
                  <c:v>0.86315890897134062</c:v>
                </c:pt>
                <c:pt idx="171">
                  <c:v>0.16099999999999995</c:v>
                </c:pt>
                <c:pt idx="172">
                  <c:v>0.16099999999999995</c:v>
                </c:pt>
                <c:pt idx="173">
                  <c:v>0.161</c:v>
                </c:pt>
                <c:pt idx="174">
                  <c:v>0.30386925626761707</c:v>
                </c:pt>
                <c:pt idx="175">
                  <c:v>0.30386925626761707</c:v>
                </c:pt>
                <c:pt idx="176">
                  <c:v>0.50170571236565453</c:v>
                </c:pt>
                <c:pt idx="177">
                  <c:v>0.25188373783397938</c:v>
                </c:pt>
                <c:pt idx="178">
                  <c:v>0.22834458949563491</c:v>
                </c:pt>
                <c:pt idx="179">
                  <c:v>0.22834458949563491</c:v>
                </c:pt>
                <c:pt idx="180">
                  <c:v>0.23543608166654528</c:v>
                </c:pt>
                <c:pt idx="181">
                  <c:v>0.161</c:v>
                </c:pt>
                <c:pt idx="182">
                  <c:v>0.37549801158690382</c:v>
                </c:pt>
                <c:pt idx="183">
                  <c:v>0.76825255673327852</c:v>
                </c:pt>
                <c:pt idx="184">
                  <c:v>1.2002350230824197</c:v>
                </c:pt>
                <c:pt idx="185">
                  <c:v>0.60258369885355201</c:v>
                </c:pt>
                <c:pt idx="186">
                  <c:v>0.60486206159360412</c:v>
                </c:pt>
                <c:pt idx="187">
                  <c:v>1.1554803643770972</c:v>
                </c:pt>
                <c:pt idx="188">
                  <c:v>2.5300000000000002</c:v>
                </c:pt>
                <c:pt idx="189">
                  <c:v>1.2701985267720333</c:v>
                </c:pt>
                <c:pt idx="190">
                  <c:v>1.2771998409587118</c:v>
                </c:pt>
                <c:pt idx="191">
                  <c:v>1.8471634529218568</c:v>
                </c:pt>
                <c:pt idx="192">
                  <c:v>1.8471634529218568</c:v>
                </c:pt>
                <c:pt idx="193">
                  <c:v>0.92737719233536942</c:v>
                </c:pt>
                <c:pt idx="194">
                  <c:v>0.92737719233536942</c:v>
                </c:pt>
                <c:pt idx="195">
                  <c:v>0.92737719233536942</c:v>
                </c:pt>
                <c:pt idx="196">
                  <c:v>0.16099999999999995</c:v>
                </c:pt>
                <c:pt idx="197">
                  <c:v>0.161</c:v>
                </c:pt>
                <c:pt idx="198">
                  <c:v>0.161</c:v>
                </c:pt>
                <c:pt idx="199">
                  <c:v>0.34533724292762952</c:v>
                </c:pt>
                <c:pt idx="200">
                  <c:v>1.2717668207370894</c:v>
                </c:pt>
                <c:pt idx="201">
                  <c:v>0.63849657790427006</c:v>
                </c:pt>
                <c:pt idx="202">
                  <c:v>0.63849657790427006</c:v>
                </c:pt>
                <c:pt idx="203">
                  <c:v>0.63849657790427006</c:v>
                </c:pt>
                <c:pt idx="204">
                  <c:v>0.63849657790427006</c:v>
                </c:pt>
                <c:pt idx="205">
                  <c:v>0.16100000000000003</c:v>
                </c:pt>
                <c:pt idx="206">
                  <c:v>0.16100000000000003</c:v>
                </c:pt>
                <c:pt idx="207">
                  <c:v>0.16100000000000003</c:v>
                </c:pt>
                <c:pt idx="208">
                  <c:v>0.48747706064677521</c:v>
                </c:pt>
                <c:pt idx="209">
                  <c:v>0.2447401756002747</c:v>
                </c:pt>
                <c:pt idx="210">
                  <c:v>0.20859197047083736</c:v>
                </c:pt>
                <c:pt idx="211">
                  <c:v>0.20859197047083736</c:v>
                </c:pt>
                <c:pt idx="212">
                  <c:v>0.56348061298065166</c:v>
                </c:pt>
                <c:pt idx="213">
                  <c:v>0.28289812034491146</c:v>
                </c:pt>
                <c:pt idx="214">
                  <c:v>0.35489592003913756</c:v>
                </c:pt>
                <c:pt idx="215">
                  <c:v>0.77945397978145381</c:v>
                </c:pt>
                <c:pt idx="216">
                  <c:v>1.6029135776804777</c:v>
                </c:pt>
                <c:pt idx="217">
                  <c:v>0.80475038138839206</c:v>
                </c:pt>
                <c:pt idx="218">
                  <c:v>0.80475038138839206</c:v>
                </c:pt>
                <c:pt idx="219">
                  <c:v>1.2407553988300033</c:v>
                </c:pt>
                <c:pt idx="220">
                  <c:v>1.2407553988300033</c:v>
                </c:pt>
                <c:pt idx="221">
                  <c:v>0.62292714611791178</c:v>
                </c:pt>
                <c:pt idx="222">
                  <c:v>0.62292714611791178</c:v>
                </c:pt>
                <c:pt idx="223">
                  <c:v>0.62292714611791178</c:v>
                </c:pt>
                <c:pt idx="224">
                  <c:v>0.62292714611791178</c:v>
                </c:pt>
                <c:pt idx="225">
                  <c:v>0.31274353489536699</c:v>
                </c:pt>
                <c:pt idx="226">
                  <c:v>0.161</c:v>
                </c:pt>
                <c:pt idx="227">
                  <c:v>0.161</c:v>
                </c:pt>
                <c:pt idx="228">
                  <c:v>0.161</c:v>
                </c:pt>
                <c:pt idx="229">
                  <c:v>0.161</c:v>
                </c:pt>
                <c:pt idx="230">
                  <c:v>0.34681419858797768</c:v>
                </c:pt>
                <c:pt idx="231">
                  <c:v>0.34681419858797768</c:v>
                </c:pt>
                <c:pt idx="232">
                  <c:v>0.45457583505911681</c:v>
                </c:pt>
                <c:pt idx="233">
                  <c:v>0.2282219588925917</c:v>
                </c:pt>
                <c:pt idx="234">
                  <c:v>0.161</c:v>
                </c:pt>
                <c:pt idx="235">
                  <c:v>0.34502552102839451</c:v>
                </c:pt>
                <c:pt idx="236">
                  <c:v>0.64413024422131138</c:v>
                </c:pt>
                <c:pt idx="237">
                  <c:v>0.32338865109060067</c:v>
                </c:pt>
                <c:pt idx="238">
                  <c:v>0.28993827671827033</c:v>
                </c:pt>
                <c:pt idx="239">
                  <c:v>0.28993827671827033</c:v>
                </c:pt>
                <c:pt idx="240">
                  <c:v>0.28993827671827033</c:v>
                </c:pt>
                <c:pt idx="241">
                  <c:v>0.161</c:v>
                </c:pt>
                <c:pt idx="242">
                  <c:v>0.36476476956153731</c:v>
                </c:pt>
                <c:pt idx="243">
                  <c:v>0.36476476956153731</c:v>
                </c:pt>
                <c:pt idx="244">
                  <c:v>0.36476476956153731</c:v>
                </c:pt>
                <c:pt idx="245">
                  <c:v>0.183131886527828</c:v>
                </c:pt>
                <c:pt idx="246">
                  <c:v>0.161</c:v>
                </c:pt>
                <c:pt idx="247">
                  <c:v>0.34971771659882184</c:v>
                </c:pt>
                <c:pt idx="248">
                  <c:v>0.88807196895180052</c:v>
                </c:pt>
                <c:pt idx="249">
                  <c:v>0.44586075360874144</c:v>
                </c:pt>
                <c:pt idx="250">
                  <c:v>0.44586075360874144</c:v>
                </c:pt>
                <c:pt idx="251">
                  <c:v>0.81466281326530965</c:v>
                </c:pt>
                <c:pt idx="252">
                  <c:v>0.81466281326530965</c:v>
                </c:pt>
                <c:pt idx="253">
                  <c:v>0.40900533803381667</c:v>
                </c:pt>
                <c:pt idx="254">
                  <c:v>0.40900533803381667</c:v>
                </c:pt>
                <c:pt idx="255">
                  <c:v>0.40900533803381667</c:v>
                </c:pt>
                <c:pt idx="256">
                  <c:v>0.40900533803381667</c:v>
                </c:pt>
                <c:pt idx="257">
                  <c:v>0.2053430742341705</c:v>
                </c:pt>
                <c:pt idx="258">
                  <c:v>0.29290211343115585</c:v>
                </c:pt>
                <c:pt idx="259">
                  <c:v>0.86035880900047879</c:v>
                </c:pt>
                <c:pt idx="260">
                  <c:v>2.3648659774246181</c:v>
                </c:pt>
                <c:pt idx="261">
                  <c:v>1.1872922057462665</c:v>
                </c:pt>
                <c:pt idx="262">
                  <c:v>1.1872922057462665</c:v>
                </c:pt>
                <c:pt idx="263">
                  <c:v>1.7776032290556711</c:v>
                </c:pt>
                <c:pt idx="264">
                  <c:v>1.7776032290556711</c:v>
                </c:pt>
                <c:pt idx="265">
                  <c:v>0.89245415127736072</c:v>
                </c:pt>
                <c:pt idx="266">
                  <c:v>0.89245415127736072</c:v>
                </c:pt>
                <c:pt idx="267">
                  <c:v>1.416398598485515</c:v>
                </c:pt>
                <c:pt idx="268">
                  <c:v>2.5300000000000002</c:v>
                </c:pt>
                <c:pt idx="269">
                  <c:v>1.2701985267720333</c:v>
                </c:pt>
                <c:pt idx="270">
                  <c:v>1.2701985267720333</c:v>
                </c:pt>
                <c:pt idx="271">
                  <c:v>1.804819139747901</c:v>
                </c:pt>
                <c:pt idx="272">
                  <c:v>2.5300000000000002</c:v>
                </c:pt>
                <c:pt idx="273">
                  <c:v>1.2701985267720333</c:v>
                </c:pt>
                <c:pt idx="274">
                  <c:v>1.2701985267720333</c:v>
                </c:pt>
                <c:pt idx="275">
                  <c:v>1.2701985267720333</c:v>
                </c:pt>
                <c:pt idx="276">
                  <c:v>1.2701985267720333</c:v>
                </c:pt>
                <c:pt idx="277">
                  <c:v>0.16099999999999995</c:v>
                </c:pt>
                <c:pt idx="278">
                  <c:v>0.36133199172633201</c:v>
                </c:pt>
                <c:pt idx="279">
                  <c:v>0.36133199172633201</c:v>
                </c:pt>
                <c:pt idx="280">
                  <c:v>0.36133199172633201</c:v>
                </c:pt>
                <c:pt idx="281">
                  <c:v>0.18140844409738793</c:v>
                </c:pt>
                <c:pt idx="282">
                  <c:v>0.161</c:v>
                </c:pt>
                <c:pt idx="283">
                  <c:v>0.161</c:v>
                </c:pt>
                <c:pt idx="284">
                  <c:v>0.161</c:v>
                </c:pt>
                <c:pt idx="285">
                  <c:v>0.161</c:v>
                </c:pt>
                <c:pt idx="286">
                  <c:v>0.161</c:v>
                </c:pt>
                <c:pt idx="287">
                  <c:v>0.161</c:v>
                </c:pt>
                <c:pt idx="288">
                  <c:v>0.161</c:v>
                </c:pt>
                <c:pt idx="289">
                  <c:v>0.26590262272491522</c:v>
                </c:pt>
                <c:pt idx="290">
                  <c:v>0.30648051863612424</c:v>
                </c:pt>
                <c:pt idx="291">
                  <c:v>0.30648051863612424</c:v>
                </c:pt>
                <c:pt idx="292">
                  <c:v>0.30648051863612424</c:v>
                </c:pt>
                <c:pt idx="293">
                  <c:v>0.161</c:v>
                </c:pt>
                <c:pt idx="294">
                  <c:v>0.161</c:v>
                </c:pt>
                <c:pt idx="295">
                  <c:v>0.161</c:v>
                </c:pt>
                <c:pt idx="296">
                  <c:v>0.95042173780424954</c:v>
                </c:pt>
                <c:pt idx="297">
                  <c:v>0.47716375145101714</c:v>
                </c:pt>
                <c:pt idx="298">
                  <c:v>0.53127465745538216</c:v>
                </c:pt>
                <c:pt idx="299">
                  <c:v>1.1186414784243939</c:v>
                </c:pt>
                <c:pt idx="300">
                  <c:v>1.6259243920281841</c:v>
                </c:pt>
                <c:pt idx="301">
                  <c:v>0.81630307011735692</c:v>
                </c:pt>
                <c:pt idx="302">
                  <c:v>0.82112173905914321</c:v>
                </c:pt>
                <c:pt idx="303">
                  <c:v>0.82112173905914321</c:v>
                </c:pt>
                <c:pt idx="304">
                  <c:v>0.17068348077100587</c:v>
                </c:pt>
                <c:pt idx="305">
                  <c:v>0.161</c:v>
                </c:pt>
                <c:pt idx="306">
                  <c:v>0.161</c:v>
                </c:pt>
                <c:pt idx="307">
                  <c:v>0.161</c:v>
                </c:pt>
                <c:pt idx="308">
                  <c:v>0.34500000000000003</c:v>
                </c:pt>
                <c:pt idx="309">
                  <c:v>0.17320889001436818</c:v>
                </c:pt>
                <c:pt idx="310">
                  <c:v>0.33508862018860808</c:v>
                </c:pt>
                <c:pt idx="311">
                  <c:v>0.33508862018860808</c:v>
                </c:pt>
                <c:pt idx="312">
                  <c:v>0.33508862018860808</c:v>
                </c:pt>
                <c:pt idx="313">
                  <c:v>0.1682328346646812</c:v>
                </c:pt>
                <c:pt idx="314">
                  <c:v>0.161</c:v>
                </c:pt>
                <c:pt idx="315">
                  <c:v>0.161</c:v>
                </c:pt>
                <c:pt idx="316">
                  <c:v>0.97219580315956022</c:v>
                </c:pt>
                <c:pt idx="317">
                  <c:v>0.48809552446925969</c:v>
                </c:pt>
                <c:pt idx="318">
                  <c:v>0.48809552446925969</c:v>
                </c:pt>
                <c:pt idx="319">
                  <c:v>0.48809552446925969</c:v>
                </c:pt>
                <c:pt idx="320">
                  <c:v>0.79425724514330887</c:v>
                </c:pt>
                <c:pt idx="321">
                  <c:v>0.39876062555693464</c:v>
                </c:pt>
                <c:pt idx="322">
                  <c:v>0.39876062555693464</c:v>
                </c:pt>
                <c:pt idx="323">
                  <c:v>0.39876062555693464</c:v>
                </c:pt>
                <c:pt idx="324">
                  <c:v>1.1232163241262372</c:v>
                </c:pt>
                <c:pt idx="325">
                  <c:v>0.56391609492151973</c:v>
                </c:pt>
                <c:pt idx="326">
                  <c:v>0.56391609492151973</c:v>
                </c:pt>
                <c:pt idx="327">
                  <c:v>0.56391609492151973</c:v>
                </c:pt>
                <c:pt idx="328">
                  <c:v>0.56391609492151973</c:v>
                </c:pt>
                <c:pt idx="329">
                  <c:v>0.28311675612345943</c:v>
                </c:pt>
                <c:pt idx="330">
                  <c:v>0.161</c:v>
                </c:pt>
                <c:pt idx="331">
                  <c:v>0.161</c:v>
                </c:pt>
                <c:pt idx="332">
                  <c:v>0.161</c:v>
                </c:pt>
                <c:pt idx="333">
                  <c:v>0.161</c:v>
                </c:pt>
                <c:pt idx="334">
                  <c:v>0.161</c:v>
                </c:pt>
                <c:pt idx="335">
                  <c:v>0.161</c:v>
                </c:pt>
                <c:pt idx="336">
                  <c:v>0.34500000000000003</c:v>
                </c:pt>
                <c:pt idx="337">
                  <c:v>0.17320889001436818</c:v>
                </c:pt>
                <c:pt idx="338">
                  <c:v>0.43748130149511583</c:v>
                </c:pt>
                <c:pt idx="339">
                  <c:v>0.43748130149511583</c:v>
                </c:pt>
                <c:pt idx="340">
                  <c:v>0.43748130149511583</c:v>
                </c:pt>
                <c:pt idx="341">
                  <c:v>0.2196395670551019</c:v>
                </c:pt>
                <c:pt idx="342">
                  <c:v>0.161</c:v>
                </c:pt>
                <c:pt idx="343">
                  <c:v>0.34562630906087133</c:v>
                </c:pt>
                <c:pt idx="344">
                  <c:v>0.67708300392117082</c:v>
                </c:pt>
                <c:pt idx="345">
                  <c:v>0.33993274074429014</c:v>
                </c:pt>
                <c:pt idx="346">
                  <c:v>0.39725580576864256</c:v>
                </c:pt>
                <c:pt idx="347">
                  <c:v>0.39725580576864256</c:v>
                </c:pt>
                <c:pt idx="348">
                  <c:v>0.9079668508424148</c:v>
                </c:pt>
                <c:pt idx="349">
                  <c:v>0.45584907363552474</c:v>
                </c:pt>
                <c:pt idx="350">
                  <c:v>0.46459892746209164</c:v>
                </c:pt>
                <c:pt idx="351">
                  <c:v>0.86190855066965022</c:v>
                </c:pt>
                <c:pt idx="352">
                  <c:v>0.86190855066965022</c:v>
                </c:pt>
                <c:pt idx="353">
                  <c:v>0.43272528508806646</c:v>
                </c:pt>
                <c:pt idx="354">
                  <c:v>0.43272528508806646</c:v>
                </c:pt>
                <c:pt idx="355">
                  <c:v>0.43272528508806646</c:v>
                </c:pt>
                <c:pt idx="356">
                  <c:v>0.69808958627392714</c:v>
                </c:pt>
                <c:pt idx="357">
                  <c:v>0.35047919527274324</c:v>
                </c:pt>
                <c:pt idx="358">
                  <c:v>0.67760197551391177</c:v>
                </c:pt>
                <c:pt idx="359">
                  <c:v>1.1489313129126624</c:v>
                </c:pt>
                <c:pt idx="360">
                  <c:v>1.6659504037233606</c:v>
                </c:pt>
                <c:pt idx="361">
                  <c:v>0.83639831955916466</c:v>
                </c:pt>
                <c:pt idx="362">
                  <c:v>0.83639831955916466</c:v>
                </c:pt>
                <c:pt idx="363">
                  <c:v>1.2139318745362719</c:v>
                </c:pt>
                <c:pt idx="364">
                  <c:v>1.9306679728238738</c:v>
                </c:pt>
                <c:pt idx="365">
                  <c:v>0.96930103350467678</c:v>
                </c:pt>
                <c:pt idx="366">
                  <c:v>0.96930103350467678</c:v>
                </c:pt>
                <c:pt idx="367">
                  <c:v>1.3818877280944131</c:v>
                </c:pt>
                <c:pt idx="368">
                  <c:v>1.3818877280944131</c:v>
                </c:pt>
                <c:pt idx="369">
                  <c:v>0.6937833029208994</c:v>
                </c:pt>
                <c:pt idx="370">
                  <c:v>0.6937833029208994</c:v>
                </c:pt>
                <c:pt idx="371">
                  <c:v>0.6937833029208994</c:v>
                </c:pt>
                <c:pt idx="372">
                  <c:v>0.6937833029208994</c:v>
                </c:pt>
                <c:pt idx="373">
                  <c:v>0.34831720524472792</c:v>
                </c:pt>
                <c:pt idx="374">
                  <c:v>0.16100000000000003</c:v>
                </c:pt>
                <c:pt idx="375">
                  <c:v>0.161</c:v>
                </c:pt>
                <c:pt idx="376">
                  <c:v>0.161</c:v>
                </c:pt>
                <c:pt idx="377">
                  <c:v>0.161</c:v>
                </c:pt>
                <c:pt idx="378">
                  <c:v>0.161</c:v>
                </c:pt>
                <c:pt idx="379">
                  <c:v>0.34557703473211504</c:v>
                </c:pt>
                <c:pt idx="380">
                  <c:v>0.67902132276887717</c:v>
                </c:pt>
                <c:pt idx="381">
                  <c:v>0.34090588293589924</c:v>
                </c:pt>
                <c:pt idx="382">
                  <c:v>0.36458805767405711</c:v>
                </c:pt>
                <c:pt idx="383">
                  <c:v>0.36458805767405711</c:v>
                </c:pt>
                <c:pt idx="384">
                  <c:v>0.36458805767405711</c:v>
                </c:pt>
                <c:pt idx="385">
                  <c:v>0.16100000000000003</c:v>
                </c:pt>
                <c:pt idx="386">
                  <c:v>0.161</c:v>
                </c:pt>
                <c:pt idx="387">
                  <c:v>0.161</c:v>
                </c:pt>
                <c:pt idx="388">
                  <c:v>0.161</c:v>
                </c:pt>
                <c:pt idx="389">
                  <c:v>0.161</c:v>
                </c:pt>
                <c:pt idx="390">
                  <c:v>0.161</c:v>
                </c:pt>
                <c:pt idx="391">
                  <c:v>0.161</c:v>
                </c:pt>
                <c:pt idx="392">
                  <c:v>0.161</c:v>
                </c:pt>
                <c:pt idx="393">
                  <c:v>0.161</c:v>
                </c:pt>
                <c:pt idx="394">
                  <c:v>0.161</c:v>
                </c:pt>
                <c:pt idx="395">
                  <c:v>0.75622652264730872</c:v>
                </c:pt>
                <c:pt idx="396">
                  <c:v>1.6357697507968756</c:v>
                </c:pt>
                <c:pt idx="397">
                  <c:v>0.82124597928871435</c:v>
                </c:pt>
                <c:pt idx="398">
                  <c:v>0.82124597928871435</c:v>
                </c:pt>
                <c:pt idx="399">
                  <c:v>1.2873731790064189</c:v>
                </c:pt>
                <c:pt idx="400">
                  <c:v>1.2873731790064189</c:v>
                </c:pt>
                <c:pt idx="401">
                  <c:v>0.64633182426078351</c:v>
                </c:pt>
              </c:numCache>
            </c:numRef>
          </c:val>
          <c:smooth val="0"/>
          <c:extLst>
            <c:ext xmlns:c16="http://schemas.microsoft.com/office/drawing/2014/chart" uri="{C3380CC4-5D6E-409C-BE32-E72D297353CC}">
              <c16:uniqueId val="{00000000-066D-468F-9517-47F3C9D9456D}"/>
            </c:ext>
          </c:extLst>
        </c:ser>
        <c:ser>
          <c:idx val="1"/>
          <c:order val="1"/>
          <c:tx>
            <c:strRef>
              <c:f>'LR Comparison'!$C$1:$C$2</c:f>
              <c:strCache>
                <c:ptCount val="2"/>
                <c:pt idx="0">
                  <c:v>DSE/ha</c:v>
                </c:pt>
                <c:pt idx="1">
                  <c:v>Without development</c:v>
                </c:pt>
              </c:strCache>
            </c:strRef>
          </c:tx>
          <c:spPr>
            <a:ln w="28575" cap="rnd">
              <a:solidFill>
                <a:schemeClr val="accent2"/>
              </a:solidFill>
              <a:round/>
            </a:ln>
            <a:effectLst/>
          </c:spPr>
          <c:marker>
            <c:symbol val="none"/>
          </c:marker>
          <c:cat>
            <c:numRef>
              <c:f>'LR Comparison'!$A$3:$A$405</c:f>
              <c:numCache>
                <c:formatCode>m/d/yyyy</c:formatCode>
                <c:ptCount val="403"/>
                <c:pt idx="0">
                  <c:v>3439</c:v>
                </c:pt>
                <c:pt idx="1">
                  <c:v>3531</c:v>
                </c:pt>
                <c:pt idx="2">
                  <c:v>3622</c:v>
                </c:pt>
                <c:pt idx="3">
                  <c:v>3712</c:v>
                </c:pt>
                <c:pt idx="4">
                  <c:v>3804</c:v>
                </c:pt>
                <c:pt idx="5">
                  <c:v>3896</c:v>
                </c:pt>
                <c:pt idx="6">
                  <c:v>3987</c:v>
                </c:pt>
                <c:pt idx="7">
                  <c:v>4077</c:v>
                </c:pt>
                <c:pt idx="8">
                  <c:v>4169</c:v>
                </c:pt>
                <c:pt idx="9">
                  <c:v>4261</c:v>
                </c:pt>
                <c:pt idx="10">
                  <c:v>4352</c:v>
                </c:pt>
                <c:pt idx="11">
                  <c:v>4442</c:v>
                </c:pt>
                <c:pt idx="12">
                  <c:v>4535</c:v>
                </c:pt>
                <c:pt idx="13">
                  <c:v>4627</c:v>
                </c:pt>
                <c:pt idx="14">
                  <c:v>4718</c:v>
                </c:pt>
                <c:pt idx="15">
                  <c:v>4808</c:v>
                </c:pt>
                <c:pt idx="16">
                  <c:v>4900</c:v>
                </c:pt>
                <c:pt idx="17">
                  <c:v>4992</c:v>
                </c:pt>
                <c:pt idx="18">
                  <c:v>5083</c:v>
                </c:pt>
                <c:pt idx="19">
                  <c:v>5173</c:v>
                </c:pt>
                <c:pt idx="20">
                  <c:v>5265</c:v>
                </c:pt>
                <c:pt idx="21">
                  <c:v>5357</c:v>
                </c:pt>
                <c:pt idx="22">
                  <c:v>5448</c:v>
                </c:pt>
                <c:pt idx="23">
                  <c:v>5538</c:v>
                </c:pt>
                <c:pt idx="24">
                  <c:v>5630</c:v>
                </c:pt>
                <c:pt idx="25">
                  <c:v>5722</c:v>
                </c:pt>
                <c:pt idx="26">
                  <c:v>5813</c:v>
                </c:pt>
                <c:pt idx="27">
                  <c:v>5903</c:v>
                </c:pt>
                <c:pt idx="28">
                  <c:v>5996</c:v>
                </c:pt>
                <c:pt idx="29">
                  <c:v>6088</c:v>
                </c:pt>
                <c:pt idx="30">
                  <c:v>6179</c:v>
                </c:pt>
                <c:pt idx="31">
                  <c:v>6269</c:v>
                </c:pt>
                <c:pt idx="32">
                  <c:v>6361</c:v>
                </c:pt>
                <c:pt idx="33">
                  <c:v>6453</c:v>
                </c:pt>
                <c:pt idx="34">
                  <c:v>6544</c:v>
                </c:pt>
                <c:pt idx="35">
                  <c:v>6634</c:v>
                </c:pt>
                <c:pt idx="36">
                  <c:v>6726</c:v>
                </c:pt>
                <c:pt idx="37">
                  <c:v>6818</c:v>
                </c:pt>
                <c:pt idx="38">
                  <c:v>6909</c:v>
                </c:pt>
                <c:pt idx="39">
                  <c:v>6999</c:v>
                </c:pt>
                <c:pt idx="40">
                  <c:v>7091</c:v>
                </c:pt>
                <c:pt idx="41">
                  <c:v>7183</c:v>
                </c:pt>
                <c:pt idx="42">
                  <c:v>7274</c:v>
                </c:pt>
                <c:pt idx="43">
                  <c:v>7364</c:v>
                </c:pt>
                <c:pt idx="44">
                  <c:v>7457</c:v>
                </c:pt>
                <c:pt idx="45">
                  <c:v>7549</c:v>
                </c:pt>
                <c:pt idx="46">
                  <c:v>7640</c:v>
                </c:pt>
                <c:pt idx="47">
                  <c:v>7730</c:v>
                </c:pt>
                <c:pt idx="48">
                  <c:v>7822</c:v>
                </c:pt>
                <c:pt idx="49">
                  <c:v>7914</c:v>
                </c:pt>
                <c:pt idx="50">
                  <c:v>8005</c:v>
                </c:pt>
                <c:pt idx="51">
                  <c:v>8095</c:v>
                </c:pt>
                <c:pt idx="52">
                  <c:v>8187</c:v>
                </c:pt>
                <c:pt idx="53">
                  <c:v>8279</c:v>
                </c:pt>
                <c:pt idx="54">
                  <c:v>8370</c:v>
                </c:pt>
                <c:pt idx="55">
                  <c:v>8460</c:v>
                </c:pt>
                <c:pt idx="56">
                  <c:v>8552</c:v>
                </c:pt>
                <c:pt idx="57">
                  <c:v>8644</c:v>
                </c:pt>
                <c:pt idx="58">
                  <c:v>8735</c:v>
                </c:pt>
                <c:pt idx="59">
                  <c:v>8825</c:v>
                </c:pt>
                <c:pt idx="60">
                  <c:v>8918</c:v>
                </c:pt>
                <c:pt idx="61">
                  <c:v>9010</c:v>
                </c:pt>
                <c:pt idx="62">
                  <c:v>9101</c:v>
                </c:pt>
                <c:pt idx="63">
                  <c:v>9191</c:v>
                </c:pt>
                <c:pt idx="64">
                  <c:v>9283</c:v>
                </c:pt>
                <c:pt idx="65">
                  <c:v>9375</c:v>
                </c:pt>
                <c:pt idx="66">
                  <c:v>9466</c:v>
                </c:pt>
                <c:pt idx="67">
                  <c:v>9556</c:v>
                </c:pt>
                <c:pt idx="68">
                  <c:v>9648</c:v>
                </c:pt>
                <c:pt idx="69">
                  <c:v>9740</c:v>
                </c:pt>
                <c:pt idx="70">
                  <c:v>9831</c:v>
                </c:pt>
                <c:pt idx="71">
                  <c:v>9921</c:v>
                </c:pt>
                <c:pt idx="72">
                  <c:v>10013</c:v>
                </c:pt>
                <c:pt idx="73">
                  <c:v>10105</c:v>
                </c:pt>
                <c:pt idx="74">
                  <c:v>10196</c:v>
                </c:pt>
                <c:pt idx="75">
                  <c:v>10286</c:v>
                </c:pt>
                <c:pt idx="76">
                  <c:v>10379</c:v>
                </c:pt>
                <c:pt idx="77">
                  <c:v>10471</c:v>
                </c:pt>
                <c:pt idx="78">
                  <c:v>10562</c:v>
                </c:pt>
                <c:pt idx="79">
                  <c:v>10652</c:v>
                </c:pt>
                <c:pt idx="80">
                  <c:v>10744</c:v>
                </c:pt>
                <c:pt idx="81">
                  <c:v>10836</c:v>
                </c:pt>
                <c:pt idx="82">
                  <c:v>10927</c:v>
                </c:pt>
                <c:pt idx="83">
                  <c:v>11017</c:v>
                </c:pt>
                <c:pt idx="84">
                  <c:v>11109</c:v>
                </c:pt>
                <c:pt idx="85">
                  <c:v>11201</c:v>
                </c:pt>
                <c:pt idx="86">
                  <c:v>11292</c:v>
                </c:pt>
                <c:pt idx="87">
                  <c:v>11382</c:v>
                </c:pt>
                <c:pt idx="88">
                  <c:v>11474</c:v>
                </c:pt>
                <c:pt idx="89">
                  <c:v>11566</c:v>
                </c:pt>
                <c:pt idx="90">
                  <c:v>11657</c:v>
                </c:pt>
                <c:pt idx="91">
                  <c:v>11747</c:v>
                </c:pt>
                <c:pt idx="92">
                  <c:v>11840</c:v>
                </c:pt>
                <c:pt idx="93">
                  <c:v>11932</c:v>
                </c:pt>
                <c:pt idx="94">
                  <c:v>12023</c:v>
                </c:pt>
                <c:pt idx="95">
                  <c:v>12113</c:v>
                </c:pt>
                <c:pt idx="96">
                  <c:v>12205</c:v>
                </c:pt>
                <c:pt idx="97">
                  <c:v>12297</c:v>
                </c:pt>
                <c:pt idx="98">
                  <c:v>12388</c:v>
                </c:pt>
                <c:pt idx="99">
                  <c:v>12478</c:v>
                </c:pt>
                <c:pt idx="100">
                  <c:v>12570</c:v>
                </c:pt>
                <c:pt idx="101">
                  <c:v>12662</c:v>
                </c:pt>
                <c:pt idx="102">
                  <c:v>12753</c:v>
                </c:pt>
                <c:pt idx="103">
                  <c:v>12843</c:v>
                </c:pt>
                <c:pt idx="104">
                  <c:v>12935</c:v>
                </c:pt>
                <c:pt idx="105">
                  <c:v>13027</c:v>
                </c:pt>
                <c:pt idx="106">
                  <c:v>13118</c:v>
                </c:pt>
                <c:pt idx="107">
                  <c:v>13208</c:v>
                </c:pt>
                <c:pt idx="108">
                  <c:v>13301</c:v>
                </c:pt>
                <c:pt idx="109">
                  <c:v>13393</c:v>
                </c:pt>
                <c:pt idx="110">
                  <c:v>13484</c:v>
                </c:pt>
                <c:pt idx="111">
                  <c:v>13574</c:v>
                </c:pt>
                <c:pt idx="112">
                  <c:v>13666</c:v>
                </c:pt>
                <c:pt idx="113">
                  <c:v>13758</c:v>
                </c:pt>
                <c:pt idx="114">
                  <c:v>13849</c:v>
                </c:pt>
                <c:pt idx="115">
                  <c:v>13939</c:v>
                </c:pt>
                <c:pt idx="116">
                  <c:v>14031</c:v>
                </c:pt>
                <c:pt idx="117">
                  <c:v>14123</c:v>
                </c:pt>
                <c:pt idx="118">
                  <c:v>14214</c:v>
                </c:pt>
                <c:pt idx="119">
                  <c:v>14304</c:v>
                </c:pt>
                <c:pt idx="120">
                  <c:v>14396</c:v>
                </c:pt>
                <c:pt idx="121">
                  <c:v>14488</c:v>
                </c:pt>
                <c:pt idx="122">
                  <c:v>14579</c:v>
                </c:pt>
                <c:pt idx="123">
                  <c:v>14669</c:v>
                </c:pt>
                <c:pt idx="124">
                  <c:v>14762</c:v>
                </c:pt>
                <c:pt idx="125">
                  <c:v>14854</c:v>
                </c:pt>
                <c:pt idx="126">
                  <c:v>14945</c:v>
                </c:pt>
                <c:pt idx="127">
                  <c:v>15035</c:v>
                </c:pt>
                <c:pt idx="128">
                  <c:v>15127</c:v>
                </c:pt>
                <c:pt idx="129">
                  <c:v>15219</c:v>
                </c:pt>
                <c:pt idx="130">
                  <c:v>15310</c:v>
                </c:pt>
                <c:pt idx="131">
                  <c:v>15400</c:v>
                </c:pt>
                <c:pt idx="132">
                  <c:v>15492</c:v>
                </c:pt>
                <c:pt idx="133">
                  <c:v>15584</c:v>
                </c:pt>
                <c:pt idx="134">
                  <c:v>15675</c:v>
                </c:pt>
                <c:pt idx="135">
                  <c:v>15765</c:v>
                </c:pt>
                <c:pt idx="136">
                  <c:v>15857</c:v>
                </c:pt>
                <c:pt idx="137">
                  <c:v>15949</c:v>
                </c:pt>
                <c:pt idx="138">
                  <c:v>16040</c:v>
                </c:pt>
                <c:pt idx="139">
                  <c:v>16130</c:v>
                </c:pt>
                <c:pt idx="140">
                  <c:v>16223</c:v>
                </c:pt>
                <c:pt idx="141">
                  <c:v>16315</c:v>
                </c:pt>
                <c:pt idx="142">
                  <c:v>16406</c:v>
                </c:pt>
                <c:pt idx="143">
                  <c:v>16496</c:v>
                </c:pt>
                <c:pt idx="144">
                  <c:v>16588</c:v>
                </c:pt>
                <c:pt idx="145">
                  <c:v>16680</c:v>
                </c:pt>
                <c:pt idx="146">
                  <c:v>16771</c:v>
                </c:pt>
                <c:pt idx="147">
                  <c:v>16861</c:v>
                </c:pt>
                <c:pt idx="148">
                  <c:v>16953</c:v>
                </c:pt>
                <c:pt idx="149">
                  <c:v>17045</c:v>
                </c:pt>
                <c:pt idx="150">
                  <c:v>17136</c:v>
                </c:pt>
                <c:pt idx="151">
                  <c:v>17226</c:v>
                </c:pt>
                <c:pt idx="152">
                  <c:v>17318</c:v>
                </c:pt>
                <c:pt idx="153">
                  <c:v>17410</c:v>
                </c:pt>
                <c:pt idx="154">
                  <c:v>17501</c:v>
                </c:pt>
                <c:pt idx="155">
                  <c:v>17591</c:v>
                </c:pt>
                <c:pt idx="156">
                  <c:v>17684</c:v>
                </c:pt>
                <c:pt idx="157">
                  <c:v>17776</c:v>
                </c:pt>
                <c:pt idx="158">
                  <c:v>17867</c:v>
                </c:pt>
                <c:pt idx="159">
                  <c:v>17957</c:v>
                </c:pt>
                <c:pt idx="160">
                  <c:v>18049</c:v>
                </c:pt>
                <c:pt idx="161">
                  <c:v>18141</c:v>
                </c:pt>
                <c:pt idx="162">
                  <c:v>18232</c:v>
                </c:pt>
                <c:pt idx="163">
                  <c:v>18322</c:v>
                </c:pt>
                <c:pt idx="164">
                  <c:v>18414</c:v>
                </c:pt>
                <c:pt idx="165">
                  <c:v>18506</c:v>
                </c:pt>
                <c:pt idx="166">
                  <c:v>18597</c:v>
                </c:pt>
                <c:pt idx="167">
                  <c:v>18687</c:v>
                </c:pt>
                <c:pt idx="168">
                  <c:v>18779</c:v>
                </c:pt>
                <c:pt idx="169">
                  <c:v>18871</c:v>
                </c:pt>
                <c:pt idx="170">
                  <c:v>18962</c:v>
                </c:pt>
                <c:pt idx="171">
                  <c:v>19052</c:v>
                </c:pt>
                <c:pt idx="172">
                  <c:v>19145</c:v>
                </c:pt>
                <c:pt idx="173">
                  <c:v>19237</c:v>
                </c:pt>
                <c:pt idx="174">
                  <c:v>19328</c:v>
                </c:pt>
                <c:pt idx="175">
                  <c:v>19418</c:v>
                </c:pt>
                <c:pt idx="176">
                  <c:v>19510</c:v>
                </c:pt>
                <c:pt idx="177">
                  <c:v>19602</c:v>
                </c:pt>
                <c:pt idx="178">
                  <c:v>19693</c:v>
                </c:pt>
                <c:pt idx="179">
                  <c:v>19783</c:v>
                </c:pt>
                <c:pt idx="180">
                  <c:v>19875</c:v>
                </c:pt>
                <c:pt idx="181">
                  <c:v>19967</c:v>
                </c:pt>
                <c:pt idx="182">
                  <c:v>20058</c:v>
                </c:pt>
                <c:pt idx="183">
                  <c:v>20148</c:v>
                </c:pt>
                <c:pt idx="184">
                  <c:v>20240</c:v>
                </c:pt>
                <c:pt idx="185">
                  <c:v>20332</c:v>
                </c:pt>
                <c:pt idx="186">
                  <c:v>20423</c:v>
                </c:pt>
                <c:pt idx="187">
                  <c:v>20513</c:v>
                </c:pt>
                <c:pt idx="188">
                  <c:v>20606</c:v>
                </c:pt>
                <c:pt idx="189">
                  <c:v>20698</c:v>
                </c:pt>
                <c:pt idx="190">
                  <c:v>20789</c:v>
                </c:pt>
                <c:pt idx="191">
                  <c:v>20879</c:v>
                </c:pt>
                <c:pt idx="192">
                  <c:v>20971</c:v>
                </c:pt>
                <c:pt idx="193">
                  <c:v>21063</c:v>
                </c:pt>
                <c:pt idx="194">
                  <c:v>21154</c:v>
                </c:pt>
                <c:pt idx="195">
                  <c:v>21244</c:v>
                </c:pt>
                <c:pt idx="196">
                  <c:v>21336</c:v>
                </c:pt>
                <c:pt idx="197">
                  <c:v>21428</c:v>
                </c:pt>
                <c:pt idx="198">
                  <c:v>21519</c:v>
                </c:pt>
                <c:pt idx="199">
                  <c:v>21609</c:v>
                </c:pt>
                <c:pt idx="200">
                  <c:v>21701</c:v>
                </c:pt>
                <c:pt idx="201">
                  <c:v>21793</c:v>
                </c:pt>
                <c:pt idx="202">
                  <c:v>21884</c:v>
                </c:pt>
                <c:pt idx="203">
                  <c:v>21974</c:v>
                </c:pt>
                <c:pt idx="204">
                  <c:v>22067</c:v>
                </c:pt>
                <c:pt idx="205">
                  <c:v>22159</c:v>
                </c:pt>
                <c:pt idx="206">
                  <c:v>22250</c:v>
                </c:pt>
                <c:pt idx="207">
                  <c:v>22340</c:v>
                </c:pt>
                <c:pt idx="208">
                  <c:v>22432</c:v>
                </c:pt>
                <c:pt idx="209">
                  <c:v>22524</c:v>
                </c:pt>
                <c:pt idx="210">
                  <c:v>22615</c:v>
                </c:pt>
                <c:pt idx="211">
                  <c:v>22705</c:v>
                </c:pt>
                <c:pt idx="212">
                  <c:v>22797</c:v>
                </c:pt>
                <c:pt idx="213">
                  <c:v>22889</c:v>
                </c:pt>
                <c:pt idx="214">
                  <c:v>22980</c:v>
                </c:pt>
                <c:pt idx="215">
                  <c:v>23070</c:v>
                </c:pt>
                <c:pt idx="216">
                  <c:v>23162</c:v>
                </c:pt>
                <c:pt idx="217">
                  <c:v>23254</c:v>
                </c:pt>
                <c:pt idx="218">
                  <c:v>23345</c:v>
                </c:pt>
                <c:pt idx="219">
                  <c:v>23435</c:v>
                </c:pt>
                <c:pt idx="220">
                  <c:v>23528</c:v>
                </c:pt>
                <c:pt idx="221">
                  <c:v>23620</c:v>
                </c:pt>
                <c:pt idx="222">
                  <c:v>23711</c:v>
                </c:pt>
                <c:pt idx="223">
                  <c:v>23801</c:v>
                </c:pt>
                <c:pt idx="224">
                  <c:v>23893</c:v>
                </c:pt>
                <c:pt idx="225">
                  <c:v>23985</c:v>
                </c:pt>
                <c:pt idx="226">
                  <c:v>24076</c:v>
                </c:pt>
                <c:pt idx="227">
                  <c:v>24166</c:v>
                </c:pt>
                <c:pt idx="228">
                  <c:v>24258</c:v>
                </c:pt>
                <c:pt idx="229">
                  <c:v>24350</c:v>
                </c:pt>
                <c:pt idx="230">
                  <c:v>24441</c:v>
                </c:pt>
                <c:pt idx="231">
                  <c:v>24531</c:v>
                </c:pt>
                <c:pt idx="232">
                  <c:v>24623</c:v>
                </c:pt>
                <c:pt idx="233">
                  <c:v>24715</c:v>
                </c:pt>
                <c:pt idx="234">
                  <c:v>24806</c:v>
                </c:pt>
                <c:pt idx="235">
                  <c:v>24896</c:v>
                </c:pt>
                <c:pt idx="236">
                  <c:v>24989</c:v>
                </c:pt>
                <c:pt idx="237">
                  <c:v>25081</c:v>
                </c:pt>
                <c:pt idx="238">
                  <c:v>25172</c:v>
                </c:pt>
                <c:pt idx="239">
                  <c:v>25262</c:v>
                </c:pt>
                <c:pt idx="240">
                  <c:v>25354</c:v>
                </c:pt>
                <c:pt idx="241">
                  <c:v>25446</c:v>
                </c:pt>
                <c:pt idx="242">
                  <c:v>25537</c:v>
                </c:pt>
                <c:pt idx="243">
                  <c:v>25627</c:v>
                </c:pt>
                <c:pt idx="244">
                  <c:v>25719</c:v>
                </c:pt>
                <c:pt idx="245">
                  <c:v>25811</c:v>
                </c:pt>
                <c:pt idx="246">
                  <c:v>25902</c:v>
                </c:pt>
                <c:pt idx="247">
                  <c:v>25992</c:v>
                </c:pt>
                <c:pt idx="248">
                  <c:v>26084</c:v>
                </c:pt>
                <c:pt idx="249">
                  <c:v>26176</c:v>
                </c:pt>
                <c:pt idx="250">
                  <c:v>26267</c:v>
                </c:pt>
                <c:pt idx="251">
                  <c:v>26357</c:v>
                </c:pt>
                <c:pt idx="252">
                  <c:v>26450</c:v>
                </c:pt>
                <c:pt idx="253">
                  <c:v>26542</c:v>
                </c:pt>
                <c:pt idx="254">
                  <c:v>26633</c:v>
                </c:pt>
                <c:pt idx="255">
                  <c:v>26723</c:v>
                </c:pt>
                <c:pt idx="256">
                  <c:v>26815</c:v>
                </c:pt>
                <c:pt idx="257">
                  <c:v>26907</c:v>
                </c:pt>
                <c:pt idx="258">
                  <c:v>26998</c:v>
                </c:pt>
                <c:pt idx="259">
                  <c:v>27088</c:v>
                </c:pt>
                <c:pt idx="260">
                  <c:v>27180</c:v>
                </c:pt>
                <c:pt idx="261">
                  <c:v>27272</c:v>
                </c:pt>
                <c:pt idx="262">
                  <c:v>27363</c:v>
                </c:pt>
                <c:pt idx="263">
                  <c:v>27453</c:v>
                </c:pt>
                <c:pt idx="264">
                  <c:v>27545</c:v>
                </c:pt>
                <c:pt idx="265">
                  <c:v>27637</c:v>
                </c:pt>
                <c:pt idx="266">
                  <c:v>27728</c:v>
                </c:pt>
                <c:pt idx="267">
                  <c:v>27818</c:v>
                </c:pt>
                <c:pt idx="268">
                  <c:v>27911</c:v>
                </c:pt>
                <c:pt idx="269">
                  <c:v>28003</c:v>
                </c:pt>
                <c:pt idx="270">
                  <c:v>28094</c:v>
                </c:pt>
                <c:pt idx="271">
                  <c:v>28184</c:v>
                </c:pt>
                <c:pt idx="272">
                  <c:v>28276</c:v>
                </c:pt>
                <c:pt idx="273">
                  <c:v>28368</c:v>
                </c:pt>
                <c:pt idx="274">
                  <c:v>28459</c:v>
                </c:pt>
                <c:pt idx="275">
                  <c:v>28549</c:v>
                </c:pt>
                <c:pt idx="276">
                  <c:v>28641</c:v>
                </c:pt>
                <c:pt idx="277">
                  <c:v>28733</c:v>
                </c:pt>
                <c:pt idx="278">
                  <c:v>28824</c:v>
                </c:pt>
                <c:pt idx="279">
                  <c:v>28914</c:v>
                </c:pt>
                <c:pt idx="280">
                  <c:v>29006</c:v>
                </c:pt>
                <c:pt idx="281">
                  <c:v>29098</c:v>
                </c:pt>
                <c:pt idx="282">
                  <c:v>29189</c:v>
                </c:pt>
                <c:pt idx="283">
                  <c:v>29279</c:v>
                </c:pt>
                <c:pt idx="284">
                  <c:v>29372</c:v>
                </c:pt>
                <c:pt idx="285">
                  <c:v>29464</c:v>
                </c:pt>
                <c:pt idx="286">
                  <c:v>29555</c:v>
                </c:pt>
                <c:pt idx="287">
                  <c:v>29645</c:v>
                </c:pt>
                <c:pt idx="288">
                  <c:v>29737</c:v>
                </c:pt>
                <c:pt idx="289">
                  <c:v>29829</c:v>
                </c:pt>
                <c:pt idx="290">
                  <c:v>29920</c:v>
                </c:pt>
                <c:pt idx="291">
                  <c:v>30010</c:v>
                </c:pt>
                <c:pt idx="292">
                  <c:v>30102</c:v>
                </c:pt>
                <c:pt idx="293">
                  <c:v>30194</c:v>
                </c:pt>
                <c:pt idx="294">
                  <c:v>30285</c:v>
                </c:pt>
                <c:pt idx="295">
                  <c:v>30375</c:v>
                </c:pt>
                <c:pt idx="296">
                  <c:v>30467</c:v>
                </c:pt>
                <c:pt idx="297">
                  <c:v>30559</c:v>
                </c:pt>
                <c:pt idx="298">
                  <c:v>30650</c:v>
                </c:pt>
                <c:pt idx="299">
                  <c:v>30740</c:v>
                </c:pt>
                <c:pt idx="300">
                  <c:v>30833</c:v>
                </c:pt>
                <c:pt idx="301">
                  <c:v>30925</c:v>
                </c:pt>
                <c:pt idx="302">
                  <c:v>31016</c:v>
                </c:pt>
                <c:pt idx="303">
                  <c:v>31106</c:v>
                </c:pt>
                <c:pt idx="304">
                  <c:v>31198</c:v>
                </c:pt>
                <c:pt idx="305">
                  <c:v>31290</c:v>
                </c:pt>
                <c:pt idx="306">
                  <c:v>31381</c:v>
                </c:pt>
                <c:pt idx="307">
                  <c:v>31471</c:v>
                </c:pt>
                <c:pt idx="308">
                  <c:v>31563</c:v>
                </c:pt>
                <c:pt idx="309">
                  <c:v>31655</c:v>
                </c:pt>
                <c:pt idx="310">
                  <c:v>31746</c:v>
                </c:pt>
                <c:pt idx="311">
                  <c:v>31836</c:v>
                </c:pt>
                <c:pt idx="312">
                  <c:v>31928</c:v>
                </c:pt>
                <c:pt idx="313">
                  <c:v>32020</c:v>
                </c:pt>
                <c:pt idx="314">
                  <c:v>32111</c:v>
                </c:pt>
                <c:pt idx="315">
                  <c:v>32201</c:v>
                </c:pt>
                <c:pt idx="316">
                  <c:v>32294</c:v>
                </c:pt>
                <c:pt idx="317">
                  <c:v>32386</c:v>
                </c:pt>
                <c:pt idx="318">
                  <c:v>32477</c:v>
                </c:pt>
                <c:pt idx="319">
                  <c:v>32567</c:v>
                </c:pt>
                <c:pt idx="320">
                  <c:v>32659</c:v>
                </c:pt>
                <c:pt idx="321">
                  <c:v>32751</c:v>
                </c:pt>
                <c:pt idx="322">
                  <c:v>32842</c:v>
                </c:pt>
                <c:pt idx="323">
                  <c:v>32932</c:v>
                </c:pt>
                <c:pt idx="324">
                  <c:v>33024</c:v>
                </c:pt>
                <c:pt idx="325">
                  <c:v>33116</c:v>
                </c:pt>
                <c:pt idx="326">
                  <c:v>33207</c:v>
                </c:pt>
                <c:pt idx="327">
                  <c:v>33297</c:v>
                </c:pt>
                <c:pt idx="328">
                  <c:v>33389</c:v>
                </c:pt>
                <c:pt idx="329">
                  <c:v>33481</c:v>
                </c:pt>
                <c:pt idx="330">
                  <c:v>33572</c:v>
                </c:pt>
                <c:pt idx="331">
                  <c:v>33662</c:v>
                </c:pt>
                <c:pt idx="332">
                  <c:v>33755</c:v>
                </c:pt>
                <c:pt idx="333">
                  <c:v>33847</c:v>
                </c:pt>
                <c:pt idx="334">
                  <c:v>33938</c:v>
                </c:pt>
                <c:pt idx="335">
                  <c:v>34028</c:v>
                </c:pt>
                <c:pt idx="336">
                  <c:v>34120</c:v>
                </c:pt>
                <c:pt idx="337">
                  <c:v>34212</c:v>
                </c:pt>
                <c:pt idx="338">
                  <c:v>34303</c:v>
                </c:pt>
                <c:pt idx="339">
                  <c:v>34393</c:v>
                </c:pt>
                <c:pt idx="340">
                  <c:v>34485</c:v>
                </c:pt>
                <c:pt idx="341">
                  <c:v>34577</c:v>
                </c:pt>
                <c:pt idx="342">
                  <c:v>34668</c:v>
                </c:pt>
                <c:pt idx="343">
                  <c:v>34758</c:v>
                </c:pt>
                <c:pt idx="344">
                  <c:v>34850</c:v>
                </c:pt>
                <c:pt idx="345">
                  <c:v>34942</c:v>
                </c:pt>
                <c:pt idx="346">
                  <c:v>35033</c:v>
                </c:pt>
                <c:pt idx="347">
                  <c:v>35123</c:v>
                </c:pt>
                <c:pt idx="348">
                  <c:v>35216</c:v>
                </c:pt>
                <c:pt idx="349">
                  <c:v>35308</c:v>
                </c:pt>
                <c:pt idx="350">
                  <c:v>35399</c:v>
                </c:pt>
                <c:pt idx="351">
                  <c:v>35489</c:v>
                </c:pt>
                <c:pt idx="352">
                  <c:v>35581</c:v>
                </c:pt>
                <c:pt idx="353">
                  <c:v>35673</c:v>
                </c:pt>
                <c:pt idx="354">
                  <c:v>35764</c:v>
                </c:pt>
                <c:pt idx="355">
                  <c:v>35854</c:v>
                </c:pt>
                <c:pt idx="356">
                  <c:v>35946</c:v>
                </c:pt>
                <c:pt idx="357">
                  <c:v>36038</c:v>
                </c:pt>
                <c:pt idx="358">
                  <c:v>36129</c:v>
                </c:pt>
                <c:pt idx="359">
                  <c:v>36219</c:v>
                </c:pt>
                <c:pt idx="360">
                  <c:v>36311</c:v>
                </c:pt>
                <c:pt idx="361">
                  <c:v>36403</c:v>
                </c:pt>
                <c:pt idx="362">
                  <c:v>36494</c:v>
                </c:pt>
                <c:pt idx="363">
                  <c:v>36584</c:v>
                </c:pt>
                <c:pt idx="364">
                  <c:v>36677</c:v>
                </c:pt>
                <c:pt idx="365">
                  <c:v>36769</c:v>
                </c:pt>
                <c:pt idx="366">
                  <c:v>36860</c:v>
                </c:pt>
                <c:pt idx="367">
                  <c:v>36950</c:v>
                </c:pt>
                <c:pt idx="368">
                  <c:v>37042</c:v>
                </c:pt>
                <c:pt idx="369">
                  <c:v>37134</c:v>
                </c:pt>
                <c:pt idx="370">
                  <c:v>37225</c:v>
                </c:pt>
                <c:pt idx="371">
                  <c:v>37315</c:v>
                </c:pt>
                <c:pt idx="372">
                  <c:v>37407</c:v>
                </c:pt>
                <c:pt idx="373">
                  <c:v>37499</c:v>
                </c:pt>
                <c:pt idx="374">
                  <c:v>37590</c:v>
                </c:pt>
                <c:pt idx="375">
                  <c:v>37680</c:v>
                </c:pt>
                <c:pt idx="376">
                  <c:v>37772</c:v>
                </c:pt>
                <c:pt idx="377">
                  <c:v>37864</c:v>
                </c:pt>
                <c:pt idx="378">
                  <c:v>37955</c:v>
                </c:pt>
                <c:pt idx="379">
                  <c:v>38045</c:v>
                </c:pt>
                <c:pt idx="380">
                  <c:v>38138</c:v>
                </c:pt>
                <c:pt idx="381">
                  <c:v>38230</c:v>
                </c:pt>
                <c:pt idx="382">
                  <c:v>38321</c:v>
                </c:pt>
                <c:pt idx="383">
                  <c:v>38411</c:v>
                </c:pt>
                <c:pt idx="384">
                  <c:v>38503</c:v>
                </c:pt>
                <c:pt idx="385">
                  <c:v>38595</c:v>
                </c:pt>
                <c:pt idx="386">
                  <c:v>38686</c:v>
                </c:pt>
                <c:pt idx="387">
                  <c:v>38776</c:v>
                </c:pt>
                <c:pt idx="388">
                  <c:v>38868</c:v>
                </c:pt>
                <c:pt idx="389">
                  <c:v>38960</c:v>
                </c:pt>
                <c:pt idx="390">
                  <c:v>39051</c:v>
                </c:pt>
                <c:pt idx="391">
                  <c:v>39141</c:v>
                </c:pt>
                <c:pt idx="392">
                  <c:v>39233</c:v>
                </c:pt>
                <c:pt idx="393">
                  <c:v>39325</c:v>
                </c:pt>
                <c:pt idx="394">
                  <c:v>39416</c:v>
                </c:pt>
                <c:pt idx="395">
                  <c:v>39506</c:v>
                </c:pt>
                <c:pt idx="396">
                  <c:v>39599</c:v>
                </c:pt>
                <c:pt idx="397">
                  <c:v>39691</c:v>
                </c:pt>
                <c:pt idx="398">
                  <c:v>39782</c:v>
                </c:pt>
                <c:pt idx="399">
                  <c:v>39872</c:v>
                </c:pt>
                <c:pt idx="400">
                  <c:v>39964</c:v>
                </c:pt>
                <c:pt idx="401">
                  <c:v>40056</c:v>
                </c:pt>
              </c:numCache>
            </c:numRef>
          </c:cat>
          <c:val>
            <c:numRef>
              <c:f>'LR Comparison'!$C$3:$C$405</c:f>
              <c:numCache>
                <c:formatCode>0.000</c:formatCode>
                <c:ptCount val="403"/>
                <c:pt idx="0">
                  <c:v>0.5</c:v>
                </c:pt>
                <c:pt idx="1">
                  <c:v>0.25102737683241766</c:v>
                </c:pt>
                <c:pt idx="2">
                  <c:v>0.25758396669909145</c:v>
                </c:pt>
                <c:pt idx="3">
                  <c:v>0.25758396669909145</c:v>
                </c:pt>
                <c:pt idx="4">
                  <c:v>0.27165544082683929</c:v>
                </c:pt>
                <c:pt idx="5">
                  <c:v>0.161</c:v>
                </c:pt>
                <c:pt idx="6">
                  <c:v>0.30166359923390151</c:v>
                </c:pt>
                <c:pt idx="7">
                  <c:v>0.67745204464186126</c:v>
                </c:pt>
                <c:pt idx="8">
                  <c:v>1.2026924382437634</c:v>
                </c:pt>
                <c:pt idx="9">
                  <c:v>0.60381745581703272</c:v>
                </c:pt>
                <c:pt idx="10">
                  <c:v>0.60381745581703272</c:v>
                </c:pt>
                <c:pt idx="11">
                  <c:v>0.60381745581703272</c:v>
                </c:pt>
                <c:pt idx="12">
                  <c:v>0.16100000000000003</c:v>
                </c:pt>
                <c:pt idx="13">
                  <c:v>0.161</c:v>
                </c:pt>
                <c:pt idx="14">
                  <c:v>0.26604238963772697</c:v>
                </c:pt>
                <c:pt idx="15">
                  <c:v>0.26604238963772697</c:v>
                </c:pt>
                <c:pt idx="16">
                  <c:v>0.42431154688040268</c:v>
                </c:pt>
                <c:pt idx="17">
                  <c:v>0.21302762914618575</c:v>
                </c:pt>
                <c:pt idx="18">
                  <c:v>0.17134056367842634</c:v>
                </c:pt>
                <c:pt idx="19">
                  <c:v>0.35610101197967969</c:v>
                </c:pt>
                <c:pt idx="20">
                  <c:v>0.35610101197967969</c:v>
                </c:pt>
                <c:pt idx="21">
                  <c:v>0.17878220584925661</c:v>
                </c:pt>
                <c:pt idx="22">
                  <c:v>0.32737016395306018</c:v>
                </c:pt>
                <c:pt idx="23">
                  <c:v>0.32737016395306018</c:v>
                </c:pt>
                <c:pt idx="24">
                  <c:v>0.32737016395306018</c:v>
                </c:pt>
                <c:pt idx="25">
                  <c:v>0.16435774702067035</c:v>
                </c:pt>
                <c:pt idx="26">
                  <c:v>0.16100000000000003</c:v>
                </c:pt>
                <c:pt idx="27">
                  <c:v>0.161</c:v>
                </c:pt>
                <c:pt idx="28">
                  <c:v>0.161</c:v>
                </c:pt>
                <c:pt idx="29">
                  <c:v>0.161</c:v>
                </c:pt>
                <c:pt idx="30">
                  <c:v>0.38225001686884463</c:v>
                </c:pt>
                <c:pt idx="31">
                  <c:v>0.79727770949007182</c:v>
                </c:pt>
                <c:pt idx="32">
                  <c:v>1.1610468602947994</c:v>
                </c:pt>
                <c:pt idx="33">
                  <c:v>0.582909095438636</c:v>
                </c:pt>
                <c:pt idx="34">
                  <c:v>0.5869680275382676</c:v>
                </c:pt>
                <c:pt idx="35">
                  <c:v>0.5869680275382676</c:v>
                </c:pt>
                <c:pt idx="36">
                  <c:v>0.5869680275382676</c:v>
                </c:pt>
                <c:pt idx="37">
                  <c:v>0.29469008847485917</c:v>
                </c:pt>
                <c:pt idx="38">
                  <c:v>0.19249642327607028</c:v>
                </c:pt>
                <c:pt idx="39">
                  <c:v>0.19249642327607028</c:v>
                </c:pt>
                <c:pt idx="40">
                  <c:v>0.19249642327607028</c:v>
                </c:pt>
                <c:pt idx="41">
                  <c:v>0.161</c:v>
                </c:pt>
                <c:pt idx="42">
                  <c:v>0.161</c:v>
                </c:pt>
                <c:pt idx="43">
                  <c:v>0.161</c:v>
                </c:pt>
                <c:pt idx="44">
                  <c:v>0.161</c:v>
                </c:pt>
                <c:pt idx="45">
                  <c:v>0.161</c:v>
                </c:pt>
                <c:pt idx="46">
                  <c:v>0.41153914589081375</c:v>
                </c:pt>
                <c:pt idx="47">
                  <c:v>0.41153914589081375</c:v>
                </c:pt>
                <c:pt idx="48">
                  <c:v>0.78975585867210796</c:v>
                </c:pt>
                <c:pt idx="49">
                  <c:v>0.39650068308098557</c:v>
                </c:pt>
                <c:pt idx="50">
                  <c:v>0.42867695833498054</c:v>
                </c:pt>
                <c:pt idx="51">
                  <c:v>1.0375370344546584</c:v>
                </c:pt>
                <c:pt idx="52">
                  <c:v>1.5166749294234294</c:v>
                </c:pt>
                <c:pt idx="53">
                  <c:v>0.76145385808131127</c:v>
                </c:pt>
                <c:pt idx="54">
                  <c:v>0.76145385808131127</c:v>
                </c:pt>
                <c:pt idx="55">
                  <c:v>0.76145385808131127</c:v>
                </c:pt>
                <c:pt idx="56">
                  <c:v>0.16100000000000003</c:v>
                </c:pt>
                <c:pt idx="57">
                  <c:v>0.16100000000000003</c:v>
                </c:pt>
                <c:pt idx="58">
                  <c:v>0.16100000000000003</c:v>
                </c:pt>
                <c:pt idx="59">
                  <c:v>0.16100000000000003</c:v>
                </c:pt>
                <c:pt idx="60">
                  <c:v>0.43106311135257153</c:v>
                </c:pt>
                <c:pt idx="61">
                  <c:v>0.21641728418411271</c:v>
                </c:pt>
                <c:pt idx="62">
                  <c:v>0.3274608443717103</c:v>
                </c:pt>
                <c:pt idx="63">
                  <c:v>0.3274608443717103</c:v>
                </c:pt>
                <c:pt idx="64">
                  <c:v>0.32975640514787186</c:v>
                </c:pt>
                <c:pt idx="65">
                  <c:v>0.16555577075591643</c:v>
                </c:pt>
                <c:pt idx="66">
                  <c:v>0.161</c:v>
                </c:pt>
                <c:pt idx="67">
                  <c:v>0.34541106388015741</c:v>
                </c:pt>
                <c:pt idx="68">
                  <c:v>1.0067816137391095</c:v>
                </c:pt>
                <c:pt idx="69">
                  <c:v>0.50545949508007393</c:v>
                </c:pt>
                <c:pt idx="70">
                  <c:v>0.50545949508007393</c:v>
                </c:pt>
                <c:pt idx="71">
                  <c:v>0.50545949508007393</c:v>
                </c:pt>
                <c:pt idx="72">
                  <c:v>0.50918913360974039</c:v>
                </c:pt>
                <c:pt idx="73">
                  <c:v>0.16100000000000003</c:v>
                </c:pt>
                <c:pt idx="74">
                  <c:v>0.16100000000000003</c:v>
                </c:pt>
                <c:pt idx="75">
                  <c:v>0.18414862633908424</c:v>
                </c:pt>
                <c:pt idx="76">
                  <c:v>0.58540496050112212</c:v>
                </c:pt>
                <c:pt idx="77">
                  <c:v>0.29390534323856349</c:v>
                </c:pt>
                <c:pt idx="78">
                  <c:v>0.28185427228026327</c:v>
                </c:pt>
                <c:pt idx="79">
                  <c:v>0.28185427228026327</c:v>
                </c:pt>
                <c:pt idx="80">
                  <c:v>0.16721347328972685</c:v>
                </c:pt>
                <c:pt idx="81">
                  <c:v>0.161</c:v>
                </c:pt>
                <c:pt idx="82">
                  <c:v>0.161</c:v>
                </c:pt>
                <c:pt idx="83">
                  <c:v>0.1863554626719135</c:v>
                </c:pt>
                <c:pt idx="84">
                  <c:v>0.1863554626719135</c:v>
                </c:pt>
                <c:pt idx="85">
                  <c:v>0.161</c:v>
                </c:pt>
                <c:pt idx="86">
                  <c:v>0.161</c:v>
                </c:pt>
                <c:pt idx="87">
                  <c:v>0.161</c:v>
                </c:pt>
                <c:pt idx="88">
                  <c:v>0.34521149168243614</c:v>
                </c:pt>
                <c:pt idx="89">
                  <c:v>0.17331507041889582</c:v>
                </c:pt>
                <c:pt idx="90">
                  <c:v>0.36601405185016511</c:v>
                </c:pt>
                <c:pt idx="91">
                  <c:v>0.36601405185016511</c:v>
                </c:pt>
                <c:pt idx="92">
                  <c:v>0.51143170250048564</c:v>
                </c:pt>
                <c:pt idx="93">
                  <c:v>0.25676671741526863</c:v>
                </c:pt>
                <c:pt idx="94">
                  <c:v>0.22031982855101673</c:v>
                </c:pt>
                <c:pt idx="95">
                  <c:v>0.22031982855101673</c:v>
                </c:pt>
                <c:pt idx="96">
                  <c:v>0.22031982855101673</c:v>
                </c:pt>
                <c:pt idx="97">
                  <c:v>0.161</c:v>
                </c:pt>
                <c:pt idx="98">
                  <c:v>0.31796654728471802</c:v>
                </c:pt>
                <c:pt idx="99">
                  <c:v>0.31796654728471802</c:v>
                </c:pt>
                <c:pt idx="100">
                  <c:v>0.32151437115390114</c:v>
                </c:pt>
                <c:pt idx="101">
                  <c:v>0.16141781840937625</c:v>
                </c:pt>
                <c:pt idx="102">
                  <c:v>0.38120446174093431</c:v>
                </c:pt>
                <c:pt idx="103">
                  <c:v>0.38120446174093431</c:v>
                </c:pt>
                <c:pt idx="104">
                  <c:v>0.38120446174093431</c:v>
                </c:pt>
                <c:pt idx="105">
                  <c:v>0.19138551213528088</c:v>
                </c:pt>
                <c:pt idx="106">
                  <c:v>0.161</c:v>
                </c:pt>
                <c:pt idx="107">
                  <c:v>0.161</c:v>
                </c:pt>
                <c:pt idx="108">
                  <c:v>0.161</c:v>
                </c:pt>
                <c:pt idx="109">
                  <c:v>0.26483081534003849</c:v>
                </c:pt>
                <c:pt idx="110">
                  <c:v>0.161</c:v>
                </c:pt>
                <c:pt idx="111">
                  <c:v>0.161</c:v>
                </c:pt>
                <c:pt idx="112">
                  <c:v>0.49293522776792825</c:v>
                </c:pt>
                <c:pt idx="113">
                  <c:v>0.24748047434974668</c:v>
                </c:pt>
                <c:pt idx="114">
                  <c:v>0.16202199081108731</c:v>
                </c:pt>
                <c:pt idx="115">
                  <c:v>0.348255752107693</c:v>
                </c:pt>
                <c:pt idx="116">
                  <c:v>0.16100000000000003</c:v>
                </c:pt>
                <c:pt idx="117">
                  <c:v>0.16100000000000003</c:v>
                </c:pt>
                <c:pt idx="118">
                  <c:v>0.16100000000000003</c:v>
                </c:pt>
                <c:pt idx="119">
                  <c:v>0.18514896016595542</c:v>
                </c:pt>
                <c:pt idx="120">
                  <c:v>0.18514896016595542</c:v>
                </c:pt>
                <c:pt idx="121">
                  <c:v>0.161</c:v>
                </c:pt>
                <c:pt idx="122">
                  <c:v>0.34178110041299542</c:v>
                </c:pt>
                <c:pt idx="123">
                  <c:v>0.34178110041299542</c:v>
                </c:pt>
                <c:pt idx="124">
                  <c:v>0.34178110041299542</c:v>
                </c:pt>
                <c:pt idx="125">
                  <c:v>0.17159282617514271</c:v>
                </c:pt>
                <c:pt idx="126">
                  <c:v>0.161</c:v>
                </c:pt>
                <c:pt idx="127">
                  <c:v>0.18737292444120698</c:v>
                </c:pt>
                <c:pt idx="128">
                  <c:v>0.49924960873488461</c:v>
                </c:pt>
                <c:pt idx="129">
                  <c:v>0.2506506393306579</c:v>
                </c:pt>
                <c:pt idx="130">
                  <c:v>0.161</c:v>
                </c:pt>
                <c:pt idx="131">
                  <c:v>0.34840191122653386</c:v>
                </c:pt>
                <c:pt idx="132">
                  <c:v>0.17047933599666998</c:v>
                </c:pt>
                <c:pt idx="133">
                  <c:v>0.27341261862115651</c:v>
                </c:pt>
                <c:pt idx="134">
                  <c:v>0.24036371494317024</c:v>
                </c:pt>
                <c:pt idx="135">
                  <c:v>0.24036371494317024</c:v>
                </c:pt>
                <c:pt idx="136">
                  <c:v>0.2443750357506396</c:v>
                </c:pt>
                <c:pt idx="137">
                  <c:v>0.161</c:v>
                </c:pt>
                <c:pt idx="138">
                  <c:v>0.28095292456412557</c:v>
                </c:pt>
                <c:pt idx="139">
                  <c:v>0.28095292456412557</c:v>
                </c:pt>
                <c:pt idx="140">
                  <c:v>0.161</c:v>
                </c:pt>
                <c:pt idx="141">
                  <c:v>0.161</c:v>
                </c:pt>
                <c:pt idx="142">
                  <c:v>0.161</c:v>
                </c:pt>
                <c:pt idx="143">
                  <c:v>0.161</c:v>
                </c:pt>
                <c:pt idx="144">
                  <c:v>0.161</c:v>
                </c:pt>
                <c:pt idx="145">
                  <c:v>0.161</c:v>
                </c:pt>
                <c:pt idx="146">
                  <c:v>0.161</c:v>
                </c:pt>
                <c:pt idx="147">
                  <c:v>0.161</c:v>
                </c:pt>
                <c:pt idx="148">
                  <c:v>0.161</c:v>
                </c:pt>
                <c:pt idx="149">
                  <c:v>0.161</c:v>
                </c:pt>
                <c:pt idx="150">
                  <c:v>0.161</c:v>
                </c:pt>
                <c:pt idx="151">
                  <c:v>0.161</c:v>
                </c:pt>
                <c:pt idx="152">
                  <c:v>0.56845965737200588</c:v>
                </c:pt>
                <c:pt idx="153">
                  <c:v>0.28539787325029903</c:v>
                </c:pt>
                <c:pt idx="154">
                  <c:v>0.36769816944023004</c:v>
                </c:pt>
                <c:pt idx="155">
                  <c:v>0.36769816944023004</c:v>
                </c:pt>
                <c:pt idx="156">
                  <c:v>0.603640970125493</c:v>
                </c:pt>
                <c:pt idx="157">
                  <c:v>0.30306081855835659</c:v>
                </c:pt>
                <c:pt idx="158">
                  <c:v>0.38828732201802141</c:v>
                </c:pt>
                <c:pt idx="159">
                  <c:v>0.38828732201802141</c:v>
                </c:pt>
                <c:pt idx="160">
                  <c:v>0.55904216982289268</c:v>
                </c:pt>
                <c:pt idx="161">
                  <c:v>0.28066977885868738</c:v>
                </c:pt>
                <c:pt idx="162">
                  <c:v>0.34431473019254027</c:v>
                </c:pt>
                <c:pt idx="163">
                  <c:v>0.34431473019254027</c:v>
                </c:pt>
                <c:pt idx="164">
                  <c:v>1.1164070297199327</c:v>
                </c:pt>
                <c:pt idx="165">
                  <c:v>0.56049745629573111</c:v>
                </c:pt>
                <c:pt idx="166">
                  <c:v>0.60945097881081289</c:v>
                </c:pt>
                <c:pt idx="167">
                  <c:v>1.3687707795691331</c:v>
                </c:pt>
                <c:pt idx="168">
                  <c:v>2.0051812977355756</c:v>
                </c:pt>
                <c:pt idx="169">
                  <c:v>1.0067108024879692</c:v>
                </c:pt>
                <c:pt idx="170">
                  <c:v>1.0067108024879692</c:v>
                </c:pt>
                <c:pt idx="171">
                  <c:v>0.16099999999999995</c:v>
                </c:pt>
                <c:pt idx="172">
                  <c:v>0.16099999999999995</c:v>
                </c:pt>
                <c:pt idx="173">
                  <c:v>0.161</c:v>
                </c:pt>
                <c:pt idx="174">
                  <c:v>0.30459075539867286</c:v>
                </c:pt>
                <c:pt idx="175">
                  <c:v>0.30459075539867286</c:v>
                </c:pt>
                <c:pt idx="176">
                  <c:v>0.55198626678008034</c:v>
                </c:pt>
                <c:pt idx="177">
                  <c:v>0.27712732919464528</c:v>
                </c:pt>
                <c:pt idx="178">
                  <c:v>0.2535881808563008</c:v>
                </c:pt>
                <c:pt idx="179">
                  <c:v>0.2535881808563008</c:v>
                </c:pt>
                <c:pt idx="180">
                  <c:v>0.29356395651691947</c:v>
                </c:pt>
                <c:pt idx="181">
                  <c:v>0.161</c:v>
                </c:pt>
                <c:pt idx="182">
                  <c:v>0.41306840065692974</c:v>
                </c:pt>
                <c:pt idx="183">
                  <c:v>0.83831364311460321</c:v>
                </c:pt>
                <c:pt idx="184">
                  <c:v>1.2768299230589908</c:v>
                </c:pt>
                <c:pt idx="185">
                  <c:v>0.64103853249327214</c:v>
                </c:pt>
                <c:pt idx="186">
                  <c:v>0.64665916426994297</c:v>
                </c:pt>
                <c:pt idx="187">
                  <c:v>1.2186850280596842</c:v>
                </c:pt>
                <c:pt idx="188">
                  <c:v>2.5300000000000002</c:v>
                </c:pt>
                <c:pt idx="189">
                  <c:v>1.2701985267720333</c:v>
                </c:pt>
                <c:pt idx="190">
                  <c:v>1.2825433037320328</c:v>
                </c:pt>
                <c:pt idx="191">
                  <c:v>1.9067453482970982</c:v>
                </c:pt>
                <c:pt idx="192">
                  <c:v>1.9086976113273892</c:v>
                </c:pt>
                <c:pt idx="193">
                  <c:v>0.95827070907563183</c:v>
                </c:pt>
                <c:pt idx="194">
                  <c:v>0.95827070907563183</c:v>
                </c:pt>
                <c:pt idx="195">
                  <c:v>0.95827070907563183</c:v>
                </c:pt>
                <c:pt idx="196">
                  <c:v>0.16099999999999995</c:v>
                </c:pt>
                <c:pt idx="197">
                  <c:v>0.161</c:v>
                </c:pt>
                <c:pt idx="198">
                  <c:v>0.1624602608955997</c:v>
                </c:pt>
                <c:pt idx="199">
                  <c:v>0.34792425526610149</c:v>
                </c:pt>
                <c:pt idx="200">
                  <c:v>1.3519584184767004</c:v>
                </c:pt>
                <c:pt idx="201">
                  <c:v>0.67875715075342014</c:v>
                </c:pt>
                <c:pt idx="202">
                  <c:v>0.67875715075342014</c:v>
                </c:pt>
                <c:pt idx="203">
                  <c:v>1.0538085760330593</c:v>
                </c:pt>
                <c:pt idx="204">
                  <c:v>1.0538085760330593</c:v>
                </c:pt>
                <c:pt idx="205">
                  <c:v>0.16099999999999995</c:v>
                </c:pt>
                <c:pt idx="206">
                  <c:v>0.16100000000000003</c:v>
                </c:pt>
                <c:pt idx="207">
                  <c:v>0.16100000000000003</c:v>
                </c:pt>
                <c:pt idx="208">
                  <c:v>0.50053068553031987</c:v>
                </c:pt>
                <c:pt idx="209">
                  <c:v>0.25129381002561585</c:v>
                </c:pt>
                <c:pt idx="210">
                  <c:v>0.21520186356218204</c:v>
                </c:pt>
                <c:pt idx="211">
                  <c:v>0.21520186356218204</c:v>
                </c:pt>
                <c:pt idx="212">
                  <c:v>0.68749375895086284</c:v>
                </c:pt>
                <c:pt idx="213">
                  <c:v>0.34515950979618709</c:v>
                </c:pt>
                <c:pt idx="214">
                  <c:v>0.41715730949041324</c:v>
                </c:pt>
                <c:pt idx="215">
                  <c:v>0.88394684196505924</c:v>
                </c:pt>
                <c:pt idx="216">
                  <c:v>1.7908775627380649</c:v>
                </c:pt>
                <c:pt idx="217">
                  <c:v>0.89911859360433977</c:v>
                </c:pt>
                <c:pt idx="218">
                  <c:v>0.89911859360433977</c:v>
                </c:pt>
                <c:pt idx="219">
                  <c:v>1.3479195500153007</c:v>
                </c:pt>
                <c:pt idx="220">
                  <c:v>1.3479195500153007</c:v>
                </c:pt>
                <c:pt idx="221">
                  <c:v>0.67672941764294725</c:v>
                </c:pt>
                <c:pt idx="222">
                  <c:v>0.67672941764294725</c:v>
                </c:pt>
                <c:pt idx="223">
                  <c:v>0.67672941764294725</c:v>
                </c:pt>
                <c:pt idx="224">
                  <c:v>0.67672941764294725</c:v>
                </c:pt>
                <c:pt idx="225">
                  <c:v>0.3397552210724773</c:v>
                </c:pt>
                <c:pt idx="226">
                  <c:v>0.16100000000000003</c:v>
                </c:pt>
                <c:pt idx="227">
                  <c:v>0.161</c:v>
                </c:pt>
                <c:pt idx="228">
                  <c:v>0.161</c:v>
                </c:pt>
                <c:pt idx="229">
                  <c:v>0.161</c:v>
                </c:pt>
                <c:pt idx="230">
                  <c:v>0.34741095623187701</c:v>
                </c:pt>
                <c:pt idx="231">
                  <c:v>0.34741095623187701</c:v>
                </c:pt>
                <c:pt idx="232">
                  <c:v>0.45518354539086642</c:v>
                </c:pt>
                <c:pt idx="233">
                  <c:v>0.22852706275349782</c:v>
                </c:pt>
                <c:pt idx="234">
                  <c:v>0.161</c:v>
                </c:pt>
                <c:pt idx="235">
                  <c:v>0.34561459800948546</c:v>
                </c:pt>
                <c:pt idx="236">
                  <c:v>0.6538065389918728</c:v>
                </c:pt>
                <c:pt idx="237">
                  <c:v>0.32824668087802322</c:v>
                </c:pt>
                <c:pt idx="238">
                  <c:v>0.29479630650569288</c:v>
                </c:pt>
                <c:pt idx="239">
                  <c:v>0.29479630650569288</c:v>
                </c:pt>
                <c:pt idx="240">
                  <c:v>0.29479630650569288</c:v>
                </c:pt>
                <c:pt idx="241">
                  <c:v>0.161</c:v>
                </c:pt>
                <c:pt idx="242">
                  <c:v>0.36636647841337255</c:v>
                </c:pt>
                <c:pt idx="243">
                  <c:v>0.36636647841337255</c:v>
                </c:pt>
                <c:pt idx="244">
                  <c:v>0.36636647841337255</c:v>
                </c:pt>
                <c:pt idx="245">
                  <c:v>0.18393603207087894</c:v>
                </c:pt>
                <c:pt idx="246">
                  <c:v>0.161</c:v>
                </c:pt>
                <c:pt idx="247">
                  <c:v>1.0456308970578536</c:v>
                </c:pt>
                <c:pt idx="248">
                  <c:v>1.790888047455486</c:v>
                </c:pt>
                <c:pt idx="249">
                  <c:v>0.89912385750656176</c:v>
                </c:pt>
                <c:pt idx="250">
                  <c:v>0.89912385750656176</c:v>
                </c:pt>
                <c:pt idx="251">
                  <c:v>1.3642869919292306</c:v>
                </c:pt>
                <c:pt idx="252">
                  <c:v>1.3714546728188333</c:v>
                </c:pt>
                <c:pt idx="253">
                  <c:v>0.68854533792454653</c:v>
                </c:pt>
                <c:pt idx="254">
                  <c:v>0.69135957573113327</c:v>
                </c:pt>
                <c:pt idx="255">
                  <c:v>0.69135957573113327</c:v>
                </c:pt>
                <c:pt idx="256">
                  <c:v>0.69135957573113327</c:v>
                </c:pt>
                <c:pt idx="257">
                  <c:v>0.34710036148751916</c:v>
                </c:pt>
                <c:pt idx="258">
                  <c:v>0.43465940068450443</c:v>
                </c:pt>
                <c:pt idx="259">
                  <c:v>1.0762194379788632</c:v>
                </c:pt>
                <c:pt idx="260">
                  <c:v>2.5300000000000002</c:v>
                </c:pt>
                <c:pt idx="261">
                  <c:v>1.2701985267720333</c:v>
                </c:pt>
                <c:pt idx="262">
                  <c:v>1.2701985267720333</c:v>
                </c:pt>
                <c:pt idx="263">
                  <c:v>1.8737013181186413</c:v>
                </c:pt>
                <c:pt idx="264">
                  <c:v>1.8737013181186413</c:v>
                </c:pt>
                <c:pt idx="265">
                  <c:v>0.9407006537095316</c:v>
                </c:pt>
                <c:pt idx="266">
                  <c:v>0.9407006537095316</c:v>
                </c:pt>
                <c:pt idx="267">
                  <c:v>1.5566316070790198</c:v>
                </c:pt>
                <c:pt idx="268">
                  <c:v>2.5300000000000002</c:v>
                </c:pt>
                <c:pt idx="269">
                  <c:v>1.2701985267720333</c:v>
                </c:pt>
                <c:pt idx="270">
                  <c:v>1.2701985267720333</c:v>
                </c:pt>
                <c:pt idx="271">
                  <c:v>1.8258441125288534</c:v>
                </c:pt>
                <c:pt idx="272">
                  <c:v>2.5300000000000002</c:v>
                </c:pt>
                <c:pt idx="273">
                  <c:v>1.2701985267720333</c:v>
                </c:pt>
                <c:pt idx="274">
                  <c:v>1.2701985267720333</c:v>
                </c:pt>
                <c:pt idx="275">
                  <c:v>1.2701985267720333</c:v>
                </c:pt>
                <c:pt idx="276">
                  <c:v>1.2701985267720333</c:v>
                </c:pt>
                <c:pt idx="277">
                  <c:v>0.16099999999999995</c:v>
                </c:pt>
                <c:pt idx="278">
                  <c:v>0.36536333921785191</c:v>
                </c:pt>
                <c:pt idx="279">
                  <c:v>0.36536333921785191</c:v>
                </c:pt>
                <c:pt idx="280">
                  <c:v>0.36536333921785191</c:v>
                </c:pt>
                <c:pt idx="281">
                  <c:v>0.18343240126918028</c:v>
                </c:pt>
                <c:pt idx="282">
                  <c:v>0.161</c:v>
                </c:pt>
                <c:pt idx="283">
                  <c:v>0.161</c:v>
                </c:pt>
                <c:pt idx="284">
                  <c:v>0.161</c:v>
                </c:pt>
                <c:pt idx="285">
                  <c:v>0.161</c:v>
                </c:pt>
                <c:pt idx="286">
                  <c:v>0.161</c:v>
                </c:pt>
                <c:pt idx="287">
                  <c:v>0.18570449305220152</c:v>
                </c:pt>
                <c:pt idx="288">
                  <c:v>0.16832325342417667</c:v>
                </c:pt>
                <c:pt idx="289">
                  <c:v>0.27215295174662441</c:v>
                </c:pt>
                <c:pt idx="290">
                  <c:v>0.31721860916458194</c:v>
                </c:pt>
                <c:pt idx="291">
                  <c:v>0.31721860916458194</c:v>
                </c:pt>
                <c:pt idx="292">
                  <c:v>0.32056844307592647</c:v>
                </c:pt>
                <c:pt idx="293">
                  <c:v>0.161</c:v>
                </c:pt>
                <c:pt idx="294">
                  <c:v>0.161</c:v>
                </c:pt>
                <c:pt idx="295">
                  <c:v>0.18551500760892803</c:v>
                </c:pt>
                <c:pt idx="296">
                  <c:v>0.87139595426356342</c:v>
                </c:pt>
                <c:pt idx="297">
                  <c:v>0.43748848116232741</c:v>
                </c:pt>
                <c:pt idx="298">
                  <c:v>0.48489329535457754</c:v>
                </c:pt>
                <c:pt idx="299">
                  <c:v>1.1883563189022621</c:v>
                </c:pt>
                <c:pt idx="300">
                  <c:v>1.7365204422121083</c:v>
                </c:pt>
                <c:pt idx="301">
                  <c:v>0.87182834284875088</c:v>
                </c:pt>
                <c:pt idx="302">
                  <c:v>0.55386567046467161</c:v>
                </c:pt>
                <c:pt idx="303">
                  <c:v>0.55386567046467161</c:v>
                </c:pt>
                <c:pt idx="304">
                  <c:v>0.16100000000000003</c:v>
                </c:pt>
                <c:pt idx="305">
                  <c:v>0.161</c:v>
                </c:pt>
                <c:pt idx="306">
                  <c:v>0.161</c:v>
                </c:pt>
                <c:pt idx="307">
                  <c:v>0.161</c:v>
                </c:pt>
                <c:pt idx="308">
                  <c:v>0.34500000000000003</c:v>
                </c:pt>
                <c:pt idx="309">
                  <c:v>0.17320889001436818</c:v>
                </c:pt>
                <c:pt idx="310">
                  <c:v>0.33508862018860808</c:v>
                </c:pt>
                <c:pt idx="311">
                  <c:v>0.33508862018860808</c:v>
                </c:pt>
                <c:pt idx="312">
                  <c:v>0.33508862018860808</c:v>
                </c:pt>
                <c:pt idx="313">
                  <c:v>0.1682328346646812</c:v>
                </c:pt>
                <c:pt idx="314">
                  <c:v>0.161</c:v>
                </c:pt>
                <c:pt idx="315">
                  <c:v>0.161</c:v>
                </c:pt>
                <c:pt idx="316">
                  <c:v>1.1475953485354469</c:v>
                </c:pt>
                <c:pt idx="317">
                  <c:v>0.57615570001587457</c:v>
                </c:pt>
                <c:pt idx="318">
                  <c:v>0.57615570001587457</c:v>
                </c:pt>
                <c:pt idx="319">
                  <c:v>0.96814103766087822</c:v>
                </c:pt>
                <c:pt idx="320">
                  <c:v>1.4057466468323772</c:v>
                </c:pt>
                <c:pt idx="321">
                  <c:v>0.70576178649059729</c:v>
                </c:pt>
                <c:pt idx="322">
                  <c:v>0.70576178649059729</c:v>
                </c:pt>
                <c:pt idx="323">
                  <c:v>0.70576178649059729</c:v>
                </c:pt>
                <c:pt idx="324">
                  <c:v>1.490057113370969</c:v>
                </c:pt>
                <c:pt idx="325">
                  <c:v>0.74809025699999732</c:v>
                </c:pt>
                <c:pt idx="326">
                  <c:v>0.74809025699999732</c:v>
                </c:pt>
                <c:pt idx="327">
                  <c:v>1.1238755745431603</c:v>
                </c:pt>
                <c:pt idx="328">
                  <c:v>1.1238755745431603</c:v>
                </c:pt>
                <c:pt idx="329">
                  <c:v>0.5642470747271916</c:v>
                </c:pt>
                <c:pt idx="330">
                  <c:v>0.5642470747271916</c:v>
                </c:pt>
                <c:pt idx="331">
                  <c:v>0.5642470747271916</c:v>
                </c:pt>
                <c:pt idx="332">
                  <c:v>0.5642470747271916</c:v>
                </c:pt>
                <c:pt idx="333">
                  <c:v>0.28328292610826411</c:v>
                </c:pt>
                <c:pt idx="334">
                  <c:v>0.19074770425545853</c:v>
                </c:pt>
                <c:pt idx="335">
                  <c:v>0.19074770425545853</c:v>
                </c:pt>
                <c:pt idx="336">
                  <c:v>0.19074770425545853</c:v>
                </c:pt>
                <c:pt idx="337">
                  <c:v>0.161</c:v>
                </c:pt>
                <c:pt idx="338">
                  <c:v>0.42527241148074763</c:v>
                </c:pt>
                <c:pt idx="339">
                  <c:v>0.42527241148074763</c:v>
                </c:pt>
                <c:pt idx="340">
                  <c:v>0.43100143551431275</c:v>
                </c:pt>
                <c:pt idx="341">
                  <c:v>0.21638631953632867</c:v>
                </c:pt>
                <c:pt idx="342">
                  <c:v>0.161</c:v>
                </c:pt>
                <c:pt idx="343">
                  <c:v>0.34702532191862168</c:v>
                </c:pt>
                <c:pt idx="344">
                  <c:v>0.67944151356550642</c:v>
                </c:pt>
                <c:pt idx="345">
                  <c:v>0.34111684172279311</c:v>
                </c:pt>
                <c:pt idx="346">
                  <c:v>0.39843990674714558</c:v>
                </c:pt>
                <c:pt idx="347">
                  <c:v>0.39843990674714558</c:v>
                </c:pt>
                <c:pt idx="348">
                  <c:v>1.1071339061080738</c:v>
                </c:pt>
                <c:pt idx="349">
                  <c:v>0.5558418405050759</c:v>
                </c:pt>
                <c:pt idx="350">
                  <c:v>0.57154422070406585</c:v>
                </c:pt>
                <c:pt idx="351">
                  <c:v>0.9999447904794071</c:v>
                </c:pt>
                <c:pt idx="352">
                  <c:v>1.1130771809465378</c:v>
                </c:pt>
                <c:pt idx="353">
                  <c:v>0.55882568989006332</c:v>
                </c:pt>
                <c:pt idx="354">
                  <c:v>0.55882568989006332</c:v>
                </c:pt>
                <c:pt idx="355">
                  <c:v>0.55882568989006332</c:v>
                </c:pt>
                <c:pt idx="356">
                  <c:v>0.84614786922928464</c:v>
                </c:pt>
                <c:pt idx="357">
                  <c:v>0.42481256004993373</c:v>
                </c:pt>
                <c:pt idx="358">
                  <c:v>0.44559362828855703</c:v>
                </c:pt>
                <c:pt idx="359">
                  <c:v>0.98761062542957589</c:v>
                </c:pt>
                <c:pt idx="360">
                  <c:v>1.444933092389719</c:v>
                </c:pt>
                <c:pt idx="361">
                  <c:v>0.72543552776188902</c:v>
                </c:pt>
                <c:pt idx="362">
                  <c:v>0.72543552776188902</c:v>
                </c:pt>
                <c:pt idx="363">
                  <c:v>1.1120431714991452</c:v>
                </c:pt>
                <c:pt idx="364">
                  <c:v>1.835357702095032</c:v>
                </c:pt>
                <c:pt idx="365">
                  <c:v>0.92145005901217947</c:v>
                </c:pt>
                <c:pt idx="366">
                  <c:v>0.92145005901217947</c:v>
                </c:pt>
                <c:pt idx="367">
                  <c:v>1.3374168660345593</c:v>
                </c:pt>
                <c:pt idx="368">
                  <c:v>1.3374168660345593</c:v>
                </c:pt>
                <c:pt idx="369">
                  <c:v>0.67145649522417661</c:v>
                </c:pt>
                <c:pt idx="370">
                  <c:v>0.67145649522417661</c:v>
                </c:pt>
                <c:pt idx="371">
                  <c:v>0.67145649522417661</c:v>
                </c:pt>
                <c:pt idx="372">
                  <c:v>0.67145649522417661</c:v>
                </c:pt>
                <c:pt idx="373">
                  <c:v>0.33710792530642769</c:v>
                </c:pt>
                <c:pt idx="374">
                  <c:v>0.16100000000000003</c:v>
                </c:pt>
                <c:pt idx="375">
                  <c:v>0.161</c:v>
                </c:pt>
                <c:pt idx="376">
                  <c:v>0.161</c:v>
                </c:pt>
                <c:pt idx="377">
                  <c:v>0.161</c:v>
                </c:pt>
                <c:pt idx="378">
                  <c:v>0.161</c:v>
                </c:pt>
                <c:pt idx="379">
                  <c:v>0.34740327537035137</c:v>
                </c:pt>
                <c:pt idx="380">
                  <c:v>0.74065325450947184</c:v>
                </c:pt>
                <c:pt idx="381">
                  <c:v>0.37184848724381148</c:v>
                </c:pt>
                <c:pt idx="382">
                  <c:v>0.37184848724381148</c:v>
                </c:pt>
                <c:pt idx="383">
                  <c:v>0.37184848724381148</c:v>
                </c:pt>
                <c:pt idx="384">
                  <c:v>0.37184848724381148</c:v>
                </c:pt>
                <c:pt idx="385">
                  <c:v>0.16100000000000003</c:v>
                </c:pt>
                <c:pt idx="386">
                  <c:v>0.161</c:v>
                </c:pt>
                <c:pt idx="387">
                  <c:v>0.161</c:v>
                </c:pt>
                <c:pt idx="388">
                  <c:v>0.161</c:v>
                </c:pt>
                <c:pt idx="389">
                  <c:v>0.161</c:v>
                </c:pt>
                <c:pt idx="390">
                  <c:v>0.161</c:v>
                </c:pt>
                <c:pt idx="391">
                  <c:v>0.161</c:v>
                </c:pt>
                <c:pt idx="392">
                  <c:v>0.161</c:v>
                </c:pt>
                <c:pt idx="393">
                  <c:v>0.161</c:v>
                </c:pt>
                <c:pt idx="394">
                  <c:v>0.161</c:v>
                </c:pt>
                <c:pt idx="395">
                  <c:v>0.78626094396229351</c:v>
                </c:pt>
                <c:pt idx="396">
                  <c:v>1.7251125472615594</c:v>
                </c:pt>
                <c:pt idx="397">
                  <c:v>0.86610095495951867</c:v>
                </c:pt>
                <c:pt idx="398">
                  <c:v>0.86610095495951867</c:v>
                </c:pt>
                <c:pt idx="399">
                  <c:v>1.3427331962509403</c:v>
                </c:pt>
                <c:pt idx="400">
                  <c:v>1.3427331962509403</c:v>
                </c:pt>
                <c:pt idx="401">
                  <c:v>0.67412558408136269</c:v>
                </c:pt>
              </c:numCache>
            </c:numRef>
          </c:val>
          <c:smooth val="0"/>
          <c:extLst>
            <c:ext xmlns:c16="http://schemas.microsoft.com/office/drawing/2014/chart" uri="{C3380CC4-5D6E-409C-BE32-E72D297353CC}">
              <c16:uniqueId val="{00000001-066D-468F-9517-47F3C9D9456D}"/>
            </c:ext>
          </c:extLst>
        </c:ser>
        <c:dLbls>
          <c:showLegendKey val="0"/>
          <c:showVal val="0"/>
          <c:showCatName val="0"/>
          <c:showSerName val="0"/>
          <c:showPercent val="0"/>
          <c:showBubbleSize val="0"/>
        </c:dLbls>
        <c:smooth val="0"/>
        <c:axId val="328182480"/>
        <c:axId val="328182872"/>
      </c:lineChart>
      <c:dateAx>
        <c:axId val="328182480"/>
        <c:scaling>
          <c:orientation val="minMax"/>
          <c:min val="29007"/>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182872"/>
        <c:crosses val="autoZero"/>
        <c:auto val="1"/>
        <c:lblOffset val="100"/>
        <c:baseTimeUnit val="months"/>
      </c:dateAx>
      <c:valAx>
        <c:axId val="328182872"/>
        <c:scaling>
          <c:orientation val="minMax"/>
          <c:max val="2.8"/>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DSE/ha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182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earnings/ha</a:t>
            </a:r>
            <a:r>
              <a:rPr lang="en-AU" baseline="0"/>
              <a:t> - 100 Year</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'LR Comparison'!$Q$1:$Q$2</c:f>
              <c:strCache>
                <c:ptCount val="2"/>
                <c:pt idx="0">
                  <c:v>$/ha</c:v>
                </c:pt>
                <c:pt idx="1">
                  <c:v>390GL</c:v>
                </c:pt>
              </c:strCache>
            </c:strRef>
          </c:tx>
          <c:spPr>
            <a:solidFill>
              <a:schemeClr val="accent1"/>
            </a:solidFill>
            <a:ln>
              <a:noFill/>
            </a:ln>
            <a:effectLst/>
          </c:spPr>
          <c:invertIfNegative val="0"/>
          <c:cat>
            <c:strRef>
              <c:f>'LR Comparison'!$P$3:$P$104</c:f>
              <c:strCache>
                <c:ptCount val="102"/>
                <c:pt idx="0">
                  <c:v>1908/09</c:v>
                </c:pt>
                <c:pt idx="1">
                  <c:v>1909/10</c:v>
                </c:pt>
                <c:pt idx="2">
                  <c:v>1910/11</c:v>
                </c:pt>
                <c:pt idx="3">
                  <c:v>1911/12</c:v>
                </c:pt>
                <c:pt idx="4">
                  <c:v>1912/13</c:v>
                </c:pt>
                <c:pt idx="5">
                  <c:v>1913/14</c:v>
                </c:pt>
                <c:pt idx="6">
                  <c:v>1914/15</c:v>
                </c:pt>
                <c:pt idx="7">
                  <c:v>1915/16</c:v>
                </c:pt>
                <c:pt idx="8">
                  <c:v>1916/17</c:v>
                </c:pt>
                <c:pt idx="9">
                  <c:v>1917/18</c:v>
                </c:pt>
                <c:pt idx="10">
                  <c:v>1918/19</c:v>
                </c:pt>
                <c:pt idx="11">
                  <c:v>1919/20</c:v>
                </c:pt>
                <c:pt idx="12">
                  <c:v>1920/21</c:v>
                </c:pt>
                <c:pt idx="13">
                  <c:v>1921/22</c:v>
                </c:pt>
                <c:pt idx="14">
                  <c:v>1922/23</c:v>
                </c:pt>
                <c:pt idx="15">
                  <c:v>1923/24</c:v>
                </c:pt>
                <c:pt idx="16">
                  <c:v>1924/25</c:v>
                </c:pt>
                <c:pt idx="17">
                  <c:v>1925/26</c:v>
                </c:pt>
                <c:pt idx="18">
                  <c:v>1926/27</c:v>
                </c:pt>
                <c:pt idx="19">
                  <c:v>1927/28</c:v>
                </c:pt>
                <c:pt idx="20">
                  <c:v>1928/29</c:v>
                </c:pt>
                <c:pt idx="21">
                  <c:v>1929/30</c:v>
                </c:pt>
                <c:pt idx="22">
                  <c:v>1930/31</c:v>
                </c:pt>
                <c:pt idx="23">
                  <c:v>1931/32</c:v>
                </c:pt>
                <c:pt idx="24">
                  <c:v>1932/33</c:v>
                </c:pt>
                <c:pt idx="25">
                  <c:v>1933/34</c:v>
                </c:pt>
                <c:pt idx="26">
                  <c:v>1934/35</c:v>
                </c:pt>
                <c:pt idx="27">
                  <c:v>1935/36</c:v>
                </c:pt>
                <c:pt idx="28">
                  <c:v>1936/37</c:v>
                </c:pt>
                <c:pt idx="29">
                  <c:v>1937/38</c:v>
                </c:pt>
                <c:pt idx="30">
                  <c:v>1938/39</c:v>
                </c:pt>
                <c:pt idx="31">
                  <c:v>1939/40</c:v>
                </c:pt>
                <c:pt idx="32">
                  <c:v>1940/41</c:v>
                </c:pt>
                <c:pt idx="33">
                  <c:v>1941/42</c:v>
                </c:pt>
                <c:pt idx="34">
                  <c:v>1942/43</c:v>
                </c:pt>
                <c:pt idx="35">
                  <c:v>1943/44</c:v>
                </c:pt>
                <c:pt idx="36">
                  <c:v>1944/45</c:v>
                </c:pt>
                <c:pt idx="37">
                  <c:v>1945/46</c:v>
                </c:pt>
                <c:pt idx="38">
                  <c:v>1946/47</c:v>
                </c:pt>
                <c:pt idx="39">
                  <c:v>1947/48</c:v>
                </c:pt>
                <c:pt idx="40">
                  <c:v>1948/49</c:v>
                </c:pt>
                <c:pt idx="41">
                  <c:v>1949/50</c:v>
                </c:pt>
                <c:pt idx="42">
                  <c:v>1950/51</c:v>
                </c:pt>
                <c:pt idx="43">
                  <c:v>1951/52</c:v>
                </c:pt>
                <c:pt idx="44">
                  <c:v>1952/53</c:v>
                </c:pt>
                <c:pt idx="45">
                  <c:v>1953/54</c:v>
                </c:pt>
                <c:pt idx="46">
                  <c:v>1954/55</c:v>
                </c:pt>
                <c:pt idx="47">
                  <c:v>1955/56</c:v>
                </c:pt>
                <c:pt idx="48">
                  <c:v>1956/57</c:v>
                </c:pt>
                <c:pt idx="49">
                  <c:v>1957/58</c:v>
                </c:pt>
                <c:pt idx="50">
                  <c:v>1958/59</c:v>
                </c:pt>
                <c:pt idx="51">
                  <c:v>1959/60</c:v>
                </c:pt>
                <c:pt idx="52">
                  <c:v>1960/61</c:v>
                </c:pt>
                <c:pt idx="53">
                  <c:v>1961/62</c:v>
                </c:pt>
                <c:pt idx="54">
                  <c:v>1962/63</c:v>
                </c:pt>
                <c:pt idx="55">
                  <c:v>1963/64</c:v>
                </c:pt>
                <c:pt idx="56">
                  <c:v>1964/65</c:v>
                </c:pt>
                <c:pt idx="57">
                  <c:v>1965/66</c:v>
                </c:pt>
                <c:pt idx="58">
                  <c:v>1966/67</c:v>
                </c:pt>
                <c:pt idx="59">
                  <c:v>1967/68</c:v>
                </c:pt>
                <c:pt idx="60">
                  <c:v>1968/69</c:v>
                </c:pt>
                <c:pt idx="61">
                  <c:v>1969/70</c:v>
                </c:pt>
                <c:pt idx="62">
                  <c:v>1970/71</c:v>
                </c:pt>
                <c:pt idx="63">
                  <c:v>1971/72</c:v>
                </c:pt>
                <c:pt idx="64">
                  <c:v>1972/73</c:v>
                </c:pt>
                <c:pt idx="65">
                  <c:v>1973/74</c:v>
                </c:pt>
                <c:pt idx="66">
                  <c:v>1974/75</c:v>
                </c:pt>
                <c:pt idx="67">
                  <c:v>1975/76</c:v>
                </c:pt>
                <c:pt idx="68">
                  <c:v>1976/77</c:v>
                </c:pt>
                <c:pt idx="69">
                  <c:v>1977/78</c:v>
                </c:pt>
                <c:pt idx="70">
                  <c:v>1978/79</c:v>
                </c:pt>
                <c:pt idx="71">
                  <c:v>1979/80</c:v>
                </c:pt>
                <c:pt idx="72">
                  <c:v>1980/81</c:v>
                </c:pt>
                <c:pt idx="73">
                  <c:v>1981/82</c:v>
                </c:pt>
                <c:pt idx="74">
                  <c:v>1982/83</c:v>
                </c:pt>
                <c:pt idx="75">
                  <c:v>1983/84</c:v>
                </c:pt>
                <c:pt idx="76">
                  <c:v>1984/85</c:v>
                </c:pt>
                <c:pt idx="77">
                  <c:v>1985/86</c:v>
                </c:pt>
                <c:pt idx="78">
                  <c:v>1986/87</c:v>
                </c:pt>
                <c:pt idx="79">
                  <c:v>1987/88</c:v>
                </c:pt>
                <c:pt idx="80">
                  <c:v>1988/89</c:v>
                </c:pt>
                <c:pt idx="81">
                  <c:v>1989/90</c:v>
                </c:pt>
                <c:pt idx="82">
                  <c:v>1990/91</c:v>
                </c:pt>
                <c:pt idx="83">
                  <c:v>1991/92</c:v>
                </c:pt>
                <c:pt idx="84">
                  <c:v>1992/93</c:v>
                </c:pt>
                <c:pt idx="85">
                  <c:v>1993/94</c:v>
                </c:pt>
                <c:pt idx="86">
                  <c:v>1994/95</c:v>
                </c:pt>
                <c:pt idx="87">
                  <c:v>1995/96</c:v>
                </c:pt>
                <c:pt idx="88">
                  <c:v>1996/97</c:v>
                </c:pt>
                <c:pt idx="89">
                  <c:v>1997/98</c:v>
                </c:pt>
                <c:pt idx="90">
                  <c:v>1998/99</c:v>
                </c:pt>
                <c:pt idx="91">
                  <c:v>1999/00</c:v>
                </c:pt>
                <c:pt idx="92">
                  <c:v>2000/01</c:v>
                </c:pt>
                <c:pt idx="93">
                  <c:v>2001/02</c:v>
                </c:pt>
                <c:pt idx="94">
                  <c:v>2002/03</c:v>
                </c:pt>
                <c:pt idx="95">
                  <c:v>2003/04</c:v>
                </c:pt>
                <c:pt idx="96">
                  <c:v>2004/05</c:v>
                </c:pt>
                <c:pt idx="97">
                  <c:v>2005/06</c:v>
                </c:pt>
                <c:pt idx="98">
                  <c:v>2006/07</c:v>
                </c:pt>
                <c:pt idx="99">
                  <c:v>2007/08</c:v>
                </c:pt>
                <c:pt idx="100">
                  <c:v>2008/09</c:v>
                </c:pt>
                <c:pt idx="101">
                  <c:v>2009/10</c:v>
                </c:pt>
              </c:strCache>
            </c:strRef>
          </c:cat>
          <c:val>
            <c:numRef>
              <c:f>'LR Comparison'!$Q$3:$Q$104</c:f>
              <c:numCache>
                <c:formatCode>_-"$"* #,##0_-;\-"$"* #,##0_-;_-"$"* "-"??_-;_-@_-</c:formatCode>
                <c:ptCount val="102"/>
                <c:pt idx="0">
                  <c:v>46.319098491946292</c:v>
                </c:pt>
                <c:pt idx="1">
                  <c:v>-6.5644694835644763</c:v>
                </c:pt>
                <c:pt idx="2">
                  <c:v>80.536060022392093</c:v>
                </c:pt>
                <c:pt idx="3">
                  <c:v>26.274451050795427</c:v>
                </c:pt>
                <c:pt idx="4">
                  <c:v>37.60489354967752</c:v>
                </c:pt>
                <c:pt idx="5">
                  <c:v>-54.900562748859301</c:v>
                </c:pt>
                <c:pt idx="6">
                  <c:v>36.937636898116182</c:v>
                </c:pt>
                <c:pt idx="7">
                  <c:v>-51.092922853008524</c:v>
                </c:pt>
                <c:pt idx="8">
                  <c:v>70.415109577465373</c:v>
                </c:pt>
                <c:pt idx="9">
                  <c:v>38.854159524099728</c:v>
                </c:pt>
                <c:pt idx="10">
                  <c:v>14.792969800000002</c:v>
                </c:pt>
                <c:pt idx="11">
                  <c:v>-49.875461532406561</c:v>
                </c:pt>
                <c:pt idx="12">
                  <c:v>90.096352450238513</c:v>
                </c:pt>
                <c:pt idx="13">
                  <c:v>162.02198927768706</c:v>
                </c:pt>
                <c:pt idx="14">
                  <c:v>92.317860464788794</c:v>
                </c:pt>
                <c:pt idx="15">
                  <c:v>-98.366566218826478</c:v>
                </c:pt>
                <c:pt idx="16">
                  <c:v>53.462404059546103</c:v>
                </c:pt>
                <c:pt idx="17">
                  <c:v>47.603133223402523</c:v>
                </c:pt>
                <c:pt idx="18">
                  <c:v>87.927365667840931</c:v>
                </c:pt>
                <c:pt idx="19">
                  <c:v>43.944766697373204</c:v>
                </c:pt>
                <c:pt idx="20">
                  <c:v>23.539875227855973</c:v>
                </c:pt>
                <c:pt idx="21">
                  <c:v>7.3964849000000008</c:v>
                </c:pt>
                <c:pt idx="22">
                  <c:v>-74.148488773486392</c:v>
                </c:pt>
                <c:pt idx="23">
                  <c:v>56.612874784734693</c:v>
                </c:pt>
                <c:pt idx="24">
                  <c:v>-14.056256046566595</c:v>
                </c:pt>
                <c:pt idx="25">
                  <c:v>-23.968662831544872</c:v>
                </c:pt>
                <c:pt idx="26">
                  <c:v>43.735223404761427</c:v>
                </c:pt>
                <c:pt idx="27">
                  <c:v>-16.839818635299359</c:v>
                </c:pt>
                <c:pt idx="28">
                  <c:v>18.802699087116764</c:v>
                </c:pt>
                <c:pt idx="29">
                  <c:v>7.3964849000000008</c:v>
                </c:pt>
                <c:pt idx="30">
                  <c:v>-4.8976602862426795</c:v>
                </c:pt>
                <c:pt idx="31">
                  <c:v>23.9395808481922</c:v>
                </c:pt>
                <c:pt idx="32">
                  <c:v>21.314190569346017</c:v>
                </c:pt>
                <c:pt idx="33">
                  <c:v>-34.791179727623472</c:v>
                </c:pt>
                <c:pt idx="34">
                  <c:v>21.598459541186422</c:v>
                </c:pt>
                <c:pt idx="35">
                  <c:v>7.3964849000000008</c:v>
                </c:pt>
                <c:pt idx="36">
                  <c:v>0</c:v>
                </c:pt>
                <c:pt idx="37">
                  <c:v>14.792969800000002</c:v>
                </c:pt>
                <c:pt idx="38">
                  <c:v>-49.635131533977265</c:v>
                </c:pt>
                <c:pt idx="39">
                  <c:v>68.690354260393008</c:v>
                </c:pt>
                <c:pt idx="40">
                  <c:v>66.033930928046615</c:v>
                </c:pt>
                <c:pt idx="41">
                  <c:v>109.41778110604534</c:v>
                </c:pt>
                <c:pt idx="42">
                  <c:v>212.54194049027353</c:v>
                </c:pt>
                <c:pt idx="43">
                  <c:v>61.424184620252824</c:v>
                </c:pt>
                <c:pt idx="44">
                  <c:v>59.070960639501344</c:v>
                </c:pt>
                <c:pt idx="45">
                  <c:v>-29.877264385616467</c:v>
                </c:pt>
                <c:pt idx="46">
                  <c:v>145.90523599168176</c:v>
                </c:pt>
                <c:pt idx="47">
                  <c:v>286.3440585438932</c:v>
                </c:pt>
                <c:pt idx="48">
                  <c:v>254.9297886593954</c:v>
                </c:pt>
                <c:pt idx="49">
                  <c:v>138.40169189728115</c:v>
                </c:pt>
                <c:pt idx="50">
                  <c:v>73.252708553607306</c:v>
                </c:pt>
                <c:pt idx="51">
                  <c:v>118.35328710971832</c:v>
                </c:pt>
                <c:pt idx="52">
                  <c:v>-50.227692578051403</c:v>
                </c:pt>
                <c:pt idx="53">
                  <c:v>64.770541578966075</c:v>
                </c:pt>
                <c:pt idx="54">
                  <c:v>183.39002331325483</c:v>
                </c:pt>
                <c:pt idx="55">
                  <c:v>171.23850685839531</c:v>
                </c:pt>
                <c:pt idx="56">
                  <c:v>71.603386916451299</c:v>
                </c:pt>
                <c:pt idx="57">
                  <c:v>-44.199257356172559</c:v>
                </c:pt>
                <c:pt idx="58">
                  <c:v>47.301301588066472</c:v>
                </c:pt>
                <c:pt idx="59">
                  <c:v>14.004999824107347</c:v>
                </c:pt>
                <c:pt idx="60">
                  <c:v>-21.930170634461554</c:v>
                </c:pt>
                <c:pt idx="61">
                  <c:v>41.928487289685549</c:v>
                </c:pt>
                <c:pt idx="62">
                  <c:v>36.859050117532313</c:v>
                </c:pt>
                <c:pt idx="63">
                  <c:v>112.43283234403606</c:v>
                </c:pt>
                <c:pt idx="64">
                  <c:v>60.469979010169524</c:v>
                </c:pt>
                <c:pt idx="65">
                  <c:v>257.26027438061408</c:v>
                </c:pt>
                <c:pt idx="66">
                  <c:v>245.32967820828355</c:v>
                </c:pt>
                <c:pt idx="67">
                  <c:v>298.00923037032578</c:v>
                </c:pt>
                <c:pt idx="68">
                  <c:v>315.85361961440697</c:v>
                </c:pt>
                <c:pt idx="69">
                  <c:v>207.62360285830491</c:v>
                </c:pt>
                <c:pt idx="70">
                  <c:v>41.533900986834183</c:v>
                </c:pt>
                <c:pt idx="71">
                  <c:v>13.7464698</c:v>
                </c:pt>
                <c:pt idx="72">
                  <c:v>-10.417297774906535</c:v>
                </c:pt>
                <c:pt idx="73">
                  <c:v>28.159981717220642</c:v>
                </c:pt>
                <c:pt idx="74">
                  <c:v>-144.84912505560681</c:v>
                </c:pt>
                <c:pt idx="75">
                  <c:v>201.31259561377149</c:v>
                </c:pt>
                <c:pt idx="76">
                  <c:v>120.13729661297089</c:v>
                </c:pt>
                <c:pt idx="77">
                  <c:v>-66.695499317072915</c:v>
                </c:pt>
                <c:pt idx="78">
                  <c:v>38.5173134164923</c:v>
                </c:pt>
                <c:pt idx="79">
                  <c:v>-144.23609780917326</c:v>
                </c:pt>
                <c:pt idx="80">
                  <c:v>95.551284398791211</c:v>
                </c:pt>
                <c:pt idx="81">
                  <c:v>121.73461669805971</c:v>
                </c:pt>
                <c:pt idx="82">
                  <c:v>64.820264431752321</c:v>
                </c:pt>
                <c:pt idx="83">
                  <c:v>14.792969800000002</c:v>
                </c:pt>
                <c:pt idx="84">
                  <c:v>-91.628117215207538</c:v>
                </c:pt>
                <c:pt idx="85">
                  <c:v>50.287008833835664</c:v>
                </c:pt>
                <c:pt idx="86">
                  <c:v>21.062901615015946</c:v>
                </c:pt>
                <c:pt idx="87">
                  <c:v>102.24931311872841</c:v>
                </c:pt>
                <c:pt idx="88">
                  <c:v>118.95328717032336</c:v>
                </c:pt>
                <c:pt idx="89">
                  <c:v>99.181627182746851</c:v>
                </c:pt>
                <c:pt idx="90">
                  <c:v>206.16798257387515</c:v>
                </c:pt>
                <c:pt idx="91">
                  <c:v>233.52687082785772</c:v>
                </c:pt>
                <c:pt idx="92">
                  <c:v>190.71639053754274</c:v>
                </c:pt>
                <c:pt idx="93">
                  <c:v>103.162715232336</c:v>
                </c:pt>
                <c:pt idx="94">
                  <c:v>2.2383528722281381E-15</c:v>
                </c:pt>
                <c:pt idx="95">
                  <c:v>19.70786930609065</c:v>
                </c:pt>
                <c:pt idx="96">
                  <c:v>58.947514206853313</c:v>
                </c:pt>
                <c:pt idx="97">
                  <c:v>14.792969800000002</c:v>
                </c:pt>
                <c:pt idx="98">
                  <c:v>14.792969800000002</c:v>
                </c:pt>
                <c:pt idx="99">
                  <c:v>6.7151350995742973</c:v>
                </c:pt>
                <c:pt idx="100">
                  <c:v>118.28616495883198</c:v>
                </c:pt>
                <c:pt idx="101">
                  <c:v>29.693065705182228</c:v>
                </c:pt>
              </c:numCache>
            </c:numRef>
          </c:val>
          <c:extLst>
            <c:ext xmlns:c16="http://schemas.microsoft.com/office/drawing/2014/chart" uri="{C3380CC4-5D6E-409C-BE32-E72D297353CC}">
              <c16:uniqueId val="{00000000-8695-4DA1-A891-7B4CEF70F0E7}"/>
            </c:ext>
          </c:extLst>
        </c:ser>
        <c:ser>
          <c:idx val="1"/>
          <c:order val="1"/>
          <c:tx>
            <c:strRef>
              <c:f>'LR Comparison'!$R$1:$R$2</c:f>
              <c:strCache>
                <c:ptCount val="2"/>
                <c:pt idx="0">
                  <c:v>$/ha</c:v>
                </c:pt>
                <c:pt idx="1">
                  <c:v>Without development</c:v>
                </c:pt>
              </c:strCache>
            </c:strRef>
          </c:tx>
          <c:spPr>
            <a:solidFill>
              <a:schemeClr val="accent2"/>
            </a:solidFill>
            <a:ln>
              <a:noFill/>
            </a:ln>
            <a:effectLst/>
          </c:spPr>
          <c:invertIfNegative val="0"/>
          <c:cat>
            <c:strRef>
              <c:f>'LR Comparison'!$P$3:$P$104</c:f>
              <c:strCache>
                <c:ptCount val="102"/>
                <c:pt idx="0">
                  <c:v>1908/09</c:v>
                </c:pt>
                <c:pt idx="1">
                  <c:v>1909/10</c:v>
                </c:pt>
                <c:pt idx="2">
                  <c:v>1910/11</c:v>
                </c:pt>
                <c:pt idx="3">
                  <c:v>1911/12</c:v>
                </c:pt>
                <c:pt idx="4">
                  <c:v>1912/13</c:v>
                </c:pt>
                <c:pt idx="5">
                  <c:v>1913/14</c:v>
                </c:pt>
                <c:pt idx="6">
                  <c:v>1914/15</c:v>
                </c:pt>
                <c:pt idx="7">
                  <c:v>1915/16</c:v>
                </c:pt>
                <c:pt idx="8">
                  <c:v>1916/17</c:v>
                </c:pt>
                <c:pt idx="9">
                  <c:v>1917/18</c:v>
                </c:pt>
                <c:pt idx="10">
                  <c:v>1918/19</c:v>
                </c:pt>
                <c:pt idx="11">
                  <c:v>1919/20</c:v>
                </c:pt>
                <c:pt idx="12">
                  <c:v>1920/21</c:v>
                </c:pt>
                <c:pt idx="13">
                  <c:v>1921/22</c:v>
                </c:pt>
                <c:pt idx="14">
                  <c:v>1922/23</c:v>
                </c:pt>
                <c:pt idx="15">
                  <c:v>1923/24</c:v>
                </c:pt>
                <c:pt idx="16">
                  <c:v>1924/25</c:v>
                </c:pt>
                <c:pt idx="17">
                  <c:v>1925/26</c:v>
                </c:pt>
                <c:pt idx="18">
                  <c:v>1926/27</c:v>
                </c:pt>
                <c:pt idx="19">
                  <c:v>1927/28</c:v>
                </c:pt>
                <c:pt idx="20">
                  <c:v>1928/29</c:v>
                </c:pt>
                <c:pt idx="21">
                  <c:v>1929/30</c:v>
                </c:pt>
                <c:pt idx="22">
                  <c:v>1930/31</c:v>
                </c:pt>
                <c:pt idx="23">
                  <c:v>1931/32</c:v>
                </c:pt>
                <c:pt idx="24">
                  <c:v>1932/33</c:v>
                </c:pt>
                <c:pt idx="25">
                  <c:v>1933/34</c:v>
                </c:pt>
                <c:pt idx="26">
                  <c:v>1934/35</c:v>
                </c:pt>
                <c:pt idx="27">
                  <c:v>1935/36</c:v>
                </c:pt>
                <c:pt idx="28">
                  <c:v>1936/37</c:v>
                </c:pt>
                <c:pt idx="29">
                  <c:v>1937/38</c:v>
                </c:pt>
                <c:pt idx="30">
                  <c:v>1938/39</c:v>
                </c:pt>
                <c:pt idx="31">
                  <c:v>1939/40</c:v>
                </c:pt>
                <c:pt idx="32">
                  <c:v>1940/41</c:v>
                </c:pt>
                <c:pt idx="33">
                  <c:v>1941/42</c:v>
                </c:pt>
                <c:pt idx="34">
                  <c:v>1942/43</c:v>
                </c:pt>
                <c:pt idx="35">
                  <c:v>1943/44</c:v>
                </c:pt>
                <c:pt idx="36">
                  <c:v>1944/45</c:v>
                </c:pt>
                <c:pt idx="37">
                  <c:v>1945/46</c:v>
                </c:pt>
                <c:pt idx="38">
                  <c:v>1946/47</c:v>
                </c:pt>
                <c:pt idx="39">
                  <c:v>1947/48</c:v>
                </c:pt>
                <c:pt idx="40">
                  <c:v>1948/49</c:v>
                </c:pt>
                <c:pt idx="41">
                  <c:v>1949/50</c:v>
                </c:pt>
                <c:pt idx="42">
                  <c:v>1950/51</c:v>
                </c:pt>
                <c:pt idx="43">
                  <c:v>1951/52</c:v>
                </c:pt>
                <c:pt idx="44">
                  <c:v>1952/53</c:v>
                </c:pt>
                <c:pt idx="45">
                  <c:v>1953/54</c:v>
                </c:pt>
                <c:pt idx="46">
                  <c:v>1954/55</c:v>
                </c:pt>
                <c:pt idx="47">
                  <c:v>1955/56</c:v>
                </c:pt>
                <c:pt idx="48">
                  <c:v>1956/57</c:v>
                </c:pt>
                <c:pt idx="49">
                  <c:v>1957/58</c:v>
                </c:pt>
                <c:pt idx="50">
                  <c:v>1958/59</c:v>
                </c:pt>
                <c:pt idx="51">
                  <c:v>1959/60</c:v>
                </c:pt>
                <c:pt idx="52">
                  <c:v>1960/61</c:v>
                </c:pt>
                <c:pt idx="53">
                  <c:v>1961/62</c:v>
                </c:pt>
                <c:pt idx="54">
                  <c:v>1962/63</c:v>
                </c:pt>
                <c:pt idx="55">
                  <c:v>1963/64</c:v>
                </c:pt>
                <c:pt idx="56">
                  <c:v>1964/65</c:v>
                </c:pt>
                <c:pt idx="57">
                  <c:v>1965/66</c:v>
                </c:pt>
                <c:pt idx="58">
                  <c:v>1966/67</c:v>
                </c:pt>
                <c:pt idx="59">
                  <c:v>1967/68</c:v>
                </c:pt>
                <c:pt idx="60">
                  <c:v>1968/69</c:v>
                </c:pt>
                <c:pt idx="61">
                  <c:v>1969/70</c:v>
                </c:pt>
                <c:pt idx="62">
                  <c:v>1970/71</c:v>
                </c:pt>
                <c:pt idx="63">
                  <c:v>1971/72</c:v>
                </c:pt>
                <c:pt idx="64">
                  <c:v>1972/73</c:v>
                </c:pt>
                <c:pt idx="65">
                  <c:v>1973/74</c:v>
                </c:pt>
                <c:pt idx="66">
                  <c:v>1974/75</c:v>
                </c:pt>
                <c:pt idx="67">
                  <c:v>1975/76</c:v>
                </c:pt>
                <c:pt idx="68">
                  <c:v>1976/77</c:v>
                </c:pt>
                <c:pt idx="69">
                  <c:v>1977/78</c:v>
                </c:pt>
                <c:pt idx="70">
                  <c:v>1978/79</c:v>
                </c:pt>
                <c:pt idx="71">
                  <c:v>1979/80</c:v>
                </c:pt>
                <c:pt idx="72">
                  <c:v>1980/81</c:v>
                </c:pt>
                <c:pt idx="73">
                  <c:v>1981/82</c:v>
                </c:pt>
                <c:pt idx="74">
                  <c:v>1982/83</c:v>
                </c:pt>
                <c:pt idx="75">
                  <c:v>1983/84</c:v>
                </c:pt>
                <c:pt idx="76">
                  <c:v>1984/85</c:v>
                </c:pt>
                <c:pt idx="77">
                  <c:v>1985/86</c:v>
                </c:pt>
                <c:pt idx="78">
                  <c:v>1986/87</c:v>
                </c:pt>
                <c:pt idx="79">
                  <c:v>1987/88</c:v>
                </c:pt>
                <c:pt idx="80">
                  <c:v>1988/89</c:v>
                </c:pt>
                <c:pt idx="81">
                  <c:v>1989/90</c:v>
                </c:pt>
                <c:pt idx="82">
                  <c:v>1990/91</c:v>
                </c:pt>
                <c:pt idx="83">
                  <c:v>1991/92</c:v>
                </c:pt>
                <c:pt idx="84">
                  <c:v>1992/93</c:v>
                </c:pt>
                <c:pt idx="85">
                  <c:v>1993/94</c:v>
                </c:pt>
                <c:pt idx="86">
                  <c:v>1994/95</c:v>
                </c:pt>
                <c:pt idx="87">
                  <c:v>1995/96</c:v>
                </c:pt>
                <c:pt idx="88">
                  <c:v>1996/97</c:v>
                </c:pt>
                <c:pt idx="89">
                  <c:v>1997/98</c:v>
                </c:pt>
                <c:pt idx="90">
                  <c:v>1998/99</c:v>
                </c:pt>
                <c:pt idx="91">
                  <c:v>1999/00</c:v>
                </c:pt>
                <c:pt idx="92">
                  <c:v>2000/01</c:v>
                </c:pt>
                <c:pt idx="93">
                  <c:v>2001/02</c:v>
                </c:pt>
                <c:pt idx="94">
                  <c:v>2002/03</c:v>
                </c:pt>
                <c:pt idx="95">
                  <c:v>2003/04</c:v>
                </c:pt>
                <c:pt idx="96">
                  <c:v>2004/05</c:v>
                </c:pt>
                <c:pt idx="97">
                  <c:v>2005/06</c:v>
                </c:pt>
                <c:pt idx="98">
                  <c:v>2006/07</c:v>
                </c:pt>
                <c:pt idx="99">
                  <c:v>2007/08</c:v>
                </c:pt>
                <c:pt idx="100">
                  <c:v>2008/09</c:v>
                </c:pt>
                <c:pt idx="101">
                  <c:v>2009/10</c:v>
                </c:pt>
              </c:strCache>
            </c:strRef>
          </c:cat>
          <c:val>
            <c:numRef>
              <c:f>'LR Comparison'!$R$3:$R$104</c:f>
              <c:numCache>
                <c:formatCode>_-"$"* #,##0_-;\-"$"* #,##0_-;_-"$"* "-"??_-;_-@_-</c:formatCode>
                <c:ptCount val="102"/>
                <c:pt idx="0">
                  <c:v>15.445504290682234</c:v>
                </c:pt>
                <c:pt idx="1">
                  <c:v>-4.0907839054156643</c:v>
                </c:pt>
                <c:pt idx="2">
                  <c:v>47.285121461896537</c:v>
                </c:pt>
                <c:pt idx="3">
                  <c:v>17.266259152095756</c:v>
                </c:pt>
                <c:pt idx="4">
                  <c:v>16.457900623973988</c:v>
                </c:pt>
                <c:pt idx="5">
                  <c:v>-18.107174178581342</c:v>
                </c:pt>
                <c:pt idx="6">
                  <c:v>11.416367583468066</c:v>
                </c:pt>
                <c:pt idx="7">
                  <c:v>-20.990293035854553</c:v>
                </c:pt>
                <c:pt idx="8">
                  <c:v>35.69644202553242</c:v>
                </c:pt>
                <c:pt idx="9">
                  <c:v>25.437821910121293</c:v>
                </c:pt>
                <c:pt idx="10">
                  <c:v>3.6416392880557429</c:v>
                </c:pt>
                <c:pt idx="11">
                  <c:v>-19.775099041471044</c:v>
                </c:pt>
                <c:pt idx="12">
                  <c:v>31.032659060550493</c:v>
                </c:pt>
                <c:pt idx="13">
                  <c:v>46.488614323727568</c:v>
                </c:pt>
                <c:pt idx="14">
                  <c:v>33.298535936297199</c:v>
                </c:pt>
                <c:pt idx="15">
                  <c:v>-10.777043999393646</c:v>
                </c:pt>
                <c:pt idx="16">
                  <c:v>11.472644349058216</c:v>
                </c:pt>
                <c:pt idx="17">
                  <c:v>16.279129206285688</c:v>
                </c:pt>
                <c:pt idx="18">
                  <c:v>27.791837628997811</c:v>
                </c:pt>
                <c:pt idx="19">
                  <c:v>16.25158505230262</c:v>
                </c:pt>
                <c:pt idx="20">
                  <c:v>5.9273133444496633</c:v>
                </c:pt>
                <c:pt idx="21">
                  <c:v>-1.1094058285156072</c:v>
                </c:pt>
                <c:pt idx="22">
                  <c:v>-24.748639008952331</c:v>
                </c:pt>
                <c:pt idx="23">
                  <c:v>20.742810985210106</c:v>
                </c:pt>
                <c:pt idx="24">
                  <c:v>-4.2991644239976488</c:v>
                </c:pt>
                <c:pt idx="25">
                  <c:v>-5.2249410173044559</c:v>
                </c:pt>
                <c:pt idx="26">
                  <c:v>13.479058262414632</c:v>
                </c:pt>
                <c:pt idx="27">
                  <c:v>-7.8672728784331234</c:v>
                </c:pt>
                <c:pt idx="28">
                  <c:v>-17.856777086594384</c:v>
                </c:pt>
                <c:pt idx="29">
                  <c:v>-10.3436029739966</c:v>
                </c:pt>
                <c:pt idx="30">
                  <c:v>-14.227519962295457</c:v>
                </c:pt>
                <c:pt idx="31">
                  <c:v>12.409898283949735</c:v>
                </c:pt>
                <c:pt idx="32">
                  <c:v>8.5649284016401257</c:v>
                </c:pt>
                <c:pt idx="33">
                  <c:v>-12.946407593036497</c:v>
                </c:pt>
                <c:pt idx="34">
                  <c:v>-3.0912342198717777</c:v>
                </c:pt>
                <c:pt idx="35">
                  <c:v>5.9194485942079087</c:v>
                </c:pt>
                <c:pt idx="36">
                  <c:v>-4.5080000000000009</c:v>
                </c:pt>
                <c:pt idx="37">
                  <c:v>2.6769899333333322</c:v>
                </c:pt>
                <c:pt idx="38">
                  <c:v>-20.256540560814027</c:v>
                </c:pt>
                <c:pt idx="39">
                  <c:v>25.461783356093413</c:v>
                </c:pt>
                <c:pt idx="40">
                  <c:v>24.077840094528597</c:v>
                </c:pt>
                <c:pt idx="41">
                  <c:v>40.285118787449711</c:v>
                </c:pt>
                <c:pt idx="42">
                  <c:v>61.417020498530839</c:v>
                </c:pt>
                <c:pt idx="43">
                  <c:v>24.143495423806435</c:v>
                </c:pt>
                <c:pt idx="44">
                  <c:v>21.244489164637127</c:v>
                </c:pt>
                <c:pt idx="45">
                  <c:v>-12.858831310704337</c:v>
                </c:pt>
                <c:pt idx="46">
                  <c:v>52.109863392151212</c:v>
                </c:pt>
                <c:pt idx="47">
                  <c:v>96.497740388863804</c:v>
                </c:pt>
                <c:pt idx="48">
                  <c:v>87.777507033652682</c:v>
                </c:pt>
                <c:pt idx="49">
                  <c:v>44.502997324739688</c:v>
                </c:pt>
                <c:pt idx="50">
                  <c:v>26.790374782698684</c:v>
                </c:pt>
                <c:pt idx="51">
                  <c:v>67.22163360849558</c:v>
                </c:pt>
                <c:pt idx="52">
                  <c:v>-17.600501978634405</c:v>
                </c:pt>
                <c:pt idx="53">
                  <c:v>25.497390029157771</c:v>
                </c:pt>
                <c:pt idx="54">
                  <c:v>68.498825095953649</c:v>
                </c:pt>
                <c:pt idx="55">
                  <c:v>62.00946383886054</c:v>
                </c:pt>
                <c:pt idx="56">
                  <c:v>24.802259213918113</c:v>
                </c:pt>
                <c:pt idx="57">
                  <c:v>-18.162522614154014</c:v>
                </c:pt>
                <c:pt idx="58">
                  <c:v>14.663217558950819</c:v>
                </c:pt>
                <c:pt idx="59">
                  <c:v>4.9174872636528644</c:v>
                </c:pt>
                <c:pt idx="60">
                  <c:v>-8.4182740728538086</c:v>
                </c:pt>
                <c:pt idx="61">
                  <c:v>12.910532784015617</c:v>
                </c:pt>
                <c:pt idx="62">
                  <c:v>-16.490998761197737</c:v>
                </c:pt>
                <c:pt idx="63">
                  <c:v>63.025502631262853</c:v>
                </c:pt>
                <c:pt idx="64">
                  <c:v>33.146036441127187</c:v>
                </c:pt>
                <c:pt idx="65">
                  <c:v>94.127031191801919</c:v>
                </c:pt>
                <c:pt idx="66">
                  <c:v>86.197439698373927</c:v>
                </c:pt>
                <c:pt idx="67">
                  <c:v>101.48388699827305</c:v>
                </c:pt>
                <c:pt idx="68">
                  <c:v>79.005118908075559</c:v>
                </c:pt>
                <c:pt idx="69">
                  <c:v>67.753656581373278</c:v>
                </c:pt>
                <c:pt idx="70">
                  <c:v>12.872096954938035</c:v>
                </c:pt>
                <c:pt idx="71">
                  <c:v>1.2011565999999987</c:v>
                </c:pt>
                <c:pt idx="72">
                  <c:v>-5.3154331397018044</c:v>
                </c:pt>
                <c:pt idx="73">
                  <c:v>7.5128370627586545</c:v>
                </c:pt>
                <c:pt idx="74">
                  <c:v>25.828286333079483</c:v>
                </c:pt>
                <c:pt idx="75">
                  <c:v>61.61304881754721</c:v>
                </c:pt>
                <c:pt idx="76">
                  <c:v>21.470098729444793</c:v>
                </c:pt>
                <c:pt idx="77">
                  <c:v>-22.231833105690974</c:v>
                </c:pt>
                <c:pt idx="78">
                  <c:v>11.712104472164098</c:v>
                </c:pt>
                <c:pt idx="79">
                  <c:v>-59.618253223554255</c:v>
                </c:pt>
                <c:pt idx="80">
                  <c:v>43.187840979575157</c:v>
                </c:pt>
                <c:pt idx="81">
                  <c:v>56.537925290757528</c:v>
                </c:pt>
                <c:pt idx="82">
                  <c:v>51.702582545242869</c:v>
                </c:pt>
                <c:pt idx="83">
                  <c:v>24.540476885715208</c:v>
                </c:pt>
                <c:pt idx="84">
                  <c:v>-16.386196594234285</c:v>
                </c:pt>
                <c:pt idx="85">
                  <c:v>15.29932448153396</c:v>
                </c:pt>
                <c:pt idx="86">
                  <c:v>6.9797971230532676</c:v>
                </c:pt>
                <c:pt idx="87">
                  <c:v>40.320182092801133</c:v>
                </c:pt>
                <c:pt idx="88">
                  <c:v>49.473347120141</c:v>
                </c:pt>
                <c:pt idx="89">
                  <c:v>34.844331146661936</c:v>
                </c:pt>
                <c:pt idx="90">
                  <c:v>44.276609579164337</c:v>
                </c:pt>
                <c:pt idx="91">
                  <c:v>73.356912941949332</c:v>
                </c:pt>
                <c:pt idx="92">
                  <c:v>61.526300134834308</c:v>
                </c:pt>
                <c:pt idx="93">
                  <c:v>31.938054517300756</c:v>
                </c:pt>
                <c:pt idx="94">
                  <c:v>-4.508</c:v>
                </c:pt>
                <c:pt idx="95">
                  <c:v>7.9498959608840263</c:v>
                </c:pt>
                <c:pt idx="96">
                  <c:v>17.920056413571618</c:v>
                </c:pt>
                <c:pt idx="97">
                  <c:v>2.6769899333333322</c:v>
                </c:pt>
                <c:pt idx="98">
                  <c:v>2.6769899333333322</c:v>
                </c:pt>
                <c:pt idx="99">
                  <c:v>2.5425326303565363</c:v>
                </c:pt>
                <c:pt idx="100">
                  <c:v>41.124247663763214</c:v>
                </c:pt>
                <c:pt idx="101">
                  <c:v>10.323312015241157</c:v>
                </c:pt>
              </c:numCache>
            </c:numRef>
          </c:val>
          <c:extLst>
            <c:ext xmlns:c16="http://schemas.microsoft.com/office/drawing/2014/chart" uri="{C3380CC4-5D6E-409C-BE32-E72D297353CC}">
              <c16:uniqueId val="{00000001-8695-4DA1-A891-7B4CEF70F0E7}"/>
            </c:ext>
          </c:extLst>
        </c:ser>
        <c:dLbls>
          <c:showLegendKey val="0"/>
          <c:showVal val="0"/>
          <c:showCatName val="0"/>
          <c:showSerName val="0"/>
          <c:showPercent val="0"/>
          <c:showBubbleSize val="0"/>
        </c:dLbls>
        <c:gapWidth val="0"/>
        <c:axId val="328183656"/>
        <c:axId val="328184048"/>
      </c:barChart>
      <c:catAx>
        <c:axId val="32818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184048"/>
        <c:crosses val="autoZero"/>
        <c:auto val="1"/>
        <c:lblAlgn val="ctr"/>
        <c:lblOffset val="100"/>
        <c:tickLblSkip val="2"/>
        <c:tickMarkSkip val="1"/>
        <c:noMultiLvlLbl val="0"/>
      </c:catAx>
      <c:valAx>
        <c:axId val="32818404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8183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earnings/ha - 27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'LR Comparison'!$Q$1:$Q$2</c:f>
              <c:strCache>
                <c:ptCount val="2"/>
                <c:pt idx="0">
                  <c:v>$/ha</c:v>
                </c:pt>
                <c:pt idx="1">
                  <c:v>390GL</c:v>
                </c:pt>
              </c:strCache>
            </c:strRef>
          </c:tx>
          <c:spPr>
            <a:solidFill>
              <a:schemeClr val="accent1"/>
            </a:solidFill>
            <a:ln>
              <a:noFill/>
            </a:ln>
            <a:effectLst/>
          </c:spPr>
          <c:invertIfNegative val="0"/>
          <c:cat>
            <c:strRef>
              <c:f>'LR Comparison'!$P$74:$P$104</c:f>
              <c:strCache>
                <c:ptCount val="31"/>
                <c:pt idx="0">
                  <c:v>1979/80</c:v>
                </c:pt>
                <c:pt idx="1">
                  <c:v>1980/81</c:v>
                </c:pt>
                <c:pt idx="2">
                  <c:v>1981/82</c:v>
                </c:pt>
                <c:pt idx="3">
                  <c:v>1982/83</c:v>
                </c:pt>
                <c:pt idx="4">
                  <c:v>1983/84</c:v>
                </c:pt>
                <c:pt idx="5">
                  <c:v>1984/85</c:v>
                </c:pt>
                <c:pt idx="6">
                  <c:v>1985/86</c:v>
                </c:pt>
                <c:pt idx="7">
                  <c:v>1986/87</c:v>
                </c:pt>
                <c:pt idx="8">
                  <c:v>1987/88</c:v>
                </c:pt>
                <c:pt idx="9">
                  <c:v>1988/89</c:v>
                </c:pt>
                <c:pt idx="10">
                  <c:v>1989/90</c:v>
                </c:pt>
                <c:pt idx="11">
                  <c:v>1990/91</c:v>
                </c:pt>
                <c:pt idx="12">
                  <c:v>1991/92</c:v>
                </c:pt>
                <c:pt idx="13">
                  <c:v>1992/93</c:v>
                </c:pt>
                <c:pt idx="14">
                  <c:v>1993/94</c:v>
                </c:pt>
                <c:pt idx="15">
                  <c:v>1994/95</c:v>
                </c:pt>
                <c:pt idx="16">
                  <c:v>1995/96</c:v>
                </c:pt>
                <c:pt idx="17">
                  <c:v>1996/97</c:v>
                </c:pt>
                <c:pt idx="18">
                  <c:v>1997/98</c:v>
                </c:pt>
                <c:pt idx="19">
                  <c:v>1998/99</c:v>
                </c:pt>
                <c:pt idx="20">
                  <c:v>1999/00</c:v>
                </c:pt>
                <c:pt idx="21">
                  <c:v>2000/01</c:v>
                </c:pt>
                <c:pt idx="22">
                  <c:v>2001/02</c:v>
                </c:pt>
                <c:pt idx="23">
                  <c:v>2002/03</c:v>
                </c:pt>
                <c:pt idx="24">
                  <c:v>2003/04</c:v>
                </c:pt>
                <c:pt idx="25">
                  <c:v>2004/05</c:v>
                </c:pt>
                <c:pt idx="26">
                  <c:v>2005/06</c:v>
                </c:pt>
                <c:pt idx="27">
                  <c:v>2006/07</c:v>
                </c:pt>
                <c:pt idx="28">
                  <c:v>2007/08</c:v>
                </c:pt>
                <c:pt idx="29">
                  <c:v>2008/09</c:v>
                </c:pt>
                <c:pt idx="30">
                  <c:v>2009/10</c:v>
                </c:pt>
              </c:strCache>
            </c:strRef>
          </c:cat>
          <c:val>
            <c:numRef>
              <c:f>'LR Comparison'!$Q$74:$Q$104</c:f>
              <c:numCache>
                <c:formatCode>_-"$"* #,##0_-;\-"$"* #,##0_-;_-"$"* "-"??_-;_-@_-</c:formatCode>
                <c:ptCount val="31"/>
                <c:pt idx="0">
                  <c:v>13.7464698</c:v>
                </c:pt>
                <c:pt idx="1">
                  <c:v>-10.417297774906535</c:v>
                </c:pt>
                <c:pt idx="2">
                  <c:v>28.159981717220642</c:v>
                </c:pt>
                <c:pt idx="3">
                  <c:v>-144.84912505560681</c:v>
                </c:pt>
                <c:pt idx="4">
                  <c:v>201.31259561377149</c:v>
                </c:pt>
                <c:pt idx="5">
                  <c:v>120.13729661297089</c:v>
                </c:pt>
                <c:pt idx="6">
                  <c:v>-66.695499317072915</c:v>
                </c:pt>
                <c:pt idx="7">
                  <c:v>38.5173134164923</c:v>
                </c:pt>
                <c:pt idx="8">
                  <c:v>-144.23609780917326</c:v>
                </c:pt>
                <c:pt idx="9">
                  <c:v>95.551284398791211</c:v>
                </c:pt>
                <c:pt idx="10">
                  <c:v>121.73461669805971</c:v>
                </c:pt>
                <c:pt idx="11">
                  <c:v>64.820264431752321</c:v>
                </c:pt>
                <c:pt idx="12">
                  <c:v>14.792969800000002</c:v>
                </c:pt>
                <c:pt idx="13">
                  <c:v>-91.628117215207538</c:v>
                </c:pt>
                <c:pt idx="14">
                  <c:v>50.287008833835664</c:v>
                </c:pt>
                <c:pt idx="15">
                  <c:v>21.062901615015946</c:v>
                </c:pt>
                <c:pt idx="16">
                  <c:v>102.24931311872841</c:v>
                </c:pt>
                <c:pt idx="17">
                  <c:v>118.95328717032336</c:v>
                </c:pt>
                <c:pt idx="18">
                  <c:v>99.181627182746851</c:v>
                </c:pt>
                <c:pt idx="19">
                  <c:v>206.16798257387515</c:v>
                </c:pt>
                <c:pt idx="20">
                  <c:v>233.52687082785772</c:v>
                </c:pt>
                <c:pt idx="21">
                  <c:v>190.71639053754274</c:v>
                </c:pt>
                <c:pt idx="22">
                  <c:v>103.162715232336</c:v>
                </c:pt>
                <c:pt idx="23">
                  <c:v>2.2383528722281381E-15</c:v>
                </c:pt>
                <c:pt idx="24">
                  <c:v>19.70786930609065</c:v>
                </c:pt>
                <c:pt idx="25">
                  <c:v>58.947514206853313</c:v>
                </c:pt>
                <c:pt idx="26">
                  <c:v>14.792969800000002</c:v>
                </c:pt>
                <c:pt idx="27">
                  <c:v>14.792969800000002</c:v>
                </c:pt>
                <c:pt idx="28">
                  <c:v>6.7151350995742973</c:v>
                </c:pt>
                <c:pt idx="29">
                  <c:v>118.28616495883198</c:v>
                </c:pt>
                <c:pt idx="30">
                  <c:v>29.693065705182228</c:v>
                </c:pt>
              </c:numCache>
            </c:numRef>
          </c:val>
          <c:extLst>
            <c:ext xmlns:c16="http://schemas.microsoft.com/office/drawing/2014/chart" uri="{C3380CC4-5D6E-409C-BE32-E72D297353CC}">
              <c16:uniqueId val="{00000000-B1C5-411D-B163-CD41E06039F5}"/>
            </c:ext>
          </c:extLst>
        </c:ser>
        <c:ser>
          <c:idx val="1"/>
          <c:order val="1"/>
          <c:tx>
            <c:strRef>
              <c:f>'LR Comparison'!$R$1:$R$2</c:f>
              <c:strCache>
                <c:ptCount val="2"/>
                <c:pt idx="0">
                  <c:v>$/ha</c:v>
                </c:pt>
                <c:pt idx="1">
                  <c:v>Without development</c:v>
                </c:pt>
              </c:strCache>
            </c:strRef>
          </c:tx>
          <c:spPr>
            <a:solidFill>
              <a:schemeClr val="accent2"/>
            </a:solidFill>
            <a:ln>
              <a:noFill/>
            </a:ln>
            <a:effectLst/>
          </c:spPr>
          <c:invertIfNegative val="0"/>
          <c:cat>
            <c:strRef>
              <c:f>'LR Comparison'!$P$74:$P$104</c:f>
              <c:strCache>
                <c:ptCount val="31"/>
                <c:pt idx="0">
                  <c:v>1979/80</c:v>
                </c:pt>
                <c:pt idx="1">
                  <c:v>1980/81</c:v>
                </c:pt>
                <c:pt idx="2">
                  <c:v>1981/82</c:v>
                </c:pt>
                <c:pt idx="3">
                  <c:v>1982/83</c:v>
                </c:pt>
                <c:pt idx="4">
                  <c:v>1983/84</c:v>
                </c:pt>
                <c:pt idx="5">
                  <c:v>1984/85</c:v>
                </c:pt>
                <c:pt idx="6">
                  <c:v>1985/86</c:v>
                </c:pt>
                <c:pt idx="7">
                  <c:v>1986/87</c:v>
                </c:pt>
                <c:pt idx="8">
                  <c:v>1987/88</c:v>
                </c:pt>
                <c:pt idx="9">
                  <c:v>1988/89</c:v>
                </c:pt>
                <c:pt idx="10">
                  <c:v>1989/90</c:v>
                </c:pt>
                <c:pt idx="11">
                  <c:v>1990/91</c:v>
                </c:pt>
                <c:pt idx="12">
                  <c:v>1991/92</c:v>
                </c:pt>
                <c:pt idx="13">
                  <c:v>1992/93</c:v>
                </c:pt>
                <c:pt idx="14">
                  <c:v>1993/94</c:v>
                </c:pt>
                <c:pt idx="15">
                  <c:v>1994/95</c:v>
                </c:pt>
                <c:pt idx="16">
                  <c:v>1995/96</c:v>
                </c:pt>
                <c:pt idx="17">
                  <c:v>1996/97</c:v>
                </c:pt>
                <c:pt idx="18">
                  <c:v>1997/98</c:v>
                </c:pt>
                <c:pt idx="19">
                  <c:v>1998/99</c:v>
                </c:pt>
                <c:pt idx="20">
                  <c:v>1999/00</c:v>
                </c:pt>
                <c:pt idx="21">
                  <c:v>2000/01</c:v>
                </c:pt>
                <c:pt idx="22">
                  <c:v>2001/02</c:v>
                </c:pt>
                <c:pt idx="23">
                  <c:v>2002/03</c:v>
                </c:pt>
                <c:pt idx="24">
                  <c:v>2003/04</c:v>
                </c:pt>
                <c:pt idx="25">
                  <c:v>2004/05</c:v>
                </c:pt>
                <c:pt idx="26">
                  <c:v>2005/06</c:v>
                </c:pt>
                <c:pt idx="27">
                  <c:v>2006/07</c:v>
                </c:pt>
                <c:pt idx="28">
                  <c:v>2007/08</c:v>
                </c:pt>
                <c:pt idx="29">
                  <c:v>2008/09</c:v>
                </c:pt>
                <c:pt idx="30">
                  <c:v>2009/10</c:v>
                </c:pt>
              </c:strCache>
            </c:strRef>
          </c:cat>
          <c:val>
            <c:numRef>
              <c:f>'LR Comparison'!$R$74:$R$104</c:f>
              <c:numCache>
                <c:formatCode>_-"$"* #,##0_-;\-"$"* #,##0_-;_-"$"* "-"??_-;_-@_-</c:formatCode>
                <c:ptCount val="31"/>
                <c:pt idx="0">
                  <c:v>1.2011565999999987</c:v>
                </c:pt>
                <c:pt idx="1">
                  <c:v>-5.3154331397018044</c:v>
                </c:pt>
                <c:pt idx="2">
                  <c:v>7.5128370627586545</c:v>
                </c:pt>
                <c:pt idx="3">
                  <c:v>25.828286333079483</c:v>
                </c:pt>
                <c:pt idx="4">
                  <c:v>61.61304881754721</c:v>
                </c:pt>
                <c:pt idx="5">
                  <c:v>21.470098729444793</c:v>
                </c:pt>
                <c:pt idx="6">
                  <c:v>-22.231833105690974</c:v>
                </c:pt>
                <c:pt idx="7">
                  <c:v>11.712104472164098</c:v>
                </c:pt>
                <c:pt idx="8">
                  <c:v>-59.618253223554255</c:v>
                </c:pt>
                <c:pt idx="9">
                  <c:v>43.187840979575157</c:v>
                </c:pt>
                <c:pt idx="10">
                  <c:v>56.537925290757528</c:v>
                </c:pt>
                <c:pt idx="11">
                  <c:v>51.702582545242869</c:v>
                </c:pt>
                <c:pt idx="12">
                  <c:v>24.540476885715208</c:v>
                </c:pt>
                <c:pt idx="13">
                  <c:v>-16.386196594234285</c:v>
                </c:pt>
                <c:pt idx="14">
                  <c:v>15.29932448153396</c:v>
                </c:pt>
                <c:pt idx="15">
                  <c:v>6.9797971230532676</c:v>
                </c:pt>
                <c:pt idx="16">
                  <c:v>40.320182092801133</c:v>
                </c:pt>
                <c:pt idx="17">
                  <c:v>49.473347120141</c:v>
                </c:pt>
                <c:pt idx="18">
                  <c:v>34.844331146661936</c:v>
                </c:pt>
                <c:pt idx="19">
                  <c:v>44.276609579164337</c:v>
                </c:pt>
                <c:pt idx="20">
                  <c:v>73.356912941949332</c:v>
                </c:pt>
                <c:pt idx="21">
                  <c:v>61.526300134834308</c:v>
                </c:pt>
                <c:pt idx="22">
                  <c:v>31.938054517300756</c:v>
                </c:pt>
                <c:pt idx="23">
                  <c:v>-4.508</c:v>
                </c:pt>
                <c:pt idx="24">
                  <c:v>7.9498959608840263</c:v>
                </c:pt>
                <c:pt idx="25">
                  <c:v>17.920056413571618</c:v>
                </c:pt>
                <c:pt idx="26">
                  <c:v>2.6769899333333322</c:v>
                </c:pt>
                <c:pt idx="27">
                  <c:v>2.6769899333333322</c:v>
                </c:pt>
                <c:pt idx="28">
                  <c:v>2.5425326303565363</c:v>
                </c:pt>
                <c:pt idx="29">
                  <c:v>41.124247663763214</c:v>
                </c:pt>
                <c:pt idx="30">
                  <c:v>10.323312015241157</c:v>
                </c:pt>
              </c:numCache>
            </c:numRef>
          </c:val>
          <c:extLst>
            <c:ext xmlns:c16="http://schemas.microsoft.com/office/drawing/2014/chart" uri="{C3380CC4-5D6E-409C-BE32-E72D297353CC}">
              <c16:uniqueId val="{00000001-B1C5-411D-B163-CD41E06039F5}"/>
            </c:ext>
          </c:extLst>
        </c:ser>
        <c:dLbls>
          <c:showLegendKey val="0"/>
          <c:showVal val="0"/>
          <c:showCatName val="0"/>
          <c:showSerName val="0"/>
          <c:showPercent val="0"/>
          <c:showBubbleSize val="0"/>
        </c:dLbls>
        <c:gapWidth val="0"/>
        <c:axId val="327798600"/>
        <c:axId val="327798992"/>
      </c:barChart>
      <c:catAx>
        <c:axId val="327798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7798992"/>
        <c:crosses val="autoZero"/>
        <c:auto val="1"/>
        <c:lblAlgn val="ctr"/>
        <c:lblOffset val="100"/>
        <c:noMultiLvlLbl val="0"/>
      </c:catAx>
      <c:valAx>
        <c:axId val="3277989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7798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DSE/ha - 100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'LR Comparison'!$B$1:$B$2</c:f>
              <c:strCache>
                <c:ptCount val="2"/>
                <c:pt idx="0">
                  <c:v>DSE/ha</c:v>
                </c:pt>
                <c:pt idx="1">
                  <c:v>390GL</c:v>
                </c:pt>
              </c:strCache>
            </c:strRef>
          </c:tx>
          <c:spPr>
            <a:ln w="28575" cap="rnd">
              <a:solidFill>
                <a:schemeClr val="accent1"/>
              </a:solidFill>
              <a:round/>
            </a:ln>
            <a:effectLst/>
          </c:spPr>
          <c:marker>
            <c:symbol val="none"/>
          </c:marker>
          <c:cat>
            <c:numRef>
              <c:f>'LR Comparison'!$A$3:$A$405</c:f>
              <c:numCache>
                <c:formatCode>m/d/yyyy</c:formatCode>
                <c:ptCount val="403"/>
                <c:pt idx="0">
                  <c:v>3439</c:v>
                </c:pt>
                <c:pt idx="1">
                  <c:v>3531</c:v>
                </c:pt>
                <c:pt idx="2">
                  <c:v>3622</c:v>
                </c:pt>
                <c:pt idx="3">
                  <c:v>3712</c:v>
                </c:pt>
                <c:pt idx="4">
                  <c:v>3804</c:v>
                </c:pt>
                <c:pt idx="5">
                  <c:v>3896</c:v>
                </c:pt>
                <c:pt idx="6">
                  <c:v>3987</c:v>
                </c:pt>
                <c:pt idx="7">
                  <c:v>4077</c:v>
                </c:pt>
                <c:pt idx="8">
                  <c:v>4169</c:v>
                </c:pt>
                <c:pt idx="9">
                  <c:v>4261</c:v>
                </c:pt>
                <c:pt idx="10">
                  <c:v>4352</c:v>
                </c:pt>
                <c:pt idx="11">
                  <c:v>4442</c:v>
                </c:pt>
                <c:pt idx="12">
                  <c:v>4535</c:v>
                </c:pt>
                <c:pt idx="13">
                  <c:v>4627</c:v>
                </c:pt>
                <c:pt idx="14">
                  <c:v>4718</c:v>
                </c:pt>
                <c:pt idx="15">
                  <c:v>4808</c:v>
                </c:pt>
                <c:pt idx="16">
                  <c:v>4900</c:v>
                </c:pt>
                <c:pt idx="17">
                  <c:v>4992</c:v>
                </c:pt>
                <c:pt idx="18">
                  <c:v>5083</c:v>
                </c:pt>
                <c:pt idx="19">
                  <c:v>5173</c:v>
                </c:pt>
                <c:pt idx="20">
                  <c:v>5265</c:v>
                </c:pt>
                <c:pt idx="21">
                  <c:v>5357</c:v>
                </c:pt>
                <c:pt idx="22">
                  <c:v>5448</c:v>
                </c:pt>
                <c:pt idx="23">
                  <c:v>5538</c:v>
                </c:pt>
                <c:pt idx="24">
                  <c:v>5630</c:v>
                </c:pt>
                <c:pt idx="25">
                  <c:v>5722</c:v>
                </c:pt>
                <c:pt idx="26">
                  <c:v>5813</c:v>
                </c:pt>
                <c:pt idx="27">
                  <c:v>5903</c:v>
                </c:pt>
                <c:pt idx="28">
                  <c:v>5996</c:v>
                </c:pt>
                <c:pt idx="29">
                  <c:v>6088</c:v>
                </c:pt>
                <c:pt idx="30">
                  <c:v>6179</c:v>
                </c:pt>
                <c:pt idx="31">
                  <c:v>6269</c:v>
                </c:pt>
                <c:pt idx="32">
                  <c:v>6361</c:v>
                </c:pt>
                <c:pt idx="33">
                  <c:v>6453</c:v>
                </c:pt>
                <c:pt idx="34">
                  <c:v>6544</c:v>
                </c:pt>
                <c:pt idx="35">
                  <c:v>6634</c:v>
                </c:pt>
                <c:pt idx="36">
                  <c:v>6726</c:v>
                </c:pt>
                <c:pt idx="37">
                  <c:v>6818</c:v>
                </c:pt>
                <c:pt idx="38">
                  <c:v>6909</c:v>
                </c:pt>
                <c:pt idx="39">
                  <c:v>6999</c:v>
                </c:pt>
                <c:pt idx="40">
                  <c:v>7091</c:v>
                </c:pt>
                <c:pt idx="41">
                  <c:v>7183</c:v>
                </c:pt>
                <c:pt idx="42">
                  <c:v>7274</c:v>
                </c:pt>
                <c:pt idx="43">
                  <c:v>7364</c:v>
                </c:pt>
                <c:pt idx="44">
                  <c:v>7457</c:v>
                </c:pt>
                <c:pt idx="45">
                  <c:v>7549</c:v>
                </c:pt>
                <c:pt idx="46">
                  <c:v>7640</c:v>
                </c:pt>
                <c:pt idx="47">
                  <c:v>7730</c:v>
                </c:pt>
                <c:pt idx="48">
                  <c:v>7822</c:v>
                </c:pt>
                <c:pt idx="49">
                  <c:v>7914</c:v>
                </c:pt>
                <c:pt idx="50">
                  <c:v>8005</c:v>
                </c:pt>
                <c:pt idx="51">
                  <c:v>8095</c:v>
                </c:pt>
                <c:pt idx="52">
                  <c:v>8187</c:v>
                </c:pt>
                <c:pt idx="53">
                  <c:v>8279</c:v>
                </c:pt>
                <c:pt idx="54">
                  <c:v>8370</c:v>
                </c:pt>
                <c:pt idx="55">
                  <c:v>8460</c:v>
                </c:pt>
                <c:pt idx="56">
                  <c:v>8552</c:v>
                </c:pt>
                <c:pt idx="57">
                  <c:v>8644</c:v>
                </c:pt>
                <c:pt idx="58">
                  <c:v>8735</c:v>
                </c:pt>
                <c:pt idx="59">
                  <c:v>8825</c:v>
                </c:pt>
                <c:pt idx="60">
                  <c:v>8918</c:v>
                </c:pt>
                <c:pt idx="61">
                  <c:v>9010</c:v>
                </c:pt>
                <c:pt idx="62">
                  <c:v>9101</c:v>
                </c:pt>
                <c:pt idx="63">
                  <c:v>9191</c:v>
                </c:pt>
                <c:pt idx="64">
                  <c:v>9283</c:v>
                </c:pt>
                <c:pt idx="65">
                  <c:v>9375</c:v>
                </c:pt>
                <c:pt idx="66">
                  <c:v>9466</c:v>
                </c:pt>
                <c:pt idx="67">
                  <c:v>9556</c:v>
                </c:pt>
                <c:pt idx="68">
                  <c:v>9648</c:v>
                </c:pt>
                <c:pt idx="69">
                  <c:v>9740</c:v>
                </c:pt>
                <c:pt idx="70">
                  <c:v>9831</c:v>
                </c:pt>
                <c:pt idx="71">
                  <c:v>9921</c:v>
                </c:pt>
                <c:pt idx="72">
                  <c:v>10013</c:v>
                </c:pt>
                <c:pt idx="73">
                  <c:v>10105</c:v>
                </c:pt>
                <c:pt idx="74">
                  <c:v>10196</c:v>
                </c:pt>
                <c:pt idx="75">
                  <c:v>10286</c:v>
                </c:pt>
                <c:pt idx="76">
                  <c:v>10379</c:v>
                </c:pt>
                <c:pt idx="77">
                  <c:v>10471</c:v>
                </c:pt>
                <c:pt idx="78">
                  <c:v>10562</c:v>
                </c:pt>
                <c:pt idx="79">
                  <c:v>10652</c:v>
                </c:pt>
                <c:pt idx="80">
                  <c:v>10744</c:v>
                </c:pt>
                <c:pt idx="81">
                  <c:v>10836</c:v>
                </c:pt>
                <c:pt idx="82">
                  <c:v>10927</c:v>
                </c:pt>
                <c:pt idx="83">
                  <c:v>11017</c:v>
                </c:pt>
                <c:pt idx="84">
                  <c:v>11109</c:v>
                </c:pt>
                <c:pt idx="85">
                  <c:v>11201</c:v>
                </c:pt>
                <c:pt idx="86">
                  <c:v>11292</c:v>
                </c:pt>
                <c:pt idx="87">
                  <c:v>11382</c:v>
                </c:pt>
                <c:pt idx="88">
                  <c:v>11474</c:v>
                </c:pt>
                <c:pt idx="89">
                  <c:v>11566</c:v>
                </c:pt>
                <c:pt idx="90">
                  <c:v>11657</c:v>
                </c:pt>
                <c:pt idx="91">
                  <c:v>11747</c:v>
                </c:pt>
                <c:pt idx="92">
                  <c:v>11840</c:v>
                </c:pt>
                <c:pt idx="93">
                  <c:v>11932</c:v>
                </c:pt>
                <c:pt idx="94">
                  <c:v>12023</c:v>
                </c:pt>
                <c:pt idx="95">
                  <c:v>12113</c:v>
                </c:pt>
                <c:pt idx="96">
                  <c:v>12205</c:v>
                </c:pt>
                <c:pt idx="97">
                  <c:v>12297</c:v>
                </c:pt>
                <c:pt idx="98">
                  <c:v>12388</c:v>
                </c:pt>
                <c:pt idx="99">
                  <c:v>12478</c:v>
                </c:pt>
                <c:pt idx="100">
                  <c:v>12570</c:v>
                </c:pt>
                <c:pt idx="101">
                  <c:v>12662</c:v>
                </c:pt>
                <c:pt idx="102">
                  <c:v>12753</c:v>
                </c:pt>
                <c:pt idx="103">
                  <c:v>12843</c:v>
                </c:pt>
                <c:pt idx="104">
                  <c:v>12935</c:v>
                </c:pt>
                <c:pt idx="105">
                  <c:v>13027</c:v>
                </c:pt>
                <c:pt idx="106">
                  <c:v>13118</c:v>
                </c:pt>
                <c:pt idx="107">
                  <c:v>13208</c:v>
                </c:pt>
                <c:pt idx="108">
                  <c:v>13301</c:v>
                </c:pt>
                <c:pt idx="109">
                  <c:v>13393</c:v>
                </c:pt>
                <c:pt idx="110">
                  <c:v>13484</c:v>
                </c:pt>
                <c:pt idx="111">
                  <c:v>13574</c:v>
                </c:pt>
                <c:pt idx="112">
                  <c:v>13666</c:v>
                </c:pt>
                <c:pt idx="113">
                  <c:v>13758</c:v>
                </c:pt>
                <c:pt idx="114">
                  <c:v>13849</c:v>
                </c:pt>
                <c:pt idx="115">
                  <c:v>13939</c:v>
                </c:pt>
                <c:pt idx="116">
                  <c:v>14031</c:v>
                </c:pt>
                <c:pt idx="117">
                  <c:v>14123</c:v>
                </c:pt>
                <c:pt idx="118">
                  <c:v>14214</c:v>
                </c:pt>
                <c:pt idx="119">
                  <c:v>14304</c:v>
                </c:pt>
                <c:pt idx="120">
                  <c:v>14396</c:v>
                </c:pt>
                <c:pt idx="121">
                  <c:v>14488</c:v>
                </c:pt>
                <c:pt idx="122">
                  <c:v>14579</c:v>
                </c:pt>
                <c:pt idx="123">
                  <c:v>14669</c:v>
                </c:pt>
                <c:pt idx="124">
                  <c:v>14762</c:v>
                </c:pt>
                <c:pt idx="125">
                  <c:v>14854</c:v>
                </c:pt>
                <c:pt idx="126">
                  <c:v>14945</c:v>
                </c:pt>
                <c:pt idx="127">
                  <c:v>15035</c:v>
                </c:pt>
                <c:pt idx="128">
                  <c:v>15127</c:v>
                </c:pt>
                <c:pt idx="129">
                  <c:v>15219</c:v>
                </c:pt>
                <c:pt idx="130">
                  <c:v>15310</c:v>
                </c:pt>
                <c:pt idx="131">
                  <c:v>15400</c:v>
                </c:pt>
                <c:pt idx="132">
                  <c:v>15492</c:v>
                </c:pt>
                <c:pt idx="133">
                  <c:v>15584</c:v>
                </c:pt>
                <c:pt idx="134">
                  <c:v>15675</c:v>
                </c:pt>
                <c:pt idx="135">
                  <c:v>15765</c:v>
                </c:pt>
                <c:pt idx="136">
                  <c:v>15857</c:v>
                </c:pt>
                <c:pt idx="137">
                  <c:v>15949</c:v>
                </c:pt>
                <c:pt idx="138">
                  <c:v>16040</c:v>
                </c:pt>
                <c:pt idx="139">
                  <c:v>16130</c:v>
                </c:pt>
                <c:pt idx="140">
                  <c:v>16223</c:v>
                </c:pt>
                <c:pt idx="141">
                  <c:v>16315</c:v>
                </c:pt>
                <c:pt idx="142">
                  <c:v>16406</c:v>
                </c:pt>
                <c:pt idx="143">
                  <c:v>16496</c:v>
                </c:pt>
                <c:pt idx="144">
                  <c:v>16588</c:v>
                </c:pt>
                <c:pt idx="145">
                  <c:v>16680</c:v>
                </c:pt>
                <c:pt idx="146">
                  <c:v>16771</c:v>
                </c:pt>
                <c:pt idx="147">
                  <c:v>16861</c:v>
                </c:pt>
                <c:pt idx="148">
                  <c:v>16953</c:v>
                </c:pt>
                <c:pt idx="149">
                  <c:v>17045</c:v>
                </c:pt>
                <c:pt idx="150">
                  <c:v>17136</c:v>
                </c:pt>
                <c:pt idx="151">
                  <c:v>17226</c:v>
                </c:pt>
                <c:pt idx="152">
                  <c:v>17318</c:v>
                </c:pt>
                <c:pt idx="153">
                  <c:v>17410</c:v>
                </c:pt>
                <c:pt idx="154">
                  <c:v>17501</c:v>
                </c:pt>
                <c:pt idx="155">
                  <c:v>17591</c:v>
                </c:pt>
                <c:pt idx="156">
                  <c:v>17684</c:v>
                </c:pt>
                <c:pt idx="157">
                  <c:v>17776</c:v>
                </c:pt>
                <c:pt idx="158">
                  <c:v>17867</c:v>
                </c:pt>
                <c:pt idx="159">
                  <c:v>17957</c:v>
                </c:pt>
                <c:pt idx="160">
                  <c:v>18049</c:v>
                </c:pt>
                <c:pt idx="161">
                  <c:v>18141</c:v>
                </c:pt>
                <c:pt idx="162">
                  <c:v>18232</c:v>
                </c:pt>
                <c:pt idx="163">
                  <c:v>18322</c:v>
                </c:pt>
                <c:pt idx="164">
                  <c:v>18414</c:v>
                </c:pt>
                <c:pt idx="165">
                  <c:v>18506</c:v>
                </c:pt>
                <c:pt idx="166">
                  <c:v>18597</c:v>
                </c:pt>
                <c:pt idx="167">
                  <c:v>18687</c:v>
                </c:pt>
                <c:pt idx="168">
                  <c:v>18779</c:v>
                </c:pt>
                <c:pt idx="169">
                  <c:v>18871</c:v>
                </c:pt>
                <c:pt idx="170">
                  <c:v>18962</c:v>
                </c:pt>
                <c:pt idx="171">
                  <c:v>19052</c:v>
                </c:pt>
                <c:pt idx="172">
                  <c:v>19145</c:v>
                </c:pt>
                <c:pt idx="173">
                  <c:v>19237</c:v>
                </c:pt>
                <c:pt idx="174">
                  <c:v>19328</c:v>
                </c:pt>
                <c:pt idx="175">
                  <c:v>19418</c:v>
                </c:pt>
                <c:pt idx="176">
                  <c:v>19510</c:v>
                </c:pt>
                <c:pt idx="177">
                  <c:v>19602</c:v>
                </c:pt>
                <c:pt idx="178">
                  <c:v>19693</c:v>
                </c:pt>
                <c:pt idx="179">
                  <c:v>19783</c:v>
                </c:pt>
                <c:pt idx="180">
                  <c:v>19875</c:v>
                </c:pt>
                <c:pt idx="181">
                  <c:v>19967</c:v>
                </c:pt>
                <c:pt idx="182">
                  <c:v>20058</c:v>
                </c:pt>
                <c:pt idx="183">
                  <c:v>20148</c:v>
                </c:pt>
                <c:pt idx="184">
                  <c:v>20240</c:v>
                </c:pt>
                <c:pt idx="185">
                  <c:v>20332</c:v>
                </c:pt>
                <c:pt idx="186">
                  <c:v>20423</c:v>
                </c:pt>
                <c:pt idx="187">
                  <c:v>20513</c:v>
                </c:pt>
                <c:pt idx="188">
                  <c:v>20606</c:v>
                </c:pt>
                <c:pt idx="189">
                  <c:v>20698</c:v>
                </c:pt>
                <c:pt idx="190">
                  <c:v>20789</c:v>
                </c:pt>
                <c:pt idx="191">
                  <c:v>20879</c:v>
                </c:pt>
                <c:pt idx="192">
                  <c:v>20971</c:v>
                </c:pt>
                <c:pt idx="193">
                  <c:v>21063</c:v>
                </c:pt>
                <c:pt idx="194">
                  <c:v>21154</c:v>
                </c:pt>
                <c:pt idx="195">
                  <c:v>21244</c:v>
                </c:pt>
                <c:pt idx="196">
                  <c:v>21336</c:v>
                </c:pt>
                <c:pt idx="197">
                  <c:v>21428</c:v>
                </c:pt>
                <c:pt idx="198">
                  <c:v>21519</c:v>
                </c:pt>
                <c:pt idx="199">
                  <c:v>21609</c:v>
                </c:pt>
                <c:pt idx="200">
                  <c:v>21701</c:v>
                </c:pt>
                <c:pt idx="201">
                  <c:v>21793</c:v>
                </c:pt>
                <c:pt idx="202">
                  <c:v>21884</c:v>
                </c:pt>
                <c:pt idx="203">
                  <c:v>21974</c:v>
                </c:pt>
                <c:pt idx="204">
                  <c:v>22067</c:v>
                </c:pt>
                <c:pt idx="205">
                  <c:v>22159</c:v>
                </c:pt>
                <c:pt idx="206">
                  <c:v>22250</c:v>
                </c:pt>
                <c:pt idx="207">
                  <c:v>22340</c:v>
                </c:pt>
                <c:pt idx="208">
                  <c:v>22432</c:v>
                </c:pt>
                <c:pt idx="209">
                  <c:v>22524</c:v>
                </c:pt>
                <c:pt idx="210">
                  <c:v>22615</c:v>
                </c:pt>
                <c:pt idx="211">
                  <c:v>22705</c:v>
                </c:pt>
                <c:pt idx="212">
                  <c:v>22797</c:v>
                </c:pt>
                <c:pt idx="213">
                  <c:v>22889</c:v>
                </c:pt>
                <c:pt idx="214">
                  <c:v>22980</c:v>
                </c:pt>
                <c:pt idx="215">
                  <c:v>23070</c:v>
                </c:pt>
                <c:pt idx="216">
                  <c:v>23162</c:v>
                </c:pt>
                <c:pt idx="217">
                  <c:v>23254</c:v>
                </c:pt>
                <c:pt idx="218">
                  <c:v>23345</c:v>
                </c:pt>
                <c:pt idx="219">
                  <c:v>23435</c:v>
                </c:pt>
                <c:pt idx="220">
                  <c:v>23528</c:v>
                </c:pt>
                <c:pt idx="221">
                  <c:v>23620</c:v>
                </c:pt>
                <c:pt idx="222">
                  <c:v>23711</c:v>
                </c:pt>
                <c:pt idx="223">
                  <c:v>23801</c:v>
                </c:pt>
                <c:pt idx="224">
                  <c:v>23893</c:v>
                </c:pt>
                <c:pt idx="225">
                  <c:v>23985</c:v>
                </c:pt>
                <c:pt idx="226">
                  <c:v>24076</c:v>
                </c:pt>
                <c:pt idx="227">
                  <c:v>24166</c:v>
                </c:pt>
                <c:pt idx="228">
                  <c:v>24258</c:v>
                </c:pt>
                <c:pt idx="229">
                  <c:v>24350</c:v>
                </c:pt>
                <c:pt idx="230">
                  <c:v>24441</c:v>
                </c:pt>
                <c:pt idx="231">
                  <c:v>24531</c:v>
                </c:pt>
                <c:pt idx="232">
                  <c:v>24623</c:v>
                </c:pt>
                <c:pt idx="233">
                  <c:v>24715</c:v>
                </c:pt>
                <c:pt idx="234">
                  <c:v>24806</c:v>
                </c:pt>
                <c:pt idx="235">
                  <c:v>24896</c:v>
                </c:pt>
                <c:pt idx="236">
                  <c:v>24989</c:v>
                </c:pt>
                <c:pt idx="237">
                  <c:v>25081</c:v>
                </c:pt>
                <c:pt idx="238">
                  <c:v>25172</c:v>
                </c:pt>
                <c:pt idx="239">
                  <c:v>25262</c:v>
                </c:pt>
                <c:pt idx="240">
                  <c:v>25354</c:v>
                </c:pt>
                <c:pt idx="241">
                  <c:v>25446</c:v>
                </c:pt>
                <c:pt idx="242">
                  <c:v>25537</c:v>
                </c:pt>
                <c:pt idx="243">
                  <c:v>25627</c:v>
                </c:pt>
                <c:pt idx="244">
                  <c:v>25719</c:v>
                </c:pt>
                <c:pt idx="245">
                  <c:v>25811</c:v>
                </c:pt>
                <c:pt idx="246">
                  <c:v>25902</c:v>
                </c:pt>
                <c:pt idx="247">
                  <c:v>25992</c:v>
                </c:pt>
                <c:pt idx="248">
                  <c:v>26084</c:v>
                </c:pt>
                <c:pt idx="249">
                  <c:v>26176</c:v>
                </c:pt>
                <c:pt idx="250">
                  <c:v>26267</c:v>
                </c:pt>
                <c:pt idx="251">
                  <c:v>26357</c:v>
                </c:pt>
                <c:pt idx="252">
                  <c:v>26450</c:v>
                </c:pt>
                <c:pt idx="253">
                  <c:v>26542</c:v>
                </c:pt>
                <c:pt idx="254">
                  <c:v>26633</c:v>
                </c:pt>
                <c:pt idx="255">
                  <c:v>26723</c:v>
                </c:pt>
                <c:pt idx="256">
                  <c:v>26815</c:v>
                </c:pt>
                <c:pt idx="257">
                  <c:v>26907</c:v>
                </c:pt>
                <c:pt idx="258">
                  <c:v>26998</c:v>
                </c:pt>
                <c:pt idx="259">
                  <c:v>27088</c:v>
                </c:pt>
                <c:pt idx="260">
                  <c:v>27180</c:v>
                </c:pt>
                <c:pt idx="261">
                  <c:v>27272</c:v>
                </c:pt>
                <c:pt idx="262">
                  <c:v>27363</c:v>
                </c:pt>
                <c:pt idx="263">
                  <c:v>27453</c:v>
                </c:pt>
                <c:pt idx="264">
                  <c:v>27545</c:v>
                </c:pt>
                <c:pt idx="265">
                  <c:v>27637</c:v>
                </c:pt>
                <c:pt idx="266">
                  <c:v>27728</c:v>
                </c:pt>
                <c:pt idx="267">
                  <c:v>27818</c:v>
                </c:pt>
                <c:pt idx="268">
                  <c:v>27911</c:v>
                </c:pt>
                <c:pt idx="269">
                  <c:v>28003</c:v>
                </c:pt>
                <c:pt idx="270">
                  <c:v>28094</c:v>
                </c:pt>
                <c:pt idx="271">
                  <c:v>28184</c:v>
                </c:pt>
                <c:pt idx="272">
                  <c:v>28276</c:v>
                </c:pt>
                <c:pt idx="273">
                  <c:v>28368</c:v>
                </c:pt>
                <c:pt idx="274">
                  <c:v>28459</c:v>
                </c:pt>
                <c:pt idx="275">
                  <c:v>28549</c:v>
                </c:pt>
                <c:pt idx="276">
                  <c:v>28641</c:v>
                </c:pt>
                <c:pt idx="277">
                  <c:v>28733</c:v>
                </c:pt>
                <c:pt idx="278">
                  <c:v>28824</c:v>
                </c:pt>
                <c:pt idx="279">
                  <c:v>28914</c:v>
                </c:pt>
                <c:pt idx="280">
                  <c:v>29006</c:v>
                </c:pt>
                <c:pt idx="281">
                  <c:v>29098</c:v>
                </c:pt>
                <c:pt idx="282">
                  <c:v>29189</c:v>
                </c:pt>
                <c:pt idx="283">
                  <c:v>29279</c:v>
                </c:pt>
                <c:pt idx="284">
                  <c:v>29372</c:v>
                </c:pt>
                <c:pt idx="285">
                  <c:v>29464</c:v>
                </c:pt>
                <c:pt idx="286">
                  <c:v>29555</c:v>
                </c:pt>
                <c:pt idx="287">
                  <c:v>29645</c:v>
                </c:pt>
                <c:pt idx="288">
                  <c:v>29737</c:v>
                </c:pt>
                <c:pt idx="289">
                  <c:v>29829</c:v>
                </c:pt>
                <c:pt idx="290">
                  <c:v>29920</c:v>
                </c:pt>
                <c:pt idx="291">
                  <c:v>30010</c:v>
                </c:pt>
                <c:pt idx="292">
                  <c:v>30102</c:v>
                </c:pt>
                <c:pt idx="293">
                  <c:v>30194</c:v>
                </c:pt>
                <c:pt idx="294">
                  <c:v>30285</c:v>
                </c:pt>
                <c:pt idx="295">
                  <c:v>30375</c:v>
                </c:pt>
                <c:pt idx="296">
                  <c:v>30467</c:v>
                </c:pt>
                <c:pt idx="297">
                  <c:v>30559</c:v>
                </c:pt>
                <c:pt idx="298">
                  <c:v>30650</c:v>
                </c:pt>
                <c:pt idx="299">
                  <c:v>30740</c:v>
                </c:pt>
                <c:pt idx="300">
                  <c:v>30833</c:v>
                </c:pt>
                <c:pt idx="301">
                  <c:v>30925</c:v>
                </c:pt>
                <c:pt idx="302">
                  <c:v>31016</c:v>
                </c:pt>
                <c:pt idx="303">
                  <c:v>31106</c:v>
                </c:pt>
                <c:pt idx="304">
                  <c:v>31198</c:v>
                </c:pt>
                <c:pt idx="305">
                  <c:v>31290</c:v>
                </c:pt>
                <c:pt idx="306">
                  <c:v>31381</c:v>
                </c:pt>
                <c:pt idx="307">
                  <c:v>31471</c:v>
                </c:pt>
                <c:pt idx="308">
                  <c:v>31563</c:v>
                </c:pt>
                <c:pt idx="309">
                  <c:v>31655</c:v>
                </c:pt>
                <c:pt idx="310">
                  <c:v>31746</c:v>
                </c:pt>
                <c:pt idx="311">
                  <c:v>31836</c:v>
                </c:pt>
                <c:pt idx="312">
                  <c:v>31928</c:v>
                </c:pt>
                <c:pt idx="313">
                  <c:v>32020</c:v>
                </c:pt>
                <c:pt idx="314">
                  <c:v>32111</c:v>
                </c:pt>
                <c:pt idx="315">
                  <c:v>32201</c:v>
                </c:pt>
                <c:pt idx="316">
                  <c:v>32294</c:v>
                </c:pt>
                <c:pt idx="317">
                  <c:v>32386</c:v>
                </c:pt>
                <c:pt idx="318">
                  <c:v>32477</c:v>
                </c:pt>
                <c:pt idx="319">
                  <c:v>32567</c:v>
                </c:pt>
                <c:pt idx="320">
                  <c:v>32659</c:v>
                </c:pt>
                <c:pt idx="321">
                  <c:v>32751</c:v>
                </c:pt>
                <c:pt idx="322">
                  <c:v>32842</c:v>
                </c:pt>
                <c:pt idx="323">
                  <c:v>32932</c:v>
                </c:pt>
                <c:pt idx="324">
                  <c:v>33024</c:v>
                </c:pt>
                <c:pt idx="325">
                  <c:v>33116</c:v>
                </c:pt>
                <c:pt idx="326">
                  <c:v>33207</c:v>
                </c:pt>
                <c:pt idx="327">
                  <c:v>33297</c:v>
                </c:pt>
                <c:pt idx="328">
                  <c:v>33389</c:v>
                </c:pt>
                <c:pt idx="329">
                  <c:v>33481</c:v>
                </c:pt>
                <c:pt idx="330">
                  <c:v>33572</c:v>
                </c:pt>
                <c:pt idx="331">
                  <c:v>33662</c:v>
                </c:pt>
                <c:pt idx="332">
                  <c:v>33755</c:v>
                </c:pt>
                <c:pt idx="333">
                  <c:v>33847</c:v>
                </c:pt>
                <c:pt idx="334">
                  <c:v>33938</c:v>
                </c:pt>
                <c:pt idx="335">
                  <c:v>34028</c:v>
                </c:pt>
                <c:pt idx="336">
                  <c:v>34120</c:v>
                </c:pt>
                <c:pt idx="337">
                  <c:v>34212</c:v>
                </c:pt>
                <c:pt idx="338">
                  <c:v>34303</c:v>
                </c:pt>
                <c:pt idx="339">
                  <c:v>34393</c:v>
                </c:pt>
                <c:pt idx="340">
                  <c:v>34485</c:v>
                </c:pt>
                <c:pt idx="341">
                  <c:v>34577</c:v>
                </c:pt>
                <c:pt idx="342">
                  <c:v>34668</c:v>
                </c:pt>
                <c:pt idx="343">
                  <c:v>34758</c:v>
                </c:pt>
                <c:pt idx="344">
                  <c:v>34850</c:v>
                </c:pt>
                <c:pt idx="345">
                  <c:v>34942</c:v>
                </c:pt>
                <c:pt idx="346">
                  <c:v>35033</c:v>
                </c:pt>
                <c:pt idx="347">
                  <c:v>35123</c:v>
                </c:pt>
                <c:pt idx="348">
                  <c:v>35216</c:v>
                </c:pt>
                <c:pt idx="349">
                  <c:v>35308</c:v>
                </c:pt>
                <c:pt idx="350">
                  <c:v>35399</c:v>
                </c:pt>
                <c:pt idx="351">
                  <c:v>35489</c:v>
                </c:pt>
                <c:pt idx="352">
                  <c:v>35581</c:v>
                </c:pt>
                <c:pt idx="353">
                  <c:v>35673</c:v>
                </c:pt>
                <c:pt idx="354">
                  <c:v>35764</c:v>
                </c:pt>
                <c:pt idx="355">
                  <c:v>35854</c:v>
                </c:pt>
                <c:pt idx="356">
                  <c:v>35946</c:v>
                </c:pt>
                <c:pt idx="357">
                  <c:v>36038</c:v>
                </c:pt>
                <c:pt idx="358">
                  <c:v>36129</c:v>
                </c:pt>
                <c:pt idx="359">
                  <c:v>36219</c:v>
                </c:pt>
                <c:pt idx="360">
                  <c:v>36311</c:v>
                </c:pt>
                <c:pt idx="361">
                  <c:v>36403</c:v>
                </c:pt>
                <c:pt idx="362">
                  <c:v>36494</c:v>
                </c:pt>
                <c:pt idx="363">
                  <c:v>36584</c:v>
                </c:pt>
                <c:pt idx="364">
                  <c:v>36677</c:v>
                </c:pt>
                <c:pt idx="365">
                  <c:v>36769</c:v>
                </c:pt>
                <c:pt idx="366">
                  <c:v>36860</c:v>
                </c:pt>
                <c:pt idx="367">
                  <c:v>36950</c:v>
                </c:pt>
                <c:pt idx="368">
                  <c:v>37042</c:v>
                </c:pt>
                <c:pt idx="369">
                  <c:v>37134</c:v>
                </c:pt>
                <c:pt idx="370">
                  <c:v>37225</c:v>
                </c:pt>
                <c:pt idx="371">
                  <c:v>37315</c:v>
                </c:pt>
                <c:pt idx="372">
                  <c:v>37407</c:v>
                </c:pt>
                <c:pt idx="373">
                  <c:v>37499</c:v>
                </c:pt>
                <c:pt idx="374">
                  <c:v>37590</c:v>
                </c:pt>
                <c:pt idx="375">
                  <c:v>37680</c:v>
                </c:pt>
                <c:pt idx="376">
                  <c:v>37772</c:v>
                </c:pt>
                <c:pt idx="377">
                  <c:v>37864</c:v>
                </c:pt>
                <c:pt idx="378">
                  <c:v>37955</c:v>
                </c:pt>
                <c:pt idx="379">
                  <c:v>38045</c:v>
                </c:pt>
                <c:pt idx="380">
                  <c:v>38138</c:v>
                </c:pt>
                <c:pt idx="381">
                  <c:v>38230</c:v>
                </c:pt>
                <c:pt idx="382">
                  <c:v>38321</c:v>
                </c:pt>
                <c:pt idx="383">
                  <c:v>38411</c:v>
                </c:pt>
                <c:pt idx="384">
                  <c:v>38503</c:v>
                </c:pt>
                <c:pt idx="385">
                  <c:v>38595</c:v>
                </c:pt>
                <c:pt idx="386">
                  <c:v>38686</c:v>
                </c:pt>
                <c:pt idx="387">
                  <c:v>38776</c:v>
                </c:pt>
                <c:pt idx="388">
                  <c:v>38868</c:v>
                </c:pt>
                <c:pt idx="389">
                  <c:v>38960</c:v>
                </c:pt>
                <c:pt idx="390">
                  <c:v>39051</c:v>
                </c:pt>
                <c:pt idx="391">
                  <c:v>39141</c:v>
                </c:pt>
                <c:pt idx="392">
                  <c:v>39233</c:v>
                </c:pt>
                <c:pt idx="393">
                  <c:v>39325</c:v>
                </c:pt>
                <c:pt idx="394">
                  <c:v>39416</c:v>
                </c:pt>
                <c:pt idx="395">
                  <c:v>39506</c:v>
                </c:pt>
                <c:pt idx="396">
                  <c:v>39599</c:v>
                </c:pt>
                <c:pt idx="397">
                  <c:v>39691</c:v>
                </c:pt>
                <c:pt idx="398">
                  <c:v>39782</c:v>
                </c:pt>
                <c:pt idx="399">
                  <c:v>39872</c:v>
                </c:pt>
                <c:pt idx="400">
                  <c:v>39964</c:v>
                </c:pt>
                <c:pt idx="401">
                  <c:v>40056</c:v>
                </c:pt>
              </c:numCache>
            </c:numRef>
          </c:cat>
          <c:val>
            <c:numRef>
              <c:f>'LR Comparison'!$B$3:$B$405</c:f>
              <c:numCache>
                <c:formatCode>0.000</c:formatCode>
                <c:ptCount val="403"/>
                <c:pt idx="0">
                  <c:v>0.5</c:v>
                </c:pt>
                <c:pt idx="1">
                  <c:v>0.25102737683241766</c:v>
                </c:pt>
                <c:pt idx="2">
                  <c:v>0.25720490620832148</c:v>
                </c:pt>
                <c:pt idx="3">
                  <c:v>0.25720490620832148</c:v>
                </c:pt>
                <c:pt idx="4">
                  <c:v>0.25795324742667314</c:v>
                </c:pt>
                <c:pt idx="5">
                  <c:v>0.161</c:v>
                </c:pt>
                <c:pt idx="6">
                  <c:v>0.28945091870182504</c:v>
                </c:pt>
                <c:pt idx="7">
                  <c:v>0.28945091870182504</c:v>
                </c:pt>
                <c:pt idx="8">
                  <c:v>0.73029206232352439</c:v>
                </c:pt>
                <c:pt idx="9">
                  <c:v>0.36664660145322153</c:v>
                </c:pt>
                <c:pt idx="10">
                  <c:v>0.36664660145322153</c:v>
                </c:pt>
                <c:pt idx="11">
                  <c:v>0.36664660145322153</c:v>
                </c:pt>
                <c:pt idx="12">
                  <c:v>0.16100000000000003</c:v>
                </c:pt>
                <c:pt idx="13">
                  <c:v>0.161</c:v>
                </c:pt>
                <c:pt idx="14">
                  <c:v>0.23213736748895103</c:v>
                </c:pt>
                <c:pt idx="15">
                  <c:v>0.23213736748895103</c:v>
                </c:pt>
                <c:pt idx="16">
                  <c:v>0.39040652473162674</c:v>
                </c:pt>
                <c:pt idx="17">
                  <c:v>0.19600545160328128</c:v>
                </c:pt>
                <c:pt idx="18">
                  <c:v>0.161</c:v>
                </c:pt>
                <c:pt idx="19">
                  <c:v>0.34509258467185389</c:v>
                </c:pt>
                <c:pt idx="20">
                  <c:v>0.34509258467185389</c:v>
                </c:pt>
                <c:pt idx="21">
                  <c:v>0.1732553725889889</c:v>
                </c:pt>
                <c:pt idx="22">
                  <c:v>0.32134592689213454</c:v>
                </c:pt>
                <c:pt idx="23">
                  <c:v>0.32134592689213454</c:v>
                </c:pt>
                <c:pt idx="24">
                  <c:v>0.32134592689213454</c:v>
                </c:pt>
                <c:pt idx="25">
                  <c:v>0.16133325016702879</c:v>
                </c:pt>
                <c:pt idx="26">
                  <c:v>0.161</c:v>
                </c:pt>
                <c:pt idx="27">
                  <c:v>0.161</c:v>
                </c:pt>
                <c:pt idx="28">
                  <c:v>0.161</c:v>
                </c:pt>
                <c:pt idx="29">
                  <c:v>0.161</c:v>
                </c:pt>
                <c:pt idx="30">
                  <c:v>0.37512493984808432</c:v>
                </c:pt>
                <c:pt idx="31">
                  <c:v>0.37512493984808432</c:v>
                </c:pt>
                <c:pt idx="32">
                  <c:v>0.54564486517294353</c:v>
                </c:pt>
                <c:pt idx="33">
                  <c:v>0.27394359837288446</c:v>
                </c:pt>
                <c:pt idx="34">
                  <c:v>0.33801907632384165</c:v>
                </c:pt>
                <c:pt idx="35">
                  <c:v>0.33801907632384165</c:v>
                </c:pt>
                <c:pt idx="36">
                  <c:v>0.33801907632384165</c:v>
                </c:pt>
                <c:pt idx="37">
                  <c:v>0.16970408409778148</c:v>
                </c:pt>
                <c:pt idx="38">
                  <c:v>0.161</c:v>
                </c:pt>
                <c:pt idx="39">
                  <c:v>0.161</c:v>
                </c:pt>
                <c:pt idx="40">
                  <c:v>0.161</c:v>
                </c:pt>
                <c:pt idx="41">
                  <c:v>0.161</c:v>
                </c:pt>
                <c:pt idx="42">
                  <c:v>0.161</c:v>
                </c:pt>
                <c:pt idx="43">
                  <c:v>0.161</c:v>
                </c:pt>
                <c:pt idx="44">
                  <c:v>0.161</c:v>
                </c:pt>
                <c:pt idx="45">
                  <c:v>0.161</c:v>
                </c:pt>
                <c:pt idx="46">
                  <c:v>0.4005008067039284</c:v>
                </c:pt>
                <c:pt idx="47">
                  <c:v>0.4005008067039284</c:v>
                </c:pt>
                <c:pt idx="48">
                  <c:v>0.77871751948522261</c:v>
                </c:pt>
                <c:pt idx="49">
                  <c:v>0.39095883241964496</c:v>
                </c:pt>
                <c:pt idx="50">
                  <c:v>0.39095883241964496</c:v>
                </c:pt>
                <c:pt idx="51">
                  <c:v>0.90098079207310589</c:v>
                </c:pt>
                <c:pt idx="52">
                  <c:v>1.3101916144640879</c:v>
                </c:pt>
                <c:pt idx="53">
                  <c:v>0.65778792825350052</c:v>
                </c:pt>
                <c:pt idx="54">
                  <c:v>0.65778792825350052</c:v>
                </c:pt>
                <c:pt idx="55">
                  <c:v>0.65778792825350052</c:v>
                </c:pt>
                <c:pt idx="56">
                  <c:v>0.16100000000000003</c:v>
                </c:pt>
                <c:pt idx="57">
                  <c:v>0.16100000000000003</c:v>
                </c:pt>
                <c:pt idx="58">
                  <c:v>0.16100000000000003</c:v>
                </c:pt>
                <c:pt idx="59">
                  <c:v>0.16100000000000003</c:v>
                </c:pt>
                <c:pt idx="60">
                  <c:v>0.34512403949700332</c:v>
                </c:pt>
                <c:pt idx="61">
                  <c:v>0.17327116463348086</c:v>
                </c:pt>
                <c:pt idx="62">
                  <c:v>0.46510625013136214</c:v>
                </c:pt>
                <c:pt idx="63">
                  <c:v>0.46510625013136214</c:v>
                </c:pt>
                <c:pt idx="64">
                  <c:v>0.46510625013136214</c:v>
                </c:pt>
                <c:pt idx="65">
                  <c:v>0.23350880383767628</c:v>
                </c:pt>
                <c:pt idx="66">
                  <c:v>0.161</c:v>
                </c:pt>
                <c:pt idx="67">
                  <c:v>0.34501894923947296</c:v>
                </c:pt>
                <c:pt idx="68">
                  <c:v>0.9923390621493875</c:v>
                </c:pt>
                <c:pt idx="69">
                  <c:v>0.49820854339940435</c:v>
                </c:pt>
                <c:pt idx="70">
                  <c:v>0.49820854339940435</c:v>
                </c:pt>
                <c:pt idx="71">
                  <c:v>0.49820854339940435</c:v>
                </c:pt>
                <c:pt idx="72">
                  <c:v>0.49820854339940435</c:v>
                </c:pt>
                <c:pt idx="73">
                  <c:v>0.16100000000000003</c:v>
                </c:pt>
                <c:pt idx="74">
                  <c:v>0.16100000000000003</c:v>
                </c:pt>
                <c:pt idx="75">
                  <c:v>0.18400756601015281</c:v>
                </c:pt>
                <c:pt idx="76">
                  <c:v>0.53278950083385357</c:v>
                </c:pt>
                <c:pt idx="77">
                  <c:v>0.26748950159635093</c:v>
                </c:pt>
                <c:pt idx="78">
                  <c:v>0.25543843063805077</c:v>
                </c:pt>
                <c:pt idx="79">
                  <c:v>0.25543843063805077</c:v>
                </c:pt>
                <c:pt idx="80">
                  <c:v>0.161</c:v>
                </c:pt>
                <c:pt idx="81">
                  <c:v>0.161</c:v>
                </c:pt>
                <c:pt idx="82">
                  <c:v>0.161</c:v>
                </c:pt>
                <c:pt idx="83">
                  <c:v>0.161</c:v>
                </c:pt>
                <c:pt idx="84">
                  <c:v>0.161</c:v>
                </c:pt>
                <c:pt idx="85">
                  <c:v>0.161</c:v>
                </c:pt>
                <c:pt idx="86">
                  <c:v>0.161</c:v>
                </c:pt>
                <c:pt idx="87">
                  <c:v>0.161</c:v>
                </c:pt>
                <c:pt idx="88">
                  <c:v>0.34500000000000003</c:v>
                </c:pt>
                <c:pt idx="89">
                  <c:v>0.17320889001436818</c:v>
                </c:pt>
                <c:pt idx="90">
                  <c:v>0.36569637976320141</c:v>
                </c:pt>
                <c:pt idx="91">
                  <c:v>0.36569637976320141</c:v>
                </c:pt>
                <c:pt idx="92">
                  <c:v>0.45059833803874449</c:v>
                </c:pt>
                <c:pt idx="93">
                  <c:v>0.22622503760582602</c:v>
                </c:pt>
                <c:pt idx="94">
                  <c:v>0.18977814874157412</c:v>
                </c:pt>
                <c:pt idx="95">
                  <c:v>0.18977814874157412</c:v>
                </c:pt>
                <c:pt idx="96">
                  <c:v>0.18977814874157412</c:v>
                </c:pt>
                <c:pt idx="97">
                  <c:v>0.16100000000000003</c:v>
                </c:pt>
                <c:pt idx="98">
                  <c:v>0.30940732051871428</c:v>
                </c:pt>
                <c:pt idx="99">
                  <c:v>0.30940732051871428</c:v>
                </c:pt>
                <c:pt idx="100">
                  <c:v>0.30940732051871428</c:v>
                </c:pt>
                <c:pt idx="101">
                  <c:v>0.161</c:v>
                </c:pt>
                <c:pt idx="102">
                  <c:v>0.38048281057076505</c:v>
                </c:pt>
                <c:pt idx="103">
                  <c:v>0.38048281057076505</c:v>
                </c:pt>
                <c:pt idx="104">
                  <c:v>0.38048281057076505</c:v>
                </c:pt>
                <c:pt idx="105">
                  <c:v>0.1910232037348096</c:v>
                </c:pt>
                <c:pt idx="106">
                  <c:v>0.16100000000000003</c:v>
                </c:pt>
                <c:pt idx="107">
                  <c:v>0.161</c:v>
                </c:pt>
                <c:pt idx="108">
                  <c:v>0.161</c:v>
                </c:pt>
                <c:pt idx="109">
                  <c:v>0.26483081534003849</c:v>
                </c:pt>
                <c:pt idx="110">
                  <c:v>0.161</c:v>
                </c:pt>
                <c:pt idx="111">
                  <c:v>0.161</c:v>
                </c:pt>
                <c:pt idx="112">
                  <c:v>0.2482801640176131</c:v>
                </c:pt>
                <c:pt idx="113">
                  <c:v>0.161</c:v>
                </c:pt>
                <c:pt idx="114">
                  <c:v>0.161</c:v>
                </c:pt>
                <c:pt idx="115">
                  <c:v>0.161</c:v>
                </c:pt>
                <c:pt idx="116">
                  <c:v>0.161</c:v>
                </c:pt>
                <c:pt idx="117">
                  <c:v>0.161</c:v>
                </c:pt>
                <c:pt idx="118">
                  <c:v>0.161</c:v>
                </c:pt>
                <c:pt idx="119">
                  <c:v>0.161</c:v>
                </c:pt>
                <c:pt idx="120">
                  <c:v>0.161</c:v>
                </c:pt>
                <c:pt idx="121">
                  <c:v>0.26494429408763359</c:v>
                </c:pt>
                <c:pt idx="122">
                  <c:v>0.26054758230892516</c:v>
                </c:pt>
                <c:pt idx="123">
                  <c:v>0.26054758230892516</c:v>
                </c:pt>
                <c:pt idx="124">
                  <c:v>0.26054758230892516</c:v>
                </c:pt>
                <c:pt idx="125">
                  <c:v>0.161</c:v>
                </c:pt>
                <c:pt idx="126">
                  <c:v>0.161</c:v>
                </c:pt>
                <c:pt idx="127">
                  <c:v>0.18478206502019009</c:v>
                </c:pt>
                <c:pt idx="128">
                  <c:v>0.3776297547204322</c:v>
                </c:pt>
                <c:pt idx="129">
                  <c:v>0.18959081348267875</c:v>
                </c:pt>
                <c:pt idx="130">
                  <c:v>0.161</c:v>
                </c:pt>
                <c:pt idx="131">
                  <c:v>0.34635660883231073</c:v>
                </c:pt>
                <c:pt idx="132">
                  <c:v>0.16391427540913017</c:v>
                </c:pt>
                <c:pt idx="133">
                  <c:v>0.26811677937465767</c:v>
                </c:pt>
                <c:pt idx="134">
                  <c:v>0.23506787569667142</c:v>
                </c:pt>
                <c:pt idx="135">
                  <c:v>0.23506787569667142</c:v>
                </c:pt>
                <c:pt idx="136">
                  <c:v>0.23506787569667142</c:v>
                </c:pt>
                <c:pt idx="137">
                  <c:v>0.161</c:v>
                </c:pt>
                <c:pt idx="138">
                  <c:v>0.161</c:v>
                </c:pt>
                <c:pt idx="139">
                  <c:v>0.161</c:v>
                </c:pt>
                <c:pt idx="140">
                  <c:v>0.161</c:v>
                </c:pt>
                <c:pt idx="141">
                  <c:v>0.161</c:v>
                </c:pt>
                <c:pt idx="142">
                  <c:v>0.161</c:v>
                </c:pt>
                <c:pt idx="143">
                  <c:v>0.161</c:v>
                </c:pt>
                <c:pt idx="144">
                  <c:v>0.161</c:v>
                </c:pt>
                <c:pt idx="145">
                  <c:v>0.161</c:v>
                </c:pt>
                <c:pt idx="146">
                  <c:v>0.161</c:v>
                </c:pt>
                <c:pt idx="147">
                  <c:v>0.161</c:v>
                </c:pt>
                <c:pt idx="148">
                  <c:v>0.161</c:v>
                </c:pt>
                <c:pt idx="149">
                  <c:v>0.161</c:v>
                </c:pt>
                <c:pt idx="150">
                  <c:v>0.161</c:v>
                </c:pt>
                <c:pt idx="151">
                  <c:v>0.161</c:v>
                </c:pt>
                <c:pt idx="152">
                  <c:v>0.51204544593174328</c:v>
                </c:pt>
                <c:pt idx="153">
                  <c:v>0.25707485022246213</c:v>
                </c:pt>
                <c:pt idx="154">
                  <c:v>0.33937514641239314</c:v>
                </c:pt>
                <c:pt idx="155">
                  <c:v>0.33937514641239314</c:v>
                </c:pt>
                <c:pt idx="156">
                  <c:v>0.53470386979265483</c:v>
                </c:pt>
                <c:pt idx="157">
                  <c:v>0.26845061963238548</c:v>
                </c:pt>
                <c:pt idx="158">
                  <c:v>0.35265992858975459</c:v>
                </c:pt>
                <c:pt idx="159">
                  <c:v>0.35265992858975459</c:v>
                </c:pt>
                <c:pt idx="160">
                  <c:v>0.51376883859896016</c:v>
                </c:pt>
                <c:pt idx="161">
                  <c:v>0.25794008770346949</c:v>
                </c:pt>
                <c:pt idx="162">
                  <c:v>0.31299808672294765</c:v>
                </c:pt>
                <c:pt idx="163">
                  <c:v>0.31299808672294765</c:v>
                </c:pt>
                <c:pt idx="164">
                  <c:v>1.0169655205321206</c:v>
                </c:pt>
                <c:pt idx="165">
                  <c:v>0.51057237389638477</c:v>
                </c:pt>
                <c:pt idx="166">
                  <c:v>0.54117141043306827</c:v>
                </c:pt>
                <c:pt idx="167">
                  <c:v>1.1808505573256585</c:v>
                </c:pt>
                <c:pt idx="168">
                  <c:v>1.7192525370401601</c:v>
                </c:pt>
                <c:pt idx="169">
                  <c:v>0.86315890897134062</c:v>
                </c:pt>
                <c:pt idx="170">
                  <c:v>0.86315890897134062</c:v>
                </c:pt>
                <c:pt idx="171">
                  <c:v>0.16099999999999995</c:v>
                </c:pt>
                <c:pt idx="172">
                  <c:v>0.16099999999999995</c:v>
                </c:pt>
                <c:pt idx="173">
                  <c:v>0.161</c:v>
                </c:pt>
                <c:pt idx="174">
                  <c:v>0.30386925626761707</c:v>
                </c:pt>
                <c:pt idx="175">
                  <c:v>0.30386925626761707</c:v>
                </c:pt>
                <c:pt idx="176">
                  <c:v>0.50170571236565453</c:v>
                </c:pt>
                <c:pt idx="177">
                  <c:v>0.25188373783397938</c:v>
                </c:pt>
                <c:pt idx="178">
                  <c:v>0.22834458949563491</c:v>
                </c:pt>
                <c:pt idx="179">
                  <c:v>0.22834458949563491</c:v>
                </c:pt>
                <c:pt idx="180">
                  <c:v>0.23543608166654528</c:v>
                </c:pt>
                <c:pt idx="181">
                  <c:v>0.161</c:v>
                </c:pt>
                <c:pt idx="182">
                  <c:v>0.37549801158690382</c:v>
                </c:pt>
                <c:pt idx="183">
                  <c:v>0.76825255673327852</c:v>
                </c:pt>
                <c:pt idx="184">
                  <c:v>1.2002350230824197</c:v>
                </c:pt>
                <c:pt idx="185">
                  <c:v>0.60258369885355201</c:v>
                </c:pt>
                <c:pt idx="186">
                  <c:v>0.60486206159360412</c:v>
                </c:pt>
                <c:pt idx="187">
                  <c:v>1.1554803643770972</c:v>
                </c:pt>
                <c:pt idx="188">
                  <c:v>2.5300000000000002</c:v>
                </c:pt>
                <c:pt idx="189">
                  <c:v>1.2701985267720333</c:v>
                </c:pt>
                <c:pt idx="190">
                  <c:v>1.2771998409587118</c:v>
                </c:pt>
                <c:pt idx="191">
                  <c:v>1.8471634529218568</c:v>
                </c:pt>
                <c:pt idx="192">
                  <c:v>1.8471634529218568</c:v>
                </c:pt>
                <c:pt idx="193">
                  <c:v>0.92737719233536942</c:v>
                </c:pt>
                <c:pt idx="194">
                  <c:v>0.92737719233536942</c:v>
                </c:pt>
                <c:pt idx="195">
                  <c:v>0.92737719233536942</c:v>
                </c:pt>
                <c:pt idx="196">
                  <c:v>0.16099999999999995</c:v>
                </c:pt>
                <c:pt idx="197">
                  <c:v>0.161</c:v>
                </c:pt>
                <c:pt idx="198">
                  <c:v>0.161</c:v>
                </c:pt>
                <c:pt idx="199">
                  <c:v>0.34533724292762952</c:v>
                </c:pt>
                <c:pt idx="200">
                  <c:v>1.2717668207370894</c:v>
                </c:pt>
                <c:pt idx="201">
                  <c:v>0.63849657790427006</c:v>
                </c:pt>
                <c:pt idx="202">
                  <c:v>0.63849657790427006</c:v>
                </c:pt>
                <c:pt idx="203">
                  <c:v>0.63849657790427006</c:v>
                </c:pt>
                <c:pt idx="204">
                  <c:v>0.63849657790427006</c:v>
                </c:pt>
                <c:pt idx="205">
                  <c:v>0.16100000000000003</c:v>
                </c:pt>
                <c:pt idx="206">
                  <c:v>0.16100000000000003</c:v>
                </c:pt>
                <c:pt idx="207">
                  <c:v>0.16100000000000003</c:v>
                </c:pt>
                <c:pt idx="208">
                  <c:v>0.48747706064677521</c:v>
                </c:pt>
                <c:pt idx="209">
                  <c:v>0.2447401756002747</c:v>
                </c:pt>
                <c:pt idx="210">
                  <c:v>0.20859197047083736</c:v>
                </c:pt>
                <c:pt idx="211">
                  <c:v>0.20859197047083736</c:v>
                </c:pt>
                <c:pt idx="212">
                  <c:v>0.56348061298065166</c:v>
                </c:pt>
                <c:pt idx="213">
                  <c:v>0.28289812034491146</c:v>
                </c:pt>
                <c:pt idx="214">
                  <c:v>0.35489592003913756</c:v>
                </c:pt>
                <c:pt idx="215">
                  <c:v>0.77945397978145381</c:v>
                </c:pt>
                <c:pt idx="216">
                  <c:v>1.6029135776804777</c:v>
                </c:pt>
                <c:pt idx="217">
                  <c:v>0.80475038138839206</c:v>
                </c:pt>
                <c:pt idx="218">
                  <c:v>0.80475038138839206</c:v>
                </c:pt>
                <c:pt idx="219">
                  <c:v>1.2407553988300033</c:v>
                </c:pt>
                <c:pt idx="220">
                  <c:v>1.2407553988300033</c:v>
                </c:pt>
                <c:pt idx="221">
                  <c:v>0.62292714611791178</c:v>
                </c:pt>
                <c:pt idx="222">
                  <c:v>0.62292714611791178</c:v>
                </c:pt>
                <c:pt idx="223">
                  <c:v>0.62292714611791178</c:v>
                </c:pt>
                <c:pt idx="224">
                  <c:v>0.62292714611791178</c:v>
                </c:pt>
                <c:pt idx="225">
                  <c:v>0.31274353489536699</c:v>
                </c:pt>
                <c:pt idx="226">
                  <c:v>0.161</c:v>
                </c:pt>
                <c:pt idx="227">
                  <c:v>0.161</c:v>
                </c:pt>
                <c:pt idx="228">
                  <c:v>0.161</c:v>
                </c:pt>
                <c:pt idx="229">
                  <c:v>0.161</c:v>
                </c:pt>
                <c:pt idx="230">
                  <c:v>0.34681419858797768</c:v>
                </c:pt>
                <c:pt idx="231">
                  <c:v>0.34681419858797768</c:v>
                </c:pt>
                <c:pt idx="232">
                  <c:v>0.45457583505911681</c:v>
                </c:pt>
                <c:pt idx="233">
                  <c:v>0.2282219588925917</c:v>
                </c:pt>
                <c:pt idx="234">
                  <c:v>0.161</c:v>
                </c:pt>
                <c:pt idx="235">
                  <c:v>0.34502552102839451</c:v>
                </c:pt>
                <c:pt idx="236">
                  <c:v>0.64413024422131138</c:v>
                </c:pt>
                <c:pt idx="237">
                  <c:v>0.32338865109060067</c:v>
                </c:pt>
                <c:pt idx="238">
                  <c:v>0.28993827671827033</c:v>
                </c:pt>
                <c:pt idx="239">
                  <c:v>0.28993827671827033</c:v>
                </c:pt>
                <c:pt idx="240">
                  <c:v>0.28993827671827033</c:v>
                </c:pt>
                <c:pt idx="241">
                  <c:v>0.161</c:v>
                </c:pt>
                <c:pt idx="242">
                  <c:v>0.36476476956153731</c:v>
                </c:pt>
                <c:pt idx="243">
                  <c:v>0.36476476956153731</c:v>
                </c:pt>
                <c:pt idx="244">
                  <c:v>0.36476476956153731</c:v>
                </c:pt>
                <c:pt idx="245">
                  <c:v>0.183131886527828</c:v>
                </c:pt>
                <c:pt idx="246">
                  <c:v>0.161</c:v>
                </c:pt>
                <c:pt idx="247">
                  <c:v>0.34971771659882184</c:v>
                </c:pt>
                <c:pt idx="248">
                  <c:v>0.88807196895180052</c:v>
                </c:pt>
                <c:pt idx="249">
                  <c:v>0.44586075360874144</c:v>
                </c:pt>
                <c:pt idx="250">
                  <c:v>0.44586075360874144</c:v>
                </c:pt>
                <c:pt idx="251">
                  <c:v>0.81466281326530965</c:v>
                </c:pt>
                <c:pt idx="252">
                  <c:v>0.81466281326530965</c:v>
                </c:pt>
                <c:pt idx="253">
                  <c:v>0.40900533803381667</c:v>
                </c:pt>
                <c:pt idx="254">
                  <c:v>0.40900533803381667</c:v>
                </c:pt>
                <c:pt idx="255">
                  <c:v>0.40900533803381667</c:v>
                </c:pt>
                <c:pt idx="256">
                  <c:v>0.40900533803381667</c:v>
                </c:pt>
                <c:pt idx="257">
                  <c:v>0.2053430742341705</c:v>
                </c:pt>
                <c:pt idx="258">
                  <c:v>0.29290211343115585</c:v>
                </c:pt>
                <c:pt idx="259">
                  <c:v>0.86035880900047879</c:v>
                </c:pt>
                <c:pt idx="260">
                  <c:v>2.3648659774246181</c:v>
                </c:pt>
                <c:pt idx="261">
                  <c:v>1.1872922057462665</c:v>
                </c:pt>
                <c:pt idx="262">
                  <c:v>1.1872922057462665</c:v>
                </c:pt>
                <c:pt idx="263">
                  <c:v>1.7776032290556711</c:v>
                </c:pt>
                <c:pt idx="264">
                  <c:v>1.7776032290556711</c:v>
                </c:pt>
                <c:pt idx="265">
                  <c:v>0.89245415127736072</c:v>
                </c:pt>
                <c:pt idx="266">
                  <c:v>0.89245415127736072</c:v>
                </c:pt>
                <c:pt idx="267">
                  <c:v>1.416398598485515</c:v>
                </c:pt>
                <c:pt idx="268">
                  <c:v>2.5300000000000002</c:v>
                </c:pt>
                <c:pt idx="269">
                  <c:v>1.2701985267720333</c:v>
                </c:pt>
                <c:pt idx="270">
                  <c:v>1.2701985267720333</c:v>
                </c:pt>
                <c:pt idx="271">
                  <c:v>1.804819139747901</c:v>
                </c:pt>
                <c:pt idx="272">
                  <c:v>2.5300000000000002</c:v>
                </c:pt>
                <c:pt idx="273">
                  <c:v>1.2701985267720333</c:v>
                </c:pt>
                <c:pt idx="274">
                  <c:v>1.2701985267720333</c:v>
                </c:pt>
                <c:pt idx="275">
                  <c:v>1.2701985267720333</c:v>
                </c:pt>
                <c:pt idx="276">
                  <c:v>1.2701985267720333</c:v>
                </c:pt>
                <c:pt idx="277">
                  <c:v>0.16099999999999995</c:v>
                </c:pt>
                <c:pt idx="278">
                  <c:v>0.36133199172633201</c:v>
                </c:pt>
                <c:pt idx="279">
                  <c:v>0.36133199172633201</c:v>
                </c:pt>
                <c:pt idx="280">
                  <c:v>0.36133199172633201</c:v>
                </c:pt>
                <c:pt idx="281">
                  <c:v>0.18140844409738793</c:v>
                </c:pt>
                <c:pt idx="282">
                  <c:v>0.161</c:v>
                </c:pt>
                <c:pt idx="283">
                  <c:v>0.161</c:v>
                </c:pt>
                <c:pt idx="284">
                  <c:v>0.161</c:v>
                </c:pt>
                <c:pt idx="285">
                  <c:v>0.161</c:v>
                </c:pt>
                <c:pt idx="286">
                  <c:v>0.161</c:v>
                </c:pt>
                <c:pt idx="287">
                  <c:v>0.161</c:v>
                </c:pt>
                <c:pt idx="288">
                  <c:v>0.161</c:v>
                </c:pt>
                <c:pt idx="289">
                  <c:v>0.26590262272491522</c:v>
                </c:pt>
                <c:pt idx="290">
                  <c:v>0.30648051863612424</c:v>
                </c:pt>
                <c:pt idx="291">
                  <c:v>0.30648051863612424</c:v>
                </c:pt>
                <c:pt idx="292">
                  <c:v>0.30648051863612424</c:v>
                </c:pt>
                <c:pt idx="293">
                  <c:v>0.161</c:v>
                </c:pt>
                <c:pt idx="294">
                  <c:v>0.161</c:v>
                </c:pt>
                <c:pt idx="295">
                  <c:v>0.161</c:v>
                </c:pt>
                <c:pt idx="296">
                  <c:v>0.95042173780424954</c:v>
                </c:pt>
                <c:pt idx="297">
                  <c:v>0.47716375145101714</c:v>
                </c:pt>
                <c:pt idx="298">
                  <c:v>0.53127465745538216</c:v>
                </c:pt>
                <c:pt idx="299">
                  <c:v>1.1186414784243939</c:v>
                </c:pt>
                <c:pt idx="300">
                  <c:v>1.6259243920281841</c:v>
                </c:pt>
                <c:pt idx="301">
                  <c:v>0.81630307011735692</c:v>
                </c:pt>
                <c:pt idx="302">
                  <c:v>0.82112173905914321</c:v>
                </c:pt>
                <c:pt idx="303">
                  <c:v>0.82112173905914321</c:v>
                </c:pt>
                <c:pt idx="304">
                  <c:v>0.17068348077100587</c:v>
                </c:pt>
                <c:pt idx="305">
                  <c:v>0.161</c:v>
                </c:pt>
                <c:pt idx="306">
                  <c:v>0.161</c:v>
                </c:pt>
                <c:pt idx="307">
                  <c:v>0.161</c:v>
                </c:pt>
                <c:pt idx="308">
                  <c:v>0.34500000000000003</c:v>
                </c:pt>
                <c:pt idx="309">
                  <c:v>0.17320889001436818</c:v>
                </c:pt>
                <c:pt idx="310">
                  <c:v>0.33508862018860808</c:v>
                </c:pt>
                <c:pt idx="311">
                  <c:v>0.33508862018860808</c:v>
                </c:pt>
                <c:pt idx="312">
                  <c:v>0.33508862018860808</c:v>
                </c:pt>
                <c:pt idx="313">
                  <c:v>0.1682328346646812</c:v>
                </c:pt>
                <c:pt idx="314">
                  <c:v>0.161</c:v>
                </c:pt>
                <c:pt idx="315">
                  <c:v>0.161</c:v>
                </c:pt>
                <c:pt idx="316">
                  <c:v>0.97219580315956022</c:v>
                </c:pt>
                <c:pt idx="317">
                  <c:v>0.48809552446925969</c:v>
                </c:pt>
                <c:pt idx="318">
                  <c:v>0.48809552446925969</c:v>
                </c:pt>
                <c:pt idx="319">
                  <c:v>0.48809552446925969</c:v>
                </c:pt>
                <c:pt idx="320">
                  <c:v>0.79425724514330887</c:v>
                </c:pt>
                <c:pt idx="321">
                  <c:v>0.39876062555693464</c:v>
                </c:pt>
                <c:pt idx="322">
                  <c:v>0.39876062555693464</c:v>
                </c:pt>
                <c:pt idx="323">
                  <c:v>0.39876062555693464</c:v>
                </c:pt>
                <c:pt idx="324">
                  <c:v>1.1232163241262372</c:v>
                </c:pt>
                <c:pt idx="325">
                  <c:v>0.56391609492151973</c:v>
                </c:pt>
                <c:pt idx="326">
                  <c:v>0.56391609492151973</c:v>
                </c:pt>
                <c:pt idx="327">
                  <c:v>0.56391609492151973</c:v>
                </c:pt>
                <c:pt idx="328">
                  <c:v>0.56391609492151973</c:v>
                </c:pt>
                <c:pt idx="329">
                  <c:v>0.28311675612345943</c:v>
                </c:pt>
                <c:pt idx="330">
                  <c:v>0.161</c:v>
                </c:pt>
                <c:pt idx="331">
                  <c:v>0.161</c:v>
                </c:pt>
                <c:pt idx="332">
                  <c:v>0.161</c:v>
                </c:pt>
                <c:pt idx="333">
                  <c:v>0.161</c:v>
                </c:pt>
                <c:pt idx="334">
                  <c:v>0.161</c:v>
                </c:pt>
                <c:pt idx="335">
                  <c:v>0.161</c:v>
                </c:pt>
                <c:pt idx="336">
                  <c:v>0.34500000000000003</c:v>
                </c:pt>
                <c:pt idx="337">
                  <c:v>0.17320889001436818</c:v>
                </c:pt>
                <c:pt idx="338">
                  <c:v>0.43748130149511583</c:v>
                </c:pt>
                <c:pt idx="339">
                  <c:v>0.43748130149511583</c:v>
                </c:pt>
                <c:pt idx="340">
                  <c:v>0.43748130149511583</c:v>
                </c:pt>
                <c:pt idx="341">
                  <c:v>0.2196395670551019</c:v>
                </c:pt>
                <c:pt idx="342">
                  <c:v>0.161</c:v>
                </c:pt>
                <c:pt idx="343">
                  <c:v>0.34562630906087133</c:v>
                </c:pt>
                <c:pt idx="344">
                  <c:v>0.67708300392117082</c:v>
                </c:pt>
                <c:pt idx="345">
                  <c:v>0.33993274074429014</c:v>
                </c:pt>
                <c:pt idx="346">
                  <c:v>0.39725580576864256</c:v>
                </c:pt>
                <c:pt idx="347">
                  <c:v>0.39725580576864256</c:v>
                </c:pt>
                <c:pt idx="348">
                  <c:v>0.9079668508424148</c:v>
                </c:pt>
                <c:pt idx="349">
                  <c:v>0.45584907363552474</c:v>
                </c:pt>
                <c:pt idx="350">
                  <c:v>0.46459892746209164</c:v>
                </c:pt>
                <c:pt idx="351">
                  <c:v>0.86190855066965022</c:v>
                </c:pt>
                <c:pt idx="352">
                  <c:v>0.86190855066965022</c:v>
                </c:pt>
                <c:pt idx="353">
                  <c:v>0.43272528508806646</c:v>
                </c:pt>
                <c:pt idx="354">
                  <c:v>0.43272528508806646</c:v>
                </c:pt>
                <c:pt idx="355">
                  <c:v>0.43272528508806646</c:v>
                </c:pt>
                <c:pt idx="356">
                  <c:v>0.69808958627392714</c:v>
                </c:pt>
                <c:pt idx="357">
                  <c:v>0.35047919527274324</c:v>
                </c:pt>
                <c:pt idx="358">
                  <c:v>0.67760197551391177</c:v>
                </c:pt>
                <c:pt idx="359">
                  <c:v>1.1489313129126624</c:v>
                </c:pt>
                <c:pt idx="360">
                  <c:v>1.6659504037233606</c:v>
                </c:pt>
                <c:pt idx="361">
                  <c:v>0.83639831955916466</c:v>
                </c:pt>
                <c:pt idx="362">
                  <c:v>0.83639831955916466</c:v>
                </c:pt>
                <c:pt idx="363">
                  <c:v>1.2139318745362719</c:v>
                </c:pt>
                <c:pt idx="364">
                  <c:v>1.9306679728238738</c:v>
                </c:pt>
                <c:pt idx="365">
                  <c:v>0.96930103350467678</c:v>
                </c:pt>
                <c:pt idx="366">
                  <c:v>0.96930103350467678</c:v>
                </c:pt>
                <c:pt idx="367">
                  <c:v>1.3818877280944131</c:v>
                </c:pt>
                <c:pt idx="368">
                  <c:v>1.3818877280944131</c:v>
                </c:pt>
                <c:pt idx="369">
                  <c:v>0.6937833029208994</c:v>
                </c:pt>
                <c:pt idx="370">
                  <c:v>0.6937833029208994</c:v>
                </c:pt>
                <c:pt idx="371">
                  <c:v>0.6937833029208994</c:v>
                </c:pt>
                <c:pt idx="372">
                  <c:v>0.6937833029208994</c:v>
                </c:pt>
                <c:pt idx="373">
                  <c:v>0.34831720524472792</c:v>
                </c:pt>
                <c:pt idx="374">
                  <c:v>0.16100000000000003</c:v>
                </c:pt>
                <c:pt idx="375">
                  <c:v>0.161</c:v>
                </c:pt>
                <c:pt idx="376">
                  <c:v>0.161</c:v>
                </c:pt>
                <c:pt idx="377">
                  <c:v>0.161</c:v>
                </c:pt>
                <c:pt idx="378">
                  <c:v>0.161</c:v>
                </c:pt>
                <c:pt idx="379">
                  <c:v>0.34557703473211504</c:v>
                </c:pt>
                <c:pt idx="380">
                  <c:v>0.67902132276887717</c:v>
                </c:pt>
                <c:pt idx="381">
                  <c:v>0.34090588293589924</c:v>
                </c:pt>
                <c:pt idx="382">
                  <c:v>0.36458805767405711</c:v>
                </c:pt>
                <c:pt idx="383">
                  <c:v>0.36458805767405711</c:v>
                </c:pt>
                <c:pt idx="384">
                  <c:v>0.36458805767405711</c:v>
                </c:pt>
                <c:pt idx="385">
                  <c:v>0.16100000000000003</c:v>
                </c:pt>
                <c:pt idx="386">
                  <c:v>0.161</c:v>
                </c:pt>
                <c:pt idx="387">
                  <c:v>0.161</c:v>
                </c:pt>
                <c:pt idx="388">
                  <c:v>0.161</c:v>
                </c:pt>
                <c:pt idx="389">
                  <c:v>0.161</c:v>
                </c:pt>
                <c:pt idx="390">
                  <c:v>0.161</c:v>
                </c:pt>
                <c:pt idx="391">
                  <c:v>0.161</c:v>
                </c:pt>
                <c:pt idx="392">
                  <c:v>0.161</c:v>
                </c:pt>
                <c:pt idx="393">
                  <c:v>0.161</c:v>
                </c:pt>
                <c:pt idx="394">
                  <c:v>0.161</c:v>
                </c:pt>
                <c:pt idx="395">
                  <c:v>0.75622652264730872</c:v>
                </c:pt>
                <c:pt idx="396">
                  <c:v>1.6357697507968756</c:v>
                </c:pt>
                <c:pt idx="397">
                  <c:v>0.82124597928871435</c:v>
                </c:pt>
                <c:pt idx="398">
                  <c:v>0.82124597928871435</c:v>
                </c:pt>
                <c:pt idx="399">
                  <c:v>1.2873731790064189</c:v>
                </c:pt>
                <c:pt idx="400">
                  <c:v>1.2873731790064189</c:v>
                </c:pt>
                <c:pt idx="401">
                  <c:v>0.64633182426078351</c:v>
                </c:pt>
              </c:numCache>
            </c:numRef>
          </c:val>
          <c:smooth val="0"/>
          <c:extLst>
            <c:ext xmlns:c16="http://schemas.microsoft.com/office/drawing/2014/chart" uri="{C3380CC4-5D6E-409C-BE32-E72D297353CC}">
              <c16:uniqueId val="{00000000-C001-49D5-B978-1F56F8599733}"/>
            </c:ext>
          </c:extLst>
        </c:ser>
        <c:ser>
          <c:idx val="1"/>
          <c:order val="1"/>
          <c:tx>
            <c:strRef>
              <c:f>'LR Comparison'!$C$1:$C$2</c:f>
              <c:strCache>
                <c:ptCount val="2"/>
                <c:pt idx="0">
                  <c:v>DSE/ha</c:v>
                </c:pt>
                <c:pt idx="1">
                  <c:v>Without development</c:v>
                </c:pt>
              </c:strCache>
            </c:strRef>
          </c:tx>
          <c:spPr>
            <a:ln w="28575" cap="rnd">
              <a:solidFill>
                <a:schemeClr val="accent2"/>
              </a:solidFill>
              <a:round/>
            </a:ln>
            <a:effectLst/>
          </c:spPr>
          <c:marker>
            <c:symbol val="none"/>
          </c:marker>
          <c:cat>
            <c:numRef>
              <c:f>'LR Comparison'!$A$3:$A$405</c:f>
              <c:numCache>
                <c:formatCode>m/d/yyyy</c:formatCode>
                <c:ptCount val="403"/>
                <c:pt idx="0">
                  <c:v>3439</c:v>
                </c:pt>
                <c:pt idx="1">
                  <c:v>3531</c:v>
                </c:pt>
                <c:pt idx="2">
                  <c:v>3622</c:v>
                </c:pt>
                <c:pt idx="3">
                  <c:v>3712</c:v>
                </c:pt>
                <c:pt idx="4">
                  <c:v>3804</c:v>
                </c:pt>
                <c:pt idx="5">
                  <c:v>3896</c:v>
                </c:pt>
                <c:pt idx="6">
                  <c:v>3987</c:v>
                </c:pt>
                <c:pt idx="7">
                  <c:v>4077</c:v>
                </c:pt>
                <c:pt idx="8">
                  <c:v>4169</c:v>
                </c:pt>
                <c:pt idx="9">
                  <c:v>4261</c:v>
                </c:pt>
                <c:pt idx="10">
                  <c:v>4352</c:v>
                </c:pt>
                <c:pt idx="11">
                  <c:v>4442</c:v>
                </c:pt>
                <c:pt idx="12">
                  <c:v>4535</c:v>
                </c:pt>
                <c:pt idx="13">
                  <c:v>4627</c:v>
                </c:pt>
                <c:pt idx="14">
                  <c:v>4718</c:v>
                </c:pt>
                <c:pt idx="15">
                  <c:v>4808</c:v>
                </c:pt>
                <c:pt idx="16">
                  <c:v>4900</c:v>
                </c:pt>
                <c:pt idx="17">
                  <c:v>4992</c:v>
                </c:pt>
                <c:pt idx="18">
                  <c:v>5083</c:v>
                </c:pt>
                <c:pt idx="19">
                  <c:v>5173</c:v>
                </c:pt>
                <c:pt idx="20">
                  <c:v>5265</c:v>
                </c:pt>
                <c:pt idx="21">
                  <c:v>5357</c:v>
                </c:pt>
                <c:pt idx="22">
                  <c:v>5448</c:v>
                </c:pt>
                <c:pt idx="23">
                  <c:v>5538</c:v>
                </c:pt>
                <c:pt idx="24">
                  <c:v>5630</c:v>
                </c:pt>
                <c:pt idx="25">
                  <c:v>5722</c:v>
                </c:pt>
                <c:pt idx="26">
                  <c:v>5813</c:v>
                </c:pt>
                <c:pt idx="27">
                  <c:v>5903</c:v>
                </c:pt>
                <c:pt idx="28">
                  <c:v>5996</c:v>
                </c:pt>
                <c:pt idx="29">
                  <c:v>6088</c:v>
                </c:pt>
                <c:pt idx="30">
                  <c:v>6179</c:v>
                </c:pt>
                <c:pt idx="31">
                  <c:v>6269</c:v>
                </c:pt>
                <c:pt idx="32">
                  <c:v>6361</c:v>
                </c:pt>
                <c:pt idx="33">
                  <c:v>6453</c:v>
                </c:pt>
                <c:pt idx="34">
                  <c:v>6544</c:v>
                </c:pt>
                <c:pt idx="35">
                  <c:v>6634</c:v>
                </c:pt>
                <c:pt idx="36">
                  <c:v>6726</c:v>
                </c:pt>
                <c:pt idx="37">
                  <c:v>6818</c:v>
                </c:pt>
                <c:pt idx="38">
                  <c:v>6909</c:v>
                </c:pt>
                <c:pt idx="39">
                  <c:v>6999</c:v>
                </c:pt>
                <c:pt idx="40">
                  <c:v>7091</c:v>
                </c:pt>
                <c:pt idx="41">
                  <c:v>7183</c:v>
                </c:pt>
                <c:pt idx="42">
                  <c:v>7274</c:v>
                </c:pt>
                <c:pt idx="43">
                  <c:v>7364</c:v>
                </c:pt>
                <c:pt idx="44">
                  <c:v>7457</c:v>
                </c:pt>
                <c:pt idx="45">
                  <c:v>7549</c:v>
                </c:pt>
                <c:pt idx="46">
                  <c:v>7640</c:v>
                </c:pt>
                <c:pt idx="47">
                  <c:v>7730</c:v>
                </c:pt>
                <c:pt idx="48">
                  <c:v>7822</c:v>
                </c:pt>
                <c:pt idx="49">
                  <c:v>7914</c:v>
                </c:pt>
                <c:pt idx="50">
                  <c:v>8005</c:v>
                </c:pt>
                <c:pt idx="51">
                  <c:v>8095</c:v>
                </c:pt>
                <c:pt idx="52">
                  <c:v>8187</c:v>
                </c:pt>
                <c:pt idx="53">
                  <c:v>8279</c:v>
                </c:pt>
                <c:pt idx="54">
                  <c:v>8370</c:v>
                </c:pt>
                <c:pt idx="55">
                  <c:v>8460</c:v>
                </c:pt>
                <c:pt idx="56">
                  <c:v>8552</c:v>
                </c:pt>
                <c:pt idx="57">
                  <c:v>8644</c:v>
                </c:pt>
                <c:pt idx="58">
                  <c:v>8735</c:v>
                </c:pt>
                <c:pt idx="59">
                  <c:v>8825</c:v>
                </c:pt>
                <c:pt idx="60">
                  <c:v>8918</c:v>
                </c:pt>
                <c:pt idx="61">
                  <c:v>9010</c:v>
                </c:pt>
                <c:pt idx="62">
                  <c:v>9101</c:v>
                </c:pt>
                <c:pt idx="63">
                  <c:v>9191</c:v>
                </c:pt>
                <c:pt idx="64">
                  <c:v>9283</c:v>
                </c:pt>
                <c:pt idx="65">
                  <c:v>9375</c:v>
                </c:pt>
                <c:pt idx="66">
                  <c:v>9466</c:v>
                </c:pt>
                <c:pt idx="67">
                  <c:v>9556</c:v>
                </c:pt>
                <c:pt idx="68">
                  <c:v>9648</c:v>
                </c:pt>
                <c:pt idx="69">
                  <c:v>9740</c:v>
                </c:pt>
                <c:pt idx="70">
                  <c:v>9831</c:v>
                </c:pt>
                <c:pt idx="71">
                  <c:v>9921</c:v>
                </c:pt>
                <c:pt idx="72">
                  <c:v>10013</c:v>
                </c:pt>
                <c:pt idx="73">
                  <c:v>10105</c:v>
                </c:pt>
                <c:pt idx="74">
                  <c:v>10196</c:v>
                </c:pt>
                <c:pt idx="75">
                  <c:v>10286</c:v>
                </c:pt>
                <c:pt idx="76">
                  <c:v>10379</c:v>
                </c:pt>
                <c:pt idx="77">
                  <c:v>10471</c:v>
                </c:pt>
                <c:pt idx="78">
                  <c:v>10562</c:v>
                </c:pt>
                <c:pt idx="79">
                  <c:v>10652</c:v>
                </c:pt>
                <c:pt idx="80">
                  <c:v>10744</c:v>
                </c:pt>
                <c:pt idx="81">
                  <c:v>10836</c:v>
                </c:pt>
                <c:pt idx="82">
                  <c:v>10927</c:v>
                </c:pt>
                <c:pt idx="83">
                  <c:v>11017</c:v>
                </c:pt>
                <c:pt idx="84">
                  <c:v>11109</c:v>
                </c:pt>
                <c:pt idx="85">
                  <c:v>11201</c:v>
                </c:pt>
                <c:pt idx="86">
                  <c:v>11292</c:v>
                </c:pt>
                <c:pt idx="87">
                  <c:v>11382</c:v>
                </c:pt>
                <c:pt idx="88">
                  <c:v>11474</c:v>
                </c:pt>
                <c:pt idx="89">
                  <c:v>11566</c:v>
                </c:pt>
                <c:pt idx="90">
                  <c:v>11657</c:v>
                </c:pt>
                <c:pt idx="91">
                  <c:v>11747</c:v>
                </c:pt>
                <c:pt idx="92">
                  <c:v>11840</c:v>
                </c:pt>
                <c:pt idx="93">
                  <c:v>11932</c:v>
                </c:pt>
                <c:pt idx="94">
                  <c:v>12023</c:v>
                </c:pt>
                <c:pt idx="95">
                  <c:v>12113</c:v>
                </c:pt>
                <c:pt idx="96">
                  <c:v>12205</c:v>
                </c:pt>
                <c:pt idx="97">
                  <c:v>12297</c:v>
                </c:pt>
                <c:pt idx="98">
                  <c:v>12388</c:v>
                </c:pt>
                <c:pt idx="99">
                  <c:v>12478</c:v>
                </c:pt>
                <c:pt idx="100">
                  <c:v>12570</c:v>
                </c:pt>
                <c:pt idx="101">
                  <c:v>12662</c:v>
                </c:pt>
                <c:pt idx="102">
                  <c:v>12753</c:v>
                </c:pt>
                <c:pt idx="103">
                  <c:v>12843</c:v>
                </c:pt>
                <c:pt idx="104">
                  <c:v>12935</c:v>
                </c:pt>
                <c:pt idx="105">
                  <c:v>13027</c:v>
                </c:pt>
                <c:pt idx="106">
                  <c:v>13118</c:v>
                </c:pt>
                <c:pt idx="107">
                  <c:v>13208</c:v>
                </c:pt>
                <c:pt idx="108">
                  <c:v>13301</c:v>
                </c:pt>
                <c:pt idx="109">
                  <c:v>13393</c:v>
                </c:pt>
                <c:pt idx="110">
                  <c:v>13484</c:v>
                </c:pt>
                <c:pt idx="111">
                  <c:v>13574</c:v>
                </c:pt>
                <c:pt idx="112">
                  <c:v>13666</c:v>
                </c:pt>
                <c:pt idx="113">
                  <c:v>13758</c:v>
                </c:pt>
                <c:pt idx="114">
                  <c:v>13849</c:v>
                </c:pt>
                <c:pt idx="115">
                  <c:v>13939</c:v>
                </c:pt>
                <c:pt idx="116">
                  <c:v>14031</c:v>
                </c:pt>
                <c:pt idx="117">
                  <c:v>14123</c:v>
                </c:pt>
                <c:pt idx="118">
                  <c:v>14214</c:v>
                </c:pt>
                <c:pt idx="119">
                  <c:v>14304</c:v>
                </c:pt>
                <c:pt idx="120">
                  <c:v>14396</c:v>
                </c:pt>
                <c:pt idx="121">
                  <c:v>14488</c:v>
                </c:pt>
                <c:pt idx="122">
                  <c:v>14579</c:v>
                </c:pt>
                <c:pt idx="123">
                  <c:v>14669</c:v>
                </c:pt>
                <c:pt idx="124">
                  <c:v>14762</c:v>
                </c:pt>
                <c:pt idx="125">
                  <c:v>14854</c:v>
                </c:pt>
                <c:pt idx="126">
                  <c:v>14945</c:v>
                </c:pt>
                <c:pt idx="127">
                  <c:v>15035</c:v>
                </c:pt>
                <c:pt idx="128">
                  <c:v>15127</c:v>
                </c:pt>
                <c:pt idx="129">
                  <c:v>15219</c:v>
                </c:pt>
                <c:pt idx="130">
                  <c:v>15310</c:v>
                </c:pt>
                <c:pt idx="131">
                  <c:v>15400</c:v>
                </c:pt>
                <c:pt idx="132">
                  <c:v>15492</c:v>
                </c:pt>
                <c:pt idx="133">
                  <c:v>15584</c:v>
                </c:pt>
                <c:pt idx="134">
                  <c:v>15675</c:v>
                </c:pt>
                <c:pt idx="135">
                  <c:v>15765</c:v>
                </c:pt>
                <c:pt idx="136">
                  <c:v>15857</c:v>
                </c:pt>
                <c:pt idx="137">
                  <c:v>15949</c:v>
                </c:pt>
                <c:pt idx="138">
                  <c:v>16040</c:v>
                </c:pt>
                <c:pt idx="139">
                  <c:v>16130</c:v>
                </c:pt>
                <c:pt idx="140">
                  <c:v>16223</c:v>
                </c:pt>
                <c:pt idx="141">
                  <c:v>16315</c:v>
                </c:pt>
                <c:pt idx="142">
                  <c:v>16406</c:v>
                </c:pt>
                <c:pt idx="143">
                  <c:v>16496</c:v>
                </c:pt>
                <c:pt idx="144">
                  <c:v>16588</c:v>
                </c:pt>
                <c:pt idx="145">
                  <c:v>16680</c:v>
                </c:pt>
                <c:pt idx="146">
                  <c:v>16771</c:v>
                </c:pt>
                <c:pt idx="147">
                  <c:v>16861</c:v>
                </c:pt>
                <c:pt idx="148">
                  <c:v>16953</c:v>
                </c:pt>
                <c:pt idx="149">
                  <c:v>17045</c:v>
                </c:pt>
                <c:pt idx="150">
                  <c:v>17136</c:v>
                </c:pt>
                <c:pt idx="151">
                  <c:v>17226</c:v>
                </c:pt>
                <c:pt idx="152">
                  <c:v>17318</c:v>
                </c:pt>
                <c:pt idx="153">
                  <c:v>17410</c:v>
                </c:pt>
                <c:pt idx="154">
                  <c:v>17501</c:v>
                </c:pt>
                <c:pt idx="155">
                  <c:v>17591</c:v>
                </c:pt>
                <c:pt idx="156">
                  <c:v>17684</c:v>
                </c:pt>
                <c:pt idx="157">
                  <c:v>17776</c:v>
                </c:pt>
                <c:pt idx="158">
                  <c:v>17867</c:v>
                </c:pt>
                <c:pt idx="159">
                  <c:v>17957</c:v>
                </c:pt>
                <c:pt idx="160">
                  <c:v>18049</c:v>
                </c:pt>
                <c:pt idx="161">
                  <c:v>18141</c:v>
                </c:pt>
                <c:pt idx="162">
                  <c:v>18232</c:v>
                </c:pt>
                <c:pt idx="163">
                  <c:v>18322</c:v>
                </c:pt>
                <c:pt idx="164">
                  <c:v>18414</c:v>
                </c:pt>
                <c:pt idx="165">
                  <c:v>18506</c:v>
                </c:pt>
                <c:pt idx="166">
                  <c:v>18597</c:v>
                </c:pt>
                <c:pt idx="167">
                  <c:v>18687</c:v>
                </c:pt>
                <c:pt idx="168">
                  <c:v>18779</c:v>
                </c:pt>
                <c:pt idx="169">
                  <c:v>18871</c:v>
                </c:pt>
                <c:pt idx="170">
                  <c:v>18962</c:v>
                </c:pt>
                <c:pt idx="171">
                  <c:v>19052</c:v>
                </c:pt>
                <c:pt idx="172">
                  <c:v>19145</c:v>
                </c:pt>
                <c:pt idx="173">
                  <c:v>19237</c:v>
                </c:pt>
                <c:pt idx="174">
                  <c:v>19328</c:v>
                </c:pt>
                <c:pt idx="175">
                  <c:v>19418</c:v>
                </c:pt>
                <c:pt idx="176">
                  <c:v>19510</c:v>
                </c:pt>
                <c:pt idx="177">
                  <c:v>19602</c:v>
                </c:pt>
                <c:pt idx="178">
                  <c:v>19693</c:v>
                </c:pt>
                <c:pt idx="179">
                  <c:v>19783</c:v>
                </c:pt>
                <c:pt idx="180">
                  <c:v>19875</c:v>
                </c:pt>
                <c:pt idx="181">
                  <c:v>19967</c:v>
                </c:pt>
                <c:pt idx="182">
                  <c:v>20058</c:v>
                </c:pt>
                <c:pt idx="183">
                  <c:v>20148</c:v>
                </c:pt>
                <c:pt idx="184">
                  <c:v>20240</c:v>
                </c:pt>
                <c:pt idx="185">
                  <c:v>20332</c:v>
                </c:pt>
                <c:pt idx="186">
                  <c:v>20423</c:v>
                </c:pt>
                <c:pt idx="187">
                  <c:v>20513</c:v>
                </c:pt>
                <c:pt idx="188">
                  <c:v>20606</c:v>
                </c:pt>
                <c:pt idx="189">
                  <c:v>20698</c:v>
                </c:pt>
                <c:pt idx="190">
                  <c:v>20789</c:v>
                </c:pt>
                <c:pt idx="191">
                  <c:v>20879</c:v>
                </c:pt>
                <c:pt idx="192">
                  <c:v>20971</c:v>
                </c:pt>
                <c:pt idx="193">
                  <c:v>21063</c:v>
                </c:pt>
                <c:pt idx="194">
                  <c:v>21154</c:v>
                </c:pt>
                <c:pt idx="195">
                  <c:v>21244</c:v>
                </c:pt>
                <c:pt idx="196">
                  <c:v>21336</c:v>
                </c:pt>
                <c:pt idx="197">
                  <c:v>21428</c:v>
                </c:pt>
                <c:pt idx="198">
                  <c:v>21519</c:v>
                </c:pt>
                <c:pt idx="199">
                  <c:v>21609</c:v>
                </c:pt>
                <c:pt idx="200">
                  <c:v>21701</c:v>
                </c:pt>
                <c:pt idx="201">
                  <c:v>21793</c:v>
                </c:pt>
                <c:pt idx="202">
                  <c:v>21884</c:v>
                </c:pt>
                <c:pt idx="203">
                  <c:v>21974</c:v>
                </c:pt>
                <c:pt idx="204">
                  <c:v>22067</c:v>
                </c:pt>
                <c:pt idx="205">
                  <c:v>22159</c:v>
                </c:pt>
                <c:pt idx="206">
                  <c:v>22250</c:v>
                </c:pt>
                <c:pt idx="207">
                  <c:v>22340</c:v>
                </c:pt>
                <c:pt idx="208">
                  <c:v>22432</c:v>
                </c:pt>
                <c:pt idx="209">
                  <c:v>22524</c:v>
                </c:pt>
                <c:pt idx="210">
                  <c:v>22615</c:v>
                </c:pt>
                <c:pt idx="211">
                  <c:v>22705</c:v>
                </c:pt>
                <c:pt idx="212">
                  <c:v>22797</c:v>
                </c:pt>
                <c:pt idx="213">
                  <c:v>22889</c:v>
                </c:pt>
                <c:pt idx="214">
                  <c:v>22980</c:v>
                </c:pt>
                <c:pt idx="215">
                  <c:v>23070</c:v>
                </c:pt>
                <c:pt idx="216">
                  <c:v>23162</c:v>
                </c:pt>
                <c:pt idx="217">
                  <c:v>23254</c:v>
                </c:pt>
                <c:pt idx="218">
                  <c:v>23345</c:v>
                </c:pt>
                <c:pt idx="219">
                  <c:v>23435</c:v>
                </c:pt>
                <c:pt idx="220">
                  <c:v>23528</c:v>
                </c:pt>
                <c:pt idx="221">
                  <c:v>23620</c:v>
                </c:pt>
                <c:pt idx="222">
                  <c:v>23711</c:v>
                </c:pt>
                <c:pt idx="223">
                  <c:v>23801</c:v>
                </c:pt>
                <c:pt idx="224">
                  <c:v>23893</c:v>
                </c:pt>
                <c:pt idx="225">
                  <c:v>23985</c:v>
                </c:pt>
                <c:pt idx="226">
                  <c:v>24076</c:v>
                </c:pt>
                <c:pt idx="227">
                  <c:v>24166</c:v>
                </c:pt>
                <c:pt idx="228">
                  <c:v>24258</c:v>
                </c:pt>
                <c:pt idx="229">
                  <c:v>24350</c:v>
                </c:pt>
                <c:pt idx="230">
                  <c:v>24441</c:v>
                </c:pt>
                <c:pt idx="231">
                  <c:v>24531</c:v>
                </c:pt>
                <c:pt idx="232">
                  <c:v>24623</c:v>
                </c:pt>
                <c:pt idx="233">
                  <c:v>24715</c:v>
                </c:pt>
                <c:pt idx="234">
                  <c:v>24806</c:v>
                </c:pt>
                <c:pt idx="235">
                  <c:v>24896</c:v>
                </c:pt>
                <c:pt idx="236">
                  <c:v>24989</c:v>
                </c:pt>
                <c:pt idx="237">
                  <c:v>25081</c:v>
                </c:pt>
                <c:pt idx="238">
                  <c:v>25172</c:v>
                </c:pt>
                <c:pt idx="239">
                  <c:v>25262</c:v>
                </c:pt>
                <c:pt idx="240">
                  <c:v>25354</c:v>
                </c:pt>
                <c:pt idx="241">
                  <c:v>25446</c:v>
                </c:pt>
                <c:pt idx="242">
                  <c:v>25537</c:v>
                </c:pt>
                <c:pt idx="243">
                  <c:v>25627</c:v>
                </c:pt>
                <c:pt idx="244">
                  <c:v>25719</c:v>
                </c:pt>
                <c:pt idx="245">
                  <c:v>25811</c:v>
                </c:pt>
                <c:pt idx="246">
                  <c:v>25902</c:v>
                </c:pt>
                <c:pt idx="247">
                  <c:v>25992</c:v>
                </c:pt>
                <c:pt idx="248">
                  <c:v>26084</c:v>
                </c:pt>
                <c:pt idx="249">
                  <c:v>26176</c:v>
                </c:pt>
                <c:pt idx="250">
                  <c:v>26267</c:v>
                </c:pt>
                <c:pt idx="251">
                  <c:v>26357</c:v>
                </c:pt>
                <c:pt idx="252">
                  <c:v>26450</c:v>
                </c:pt>
                <c:pt idx="253">
                  <c:v>26542</c:v>
                </c:pt>
                <c:pt idx="254">
                  <c:v>26633</c:v>
                </c:pt>
                <c:pt idx="255">
                  <c:v>26723</c:v>
                </c:pt>
                <c:pt idx="256">
                  <c:v>26815</c:v>
                </c:pt>
                <c:pt idx="257">
                  <c:v>26907</c:v>
                </c:pt>
                <c:pt idx="258">
                  <c:v>26998</c:v>
                </c:pt>
                <c:pt idx="259">
                  <c:v>27088</c:v>
                </c:pt>
                <c:pt idx="260">
                  <c:v>27180</c:v>
                </c:pt>
                <c:pt idx="261">
                  <c:v>27272</c:v>
                </c:pt>
                <c:pt idx="262">
                  <c:v>27363</c:v>
                </c:pt>
                <c:pt idx="263">
                  <c:v>27453</c:v>
                </c:pt>
                <c:pt idx="264">
                  <c:v>27545</c:v>
                </c:pt>
                <c:pt idx="265">
                  <c:v>27637</c:v>
                </c:pt>
                <c:pt idx="266">
                  <c:v>27728</c:v>
                </c:pt>
                <c:pt idx="267">
                  <c:v>27818</c:v>
                </c:pt>
                <c:pt idx="268">
                  <c:v>27911</c:v>
                </c:pt>
                <c:pt idx="269">
                  <c:v>28003</c:v>
                </c:pt>
                <c:pt idx="270">
                  <c:v>28094</c:v>
                </c:pt>
                <c:pt idx="271">
                  <c:v>28184</c:v>
                </c:pt>
                <c:pt idx="272">
                  <c:v>28276</c:v>
                </c:pt>
                <c:pt idx="273">
                  <c:v>28368</c:v>
                </c:pt>
                <c:pt idx="274">
                  <c:v>28459</c:v>
                </c:pt>
                <c:pt idx="275">
                  <c:v>28549</c:v>
                </c:pt>
                <c:pt idx="276">
                  <c:v>28641</c:v>
                </c:pt>
                <c:pt idx="277">
                  <c:v>28733</c:v>
                </c:pt>
                <c:pt idx="278">
                  <c:v>28824</c:v>
                </c:pt>
                <c:pt idx="279">
                  <c:v>28914</c:v>
                </c:pt>
                <c:pt idx="280">
                  <c:v>29006</c:v>
                </c:pt>
                <c:pt idx="281">
                  <c:v>29098</c:v>
                </c:pt>
                <c:pt idx="282">
                  <c:v>29189</c:v>
                </c:pt>
                <c:pt idx="283">
                  <c:v>29279</c:v>
                </c:pt>
                <c:pt idx="284">
                  <c:v>29372</c:v>
                </c:pt>
                <c:pt idx="285">
                  <c:v>29464</c:v>
                </c:pt>
                <c:pt idx="286">
                  <c:v>29555</c:v>
                </c:pt>
                <c:pt idx="287">
                  <c:v>29645</c:v>
                </c:pt>
                <c:pt idx="288">
                  <c:v>29737</c:v>
                </c:pt>
                <c:pt idx="289">
                  <c:v>29829</c:v>
                </c:pt>
                <c:pt idx="290">
                  <c:v>29920</c:v>
                </c:pt>
                <c:pt idx="291">
                  <c:v>30010</c:v>
                </c:pt>
                <c:pt idx="292">
                  <c:v>30102</c:v>
                </c:pt>
                <c:pt idx="293">
                  <c:v>30194</c:v>
                </c:pt>
                <c:pt idx="294">
                  <c:v>30285</c:v>
                </c:pt>
                <c:pt idx="295">
                  <c:v>30375</c:v>
                </c:pt>
                <c:pt idx="296">
                  <c:v>30467</c:v>
                </c:pt>
                <c:pt idx="297">
                  <c:v>30559</c:v>
                </c:pt>
                <c:pt idx="298">
                  <c:v>30650</c:v>
                </c:pt>
                <c:pt idx="299">
                  <c:v>30740</c:v>
                </c:pt>
                <c:pt idx="300">
                  <c:v>30833</c:v>
                </c:pt>
                <c:pt idx="301">
                  <c:v>30925</c:v>
                </c:pt>
                <c:pt idx="302">
                  <c:v>31016</c:v>
                </c:pt>
                <c:pt idx="303">
                  <c:v>31106</c:v>
                </c:pt>
                <c:pt idx="304">
                  <c:v>31198</c:v>
                </c:pt>
                <c:pt idx="305">
                  <c:v>31290</c:v>
                </c:pt>
                <c:pt idx="306">
                  <c:v>31381</c:v>
                </c:pt>
                <c:pt idx="307">
                  <c:v>31471</c:v>
                </c:pt>
                <c:pt idx="308">
                  <c:v>31563</c:v>
                </c:pt>
                <c:pt idx="309">
                  <c:v>31655</c:v>
                </c:pt>
                <c:pt idx="310">
                  <c:v>31746</c:v>
                </c:pt>
                <c:pt idx="311">
                  <c:v>31836</c:v>
                </c:pt>
                <c:pt idx="312">
                  <c:v>31928</c:v>
                </c:pt>
                <c:pt idx="313">
                  <c:v>32020</c:v>
                </c:pt>
                <c:pt idx="314">
                  <c:v>32111</c:v>
                </c:pt>
                <c:pt idx="315">
                  <c:v>32201</c:v>
                </c:pt>
                <c:pt idx="316">
                  <c:v>32294</c:v>
                </c:pt>
                <c:pt idx="317">
                  <c:v>32386</c:v>
                </c:pt>
                <c:pt idx="318">
                  <c:v>32477</c:v>
                </c:pt>
                <c:pt idx="319">
                  <c:v>32567</c:v>
                </c:pt>
                <c:pt idx="320">
                  <c:v>32659</c:v>
                </c:pt>
                <c:pt idx="321">
                  <c:v>32751</c:v>
                </c:pt>
                <c:pt idx="322">
                  <c:v>32842</c:v>
                </c:pt>
                <c:pt idx="323">
                  <c:v>32932</c:v>
                </c:pt>
                <c:pt idx="324">
                  <c:v>33024</c:v>
                </c:pt>
                <c:pt idx="325">
                  <c:v>33116</c:v>
                </c:pt>
                <c:pt idx="326">
                  <c:v>33207</c:v>
                </c:pt>
                <c:pt idx="327">
                  <c:v>33297</c:v>
                </c:pt>
                <c:pt idx="328">
                  <c:v>33389</c:v>
                </c:pt>
                <c:pt idx="329">
                  <c:v>33481</c:v>
                </c:pt>
                <c:pt idx="330">
                  <c:v>33572</c:v>
                </c:pt>
                <c:pt idx="331">
                  <c:v>33662</c:v>
                </c:pt>
                <c:pt idx="332">
                  <c:v>33755</c:v>
                </c:pt>
                <c:pt idx="333">
                  <c:v>33847</c:v>
                </c:pt>
                <c:pt idx="334">
                  <c:v>33938</c:v>
                </c:pt>
                <c:pt idx="335">
                  <c:v>34028</c:v>
                </c:pt>
                <c:pt idx="336">
                  <c:v>34120</c:v>
                </c:pt>
                <c:pt idx="337">
                  <c:v>34212</c:v>
                </c:pt>
                <c:pt idx="338">
                  <c:v>34303</c:v>
                </c:pt>
                <c:pt idx="339">
                  <c:v>34393</c:v>
                </c:pt>
                <c:pt idx="340">
                  <c:v>34485</c:v>
                </c:pt>
                <c:pt idx="341">
                  <c:v>34577</c:v>
                </c:pt>
                <c:pt idx="342">
                  <c:v>34668</c:v>
                </c:pt>
                <c:pt idx="343">
                  <c:v>34758</c:v>
                </c:pt>
                <c:pt idx="344">
                  <c:v>34850</c:v>
                </c:pt>
                <c:pt idx="345">
                  <c:v>34942</c:v>
                </c:pt>
                <c:pt idx="346">
                  <c:v>35033</c:v>
                </c:pt>
                <c:pt idx="347">
                  <c:v>35123</c:v>
                </c:pt>
                <c:pt idx="348">
                  <c:v>35216</c:v>
                </c:pt>
                <c:pt idx="349">
                  <c:v>35308</c:v>
                </c:pt>
                <c:pt idx="350">
                  <c:v>35399</c:v>
                </c:pt>
                <c:pt idx="351">
                  <c:v>35489</c:v>
                </c:pt>
                <c:pt idx="352">
                  <c:v>35581</c:v>
                </c:pt>
                <c:pt idx="353">
                  <c:v>35673</c:v>
                </c:pt>
                <c:pt idx="354">
                  <c:v>35764</c:v>
                </c:pt>
                <c:pt idx="355">
                  <c:v>35854</c:v>
                </c:pt>
                <c:pt idx="356">
                  <c:v>35946</c:v>
                </c:pt>
                <c:pt idx="357">
                  <c:v>36038</c:v>
                </c:pt>
                <c:pt idx="358">
                  <c:v>36129</c:v>
                </c:pt>
                <c:pt idx="359">
                  <c:v>36219</c:v>
                </c:pt>
                <c:pt idx="360">
                  <c:v>36311</c:v>
                </c:pt>
                <c:pt idx="361">
                  <c:v>36403</c:v>
                </c:pt>
                <c:pt idx="362">
                  <c:v>36494</c:v>
                </c:pt>
                <c:pt idx="363">
                  <c:v>36584</c:v>
                </c:pt>
                <c:pt idx="364">
                  <c:v>36677</c:v>
                </c:pt>
                <c:pt idx="365">
                  <c:v>36769</c:v>
                </c:pt>
                <c:pt idx="366">
                  <c:v>36860</c:v>
                </c:pt>
                <c:pt idx="367">
                  <c:v>36950</c:v>
                </c:pt>
                <c:pt idx="368">
                  <c:v>37042</c:v>
                </c:pt>
                <c:pt idx="369">
                  <c:v>37134</c:v>
                </c:pt>
                <c:pt idx="370">
                  <c:v>37225</c:v>
                </c:pt>
                <c:pt idx="371">
                  <c:v>37315</c:v>
                </c:pt>
                <c:pt idx="372">
                  <c:v>37407</c:v>
                </c:pt>
                <c:pt idx="373">
                  <c:v>37499</c:v>
                </c:pt>
                <c:pt idx="374">
                  <c:v>37590</c:v>
                </c:pt>
                <c:pt idx="375">
                  <c:v>37680</c:v>
                </c:pt>
                <c:pt idx="376">
                  <c:v>37772</c:v>
                </c:pt>
                <c:pt idx="377">
                  <c:v>37864</c:v>
                </c:pt>
                <c:pt idx="378">
                  <c:v>37955</c:v>
                </c:pt>
                <c:pt idx="379">
                  <c:v>38045</c:v>
                </c:pt>
                <c:pt idx="380">
                  <c:v>38138</c:v>
                </c:pt>
                <c:pt idx="381">
                  <c:v>38230</c:v>
                </c:pt>
                <c:pt idx="382">
                  <c:v>38321</c:v>
                </c:pt>
                <c:pt idx="383">
                  <c:v>38411</c:v>
                </c:pt>
                <c:pt idx="384">
                  <c:v>38503</c:v>
                </c:pt>
                <c:pt idx="385">
                  <c:v>38595</c:v>
                </c:pt>
                <c:pt idx="386">
                  <c:v>38686</c:v>
                </c:pt>
                <c:pt idx="387">
                  <c:v>38776</c:v>
                </c:pt>
                <c:pt idx="388">
                  <c:v>38868</c:v>
                </c:pt>
                <c:pt idx="389">
                  <c:v>38960</c:v>
                </c:pt>
                <c:pt idx="390">
                  <c:v>39051</c:v>
                </c:pt>
                <c:pt idx="391">
                  <c:v>39141</c:v>
                </c:pt>
                <c:pt idx="392">
                  <c:v>39233</c:v>
                </c:pt>
                <c:pt idx="393">
                  <c:v>39325</c:v>
                </c:pt>
                <c:pt idx="394">
                  <c:v>39416</c:v>
                </c:pt>
                <c:pt idx="395">
                  <c:v>39506</c:v>
                </c:pt>
                <c:pt idx="396">
                  <c:v>39599</c:v>
                </c:pt>
                <c:pt idx="397">
                  <c:v>39691</c:v>
                </c:pt>
                <c:pt idx="398">
                  <c:v>39782</c:v>
                </c:pt>
                <c:pt idx="399">
                  <c:v>39872</c:v>
                </c:pt>
                <c:pt idx="400">
                  <c:v>39964</c:v>
                </c:pt>
                <c:pt idx="401">
                  <c:v>40056</c:v>
                </c:pt>
              </c:numCache>
            </c:numRef>
          </c:cat>
          <c:val>
            <c:numRef>
              <c:f>'LR Comparison'!$C$3:$C$405</c:f>
              <c:numCache>
                <c:formatCode>0.000</c:formatCode>
                <c:ptCount val="403"/>
                <c:pt idx="0">
                  <c:v>0.5</c:v>
                </c:pt>
                <c:pt idx="1">
                  <c:v>0.25102737683241766</c:v>
                </c:pt>
                <c:pt idx="2">
                  <c:v>0.25758396669909145</c:v>
                </c:pt>
                <c:pt idx="3">
                  <c:v>0.25758396669909145</c:v>
                </c:pt>
                <c:pt idx="4">
                  <c:v>0.27165544082683929</c:v>
                </c:pt>
                <c:pt idx="5">
                  <c:v>0.161</c:v>
                </c:pt>
                <c:pt idx="6">
                  <c:v>0.30166359923390151</c:v>
                </c:pt>
                <c:pt idx="7">
                  <c:v>0.67745204464186126</c:v>
                </c:pt>
                <c:pt idx="8">
                  <c:v>1.2026924382437634</c:v>
                </c:pt>
                <c:pt idx="9">
                  <c:v>0.60381745581703272</c:v>
                </c:pt>
                <c:pt idx="10">
                  <c:v>0.60381745581703272</c:v>
                </c:pt>
                <c:pt idx="11">
                  <c:v>0.60381745581703272</c:v>
                </c:pt>
                <c:pt idx="12">
                  <c:v>0.16100000000000003</c:v>
                </c:pt>
                <c:pt idx="13">
                  <c:v>0.161</c:v>
                </c:pt>
                <c:pt idx="14">
                  <c:v>0.26604238963772697</c:v>
                </c:pt>
                <c:pt idx="15">
                  <c:v>0.26604238963772697</c:v>
                </c:pt>
                <c:pt idx="16">
                  <c:v>0.42431154688040268</c:v>
                </c:pt>
                <c:pt idx="17">
                  <c:v>0.21302762914618575</c:v>
                </c:pt>
                <c:pt idx="18">
                  <c:v>0.17134056367842634</c:v>
                </c:pt>
                <c:pt idx="19">
                  <c:v>0.35610101197967969</c:v>
                </c:pt>
                <c:pt idx="20">
                  <c:v>0.35610101197967969</c:v>
                </c:pt>
                <c:pt idx="21">
                  <c:v>0.17878220584925661</c:v>
                </c:pt>
                <c:pt idx="22">
                  <c:v>0.32737016395306018</c:v>
                </c:pt>
                <c:pt idx="23">
                  <c:v>0.32737016395306018</c:v>
                </c:pt>
                <c:pt idx="24">
                  <c:v>0.32737016395306018</c:v>
                </c:pt>
                <c:pt idx="25">
                  <c:v>0.16435774702067035</c:v>
                </c:pt>
                <c:pt idx="26">
                  <c:v>0.16100000000000003</c:v>
                </c:pt>
                <c:pt idx="27">
                  <c:v>0.161</c:v>
                </c:pt>
                <c:pt idx="28">
                  <c:v>0.161</c:v>
                </c:pt>
                <c:pt idx="29">
                  <c:v>0.161</c:v>
                </c:pt>
                <c:pt idx="30">
                  <c:v>0.38225001686884463</c:v>
                </c:pt>
                <c:pt idx="31">
                  <c:v>0.79727770949007182</c:v>
                </c:pt>
                <c:pt idx="32">
                  <c:v>1.1610468602947994</c:v>
                </c:pt>
                <c:pt idx="33">
                  <c:v>0.582909095438636</c:v>
                </c:pt>
                <c:pt idx="34">
                  <c:v>0.5869680275382676</c:v>
                </c:pt>
                <c:pt idx="35">
                  <c:v>0.5869680275382676</c:v>
                </c:pt>
                <c:pt idx="36">
                  <c:v>0.5869680275382676</c:v>
                </c:pt>
                <c:pt idx="37">
                  <c:v>0.29469008847485917</c:v>
                </c:pt>
                <c:pt idx="38">
                  <c:v>0.19249642327607028</c:v>
                </c:pt>
                <c:pt idx="39">
                  <c:v>0.19249642327607028</c:v>
                </c:pt>
                <c:pt idx="40">
                  <c:v>0.19249642327607028</c:v>
                </c:pt>
                <c:pt idx="41">
                  <c:v>0.161</c:v>
                </c:pt>
                <c:pt idx="42">
                  <c:v>0.161</c:v>
                </c:pt>
                <c:pt idx="43">
                  <c:v>0.161</c:v>
                </c:pt>
                <c:pt idx="44">
                  <c:v>0.161</c:v>
                </c:pt>
                <c:pt idx="45">
                  <c:v>0.161</c:v>
                </c:pt>
                <c:pt idx="46">
                  <c:v>0.41153914589081375</c:v>
                </c:pt>
                <c:pt idx="47">
                  <c:v>0.41153914589081375</c:v>
                </c:pt>
                <c:pt idx="48">
                  <c:v>0.78975585867210796</c:v>
                </c:pt>
                <c:pt idx="49">
                  <c:v>0.39650068308098557</c:v>
                </c:pt>
                <c:pt idx="50">
                  <c:v>0.42867695833498054</c:v>
                </c:pt>
                <c:pt idx="51">
                  <c:v>1.0375370344546584</c:v>
                </c:pt>
                <c:pt idx="52">
                  <c:v>1.5166749294234294</c:v>
                </c:pt>
                <c:pt idx="53">
                  <c:v>0.76145385808131127</c:v>
                </c:pt>
                <c:pt idx="54">
                  <c:v>0.76145385808131127</c:v>
                </c:pt>
                <c:pt idx="55">
                  <c:v>0.76145385808131127</c:v>
                </c:pt>
                <c:pt idx="56">
                  <c:v>0.16100000000000003</c:v>
                </c:pt>
                <c:pt idx="57">
                  <c:v>0.16100000000000003</c:v>
                </c:pt>
                <c:pt idx="58">
                  <c:v>0.16100000000000003</c:v>
                </c:pt>
                <c:pt idx="59">
                  <c:v>0.16100000000000003</c:v>
                </c:pt>
                <c:pt idx="60">
                  <c:v>0.43106311135257153</c:v>
                </c:pt>
                <c:pt idx="61">
                  <c:v>0.21641728418411271</c:v>
                </c:pt>
                <c:pt idx="62">
                  <c:v>0.3274608443717103</c:v>
                </c:pt>
                <c:pt idx="63">
                  <c:v>0.3274608443717103</c:v>
                </c:pt>
                <c:pt idx="64">
                  <c:v>0.32975640514787186</c:v>
                </c:pt>
                <c:pt idx="65">
                  <c:v>0.16555577075591643</c:v>
                </c:pt>
                <c:pt idx="66">
                  <c:v>0.161</c:v>
                </c:pt>
                <c:pt idx="67">
                  <c:v>0.34541106388015741</c:v>
                </c:pt>
                <c:pt idx="68">
                  <c:v>1.0067816137391095</c:v>
                </c:pt>
                <c:pt idx="69">
                  <c:v>0.50545949508007393</c:v>
                </c:pt>
                <c:pt idx="70">
                  <c:v>0.50545949508007393</c:v>
                </c:pt>
                <c:pt idx="71">
                  <c:v>0.50545949508007393</c:v>
                </c:pt>
                <c:pt idx="72">
                  <c:v>0.50918913360974039</c:v>
                </c:pt>
                <c:pt idx="73">
                  <c:v>0.16100000000000003</c:v>
                </c:pt>
                <c:pt idx="74">
                  <c:v>0.16100000000000003</c:v>
                </c:pt>
                <c:pt idx="75">
                  <c:v>0.18414862633908424</c:v>
                </c:pt>
                <c:pt idx="76">
                  <c:v>0.58540496050112212</c:v>
                </c:pt>
                <c:pt idx="77">
                  <c:v>0.29390534323856349</c:v>
                </c:pt>
                <c:pt idx="78">
                  <c:v>0.28185427228026327</c:v>
                </c:pt>
                <c:pt idx="79">
                  <c:v>0.28185427228026327</c:v>
                </c:pt>
                <c:pt idx="80">
                  <c:v>0.16721347328972685</c:v>
                </c:pt>
                <c:pt idx="81">
                  <c:v>0.161</c:v>
                </c:pt>
                <c:pt idx="82">
                  <c:v>0.161</c:v>
                </c:pt>
                <c:pt idx="83">
                  <c:v>0.1863554626719135</c:v>
                </c:pt>
                <c:pt idx="84">
                  <c:v>0.1863554626719135</c:v>
                </c:pt>
                <c:pt idx="85">
                  <c:v>0.161</c:v>
                </c:pt>
                <c:pt idx="86">
                  <c:v>0.161</c:v>
                </c:pt>
                <c:pt idx="87">
                  <c:v>0.161</c:v>
                </c:pt>
                <c:pt idx="88">
                  <c:v>0.34521149168243614</c:v>
                </c:pt>
                <c:pt idx="89">
                  <c:v>0.17331507041889582</c:v>
                </c:pt>
                <c:pt idx="90">
                  <c:v>0.36601405185016511</c:v>
                </c:pt>
                <c:pt idx="91">
                  <c:v>0.36601405185016511</c:v>
                </c:pt>
                <c:pt idx="92">
                  <c:v>0.51143170250048564</c:v>
                </c:pt>
                <c:pt idx="93">
                  <c:v>0.25676671741526863</c:v>
                </c:pt>
                <c:pt idx="94">
                  <c:v>0.22031982855101673</c:v>
                </c:pt>
                <c:pt idx="95">
                  <c:v>0.22031982855101673</c:v>
                </c:pt>
                <c:pt idx="96">
                  <c:v>0.22031982855101673</c:v>
                </c:pt>
                <c:pt idx="97">
                  <c:v>0.161</c:v>
                </c:pt>
                <c:pt idx="98">
                  <c:v>0.31796654728471802</c:v>
                </c:pt>
                <c:pt idx="99">
                  <c:v>0.31796654728471802</c:v>
                </c:pt>
                <c:pt idx="100">
                  <c:v>0.32151437115390114</c:v>
                </c:pt>
                <c:pt idx="101">
                  <c:v>0.16141781840937625</c:v>
                </c:pt>
                <c:pt idx="102">
                  <c:v>0.38120446174093431</c:v>
                </c:pt>
                <c:pt idx="103">
                  <c:v>0.38120446174093431</c:v>
                </c:pt>
                <c:pt idx="104">
                  <c:v>0.38120446174093431</c:v>
                </c:pt>
                <c:pt idx="105">
                  <c:v>0.19138551213528088</c:v>
                </c:pt>
                <c:pt idx="106">
                  <c:v>0.161</c:v>
                </c:pt>
                <c:pt idx="107">
                  <c:v>0.161</c:v>
                </c:pt>
                <c:pt idx="108">
                  <c:v>0.161</c:v>
                </c:pt>
                <c:pt idx="109">
                  <c:v>0.26483081534003849</c:v>
                </c:pt>
                <c:pt idx="110">
                  <c:v>0.161</c:v>
                </c:pt>
                <c:pt idx="111">
                  <c:v>0.161</c:v>
                </c:pt>
                <c:pt idx="112">
                  <c:v>0.49293522776792825</c:v>
                </c:pt>
                <c:pt idx="113">
                  <c:v>0.24748047434974668</c:v>
                </c:pt>
                <c:pt idx="114">
                  <c:v>0.16202199081108731</c:v>
                </c:pt>
                <c:pt idx="115">
                  <c:v>0.348255752107693</c:v>
                </c:pt>
                <c:pt idx="116">
                  <c:v>0.16100000000000003</c:v>
                </c:pt>
                <c:pt idx="117">
                  <c:v>0.16100000000000003</c:v>
                </c:pt>
                <c:pt idx="118">
                  <c:v>0.16100000000000003</c:v>
                </c:pt>
                <c:pt idx="119">
                  <c:v>0.18514896016595542</c:v>
                </c:pt>
                <c:pt idx="120">
                  <c:v>0.18514896016595542</c:v>
                </c:pt>
                <c:pt idx="121">
                  <c:v>0.161</c:v>
                </c:pt>
                <c:pt idx="122">
                  <c:v>0.34178110041299542</c:v>
                </c:pt>
                <c:pt idx="123">
                  <c:v>0.34178110041299542</c:v>
                </c:pt>
                <c:pt idx="124">
                  <c:v>0.34178110041299542</c:v>
                </c:pt>
                <c:pt idx="125">
                  <c:v>0.17159282617514271</c:v>
                </c:pt>
                <c:pt idx="126">
                  <c:v>0.161</c:v>
                </c:pt>
                <c:pt idx="127">
                  <c:v>0.18737292444120698</c:v>
                </c:pt>
                <c:pt idx="128">
                  <c:v>0.49924960873488461</c:v>
                </c:pt>
                <c:pt idx="129">
                  <c:v>0.2506506393306579</c:v>
                </c:pt>
                <c:pt idx="130">
                  <c:v>0.161</c:v>
                </c:pt>
                <c:pt idx="131">
                  <c:v>0.34840191122653386</c:v>
                </c:pt>
                <c:pt idx="132">
                  <c:v>0.17047933599666998</c:v>
                </c:pt>
                <c:pt idx="133">
                  <c:v>0.27341261862115651</c:v>
                </c:pt>
                <c:pt idx="134">
                  <c:v>0.24036371494317024</c:v>
                </c:pt>
                <c:pt idx="135">
                  <c:v>0.24036371494317024</c:v>
                </c:pt>
                <c:pt idx="136">
                  <c:v>0.2443750357506396</c:v>
                </c:pt>
                <c:pt idx="137">
                  <c:v>0.161</c:v>
                </c:pt>
                <c:pt idx="138">
                  <c:v>0.28095292456412557</c:v>
                </c:pt>
                <c:pt idx="139">
                  <c:v>0.28095292456412557</c:v>
                </c:pt>
                <c:pt idx="140">
                  <c:v>0.161</c:v>
                </c:pt>
                <c:pt idx="141">
                  <c:v>0.161</c:v>
                </c:pt>
                <c:pt idx="142">
                  <c:v>0.161</c:v>
                </c:pt>
                <c:pt idx="143">
                  <c:v>0.161</c:v>
                </c:pt>
                <c:pt idx="144">
                  <c:v>0.161</c:v>
                </c:pt>
                <c:pt idx="145">
                  <c:v>0.161</c:v>
                </c:pt>
                <c:pt idx="146">
                  <c:v>0.161</c:v>
                </c:pt>
                <c:pt idx="147">
                  <c:v>0.161</c:v>
                </c:pt>
                <c:pt idx="148">
                  <c:v>0.161</c:v>
                </c:pt>
                <c:pt idx="149">
                  <c:v>0.161</c:v>
                </c:pt>
                <c:pt idx="150">
                  <c:v>0.161</c:v>
                </c:pt>
                <c:pt idx="151">
                  <c:v>0.161</c:v>
                </c:pt>
                <c:pt idx="152">
                  <c:v>0.56845965737200588</c:v>
                </c:pt>
                <c:pt idx="153">
                  <c:v>0.28539787325029903</c:v>
                </c:pt>
                <c:pt idx="154">
                  <c:v>0.36769816944023004</c:v>
                </c:pt>
                <c:pt idx="155">
                  <c:v>0.36769816944023004</c:v>
                </c:pt>
                <c:pt idx="156">
                  <c:v>0.603640970125493</c:v>
                </c:pt>
                <c:pt idx="157">
                  <c:v>0.30306081855835659</c:v>
                </c:pt>
                <c:pt idx="158">
                  <c:v>0.38828732201802141</c:v>
                </c:pt>
                <c:pt idx="159">
                  <c:v>0.38828732201802141</c:v>
                </c:pt>
                <c:pt idx="160">
                  <c:v>0.55904216982289268</c:v>
                </c:pt>
                <c:pt idx="161">
                  <c:v>0.28066977885868738</c:v>
                </c:pt>
                <c:pt idx="162">
                  <c:v>0.34431473019254027</c:v>
                </c:pt>
                <c:pt idx="163">
                  <c:v>0.34431473019254027</c:v>
                </c:pt>
                <c:pt idx="164">
                  <c:v>1.1164070297199327</c:v>
                </c:pt>
                <c:pt idx="165">
                  <c:v>0.56049745629573111</c:v>
                </c:pt>
                <c:pt idx="166">
                  <c:v>0.60945097881081289</c:v>
                </c:pt>
                <c:pt idx="167">
                  <c:v>1.3687707795691331</c:v>
                </c:pt>
                <c:pt idx="168">
                  <c:v>2.0051812977355756</c:v>
                </c:pt>
                <c:pt idx="169">
                  <c:v>1.0067108024879692</c:v>
                </c:pt>
                <c:pt idx="170">
                  <c:v>1.0067108024879692</c:v>
                </c:pt>
                <c:pt idx="171">
                  <c:v>0.16099999999999995</c:v>
                </c:pt>
                <c:pt idx="172">
                  <c:v>0.16099999999999995</c:v>
                </c:pt>
                <c:pt idx="173">
                  <c:v>0.161</c:v>
                </c:pt>
                <c:pt idx="174">
                  <c:v>0.30459075539867286</c:v>
                </c:pt>
                <c:pt idx="175">
                  <c:v>0.30459075539867286</c:v>
                </c:pt>
                <c:pt idx="176">
                  <c:v>0.55198626678008034</c:v>
                </c:pt>
                <c:pt idx="177">
                  <c:v>0.27712732919464528</c:v>
                </c:pt>
                <c:pt idx="178">
                  <c:v>0.2535881808563008</c:v>
                </c:pt>
                <c:pt idx="179">
                  <c:v>0.2535881808563008</c:v>
                </c:pt>
                <c:pt idx="180">
                  <c:v>0.29356395651691947</c:v>
                </c:pt>
                <c:pt idx="181">
                  <c:v>0.161</c:v>
                </c:pt>
                <c:pt idx="182">
                  <c:v>0.41306840065692974</c:v>
                </c:pt>
                <c:pt idx="183">
                  <c:v>0.83831364311460321</c:v>
                </c:pt>
                <c:pt idx="184">
                  <c:v>1.2768299230589908</c:v>
                </c:pt>
                <c:pt idx="185">
                  <c:v>0.64103853249327214</c:v>
                </c:pt>
                <c:pt idx="186">
                  <c:v>0.64665916426994297</c:v>
                </c:pt>
                <c:pt idx="187">
                  <c:v>1.2186850280596842</c:v>
                </c:pt>
                <c:pt idx="188">
                  <c:v>2.5300000000000002</c:v>
                </c:pt>
                <c:pt idx="189">
                  <c:v>1.2701985267720333</c:v>
                </c:pt>
                <c:pt idx="190">
                  <c:v>1.2825433037320328</c:v>
                </c:pt>
                <c:pt idx="191">
                  <c:v>1.9067453482970982</c:v>
                </c:pt>
                <c:pt idx="192">
                  <c:v>1.9086976113273892</c:v>
                </c:pt>
                <c:pt idx="193">
                  <c:v>0.95827070907563183</c:v>
                </c:pt>
                <c:pt idx="194">
                  <c:v>0.95827070907563183</c:v>
                </c:pt>
                <c:pt idx="195">
                  <c:v>0.95827070907563183</c:v>
                </c:pt>
                <c:pt idx="196">
                  <c:v>0.16099999999999995</c:v>
                </c:pt>
                <c:pt idx="197">
                  <c:v>0.161</c:v>
                </c:pt>
                <c:pt idx="198">
                  <c:v>0.1624602608955997</c:v>
                </c:pt>
                <c:pt idx="199">
                  <c:v>0.34792425526610149</c:v>
                </c:pt>
                <c:pt idx="200">
                  <c:v>1.3519584184767004</c:v>
                </c:pt>
                <c:pt idx="201">
                  <c:v>0.67875715075342014</c:v>
                </c:pt>
                <c:pt idx="202">
                  <c:v>0.67875715075342014</c:v>
                </c:pt>
                <c:pt idx="203">
                  <c:v>1.0538085760330593</c:v>
                </c:pt>
                <c:pt idx="204">
                  <c:v>1.0538085760330593</c:v>
                </c:pt>
                <c:pt idx="205">
                  <c:v>0.16099999999999995</c:v>
                </c:pt>
                <c:pt idx="206">
                  <c:v>0.16100000000000003</c:v>
                </c:pt>
                <c:pt idx="207">
                  <c:v>0.16100000000000003</c:v>
                </c:pt>
                <c:pt idx="208">
                  <c:v>0.50053068553031987</c:v>
                </c:pt>
                <c:pt idx="209">
                  <c:v>0.25129381002561585</c:v>
                </c:pt>
                <c:pt idx="210">
                  <c:v>0.21520186356218204</c:v>
                </c:pt>
                <c:pt idx="211">
                  <c:v>0.21520186356218204</c:v>
                </c:pt>
                <c:pt idx="212">
                  <c:v>0.68749375895086284</c:v>
                </c:pt>
                <c:pt idx="213">
                  <c:v>0.34515950979618709</c:v>
                </c:pt>
                <c:pt idx="214">
                  <c:v>0.41715730949041324</c:v>
                </c:pt>
                <c:pt idx="215">
                  <c:v>0.88394684196505924</c:v>
                </c:pt>
                <c:pt idx="216">
                  <c:v>1.7908775627380649</c:v>
                </c:pt>
                <c:pt idx="217">
                  <c:v>0.89911859360433977</c:v>
                </c:pt>
                <c:pt idx="218">
                  <c:v>0.89911859360433977</c:v>
                </c:pt>
                <c:pt idx="219">
                  <c:v>1.3479195500153007</c:v>
                </c:pt>
                <c:pt idx="220">
                  <c:v>1.3479195500153007</c:v>
                </c:pt>
                <c:pt idx="221">
                  <c:v>0.67672941764294725</c:v>
                </c:pt>
                <c:pt idx="222">
                  <c:v>0.67672941764294725</c:v>
                </c:pt>
                <c:pt idx="223">
                  <c:v>0.67672941764294725</c:v>
                </c:pt>
                <c:pt idx="224">
                  <c:v>0.67672941764294725</c:v>
                </c:pt>
                <c:pt idx="225">
                  <c:v>0.3397552210724773</c:v>
                </c:pt>
                <c:pt idx="226">
                  <c:v>0.16100000000000003</c:v>
                </c:pt>
                <c:pt idx="227">
                  <c:v>0.161</c:v>
                </c:pt>
                <c:pt idx="228">
                  <c:v>0.161</c:v>
                </c:pt>
                <c:pt idx="229">
                  <c:v>0.161</c:v>
                </c:pt>
                <c:pt idx="230">
                  <c:v>0.34741095623187701</c:v>
                </c:pt>
                <c:pt idx="231">
                  <c:v>0.34741095623187701</c:v>
                </c:pt>
                <c:pt idx="232">
                  <c:v>0.45518354539086642</c:v>
                </c:pt>
                <c:pt idx="233">
                  <c:v>0.22852706275349782</c:v>
                </c:pt>
                <c:pt idx="234">
                  <c:v>0.161</c:v>
                </c:pt>
                <c:pt idx="235">
                  <c:v>0.34561459800948546</c:v>
                </c:pt>
                <c:pt idx="236">
                  <c:v>0.6538065389918728</c:v>
                </c:pt>
                <c:pt idx="237">
                  <c:v>0.32824668087802322</c:v>
                </c:pt>
                <c:pt idx="238">
                  <c:v>0.29479630650569288</c:v>
                </c:pt>
                <c:pt idx="239">
                  <c:v>0.29479630650569288</c:v>
                </c:pt>
                <c:pt idx="240">
                  <c:v>0.29479630650569288</c:v>
                </c:pt>
                <c:pt idx="241">
                  <c:v>0.161</c:v>
                </c:pt>
                <c:pt idx="242">
                  <c:v>0.36636647841337255</c:v>
                </c:pt>
                <c:pt idx="243">
                  <c:v>0.36636647841337255</c:v>
                </c:pt>
                <c:pt idx="244">
                  <c:v>0.36636647841337255</c:v>
                </c:pt>
                <c:pt idx="245">
                  <c:v>0.18393603207087894</c:v>
                </c:pt>
                <c:pt idx="246">
                  <c:v>0.161</c:v>
                </c:pt>
                <c:pt idx="247">
                  <c:v>1.0456308970578536</c:v>
                </c:pt>
                <c:pt idx="248">
                  <c:v>1.790888047455486</c:v>
                </c:pt>
                <c:pt idx="249">
                  <c:v>0.89912385750656176</c:v>
                </c:pt>
                <c:pt idx="250">
                  <c:v>0.89912385750656176</c:v>
                </c:pt>
                <c:pt idx="251">
                  <c:v>1.3642869919292306</c:v>
                </c:pt>
                <c:pt idx="252">
                  <c:v>1.3714546728188333</c:v>
                </c:pt>
                <c:pt idx="253">
                  <c:v>0.68854533792454653</c:v>
                </c:pt>
                <c:pt idx="254">
                  <c:v>0.69135957573113327</c:v>
                </c:pt>
                <c:pt idx="255">
                  <c:v>0.69135957573113327</c:v>
                </c:pt>
                <c:pt idx="256">
                  <c:v>0.69135957573113327</c:v>
                </c:pt>
                <c:pt idx="257">
                  <c:v>0.34710036148751916</c:v>
                </c:pt>
                <c:pt idx="258">
                  <c:v>0.43465940068450443</c:v>
                </c:pt>
                <c:pt idx="259">
                  <c:v>1.0762194379788632</c:v>
                </c:pt>
                <c:pt idx="260">
                  <c:v>2.5300000000000002</c:v>
                </c:pt>
                <c:pt idx="261">
                  <c:v>1.2701985267720333</c:v>
                </c:pt>
                <c:pt idx="262">
                  <c:v>1.2701985267720333</c:v>
                </c:pt>
                <c:pt idx="263">
                  <c:v>1.8737013181186413</c:v>
                </c:pt>
                <c:pt idx="264">
                  <c:v>1.8737013181186413</c:v>
                </c:pt>
                <c:pt idx="265">
                  <c:v>0.9407006537095316</c:v>
                </c:pt>
                <c:pt idx="266">
                  <c:v>0.9407006537095316</c:v>
                </c:pt>
                <c:pt idx="267">
                  <c:v>1.5566316070790198</c:v>
                </c:pt>
                <c:pt idx="268">
                  <c:v>2.5300000000000002</c:v>
                </c:pt>
                <c:pt idx="269">
                  <c:v>1.2701985267720333</c:v>
                </c:pt>
                <c:pt idx="270">
                  <c:v>1.2701985267720333</c:v>
                </c:pt>
                <c:pt idx="271">
                  <c:v>1.8258441125288534</c:v>
                </c:pt>
                <c:pt idx="272">
                  <c:v>2.5300000000000002</c:v>
                </c:pt>
                <c:pt idx="273">
                  <c:v>1.2701985267720333</c:v>
                </c:pt>
                <c:pt idx="274">
                  <c:v>1.2701985267720333</c:v>
                </c:pt>
                <c:pt idx="275">
                  <c:v>1.2701985267720333</c:v>
                </c:pt>
                <c:pt idx="276">
                  <c:v>1.2701985267720333</c:v>
                </c:pt>
                <c:pt idx="277">
                  <c:v>0.16099999999999995</c:v>
                </c:pt>
                <c:pt idx="278">
                  <c:v>0.36536333921785191</c:v>
                </c:pt>
                <c:pt idx="279">
                  <c:v>0.36536333921785191</c:v>
                </c:pt>
                <c:pt idx="280">
                  <c:v>0.36536333921785191</c:v>
                </c:pt>
                <c:pt idx="281">
                  <c:v>0.18343240126918028</c:v>
                </c:pt>
                <c:pt idx="282">
                  <c:v>0.161</c:v>
                </c:pt>
                <c:pt idx="283">
                  <c:v>0.161</c:v>
                </c:pt>
                <c:pt idx="284">
                  <c:v>0.161</c:v>
                </c:pt>
                <c:pt idx="285">
                  <c:v>0.161</c:v>
                </c:pt>
                <c:pt idx="286">
                  <c:v>0.161</c:v>
                </c:pt>
                <c:pt idx="287">
                  <c:v>0.18570449305220152</c:v>
                </c:pt>
                <c:pt idx="288">
                  <c:v>0.16832325342417667</c:v>
                </c:pt>
                <c:pt idx="289">
                  <c:v>0.27215295174662441</c:v>
                </c:pt>
                <c:pt idx="290">
                  <c:v>0.31721860916458194</c:v>
                </c:pt>
                <c:pt idx="291">
                  <c:v>0.31721860916458194</c:v>
                </c:pt>
                <c:pt idx="292">
                  <c:v>0.32056844307592647</c:v>
                </c:pt>
                <c:pt idx="293">
                  <c:v>0.161</c:v>
                </c:pt>
                <c:pt idx="294">
                  <c:v>0.161</c:v>
                </c:pt>
                <c:pt idx="295">
                  <c:v>0.18551500760892803</c:v>
                </c:pt>
                <c:pt idx="296">
                  <c:v>0.87139595426356342</c:v>
                </c:pt>
                <c:pt idx="297">
                  <c:v>0.43748848116232741</c:v>
                </c:pt>
                <c:pt idx="298">
                  <c:v>0.48489329535457754</c:v>
                </c:pt>
                <c:pt idx="299">
                  <c:v>1.1883563189022621</c:v>
                </c:pt>
                <c:pt idx="300">
                  <c:v>1.7365204422121083</c:v>
                </c:pt>
                <c:pt idx="301">
                  <c:v>0.87182834284875088</c:v>
                </c:pt>
                <c:pt idx="302">
                  <c:v>0.55386567046467161</c:v>
                </c:pt>
                <c:pt idx="303">
                  <c:v>0.55386567046467161</c:v>
                </c:pt>
                <c:pt idx="304">
                  <c:v>0.16100000000000003</c:v>
                </c:pt>
                <c:pt idx="305">
                  <c:v>0.161</c:v>
                </c:pt>
                <c:pt idx="306">
                  <c:v>0.161</c:v>
                </c:pt>
                <c:pt idx="307">
                  <c:v>0.161</c:v>
                </c:pt>
                <c:pt idx="308">
                  <c:v>0.34500000000000003</c:v>
                </c:pt>
                <c:pt idx="309">
                  <c:v>0.17320889001436818</c:v>
                </c:pt>
                <c:pt idx="310">
                  <c:v>0.33508862018860808</c:v>
                </c:pt>
                <c:pt idx="311">
                  <c:v>0.33508862018860808</c:v>
                </c:pt>
                <c:pt idx="312">
                  <c:v>0.33508862018860808</c:v>
                </c:pt>
                <c:pt idx="313">
                  <c:v>0.1682328346646812</c:v>
                </c:pt>
                <c:pt idx="314">
                  <c:v>0.161</c:v>
                </c:pt>
                <c:pt idx="315">
                  <c:v>0.161</c:v>
                </c:pt>
                <c:pt idx="316">
                  <c:v>1.1475953485354469</c:v>
                </c:pt>
                <c:pt idx="317">
                  <c:v>0.57615570001587457</c:v>
                </c:pt>
                <c:pt idx="318">
                  <c:v>0.57615570001587457</c:v>
                </c:pt>
                <c:pt idx="319">
                  <c:v>0.96814103766087822</c:v>
                </c:pt>
                <c:pt idx="320">
                  <c:v>1.4057466468323772</c:v>
                </c:pt>
                <c:pt idx="321">
                  <c:v>0.70576178649059729</c:v>
                </c:pt>
                <c:pt idx="322">
                  <c:v>0.70576178649059729</c:v>
                </c:pt>
                <c:pt idx="323">
                  <c:v>0.70576178649059729</c:v>
                </c:pt>
                <c:pt idx="324">
                  <c:v>1.490057113370969</c:v>
                </c:pt>
                <c:pt idx="325">
                  <c:v>0.74809025699999732</c:v>
                </c:pt>
                <c:pt idx="326">
                  <c:v>0.74809025699999732</c:v>
                </c:pt>
                <c:pt idx="327">
                  <c:v>1.1238755745431603</c:v>
                </c:pt>
                <c:pt idx="328">
                  <c:v>1.1238755745431603</c:v>
                </c:pt>
                <c:pt idx="329">
                  <c:v>0.5642470747271916</c:v>
                </c:pt>
                <c:pt idx="330">
                  <c:v>0.5642470747271916</c:v>
                </c:pt>
                <c:pt idx="331">
                  <c:v>0.5642470747271916</c:v>
                </c:pt>
                <c:pt idx="332">
                  <c:v>0.5642470747271916</c:v>
                </c:pt>
                <c:pt idx="333">
                  <c:v>0.28328292610826411</c:v>
                </c:pt>
                <c:pt idx="334">
                  <c:v>0.19074770425545853</c:v>
                </c:pt>
                <c:pt idx="335">
                  <c:v>0.19074770425545853</c:v>
                </c:pt>
                <c:pt idx="336">
                  <c:v>0.19074770425545853</c:v>
                </c:pt>
                <c:pt idx="337">
                  <c:v>0.161</c:v>
                </c:pt>
                <c:pt idx="338">
                  <c:v>0.42527241148074763</c:v>
                </c:pt>
                <c:pt idx="339">
                  <c:v>0.42527241148074763</c:v>
                </c:pt>
                <c:pt idx="340">
                  <c:v>0.43100143551431275</c:v>
                </c:pt>
                <c:pt idx="341">
                  <c:v>0.21638631953632867</c:v>
                </c:pt>
                <c:pt idx="342">
                  <c:v>0.161</c:v>
                </c:pt>
                <c:pt idx="343">
                  <c:v>0.34702532191862168</c:v>
                </c:pt>
                <c:pt idx="344">
                  <c:v>0.67944151356550642</c:v>
                </c:pt>
                <c:pt idx="345">
                  <c:v>0.34111684172279311</c:v>
                </c:pt>
                <c:pt idx="346">
                  <c:v>0.39843990674714558</c:v>
                </c:pt>
                <c:pt idx="347">
                  <c:v>0.39843990674714558</c:v>
                </c:pt>
                <c:pt idx="348">
                  <c:v>1.1071339061080738</c:v>
                </c:pt>
                <c:pt idx="349">
                  <c:v>0.5558418405050759</c:v>
                </c:pt>
                <c:pt idx="350">
                  <c:v>0.57154422070406585</c:v>
                </c:pt>
                <c:pt idx="351">
                  <c:v>0.9999447904794071</c:v>
                </c:pt>
                <c:pt idx="352">
                  <c:v>1.1130771809465378</c:v>
                </c:pt>
                <c:pt idx="353">
                  <c:v>0.55882568989006332</c:v>
                </c:pt>
                <c:pt idx="354">
                  <c:v>0.55882568989006332</c:v>
                </c:pt>
                <c:pt idx="355">
                  <c:v>0.55882568989006332</c:v>
                </c:pt>
                <c:pt idx="356">
                  <c:v>0.84614786922928464</c:v>
                </c:pt>
                <c:pt idx="357">
                  <c:v>0.42481256004993373</c:v>
                </c:pt>
                <c:pt idx="358">
                  <c:v>0.44559362828855703</c:v>
                </c:pt>
                <c:pt idx="359">
                  <c:v>0.98761062542957589</c:v>
                </c:pt>
                <c:pt idx="360">
                  <c:v>1.444933092389719</c:v>
                </c:pt>
                <c:pt idx="361">
                  <c:v>0.72543552776188902</c:v>
                </c:pt>
                <c:pt idx="362">
                  <c:v>0.72543552776188902</c:v>
                </c:pt>
                <c:pt idx="363">
                  <c:v>1.1120431714991452</c:v>
                </c:pt>
                <c:pt idx="364">
                  <c:v>1.835357702095032</c:v>
                </c:pt>
                <c:pt idx="365">
                  <c:v>0.92145005901217947</c:v>
                </c:pt>
                <c:pt idx="366">
                  <c:v>0.92145005901217947</c:v>
                </c:pt>
                <c:pt idx="367">
                  <c:v>1.3374168660345593</c:v>
                </c:pt>
                <c:pt idx="368">
                  <c:v>1.3374168660345593</c:v>
                </c:pt>
                <c:pt idx="369">
                  <c:v>0.67145649522417661</c:v>
                </c:pt>
                <c:pt idx="370">
                  <c:v>0.67145649522417661</c:v>
                </c:pt>
                <c:pt idx="371">
                  <c:v>0.67145649522417661</c:v>
                </c:pt>
                <c:pt idx="372">
                  <c:v>0.67145649522417661</c:v>
                </c:pt>
                <c:pt idx="373">
                  <c:v>0.33710792530642769</c:v>
                </c:pt>
                <c:pt idx="374">
                  <c:v>0.16100000000000003</c:v>
                </c:pt>
                <c:pt idx="375">
                  <c:v>0.161</c:v>
                </c:pt>
                <c:pt idx="376">
                  <c:v>0.161</c:v>
                </c:pt>
                <c:pt idx="377">
                  <c:v>0.161</c:v>
                </c:pt>
                <c:pt idx="378">
                  <c:v>0.161</c:v>
                </c:pt>
                <c:pt idx="379">
                  <c:v>0.34740327537035137</c:v>
                </c:pt>
                <c:pt idx="380">
                  <c:v>0.74065325450947184</c:v>
                </c:pt>
                <c:pt idx="381">
                  <c:v>0.37184848724381148</c:v>
                </c:pt>
                <c:pt idx="382">
                  <c:v>0.37184848724381148</c:v>
                </c:pt>
                <c:pt idx="383">
                  <c:v>0.37184848724381148</c:v>
                </c:pt>
                <c:pt idx="384">
                  <c:v>0.37184848724381148</c:v>
                </c:pt>
                <c:pt idx="385">
                  <c:v>0.16100000000000003</c:v>
                </c:pt>
                <c:pt idx="386">
                  <c:v>0.161</c:v>
                </c:pt>
                <c:pt idx="387">
                  <c:v>0.161</c:v>
                </c:pt>
                <c:pt idx="388">
                  <c:v>0.161</c:v>
                </c:pt>
                <c:pt idx="389">
                  <c:v>0.161</c:v>
                </c:pt>
                <c:pt idx="390">
                  <c:v>0.161</c:v>
                </c:pt>
                <c:pt idx="391">
                  <c:v>0.161</c:v>
                </c:pt>
                <c:pt idx="392">
                  <c:v>0.161</c:v>
                </c:pt>
                <c:pt idx="393">
                  <c:v>0.161</c:v>
                </c:pt>
                <c:pt idx="394">
                  <c:v>0.161</c:v>
                </c:pt>
                <c:pt idx="395">
                  <c:v>0.78626094396229351</c:v>
                </c:pt>
                <c:pt idx="396">
                  <c:v>1.7251125472615594</c:v>
                </c:pt>
                <c:pt idx="397">
                  <c:v>0.86610095495951867</c:v>
                </c:pt>
                <c:pt idx="398">
                  <c:v>0.86610095495951867</c:v>
                </c:pt>
                <c:pt idx="399">
                  <c:v>1.3427331962509403</c:v>
                </c:pt>
                <c:pt idx="400">
                  <c:v>1.3427331962509403</c:v>
                </c:pt>
                <c:pt idx="401">
                  <c:v>0.67412558408136269</c:v>
                </c:pt>
              </c:numCache>
            </c:numRef>
          </c:val>
          <c:smooth val="0"/>
          <c:extLst>
            <c:ext xmlns:c16="http://schemas.microsoft.com/office/drawing/2014/chart" uri="{C3380CC4-5D6E-409C-BE32-E72D297353CC}">
              <c16:uniqueId val="{00000001-C001-49D5-B978-1F56F8599733}"/>
            </c:ext>
          </c:extLst>
        </c:ser>
        <c:dLbls>
          <c:showLegendKey val="0"/>
          <c:showVal val="0"/>
          <c:showCatName val="0"/>
          <c:showSerName val="0"/>
          <c:showPercent val="0"/>
          <c:showBubbleSize val="0"/>
        </c:dLbls>
        <c:smooth val="0"/>
        <c:axId val="327797816"/>
        <c:axId val="327799384"/>
      </c:lineChart>
      <c:dateAx>
        <c:axId val="32779781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7799384"/>
        <c:crosses val="autoZero"/>
        <c:auto val="1"/>
        <c:lblOffset val="100"/>
        <c:baseTimeUnit val="months"/>
      </c:dateAx>
      <c:valAx>
        <c:axId val="327799384"/>
        <c:scaling>
          <c:orientation val="minMax"/>
          <c:max val="2.8"/>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DSE/ha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7797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Frequency</c:v>
          </c:tx>
          <c:invertIfNegative val="0"/>
          <c:cat>
            <c:strRef>
              <c:f>'MC engine'!$O$2:$O$93</c:f>
              <c:strCache>
                <c:ptCount val="92"/>
                <c:pt idx="0">
                  <c:v>0.25</c:v>
                </c:pt>
                <c:pt idx="1">
                  <c:v>0.255</c:v>
                </c:pt>
                <c:pt idx="2">
                  <c:v>0.26</c:v>
                </c:pt>
                <c:pt idx="3">
                  <c:v>0.265</c:v>
                </c:pt>
                <c:pt idx="4">
                  <c:v>0.27</c:v>
                </c:pt>
                <c:pt idx="5">
                  <c:v>0.275</c:v>
                </c:pt>
                <c:pt idx="6">
                  <c:v>0.28</c:v>
                </c:pt>
                <c:pt idx="7">
                  <c:v>0.285</c:v>
                </c:pt>
                <c:pt idx="8">
                  <c:v>0.29</c:v>
                </c:pt>
                <c:pt idx="9">
                  <c:v>0.295</c:v>
                </c:pt>
                <c:pt idx="10">
                  <c:v>0.3</c:v>
                </c:pt>
                <c:pt idx="11">
                  <c:v>0.305</c:v>
                </c:pt>
                <c:pt idx="12">
                  <c:v>0.31</c:v>
                </c:pt>
                <c:pt idx="13">
                  <c:v>0.315</c:v>
                </c:pt>
                <c:pt idx="14">
                  <c:v>0.32</c:v>
                </c:pt>
                <c:pt idx="15">
                  <c:v>0.325</c:v>
                </c:pt>
                <c:pt idx="16">
                  <c:v>0.33</c:v>
                </c:pt>
                <c:pt idx="17">
                  <c:v>0.335</c:v>
                </c:pt>
                <c:pt idx="18">
                  <c:v>0.34</c:v>
                </c:pt>
                <c:pt idx="19">
                  <c:v>0.345</c:v>
                </c:pt>
                <c:pt idx="20">
                  <c:v>0.35</c:v>
                </c:pt>
                <c:pt idx="21">
                  <c:v>0.355</c:v>
                </c:pt>
                <c:pt idx="22">
                  <c:v>0.36</c:v>
                </c:pt>
                <c:pt idx="23">
                  <c:v>0.365</c:v>
                </c:pt>
                <c:pt idx="24">
                  <c:v>0.37</c:v>
                </c:pt>
                <c:pt idx="25">
                  <c:v>0.375</c:v>
                </c:pt>
                <c:pt idx="26">
                  <c:v>0.38</c:v>
                </c:pt>
                <c:pt idx="27">
                  <c:v>0.385</c:v>
                </c:pt>
                <c:pt idx="28">
                  <c:v>0.39</c:v>
                </c:pt>
                <c:pt idx="29">
                  <c:v>0.395</c:v>
                </c:pt>
                <c:pt idx="30">
                  <c:v>0.4</c:v>
                </c:pt>
                <c:pt idx="31">
                  <c:v>0.405</c:v>
                </c:pt>
                <c:pt idx="32">
                  <c:v>0.41</c:v>
                </c:pt>
                <c:pt idx="33">
                  <c:v>0.415</c:v>
                </c:pt>
                <c:pt idx="34">
                  <c:v>0.42</c:v>
                </c:pt>
                <c:pt idx="35">
                  <c:v>0.425</c:v>
                </c:pt>
                <c:pt idx="36">
                  <c:v>0.43</c:v>
                </c:pt>
                <c:pt idx="37">
                  <c:v>0.435</c:v>
                </c:pt>
                <c:pt idx="38">
                  <c:v>0.44</c:v>
                </c:pt>
                <c:pt idx="39">
                  <c:v>0.445</c:v>
                </c:pt>
                <c:pt idx="40">
                  <c:v>0.45</c:v>
                </c:pt>
                <c:pt idx="41">
                  <c:v>0.455</c:v>
                </c:pt>
                <c:pt idx="42">
                  <c:v>0.46</c:v>
                </c:pt>
                <c:pt idx="43">
                  <c:v>0.465</c:v>
                </c:pt>
                <c:pt idx="44">
                  <c:v>0.47</c:v>
                </c:pt>
                <c:pt idx="45">
                  <c:v>0.475</c:v>
                </c:pt>
                <c:pt idx="46">
                  <c:v>0.48</c:v>
                </c:pt>
                <c:pt idx="47">
                  <c:v>0.485</c:v>
                </c:pt>
                <c:pt idx="48">
                  <c:v>0.49</c:v>
                </c:pt>
                <c:pt idx="49">
                  <c:v>0.495</c:v>
                </c:pt>
                <c:pt idx="50">
                  <c:v>0.5</c:v>
                </c:pt>
                <c:pt idx="51">
                  <c:v>0.505</c:v>
                </c:pt>
                <c:pt idx="52">
                  <c:v>0.51</c:v>
                </c:pt>
                <c:pt idx="53">
                  <c:v>0.515</c:v>
                </c:pt>
                <c:pt idx="54">
                  <c:v>0.52</c:v>
                </c:pt>
                <c:pt idx="55">
                  <c:v>0.525</c:v>
                </c:pt>
                <c:pt idx="56">
                  <c:v>0.53</c:v>
                </c:pt>
                <c:pt idx="57">
                  <c:v>0.535</c:v>
                </c:pt>
                <c:pt idx="58">
                  <c:v>0.54</c:v>
                </c:pt>
                <c:pt idx="59">
                  <c:v>0.545</c:v>
                </c:pt>
                <c:pt idx="60">
                  <c:v>0.55</c:v>
                </c:pt>
                <c:pt idx="61">
                  <c:v>0.555</c:v>
                </c:pt>
                <c:pt idx="62">
                  <c:v>0.56</c:v>
                </c:pt>
                <c:pt idx="63">
                  <c:v>0.565</c:v>
                </c:pt>
                <c:pt idx="64">
                  <c:v>0.57</c:v>
                </c:pt>
                <c:pt idx="65">
                  <c:v>0.575</c:v>
                </c:pt>
                <c:pt idx="66">
                  <c:v>0.58</c:v>
                </c:pt>
                <c:pt idx="67">
                  <c:v>0.585</c:v>
                </c:pt>
                <c:pt idx="68">
                  <c:v>0.59</c:v>
                </c:pt>
                <c:pt idx="69">
                  <c:v>0.595</c:v>
                </c:pt>
                <c:pt idx="70">
                  <c:v>0.6</c:v>
                </c:pt>
                <c:pt idx="71">
                  <c:v>0.605</c:v>
                </c:pt>
                <c:pt idx="72">
                  <c:v>0.61</c:v>
                </c:pt>
                <c:pt idx="73">
                  <c:v>0.615</c:v>
                </c:pt>
                <c:pt idx="74">
                  <c:v>0.62</c:v>
                </c:pt>
                <c:pt idx="75">
                  <c:v>0.625</c:v>
                </c:pt>
                <c:pt idx="76">
                  <c:v>0.63</c:v>
                </c:pt>
                <c:pt idx="77">
                  <c:v>0.635</c:v>
                </c:pt>
                <c:pt idx="78">
                  <c:v>0.64</c:v>
                </c:pt>
                <c:pt idx="79">
                  <c:v>0.645</c:v>
                </c:pt>
                <c:pt idx="80">
                  <c:v>0.65</c:v>
                </c:pt>
                <c:pt idx="81">
                  <c:v>0.655</c:v>
                </c:pt>
                <c:pt idx="82">
                  <c:v>0.66</c:v>
                </c:pt>
                <c:pt idx="83">
                  <c:v>0.665</c:v>
                </c:pt>
                <c:pt idx="84">
                  <c:v>0.67</c:v>
                </c:pt>
                <c:pt idx="85">
                  <c:v>0.675</c:v>
                </c:pt>
                <c:pt idx="86">
                  <c:v>0.68</c:v>
                </c:pt>
                <c:pt idx="87">
                  <c:v>0.685</c:v>
                </c:pt>
                <c:pt idx="88">
                  <c:v>0.69</c:v>
                </c:pt>
                <c:pt idx="89">
                  <c:v>0.695</c:v>
                </c:pt>
                <c:pt idx="90">
                  <c:v>0.7</c:v>
                </c:pt>
                <c:pt idx="91">
                  <c:v>More</c:v>
                </c:pt>
              </c:strCache>
            </c:strRef>
          </c:cat>
          <c:val>
            <c:numRef>
              <c:f>'MC engine'!$P$2:$P$93</c:f>
              <c:numCache>
                <c:formatCode>General</c:formatCode>
                <c:ptCount val="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c:v>
                </c:pt>
                <c:pt idx="38">
                  <c:v>4</c:v>
                </c:pt>
                <c:pt idx="39">
                  <c:v>7</c:v>
                </c:pt>
                <c:pt idx="40">
                  <c:v>11</c:v>
                </c:pt>
                <c:pt idx="41">
                  <c:v>13</c:v>
                </c:pt>
                <c:pt idx="42">
                  <c:v>4</c:v>
                </c:pt>
                <c:pt idx="43">
                  <c:v>3</c:v>
                </c:pt>
                <c:pt idx="44">
                  <c:v>6</c:v>
                </c:pt>
                <c:pt idx="45">
                  <c:v>0</c:v>
                </c:pt>
                <c:pt idx="46">
                  <c:v>0</c:v>
                </c:pt>
                <c:pt idx="47">
                  <c:v>0</c:v>
                </c:pt>
                <c:pt idx="48">
                  <c:v>0</c:v>
                </c:pt>
                <c:pt idx="49">
                  <c:v>0</c:v>
                </c:pt>
                <c:pt idx="50">
                  <c:v>1</c:v>
                </c:pt>
                <c:pt idx="51">
                  <c:v>0</c:v>
                </c:pt>
                <c:pt idx="52">
                  <c:v>3</c:v>
                </c:pt>
                <c:pt idx="53">
                  <c:v>5</c:v>
                </c:pt>
                <c:pt idx="54">
                  <c:v>4</c:v>
                </c:pt>
                <c:pt idx="55">
                  <c:v>8</c:v>
                </c:pt>
                <c:pt idx="56">
                  <c:v>10</c:v>
                </c:pt>
                <c:pt idx="57">
                  <c:v>5</c:v>
                </c:pt>
                <c:pt idx="58">
                  <c:v>6</c:v>
                </c:pt>
                <c:pt idx="59">
                  <c:v>6</c:v>
                </c:pt>
                <c:pt idx="60">
                  <c:v>2</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0-A699-4480-A898-FA560768C08E}"/>
            </c:ext>
          </c:extLst>
        </c:ser>
        <c:dLbls>
          <c:showLegendKey val="0"/>
          <c:showVal val="0"/>
          <c:showCatName val="0"/>
          <c:showSerName val="0"/>
          <c:showPercent val="0"/>
          <c:showBubbleSize val="0"/>
        </c:dLbls>
        <c:gapWidth val="0"/>
        <c:axId val="327800168"/>
        <c:axId val="327800560"/>
      </c:barChart>
      <c:catAx>
        <c:axId val="327800168"/>
        <c:scaling>
          <c:orientation val="minMax"/>
        </c:scaling>
        <c:delete val="0"/>
        <c:axPos val="b"/>
        <c:title>
          <c:tx>
            <c:rich>
              <a:bodyPr/>
              <a:lstStyle/>
              <a:p>
                <a:pPr>
                  <a:defRPr/>
                </a:pPr>
                <a:r>
                  <a:rPr lang="en-AU"/>
                  <a:t>DSE/ha</a:t>
                </a:r>
              </a:p>
            </c:rich>
          </c:tx>
          <c:overlay val="0"/>
        </c:title>
        <c:numFmt formatCode="General" sourceLinked="1"/>
        <c:majorTickMark val="out"/>
        <c:minorTickMark val="none"/>
        <c:tickLblPos val="nextTo"/>
        <c:crossAx val="327800560"/>
        <c:crosses val="autoZero"/>
        <c:auto val="1"/>
        <c:lblAlgn val="ctr"/>
        <c:lblOffset val="100"/>
        <c:noMultiLvlLbl val="0"/>
      </c:catAx>
      <c:valAx>
        <c:axId val="327800560"/>
        <c:scaling>
          <c:orientation val="minMax"/>
        </c:scaling>
        <c:delete val="0"/>
        <c:axPos val="l"/>
        <c:title>
          <c:tx>
            <c:rich>
              <a:bodyPr/>
              <a:lstStyle/>
              <a:p>
                <a:pPr>
                  <a:defRPr/>
                </a:pPr>
                <a:r>
                  <a:rPr lang="en-AU"/>
                  <a:t>Frequency</a:t>
                </a:r>
              </a:p>
            </c:rich>
          </c:tx>
          <c:overlay val="0"/>
        </c:title>
        <c:numFmt formatCode="General" sourceLinked="1"/>
        <c:majorTickMark val="out"/>
        <c:minorTickMark val="none"/>
        <c:tickLblPos val="nextTo"/>
        <c:crossAx val="327800168"/>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9</xdr:row>
      <xdr:rowOff>0</xdr:rowOff>
    </xdr:from>
    <xdr:to>
      <xdr:col>0</xdr:col>
      <xdr:colOff>2733675</xdr:colOff>
      <xdr:row>12</xdr:row>
      <xdr:rowOff>9525</xdr:rowOff>
    </xdr:to>
    <xdr:pic>
      <xdr:nvPicPr>
        <xdr:cNvPr id="2" name="Picture 2" descr="http://www.mdba.gov.au/files/internal/signature_logo.gi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81275"/>
          <a:ext cx="2733675"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9525</xdr:colOff>
      <xdr:row>0</xdr:row>
      <xdr:rowOff>0</xdr:rowOff>
    </xdr:from>
    <xdr:to>
      <xdr:col>25</xdr:col>
      <xdr:colOff>600075</xdr:colOff>
      <xdr:row>14</xdr:row>
      <xdr:rowOff>76200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43</xdr:row>
      <xdr:rowOff>71437</xdr:rowOff>
    </xdr:from>
    <xdr:to>
      <xdr:col>25</xdr:col>
      <xdr:colOff>304800</xdr:colOff>
      <xdr:row>57</xdr:row>
      <xdr:rowOff>161925</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28</xdr:row>
      <xdr:rowOff>171450</xdr:rowOff>
    </xdr:from>
    <xdr:to>
      <xdr:col>25</xdr:col>
      <xdr:colOff>304800</xdr:colOff>
      <xdr:row>43</xdr:row>
      <xdr:rowOff>71438</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9525</xdr:colOff>
      <xdr:row>14</xdr:row>
      <xdr:rowOff>76200</xdr:rowOff>
    </xdr:from>
    <xdr:to>
      <xdr:col>25</xdr:col>
      <xdr:colOff>600075</xdr:colOff>
      <xdr:row>28</xdr:row>
      <xdr:rowOff>152400</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41</xdr:row>
      <xdr:rowOff>0</xdr:rowOff>
    </xdr:from>
    <xdr:to>
      <xdr:col>7</xdr:col>
      <xdr:colOff>0</xdr:colOff>
      <xdr:row>68</xdr:row>
      <xdr:rowOff>85725</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xdr:row>
      <xdr:rowOff>0</xdr:rowOff>
    </xdr:from>
    <xdr:to>
      <xdr:col>21</xdr:col>
      <xdr:colOff>0</xdr:colOff>
      <xdr:row>41</xdr:row>
      <xdr:rowOff>0</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2209799</xdr:colOff>
      <xdr:row>40</xdr:row>
      <xdr:rowOff>190499</xdr:rowOff>
    </xdr:from>
    <xdr:to>
      <xdr:col>20</xdr:col>
      <xdr:colOff>609599</xdr:colOff>
      <xdr:row>68</xdr:row>
      <xdr:rowOff>85724</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xdr:row>
      <xdr:rowOff>0</xdr:rowOff>
    </xdr:from>
    <xdr:to>
      <xdr:col>7</xdr:col>
      <xdr:colOff>0</xdr:colOff>
      <xdr:row>40</xdr:row>
      <xdr:rowOff>180975</xdr:rowOff>
    </xdr:to>
    <xdr:graphicFrame macro="">
      <xdr:nvGraphicFramePr>
        <xdr:cNvPr id="13" name="Chart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200025</xdr:colOff>
          <xdr:row>8</xdr:row>
          <xdr:rowOff>180975</xdr:rowOff>
        </xdr:from>
        <xdr:to>
          <xdr:col>2</xdr:col>
          <xdr:colOff>247650</xdr:colOff>
          <xdr:row>11</xdr:row>
          <xdr:rowOff>95250</xdr:rowOff>
        </xdr:to>
        <xdr:sp macro="" textlink="">
          <xdr:nvSpPr>
            <xdr:cNvPr id="12293" name="Button 5" hidden="1">
              <a:extLst>
                <a:ext uri="{63B3BB69-23CF-44E3-9099-C40C66FF867C}">
                  <a14:compatExt spid="_x0000_s12293"/>
                </a:ext>
                <a:ext uri="{FF2B5EF4-FFF2-40B4-BE49-F238E27FC236}">
                  <a16:creationId xmlns:a16="http://schemas.microsoft.com/office/drawing/2014/main" id="{00000000-0008-0000-0500-0000053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RUN</a:t>
              </a:r>
            </a:p>
          </xdr:txBody>
        </xdr:sp>
        <xdr:clientData fPrintsWithSheet="0"/>
      </xdr:twoCellAnchor>
    </mc:Choice>
    <mc:Fallback/>
  </mc:AlternateContent>
  <xdr:twoCellAnchor>
    <xdr:from>
      <xdr:col>20</xdr:col>
      <xdr:colOff>0</xdr:colOff>
      <xdr:row>1</xdr:row>
      <xdr:rowOff>0</xdr:rowOff>
    </xdr:from>
    <xdr:to>
      <xdr:col>30</xdr:col>
      <xdr:colOff>0</xdr:colOff>
      <xdr:row>20</xdr:row>
      <xdr:rowOff>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21</xdr:row>
      <xdr:rowOff>0</xdr:rowOff>
    </xdr:from>
    <xdr:to>
      <xdr:col>30</xdr:col>
      <xdr:colOff>0</xdr:colOff>
      <xdr:row>40</xdr:row>
      <xdr:rowOff>0</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mdba.gov.au/" TargetMode="External"/><Relationship Id="rId1" Type="http://schemas.openxmlformats.org/officeDocument/2006/relationships/hyperlink" Target="mailto:Kai.Wakerman-Powell@mdba.gov.au"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2" tint="-0.749992370372631"/>
  </sheetPr>
  <dimension ref="A1:P15"/>
  <sheetViews>
    <sheetView workbookViewId="0"/>
  </sheetViews>
  <sheetFormatPr defaultRowHeight="14.25" x14ac:dyDescent="0.2"/>
  <cols>
    <col min="1" max="1" width="126.85546875" style="119" customWidth="1"/>
    <col min="2" max="16384" width="9.140625" style="119"/>
  </cols>
  <sheetData>
    <row r="1" spans="1:16" ht="42.75" x14ac:dyDescent="0.2">
      <c r="A1" s="117" t="s">
        <v>297</v>
      </c>
      <c r="B1" s="118"/>
      <c r="C1" s="118"/>
      <c r="D1" s="118"/>
      <c r="E1" s="118"/>
      <c r="F1" s="118"/>
      <c r="G1" s="118"/>
      <c r="H1" s="118"/>
      <c r="I1" s="118"/>
      <c r="J1" s="118"/>
      <c r="K1" s="118"/>
      <c r="L1" s="118"/>
      <c r="M1" s="118"/>
      <c r="N1" s="118"/>
      <c r="O1" s="118"/>
      <c r="P1" s="118"/>
    </row>
    <row r="2" spans="1:16" x14ac:dyDescent="0.2">
      <c r="A2" s="116"/>
      <c r="B2" s="118"/>
      <c r="C2" s="118"/>
      <c r="D2" s="118"/>
      <c r="E2" s="118"/>
      <c r="F2" s="118"/>
      <c r="G2" s="118"/>
      <c r="H2" s="118"/>
      <c r="I2" s="118"/>
      <c r="J2" s="118"/>
      <c r="K2" s="118"/>
      <c r="L2" s="118"/>
      <c r="M2" s="118"/>
      <c r="N2" s="118"/>
      <c r="O2" s="118"/>
      <c r="P2" s="118"/>
    </row>
    <row r="3" spans="1:16" ht="71.25" x14ac:dyDescent="0.2">
      <c r="A3" s="117" t="s">
        <v>295</v>
      </c>
      <c r="B3" s="120"/>
      <c r="C3" s="120"/>
      <c r="D3" s="120"/>
      <c r="E3" s="120"/>
      <c r="F3" s="120"/>
      <c r="G3" s="120"/>
      <c r="H3" s="120"/>
      <c r="I3" s="120"/>
      <c r="J3" s="120"/>
      <c r="K3" s="120"/>
      <c r="L3" s="120"/>
      <c r="M3" s="120"/>
      <c r="N3" s="120"/>
      <c r="O3" s="120"/>
      <c r="P3" s="120"/>
    </row>
    <row r="4" spans="1:16" x14ac:dyDescent="0.2">
      <c r="A4" s="118"/>
    </row>
    <row r="5" spans="1:16" x14ac:dyDescent="0.2">
      <c r="A5" s="118" t="s">
        <v>296</v>
      </c>
    </row>
    <row r="7" spans="1:16" ht="15" x14ac:dyDescent="0.25">
      <c r="A7" s="121" t="s">
        <v>122</v>
      </c>
    </row>
    <row r="8" spans="1:16" x14ac:dyDescent="0.2">
      <c r="A8" s="122" t="s">
        <v>123</v>
      </c>
    </row>
    <row r="9" spans="1:16" x14ac:dyDescent="0.2">
      <c r="A9" s="122" t="s">
        <v>129</v>
      </c>
    </row>
    <row r="11" spans="1:16" ht="15" x14ac:dyDescent="0.2">
      <c r="A11" s="123" t="s">
        <v>124</v>
      </c>
    </row>
    <row r="12" spans="1:16" x14ac:dyDescent="0.2">
      <c r="A12" s="122" t="s">
        <v>125</v>
      </c>
    </row>
    <row r="13" spans="1:16" x14ac:dyDescent="0.2">
      <c r="A13" s="122" t="s">
        <v>126</v>
      </c>
    </row>
    <row r="14" spans="1:16" x14ac:dyDescent="0.2">
      <c r="A14" s="124" t="s">
        <v>127</v>
      </c>
    </row>
    <row r="15" spans="1:16" x14ac:dyDescent="0.2">
      <c r="A15" s="124" t="s">
        <v>128</v>
      </c>
    </row>
  </sheetData>
  <sheetProtection algorithmName="SHA-512" hashValue="7iMVmhK057u41q8a3bXndWDx3UsKq++k54buieau+XiyoJA8kumcnuXiuzlKGfDRgOo6W7LHk+4BAcrMYE3mXw==" saltValue="PUkvdXXESMwuMHFxGvVvMQ==" spinCount="100000" sheet="1" objects="1" scenarios="1" selectLockedCells="1" selectUnlockedCells="1"/>
  <hyperlinks>
    <hyperlink ref="A14" r:id="rId1" display="mailto:Kai.Wakerman-Powell@mdba.gov.au" xr:uid="{00000000-0004-0000-0000-000000000000}"/>
    <hyperlink ref="A15" r:id="rId2" display="http://www.mdba.gov.au/" xr:uid="{00000000-0004-0000-0000-000001000000}"/>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tabColor theme="4" tint="-0.249977111117893"/>
  </sheetPr>
  <dimension ref="A1:AC489"/>
  <sheetViews>
    <sheetView workbookViewId="0">
      <selection activeCell="M32" sqref="M32"/>
    </sheetView>
  </sheetViews>
  <sheetFormatPr defaultRowHeight="15" x14ac:dyDescent="0.25"/>
  <cols>
    <col min="1" max="1" width="10.7109375" style="13" bestFit="1" customWidth="1"/>
    <col min="2" max="2" width="8.42578125" style="13" customWidth="1"/>
    <col min="3" max="3" width="4.85546875" style="13" bestFit="1" customWidth="1"/>
    <col min="4" max="4" width="6.5703125" style="13" bestFit="1" customWidth="1"/>
    <col min="5" max="5" width="8.5703125" style="13" bestFit="1" customWidth="1"/>
    <col min="6" max="6" width="8.5703125" style="13" customWidth="1"/>
    <col min="7" max="7" width="7.28515625" style="25" bestFit="1" customWidth="1"/>
    <col min="8" max="8" width="6" style="13" bestFit="1" customWidth="1"/>
    <col min="9" max="9" width="10.28515625" style="17" bestFit="1" customWidth="1"/>
    <col min="10" max="10" width="11.28515625" style="25" bestFit="1" customWidth="1"/>
    <col min="11" max="11" width="12.7109375" style="17" bestFit="1" customWidth="1"/>
    <col min="12" max="12" width="11.140625" style="17" bestFit="1" customWidth="1"/>
    <col min="13" max="13" width="12" style="17" bestFit="1" customWidth="1"/>
    <col min="14" max="14" width="12" style="17" customWidth="1"/>
    <col min="15" max="15" width="12.42578125" style="17" bestFit="1" customWidth="1"/>
    <col min="16" max="17" width="13.7109375" style="17" bestFit="1" customWidth="1"/>
    <col min="18" max="19" width="13.7109375" style="17" customWidth="1"/>
    <col min="20" max="20" width="19.28515625" style="25" bestFit="1" customWidth="1"/>
    <col min="21" max="21" width="19.7109375" style="17" bestFit="1" customWidth="1"/>
    <col min="22" max="22" width="13.85546875" style="25" bestFit="1" customWidth="1"/>
    <col min="23" max="23" width="13.5703125" style="17" bestFit="1" customWidth="1"/>
    <col min="24" max="24" width="14.42578125" style="13" bestFit="1" customWidth="1"/>
    <col min="25" max="25" width="19.85546875" style="13" bestFit="1" customWidth="1"/>
    <col min="26" max="26" width="10.28515625" style="13" bestFit="1" customWidth="1"/>
    <col min="27" max="27" width="11.85546875" style="13" bestFit="1" customWidth="1"/>
    <col min="28" max="28" width="11.5703125" style="25" bestFit="1" customWidth="1"/>
    <col min="29" max="31" width="9.140625" style="13"/>
    <col min="32" max="32" width="10.7109375" style="13" bestFit="1" customWidth="1"/>
    <col min="33" max="16384" width="9.140625" style="13"/>
  </cols>
  <sheetData>
    <row r="1" spans="1:28" ht="15.75" thickBot="1" x14ac:dyDescent="0.3">
      <c r="A1" s="133" t="s">
        <v>119</v>
      </c>
      <c r="B1" s="140" t="str">
        <f>'MC engine'!B2:E2</f>
        <v>Without development</v>
      </c>
      <c r="C1" s="135"/>
      <c r="D1" s="135"/>
      <c r="E1" s="136"/>
      <c r="F1" s="137">
        <f ca="1">'MC engine'!E4</f>
        <v>1</v>
      </c>
      <c r="G1" s="138">
        <f ca="1">'MC engine'!E5</f>
        <v>0.79515316233715327</v>
      </c>
      <c r="H1" s="138">
        <f ca="1">'MC engine'!E6</f>
        <v>0.63253154059698258</v>
      </c>
      <c r="I1" s="138">
        <f ca="1">'MC engine'!E7</f>
        <v>0.19434740758281482</v>
      </c>
      <c r="J1" s="139">
        <f ca="1">'MC engine'!E8</f>
        <v>0.17312105182020271</v>
      </c>
      <c r="L1" s="141">
        <f ca="1">AVERAGE(G16:G417)</f>
        <v>0.53146281783964178</v>
      </c>
      <c r="M1" s="142">
        <f ca="1">4*AVERAGE(AB16:AB417)</f>
        <v>22.328689062381841</v>
      </c>
    </row>
    <row r="2" spans="1:28" x14ac:dyDescent="0.25">
      <c r="F2" s="17"/>
      <c r="G2" s="17"/>
      <c r="H2" s="17"/>
      <c r="J2" s="17"/>
    </row>
    <row r="3" spans="1:28" x14ac:dyDescent="0.25">
      <c r="A3" s="5"/>
      <c r="B3" s="5"/>
      <c r="C3" s="7" t="s">
        <v>9</v>
      </c>
      <c r="D3" s="7" t="s">
        <v>0</v>
      </c>
      <c r="E3" s="7" t="s">
        <v>17</v>
      </c>
      <c r="F3" s="7" t="s">
        <v>298</v>
      </c>
      <c r="G3" s="8" t="s">
        <v>107</v>
      </c>
      <c r="H3" s="7" t="s">
        <v>7</v>
      </c>
      <c r="I3" s="9" t="s">
        <v>10</v>
      </c>
      <c r="J3" s="8" t="s">
        <v>11</v>
      </c>
      <c r="K3" s="9" t="s">
        <v>12</v>
      </c>
      <c r="L3" s="9" t="s">
        <v>14</v>
      </c>
      <c r="M3" s="9" t="s">
        <v>13</v>
      </c>
      <c r="N3" s="9" t="s">
        <v>31</v>
      </c>
      <c r="O3" s="9" t="s">
        <v>15</v>
      </c>
      <c r="P3" s="9" t="s">
        <v>16</v>
      </c>
      <c r="Q3" s="9" t="s">
        <v>30</v>
      </c>
      <c r="R3" s="9" t="s">
        <v>299</v>
      </c>
      <c r="S3" s="9" t="s">
        <v>300</v>
      </c>
      <c r="T3" s="8" t="s">
        <v>43</v>
      </c>
      <c r="U3" s="9" t="s">
        <v>44</v>
      </c>
      <c r="V3" s="8" t="s">
        <v>84</v>
      </c>
      <c r="W3" s="9" t="s">
        <v>85</v>
      </c>
      <c r="X3" s="9" t="s">
        <v>68</v>
      </c>
      <c r="Y3" s="9" t="s">
        <v>86</v>
      </c>
      <c r="Z3" s="9" t="s">
        <v>63</v>
      </c>
      <c r="AA3" s="9" t="s">
        <v>69</v>
      </c>
      <c r="AB3" s="8" t="s">
        <v>70</v>
      </c>
    </row>
    <row r="4" spans="1:28" hidden="1" x14ac:dyDescent="0.25">
      <c r="A4" s="61">
        <f>'Water runs'!C11</f>
        <v>2343</v>
      </c>
      <c r="B4" s="61" t="str">
        <f>'Water runs'!B11</f>
        <v>Autumn</v>
      </c>
      <c r="C4" s="54">
        <f>'Water runs'!D11/100</f>
        <v>0.64319999999999988</v>
      </c>
      <c r="D4" s="108">
        <f>VLOOKUP(ROW(D4)+4,'Water runs'!$BS$3:$CF$423,MATCH($B$1,Scenarios,0)+1)</f>
        <v>0.11191537541864939</v>
      </c>
      <c r="E4" s="54">
        <f>IF(B4=Variables!$D$8,C4-Variables!$E$8,IF(B4=Variables!$D$9,C4-Variables!$E$9,IF(B4=Variables!$D$10,C4-Variables!$E$10,IF(B4=Variables!$D$11,C4-Variables!$E$11,"ELSE"))))</f>
        <v>-0.35144329931972795</v>
      </c>
      <c r="F4" s="108">
        <f>VLOOKUP(ROW(F4)+4,'Water runs'!$CH$3:$CU$423,MATCH($B$1,Scenarios,0)+1)</f>
        <v>0</v>
      </c>
      <c r="G4" s="56"/>
      <c r="H4" s="57"/>
      <c r="I4" s="57"/>
      <c r="J4" s="66"/>
      <c r="K4" s="57"/>
      <c r="L4" s="57"/>
      <c r="M4" s="57"/>
      <c r="N4" s="57"/>
      <c r="O4" s="57"/>
      <c r="P4" s="57"/>
      <c r="Q4" s="57"/>
      <c r="R4" s="57"/>
      <c r="S4" s="57"/>
      <c r="T4" s="66"/>
      <c r="U4" s="57"/>
      <c r="V4" s="66"/>
      <c r="W4" s="57"/>
      <c r="X4" s="57"/>
      <c r="Y4" s="57"/>
      <c r="Z4" s="57"/>
      <c r="AA4" s="57"/>
      <c r="AB4" s="68"/>
    </row>
    <row r="5" spans="1:28" hidden="1" x14ac:dyDescent="0.25">
      <c r="A5" s="61">
        <f>'Water runs'!C12</f>
        <v>2435</v>
      </c>
      <c r="B5" s="61" t="str">
        <f>'Water runs'!B12</f>
        <v>Winter</v>
      </c>
      <c r="C5" s="54">
        <f>'Water runs'!D12/100</f>
        <v>0.61060000000000003</v>
      </c>
      <c r="D5" s="108">
        <f>VLOOKUP(ROW(D5)+4,'Water runs'!$BS$3:$CF$423,MATCH($B$1,Scenarios,0)+1)</f>
        <v>0</v>
      </c>
      <c r="E5" s="54">
        <f>IF(B5=Variables!$D$8,C5-Variables!$E$8,IF(B5=Variables!$D$9,C5-Variables!$E$9,IF(B5=Variables!$D$10,C5-Variables!$E$10,IF(B5=Variables!$D$11,C5-Variables!$E$11,"ELSE"))))</f>
        <v>3.8832374338624298E-2</v>
      </c>
      <c r="F5" s="108">
        <f>VLOOKUP(ROW(F5)+4,'Water runs'!$CH$3:$CU$423,MATCH($B$1,Scenarios,0)+1)</f>
        <v>0</v>
      </c>
      <c r="G5" s="58"/>
      <c r="H5" s="17"/>
      <c r="X5" s="17"/>
      <c r="Y5" s="17"/>
      <c r="Z5" s="17"/>
      <c r="AA5" s="17"/>
      <c r="AB5" s="69"/>
    </row>
    <row r="6" spans="1:28" hidden="1" x14ac:dyDescent="0.25">
      <c r="A6" s="61">
        <f>'Water runs'!C13</f>
        <v>2526</v>
      </c>
      <c r="B6" s="61" t="str">
        <f>'Water runs'!B13</f>
        <v>Spring</v>
      </c>
      <c r="C6" s="54">
        <f>'Water runs'!D13/100</f>
        <v>1.4602000000000002</v>
      </c>
      <c r="D6" s="108">
        <f>VLOOKUP(ROW(D6)+4,'Water runs'!$BS$3:$CF$423,MATCH($B$1,Scenarios,0)+1)</f>
        <v>1.2973182685531952E-2</v>
      </c>
      <c r="E6" s="54">
        <f>IF(B6=Variables!$D$8,C6-Variables!$E$8,IF(B6=Variables!$D$9,C6-Variables!$E$9,IF(B6=Variables!$D$10,C6-Variables!$E$10,IF(B6=Variables!$D$11,C6-Variables!$E$11,"ELSE"))))</f>
        <v>0.69621779100529102</v>
      </c>
      <c r="F6" s="108">
        <f>VLOOKUP(ROW(F6)+4,'Water runs'!$CH$3:$CU$423,MATCH($B$1,Scenarios,0)+1)</f>
        <v>0</v>
      </c>
      <c r="G6" s="58"/>
      <c r="H6" s="17"/>
      <c r="X6" s="17"/>
      <c r="Y6" s="17"/>
      <c r="Z6" s="17"/>
      <c r="AA6" s="17"/>
      <c r="AB6" s="69"/>
    </row>
    <row r="7" spans="1:28" hidden="1" x14ac:dyDescent="0.25">
      <c r="A7" s="61">
        <f>'Water runs'!C14</f>
        <v>2616</v>
      </c>
      <c r="B7" s="61" t="str">
        <f>'Water runs'!B14</f>
        <v>Summer</v>
      </c>
      <c r="C7" s="54">
        <f>'Water runs'!D14/100</f>
        <v>1.9091999999999998</v>
      </c>
      <c r="D7" s="108">
        <f>VLOOKUP(ROW(D7)+4,'Water runs'!$BS$3:$CF$423,MATCH($B$1,Scenarios,0)+1)</f>
        <v>4.5812714273272152E-2</v>
      </c>
      <c r="E7" s="54">
        <f>IF(B7=Variables!$D$8,C7-Variables!$E$8,IF(B7=Variables!$D$9,C7-Variables!$E$9,IF(B7=Variables!$D$10,C7-Variables!$E$10,IF(B7=Variables!$D$11,C7-Variables!$E$11,"ELSE"))))</f>
        <v>0.65082986394557807</v>
      </c>
      <c r="F7" s="108">
        <f>VLOOKUP(ROW(F7)+4,'Water runs'!$CH$3:$CU$423,MATCH($B$1,Scenarios,0)+1)</f>
        <v>0</v>
      </c>
      <c r="G7" s="58"/>
      <c r="H7" s="17"/>
      <c r="X7" s="17"/>
      <c r="Y7" s="17"/>
      <c r="Z7" s="17"/>
      <c r="AA7" s="17"/>
      <c r="AB7" s="69"/>
    </row>
    <row r="8" spans="1:28" hidden="1" x14ac:dyDescent="0.25">
      <c r="A8" s="61">
        <f>'Water runs'!C15</f>
        <v>2708</v>
      </c>
      <c r="B8" s="61" t="str">
        <f>'Water runs'!B15</f>
        <v>Autumn</v>
      </c>
      <c r="C8" s="54">
        <f>'Water runs'!D15/100</f>
        <v>0.53560000000000008</v>
      </c>
      <c r="D8" s="108">
        <f>VLOOKUP(ROW(D8)+4,'Water runs'!$BS$3:$CF$423,MATCH($B$1,Scenarios,0)+1)</f>
        <v>1.0722966927687472E-2</v>
      </c>
      <c r="E8" s="54">
        <f>IF(B8=Variables!$D$8,C8-Variables!$E$8,IF(B8=Variables!$D$9,C8-Variables!$E$9,IF(B8=Variables!$D$10,C8-Variables!$E$10,IF(B8=Variables!$D$11,C8-Variables!$E$11,"ELSE"))))</f>
        <v>-0.45904329931972776</v>
      </c>
      <c r="F8" s="108">
        <f>VLOOKUP(ROW(F8)+4,'Water runs'!$CH$3:$CU$423,MATCH($B$1,Scenarios,0)+1)</f>
        <v>0</v>
      </c>
      <c r="G8" s="58"/>
      <c r="H8" s="17"/>
      <c r="X8" s="17"/>
      <c r="Y8" s="17"/>
      <c r="Z8" s="17"/>
      <c r="AA8" s="17"/>
      <c r="AB8" s="69"/>
    </row>
    <row r="9" spans="1:28" hidden="1" x14ac:dyDescent="0.25">
      <c r="A9" s="61">
        <f>'Water runs'!C16</f>
        <v>2800</v>
      </c>
      <c r="B9" s="61" t="str">
        <f>'Water runs'!B16</f>
        <v>Winter</v>
      </c>
      <c r="C9" s="54">
        <f>'Water runs'!D16/100</f>
        <v>0.87340000000000007</v>
      </c>
      <c r="D9" s="108">
        <f>VLOOKUP(ROW(D9)+4,'Water runs'!$BS$3:$CF$423,MATCH($B$1,Scenarios,0)+1)</f>
        <v>0</v>
      </c>
      <c r="E9" s="54">
        <f>IF(B9=Variables!$D$8,C9-Variables!$E$8,IF(B9=Variables!$D$9,C9-Variables!$E$9,IF(B9=Variables!$D$10,C9-Variables!$E$10,IF(B9=Variables!$D$11,C9-Variables!$E$11,"ELSE"))))</f>
        <v>0.30163237433862433</v>
      </c>
      <c r="F9" s="108">
        <f>VLOOKUP(ROW(F9)+4,'Water runs'!$CH$3:$CU$423,MATCH($B$1,Scenarios,0)+1)</f>
        <v>0</v>
      </c>
      <c r="G9" s="58"/>
      <c r="H9" s="17"/>
      <c r="X9" s="17"/>
      <c r="Y9" s="17"/>
      <c r="Z9" s="17"/>
      <c r="AA9" s="17"/>
      <c r="AB9" s="69"/>
    </row>
    <row r="10" spans="1:28" hidden="1" x14ac:dyDescent="0.25">
      <c r="A10" s="61">
        <f>'Water runs'!C17</f>
        <v>2891</v>
      </c>
      <c r="B10" s="61" t="str">
        <f>'Water runs'!B17</f>
        <v>Spring</v>
      </c>
      <c r="C10" s="54">
        <f>'Water runs'!D17/100</f>
        <v>0.57999999999999996</v>
      </c>
      <c r="D10" s="108">
        <f>VLOOKUP(ROW(D10)+4,'Water runs'!$BS$3:$CF$423,MATCH($B$1,Scenarios,0)+1)</f>
        <v>0</v>
      </c>
      <c r="E10" s="54">
        <f>IF(B10=Variables!$D$8,C10-Variables!$E$8,IF(B10=Variables!$D$9,C10-Variables!$E$9,IF(B10=Variables!$D$10,C10-Variables!$E$10,IF(B10=Variables!$D$11,C10-Variables!$E$11,"ELSE"))))</f>
        <v>-0.18398220899470918</v>
      </c>
      <c r="F10" s="108">
        <f>VLOOKUP(ROW(F10)+4,'Water runs'!$CH$3:$CU$423,MATCH($B$1,Scenarios,0)+1)</f>
        <v>0</v>
      </c>
      <c r="G10" s="58"/>
      <c r="H10" s="17"/>
      <c r="X10" s="17"/>
      <c r="Y10" s="17"/>
      <c r="Z10" s="17"/>
      <c r="AA10" s="17"/>
      <c r="AB10" s="69"/>
    </row>
    <row r="11" spans="1:28" hidden="1" x14ac:dyDescent="0.25">
      <c r="A11" s="61">
        <f>'Water runs'!C18</f>
        <v>2981</v>
      </c>
      <c r="B11" s="61" t="str">
        <f>'Water runs'!B18</f>
        <v>Summer</v>
      </c>
      <c r="C11" s="54">
        <f>'Water runs'!D18/100</f>
        <v>1.4974000000000001</v>
      </c>
      <c r="D11" s="108">
        <f>VLOOKUP(ROW(D11)+4,'Water runs'!$BS$3:$CF$423,MATCH($B$1,Scenarios,0)+1)</f>
        <v>4.7104094252527734E-2</v>
      </c>
      <c r="E11" s="54">
        <f>IF(B11=Variables!$D$8,C11-Variables!$E$8,IF(B11=Variables!$D$9,C11-Variables!$E$9,IF(B11=Variables!$D$10,C11-Variables!$E$10,IF(B11=Variables!$D$11,C11-Variables!$E$11,"ELSE"))))</f>
        <v>0.23902986394557835</v>
      </c>
      <c r="F11" s="108">
        <f>VLOOKUP(ROW(F11)+4,'Water runs'!$CH$3:$CU$423,MATCH($B$1,Scenarios,0)+1)</f>
        <v>0</v>
      </c>
      <c r="G11" s="58"/>
      <c r="H11" s="17"/>
      <c r="X11" s="17"/>
      <c r="Y11" s="17"/>
      <c r="Z11" s="17"/>
      <c r="AA11" s="17"/>
      <c r="AB11" s="69"/>
    </row>
    <row r="12" spans="1:28" hidden="1" x14ac:dyDescent="0.25">
      <c r="A12" s="61">
        <f>'Water runs'!C19</f>
        <v>3074</v>
      </c>
      <c r="B12" s="61" t="str">
        <f>'Water runs'!B19</f>
        <v>Autumn</v>
      </c>
      <c r="C12" s="54">
        <f>'Water runs'!D19/100</f>
        <v>0.72120000000000006</v>
      </c>
      <c r="D12" s="108">
        <f>VLOOKUP(ROW(D12)+4,'Water runs'!$BS$3:$CF$423,MATCH($B$1,Scenarios,0)+1)</f>
        <v>0.55934726324040573</v>
      </c>
      <c r="E12" s="54">
        <f>IF(B12=Variables!$D$8,C12-Variables!$E$8,IF(B12=Variables!$D$9,C12-Variables!$E$9,IF(B12=Variables!$D$10,C12-Variables!$E$10,IF(B12=Variables!$D$11,C12-Variables!$E$11,"ELSE"))))</f>
        <v>-0.27344329931972777</v>
      </c>
      <c r="F12" s="108">
        <f>VLOOKUP(ROW(F12)+4,'Water runs'!$CH$3:$CU$423,MATCH($B$1,Scenarios,0)+1)</f>
        <v>0</v>
      </c>
      <c r="G12" s="58"/>
      <c r="H12" s="17"/>
      <c r="X12" s="17"/>
      <c r="Y12" s="17"/>
      <c r="Z12" s="17"/>
      <c r="AA12" s="17"/>
      <c r="AB12" s="69"/>
    </row>
    <row r="13" spans="1:28" hidden="1" x14ac:dyDescent="0.25">
      <c r="A13" s="61">
        <f>'Water runs'!C20</f>
        <v>3166</v>
      </c>
      <c r="B13" s="61" t="str">
        <f>'Water runs'!B20</f>
        <v>Winter</v>
      </c>
      <c r="C13" s="54">
        <f>'Water runs'!D20/100</f>
        <v>0.33539999999999998</v>
      </c>
      <c r="D13" s="108">
        <f>VLOOKUP(ROW(D13)+4,'Water runs'!$BS$3:$CF$423,MATCH($B$1,Scenarios,0)+1)</f>
        <v>0</v>
      </c>
      <c r="E13" s="54">
        <f>IF(B13=Variables!$D$8,C13-Variables!$E$8,IF(B13=Variables!$D$9,C13-Variables!$E$9,IF(B13=Variables!$D$10,C13-Variables!$E$10,IF(B13=Variables!$D$11,C13-Variables!$E$11,"ELSE"))))</f>
        <v>-0.23636762566137576</v>
      </c>
      <c r="F13" s="108">
        <f>VLOOKUP(ROW(F13)+4,'Water runs'!$CH$3:$CU$423,MATCH($B$1,Scenarios,0)+1)</f>
        <v>0</v>
      </c>
      <c r="G13" s="58"/>
      <c r="H13" s="17"/>
      <c r="X13" s="17"/>
      <c r="Y13" s="17"/>
      <c r="Z13" s="17"/>
      <c r="AA13" s="17"/>
      <c r="AB13" s="69"/>
    </row>
    <row r="14" spans="1:28" ht="15.75" hidden="1" thickBot="1" x14ac:dyDescent="0.3">
      <c r="A14" s="61">
        <f>'Water runs'!C21</f>
        <v>3257</v>
      </c>
      <c r="B14" s="61" t="str">
        <f>'Water runs'!B21</f>
        <v>Spring</v>
      </c>
      <c r="C14" s="54">
        <f>'Water runs'!D21/100</f>
        <v>0.55120000000000002</v>
      </c>
      <c r="D14" s="108">
        <f>VLOOKUP(ROW(D14)+4,'Water runs'!$BS$3:$CF$423,MATCH($B$1,Scenarios,0)+1)</f>
        <v>0</v>
      </c>
      <c r="E14" s="54">
        <f>IF(B14=Variables!$D$8,C14-Variables!$E$8,IF(B14=Variables!$D$9,C14-Variables!$E$9,IF(B14=Variables!$D$10,C14-Variables!$E$10,IF(B14=Variables!$D$11,C14-Variables!$E$11,"ELSE"))))</f>
        <v>-0.21278220899470912</v>
      </c>
      <c r="F14" s="108">
        <f>VLOOKUP(ROW(F14)+4,'Water runs'!$CH$3:$CU$423,MATCH($B$1,Scenarios,0)+1)</f>
        <v>0</v>
      </c>
      <c r="G14" s="59"/>
      <c r="H14" s="60"/>
      <c r="I14" s="60"/>
      <c r="J14" s="67"/>
      <c r="K14" s="60"/>
      <c r="L14" s="60"/>
      <c r="M14" s="60"/>
      <c r="N14" s="60"/>
      <c r="O14" s="60"/>
      <c r="P14" s="60"/>
      <c r="Q14" s="60"/>
      <c r="R14" s="60"/>
      <c r="S14" s="60"/>
      <c r="T14" s="67"/>
      <c r="U14" s="60"/>
      <c r="V14" s="67"/>
      <c r="W14" s="60"/>
      <c r="X14" s="17"/>
      <c r="Y14" s="60"/>
      <c r="Z14" s="60"/>
      <c r="AA14" s="60"/>
      <c r="AB14" s="70"/>
    </row>
    <row r="15" spans="1:28" x14ac:dyDescent="0.25">
      <c r="A15" s="61">
        <f>'Water runs'!C22</f>
        <v>3347</v>
      </c>
      <c r="B15" s="61" t="str">
        <f>'Water runs'!B22</f>
        <v>Summer</v>
      </c>
      <c r="C15" s="54">
        <f>'Water runs'!D22/100</f>
        <v>1.774</v>
      </c>
      <c r="D15" s="108">
        <f>VLOOKUP(ROW(D15)+4,'Water runs'!$BS$3:$CF$423,MATCH($B$1,Scenarios,0)+1)</f>
        <v>2.663045629814963E-2</v>
      </c>
      <c r="E15" s="54">
        <f>IF(B15=Variables!$D$8,C15-Variables!$E$8,IF(B15=Variables!$D$9,C15-Variables!$E$9,IF(B15=Variables!$D$10,C15-Variables!$E$10,IF(B15=Variables!$D$11,C15-Variables!$E$11,"ELSE"))))</f>
        <v>0.5156298639455783</v>
      </c>
      <c r="F15" s="108">
        <f>VLOOKUP(ROW(F15)+4,'Water runs'!$CH$3:$CU$423,MATCH($B$1,Scenarios,0)+1)</f>
        <v>0</v>
      </c>
      <c r="G15" s="71">
        <f>H15/Variables!$E$49</f>
        <v>0.5</v>
      </c>
      <c r="H15" s="72">
        <f>Variables!E48</f>
        <v>3.1</v>
      </c>
      <c r="I15" s="73">
        <v>0</v>
      </c>
      <c r="J15" s="74">
        <f>IF(SUM(E11:E14)&lt;Variables!$B$3,-H14,0)</f>
        <v>0</v>
      </c>
      <c r="K15" s="73">
        <f ca="1">IF(AND(H14&lt;Variables!$B$6*Variables!$E$50,OR(SUM(D12:D15)&gt;Variables!$B$5,SUM(E12:E15)&gt;Variables!$B$4)),Variables!$B$6*Variables!$E$50+Variables!$B$7*$G$1*Variables!$E$50*SUM(D12:D15),0)</f>
        <v>1.174021667220289</v>
      </c>
      <c r="L15" s="73">
        <f>IF(B15="Winter",Variables!$B$8*H14,0)</f>
        <v>0</v>
      </c>
      <c r="M15" s="73">
        <f>IF(AND(B15="Spring",AND(NOT(H14=0),H14&lt;(Variables!$B$9*Variables!$E$50))),(Variables!$B$10*Variables!$E$50+Variables!$B$11*Variables!$E$50*SUM(E12:E15)+$G$1*SUM(D14:D15)*Variables!$E$50*Variables!$B$12),0)</f>
        <v>0</v>
      </c>
      <c r="N15" s="73">
        <f>IF(AND(B15="Spring",AND(SUM(D12:D15)&gt;Variables!$B$13,SUM(D8:D11)&gt;Variables!$B$13)),-Variables!$B$14*Variables!$E$50,0)</f>
        <v>0</v>
      </c>
      <c r="O15" s="73">
        <f>IF(AND(B15="Summer",SUM(C11:D15)&gt;Variables!$B$15),(Variables!$B$16*Variables!$E$50*SUM(C11:C15)+$G$1*Variables!$B$16*Variables!$E$50*SUM(D11:D15)+$G$1*Variables!$E$50*Variables!$B$17*F15),0)</f>
        <v>0</v>
      </c>
      <c r="P15" s="73">
        <f>IF(AND(AND(B15="Autumn",SUM(D14:E15)&gt;0),NOT(H14=0)),Variables!$B$18*Variables!$E$50+Variables!$B$19*Variables!$E$50*SUM(E14:E15)+$G$1*Variables!$B$19*Variables!$E$50*SUM(D14:D15),0)</f>
        <v>0</v>
      </c>
      <c r="Q15" s="73">
        <f>IF(AND(B15="Autumn",AND((E15+E14)&lt;Variables!$B$20,(D14+D15)=0)),-Variables!$B$21*Variables!$E$50,0)</f>
        <v>0</v>
      </c>
      <c r="R15" s="73">
        <f>IF(B15="Autumn",(SUM(F14:F15)*$G$1*Variables!$B$22*Variables!$E$50),0)</f>
        <v>0</v>
      </c>
      <c r="S15" s="73">
        <f>IF(B15="Spring",($G$1*Variables!$E$50*SUM('Guts (MC)'!F14:F15)*Variables!$B$23),0)</f>
        <v>0</v>
      </c>
      <c r="T15" s="74">
        <f ca="1">IF((H14+SUM(J15:Q15))&lt;(Variables!$B$26*Variables!$E$50),$F$1*((Variables!$B$26*Variables!$E$50)-H14-SUM(J15:Q15)),0)</f>
        <v>0</v>
      </c>
      <c r="U15" s="73">
        <f ca="1">IF(AND(AND(B15="Autumn",SUM(D12:E15)&gt;Variables!$B$27),SUM(J15:Q15)&lt;Variables!$B$28*H14),$F$1*(Variables!$B$28*H14-SUM(J15:Q15)),0)</f>
        <v>0</v>
      </c>
      <c r="V15" s="92">
        <f ca="1">IF(AND((J15+K15)=0,(Q15+T15)=0),$H$1*H15*Variables!$I$23*0.25,0)</f>
        <v>0</v>
      </c>
      <c r="W15" s="93">
        <f ca="1">IF(AND((K15+J15)=0,(T15+Q15)=0),$I$1*H15*Variables!$Q$23*0.25,0)</f>
        <v>0</v>
      </c>
      <c r="X15" s="94">
        <f ca="1">IF(AND(NOT(K15=0),(H15-H14)&gt;0),(H15-H14)*(Variables!$M$5*$H$1+Variables!$U$5*$I$1),0)+IF(AND(NOT((J15+N15+Q15)=0),(H14-H15)&gt;0),(H14-H15)*(Variables!$M$4*$H$1+Variables!$U$4*$I$1),0)</f>
        <v>-354.37486272826953</v>
      </c>
      <c r="Y15" s="94">
        <f ca="1">IF(SUM(T15,U14:U15)&gt;0,H15*Variables!$Y$11*0.25*(1-$J$1),0)</f>
        <v>0</v>
      </c>
      <c r="Z15" s="94">
        <f ca="1">IF(T15=0,H15*$J$1*Variables!$Y$5*0.25,0)</f>
        <v>3.4883891941770844</v>
      </c>
      <c r="AA15" s="94">
        <f ca="1">SUM(V15:Z15)</f>
        <v>-350.88647353409243</v>
      </c>
      <c r="AB15" s="90">
        <f ca="1">AA15/Variables!$E$49</f>
        <v>-56.594592505498781</v>
      </c>
    </row>
    <row r="16" spans="1:28" x14ac:dyDescent="0.25">
      <c r="A16" s="61">
        <f>'Water runs'!C23</f>
        <v>3439</v>
      </c>
      <c r="B16" s="61" t="str">
        <f>'Water runs'!B23</f>
        <v>Autumn</v>
      </c>
      <c r="C16" s="54">
        <f>'Water runs'!D23/100</f>
        <v>0.30780000000000002</v>
      </c>
      <c r="D16" s="108">
        <f>VLOOKUP(ROW(D16)+4,'Water runs'!$BS$3:$CF$423,MATCH($B$1,Scenarios,0)+1)</f>
        <v>1.3204380082185925E-2</v>
      </c>
      <c r="E16" s="54">
        <f>IF(B16=Variables!$D$8,C16-Variables!$E$8,IF(B16=Variables!$D$9,C16-Variables!$E$9,IF(B16=Variables!$D$10,C16-Variables!$E$10,IF(B16=Variables!$D$11,C16-Variables!$E$11,"ELSE"))))</f>
        <v>-0.68684329931972776</v>
      </c>
      <c r="F16" s="108">
        <f>VLOOKUP(ROW(F16)+4,'Water runs'!$CH$3:$CU$423,MATCH($B$1,Scenarios,0)+1)</f>
        <v>0</v>
      </c>
      <c r="G16" s="65">
        <f ca="1">H16/Variables!$E$49</f>
        <v>0.5</v>
      </c>
      <c r="H16" s="62">
        <f ca="1">IF((H15+I16)&gt;(1.1*Variables!$E$50),(1.1*Variables!$E$50),IF((H15+I16)&gt;0,H15+I16,0))</f>
        <v>3.1</v>
      </c>
      <c r="I16" s="64">
        <f ca="1">SUM(J16:U16)</f>
        <v>0</v>
      </c>
      <c r="J16" s="63">
        <f>IF(SUM(E12:E15)&lt;Variables!$B$3,-H15,0)</f>
        <v>0</v>
      </c>
      <c r="K16" s="64">
        <f>IF(AND(H15&lt;Variables!$B$6*Variables!$E$50,OR(SUM(D13:D16)&gt;Variables!$B$5,SUM(E13:E16)&gt;Variables!$B$4)),Variables!$B$6*Variables!$E$50+Variables!$B$7*$G$1*Variables!$E$50*SUM(D13:D16),0)</f>
        <v>0</v>
      </c>
      <c r="L16" s="64">
        <f>IF(B16="Winter",Variables!$B$8*H15,0)</f>
        <v>0</v>
      </c>
      <c r="M16" s="64">
        <f>IF(AND(B16="Spring",AND(NOT(H15=0),H15&lt;(Variables!$B$9*Variables!$E$50))),(Variables!$B$10*Variables!$E$50+Variables!$B$11*Variables!$E$50*SUM(E13:E16)+$G$1*SUM(D15:D16)*Variables!$E$50*Variables!$B$12),0)</f>
        <v>0</v>
      </c>
      <c r="N16" s="64">
        <f>IF(AND(B16="Spring",AND(SUM(D13:D16)&gt;Variables!$B$13,SUM(D9:D12)&gt;Variables!$B$13)),-Variables!$B$14*Variables!$E$50,0)</f>
        <v>0</v>
      </c>
      <c r="O16" s="64">
        <f>IF(AND(B16="Summer",SUM(C12:D16)&gt;Variables!$B$15),(Variables!$B$16*Variables!$E$50*SUM(C12:C16)+$G$1*Variables!$B$16*Variables!$E$50*SUM(D12:D16)+$G$1*Variables!$E$50*Variables!$B$17*F16),0)</f>
        <v>0</v>
      </c>
      <c r="P16" s="64">
        <f>IF(AND(AND(B16="Autumn",SUM(D15:E16)&gt;0),NOT(H15=0)),Variables!$B$18*Variables!$E$50+Variables!$B$19*Variables!$E$50*SUM(E15:E16)+$G$1*Variables!$B$19*Variables!$E$50*SUM(D15:D16),0)</f>
        <v>0</v>
      </c>
      <c r="Q16" s="64">
        <f>IF(AND(B16="Autumn",AND((E16+E15)&lt;Variables!$B$20,(D15+D16)=0)),-Variables!$B$21*Variables!$E$50,0)</f>
        <v>0</v>
      </c>
      <c r="R16" s="64">
        <f ca="1">IF(B16="Autumn",(SUM(F15:F16)*$G$1*Variables!$B$22*Variables!$E$50),0)</f>
        <v>0</v>
      </c>
      <c r="S16" s="64">
        <f>IF(B16="Spring",($G$1*Variables!$E$50*SUM('Guts (MC)'!F15:F16)*Variables!$B$23),0)</f>
        <v>0</v>
      </c>
      <c r="T16" s="63">
        <f>IF((H15+SUM(J16:Q16))&lt;(Variables!$B$26*Variables!$E$50),$F$1*((Variables!$B$26*Variables!$E$50)-H15-SUM(J16:Q16)),0)</f>
        <v>0</v>
      </c>
      <c r="U16" s="64">
        <f>IF(AND(AND(B16="Autumn",SUM(D13:E16)&gt;Variables!$B$27),SUM(J16:Q16)&lt;Variables!$B$28*H15),$F$1*(Variables!$B$28*H15-SUM(J16:Q16)),0)</f>
        <v>0</v>
      </c>
      <c r="V16" s="96">
        <f ca="1">IF(AND((J16+K16)=0,(Q16+T16)=0),$H$1*H16*Variables!$I$23*0.25,0)</f>
        <v>37.785830767808328</v>
      </c>
      <c r="W16" s="97">
        <f ca="1">IF(AND((K16+J16)=0,(T16+Q16)=0),$I$1*H16*Variables!$Q$23*0.25,0)</f>
        <v>12.152412211653292</v>
      </c>
      <c r="X16" s="95">
        <f ca="1">IF(AND(NOT(K16=0),(H16-H15)&gt;0),(H16-H15)*(Variables!$M$5*$H$1+Variables!$U$5*$I$1),0)+IF(AND(NOT((J16+N16+Q16)=0),(H15-H16)&gt;0),(H15-H16)*(Variables!$M$4*$H$1+Variables!$U$4*$I$1),0)</f>
        <v>0</v>
      </c>
      <c r="Y16" s="95">
        <f ca="1">IF(SUM(T16,U15:U16)&gt;0,H16*Variables!$Y$11*0.25*(1-$J$1),0)</f>
        <v>0</v>
      </c>
      <c r="Z16" s="95">
        <f ca="1">IF(T16=0,H16*$J$1*Variables!$Y$5*0.25,0)</f>
        <v>3.4883891941770844</v>
      </c>
      <c r="AA16" s="95">
        <f t="shared" ref="AA16:AA79" ca="1" si="0">SUM(V16:Z16)</f>
        <v>53.426632173638701</v>
      </c>
      <c r="AB16" s="91">
        <f ca="1">AA16/Variables!$E$49</f>
        <v>8.6171987376836618</v>
      </c>
    </row>
    <row r="17" spans="1:29" x14ac:dyDescent="0.25">
      <c r="A17" s="61">
        <f>'Water runs'!C24</f>
        <v>3531</v>
      </c>
      <c r="B17" s="61" t="str">
        <f>'Water runs'!B24</f>
        <v>Winter</v>
      </c>
      <c r="C17" s="54">
        <f>'Water runs'!D24/100</f>
        <v>1.2172000000000001</v>
      </c>
      <c r="D17" s="108">
        <f>VLOOKUP(ROW(D17)+4,'Water runs'!$BS$3:$CF$423,MATCH($B$1,Scenarios,0)+1)</f>
        <v>0</v>
      </c>
      <c r="E17" s="54">
        <f>IF(B17=Variables!$D$8,C17-Variables!$E$8,IF(B17=Variables!$D$9,C17-Variables!$E$9,IF(B17=Variables!$D$10,C17-Variables!$E$10,IF(B17=Variables!$D$11,C17-Variables!$E$11,"ELSE"))))</f>
        <v>0.64543237433862433</v>
      </c>
      <c r="F17" s="108">
        <f>VLOOKUP(ROW(F17)+4,'Water runs'!$CH$3:$CU$423,MATCH($B$1,Scenarios,0)+1)</f>
        <v>0</v>
      </c>
      <c r="G17" s="65">
        <f ca="1">H17/Variables!$E$49</f>
        <v>0.25102737683241766</v>
      </c>
      <c r="H17" s="62">
        <f ca="1">IF((H16+I17)&gt;(1.1*Variables!$E$50),(1.1*Variables!$E$50),IF((H16+I17)&gt;0,H16+I17,0))</f>
        <v>1.5563697363609894</v>
      </c>
      <c r="I17" s="64">
        <f ca="1">SUM(J17:U17)</f>
        <v>-1.5436302636390107</v>
      </c>
      <c r="J17" s="63">
        <f>IF(SUM(E13:E16)&lt;Variables!$B$3,-H16,0)</f>
        <v>0</v>
      </c>
      <c r="K17" s="64">
        <f ca="1">IF(AND(H16&lt;Variables!$B$6*Variables!$E$50,OR(SUM(D14:D17)&gt;Variables!$B$5,SUM(E14:E17)&gt;Variables!$B$4)),Variables!$B$6*Variables!$E$50+Variables!$B$7*$G$1*Variables!$E$50*SUM(D14:D17),0)</f>
        <v>0</v>
      </c>
      <c r="L17" s="64">
        <f ca="1">IF(B17="Winter",Variables!$B$8*H16,0)</f>
        <v>-1.5436302636390107</v>
      </c>
      <c r="M17" s="64">
        <f ca="1">IF(AND(B17="Spring",AND(NOT(H16=0),H16&lt;(Variables!$B$9*Variables!$E$50))),(Variables!$B$10*Variables!$E$50+Variables!$B$11*Variables!$E$50*SUM(E14:E17)+$G$1*SUM(D16:D17)*Variables!$E$50*Variables!$B$12),0)</f>
        <v>0</v>
      </c>
      <c r="N17" s="64">
        <f>IF(AND(B17="Spring",AND(SUM(D14:D17)&gt;Variables!$B$13,SUM(D10:D13)&gt;Variables!$B$13)),-Variables!$B$14*Variables!$E$50,0)</f>
        <v>0</v>
      </c>
      <c r="O17" s="64">
        <f>IF(AND(B17="Summer",SUM(C13:D17)&gt;Variables!$B$15),(Variables!$B$16*Variables!$E$50*SUM(C13:C17)+$G$1*Variables!$B$16*Variables!$E$50*SUM(D13:D17)+$G$1*Variables!$E$50*Variables!$B$17*F17),0)</f>
        <v>0</v>
      </c>
      <c r="P17" s="64">
        <f ca="1">IF(AND(AND(B17="Autumn",SUM(D16:E17)&gt;0),NOT(H16=0)),Variables!$B$18*Variables!$E$50+Variables!$B$19*Variables!$E$50*SUM(E16:E17)+$G$1*Variables!$B$19*Variables!$E$50*SUM(D16:D17),0)</f>
        <v>0</v>
      </c>
      <c r="Q17" s="64">
        <f>IF(AND(B17="Autumn",AND((E17+E16)&lt;Variables!$B$20,(D16+D17)=0)),-Variables!$B$21*Variables!$E$50,0)</f>
        <v>0</v>
      </c>
      <c r="R17" s="64">
        <f>IF(B17="Autumn",(SUM(F16:F17)*$G$1*Variables!$B$22*Variables!$E$50),0)</f>
        <v>0</v>
      </c>
      <c r="S17" s="64">
        <f>IF(B17="Spring",($G$1*Variables!$E$50*SUM('Guts (MC)'!F16:F17)*Variables!$B$23),0)</f>
        <v>0</v>
      </c>
      <c r="T17" s="63">
        <f ca="1">IF((H16+SUM(J17:Q17))&lt;(Variables!$B$26*Variables!$E$50),$F$1*((Variables!$B$26*Variables!$E$50)-H16-SUM(J17:Q17)),0)</f>
        <v>0</v>
      </c>
      <c r="U17" s="64">
        <f ca="1">IF(AND(AND(B17="Autumn",SUM(D14:E17)&gt;Variables!$B$27),SUM(J17:Q17)&lt;Variables!$B$28*H16),$F$1*(Variables!$B$28*H16-SUM(J17:Q17)),0)</f>
        <v>0</v>
      </c>
      <c r="V17" s="96">
        <f ca="1">IF(AND((J17+K17)=0,(Q17+T17)=0),$H$1*H17*Variables!$I$23*0.25,0)</f>
        <v>18.970555958153163</v>
      </c>
      <c r="W17" s="97">
        <f ca="1">IF(AND((K17+J17)=0,(T17+Q17)=0),$I$1*H17*Variables!$Q$23*0.25,0)</f>
        <v>6.1011763193551287</v>
      </c>
      <c r="X17" s="95">
        <f ca="1">IF(AND(NOT(K17=0),(H17-H16)&gt;0),(H17-H16)*(Variables!$M$5*$H$1+Variables!$U$5*$I$1),0)+IF(AND(NOT((J17+N17+Q17)=0),(H16-H17)&gt;0),(H16-H17)*(Variables!$M$4*$H$1+Variables!$U$4*$I$1),0)</f>
        <v>0</v>
      </c>
      <c r="Y17" s="95">
        <f ca="1">IF(SUM(T17,U16:U17)&gt;0,H17*Variables!$Y$11*0.25*(1-$J$1),0)</f>
        <v>0</v>
      </c>
      <c r="Z17" s="95">
        <f ca="1">IF(T17=0,H17*$J$1*Variables!$Y$5*0.25,0)</f>
        <v>1.7513623775696494</v>
      </c>
      <c r="AA17" s="95">
        <f t="shared" ca="1" si="0"/>
        <v>26.823094655077941</v>
      </c>
      <c r="AB17" s="91">
        <f ca="1">AA17/Variables!$E$49</f>
        <v>4.3263055895287001</v>
      </c>
    </row>
    <row r="18" spans="1:29" x14ac:dyDescent="0.25">
      <c r="A18" s="61">
        <f>'Water runs'!C25</f>
        <v>3622</v>
      </c>
      <c r="B18" s="61" t="str">
        <f>'Water runs'!B25</f>
        <v>Spring</v>
      </c>
      <c r="C18" s="54">
        <f>'Water runs'!D25/100</f>
        <v>0.34600000000000003</v>
      </c>
      <c r="D18" s="108">
        <f>VLOOKUP(ROW(D18)+4,'Water runs'!$BS$3:$CF$423,MATCH($B$1,Scenarios,0)+1)</f>
        <v>6.3484271451080369E-3</v>
      </c>
      <c r="E18" s="54">
        <f>IF(B18=Variables!$D$8,C18-Variables!$E$8,IF(B18=Variables!$D$9,C18-Variables!$E$9,IF(B18=Variables!$D$10,C18-Variables!$E$10,IF(B18=Variables!$D$11,C18-Variables!$E$11,"ELSE"))))</f>
        <v>-0.41798220899470911</v>
      </c>
      <c r="F18" s="108">
        <f>VLOOKUP(ROW(F18)+4,'Water runs'!$CH$3:$CU$423,MATCH($B$1,Scenarios,0)+1)</f>
        <v>0</v>
      </c>
      <c r="G18" s="65">
        <f ca="1">H18/Variables!$E$49</f>
        <v>0.25761221857041988</v>
      </c>
      <c r="H18" s="62">
        <f ca="1">IF((H17+I18)&gt;(1.1*Variables!$E$50),(1.1*Variables!$E$50),IF((H17+I18)&gt;0,H17+I18,0))</f>
        <v>1.5971957551366034</v>
      </c>
      <c r="I18" s="64">
        <f t="shared" ref="I18:I81" ca="1" si="1">SUM(J18:U18)</f>
        <v>4.0826018775614044E-2</v>
      </c>
      <c r="J18" s="63">
        <f>IF(SUM(E14:E17)&lt;Variables!$B$3,-H17,0)</f>
        <v>0</v>
      </c>
      <c r="K18" s="64">
        <f ca="1">IF(AND(H17&lt;Variables!$B$6*Variables!$E$50,OR(SUM(D15:D18)&gt;Variables!$B$5,SUM(E15:E18)&gt;Variables!$B$4)),Variables!$B$6*Variables!$E$50+Variables!$B$7*$G$1*Variables!$E$50*SUM(D15:D18),0)</f>
        <v>0</v>
      </c>
      <c r="L18" s="64">
        <f>IF(B18="Winter",Variables!$B$8*H17,0)</f>
        <v>0</v>
      </c>
      <c r="M18" s="64">
        <f ca="1">IF(AND(B18="Spring",AND(NOT(H17=0),H17&lt;(Variables!$B$9*Variables!$E$50))),(Variables!$B$10*Variables!$E$50+Variables!$B$11*Variables!$E$50*SUM(E15:E18)+$G$1*SUM(D17:D18)*Variables!$E$50*Variables!$B$12),0)</f>
        <v>4.0826018775614044E-2</v>
      </c>
      <c r="N18" s="64">
        <f>IF(AND(B18="Spring",AND(SUM(D15:D18)&gt;Variables!$B$13,SUM(D11:D14)&gt;Variables!$B$13)),-Variables!$B$14*Variables!$E$50,0)</f>
        <v>0</v>
      </c>
      <c r="O18" s="64">
        <f>IF(AND(B18="Summer",SUM(C14:D18)&gt;Variables!$B$15),(Variables!$B$16*Variables!$E$50*SUM(C14:C18)+$G$1*Variables!$B$16*Variables!$E$50*SUM(D14:D18)+$G$1*Variables!$E$50*Variables!$B$17*F18),0)</f>
        <v>0</v>
      </c>
      <c r="P18" s="64">
        <f ca="1">IF(AND(AND(B18="Autumn",SUM(D17:E18)&gt;0),NOT(H17=0)),Variables!$B$18*Variables!$E$50+Variables!$B$19*Variables!$E$50*SUM(E17:E18)+$G$1*Variables!$B$19*Variables!$E$50*SUM(D17:D18),0)</f>
        <v>0</v>
      </c>
      <c r="Q18" s="64">
        <f>IF(AND(B18="Autumn",AND((E18+E17)&lt;Variables!$B$20,(D17+D18)=0)),-Variables!$B$21*Variables!$E$50,0)</f>
        <v>0</v>
      </c>
      <c r="R18" s="64">
        <f>IF(B18="Autumn",(SUM(F17:F18)*$G$1*Variables!$B$22*Variables!$E$50),0)</f>
        <v>0</v>
      </c>
      <c r="S18" s="64">
        <f ca="1">IF(B18="Spring",($G$1*Variables!$E$50*SUM('Guts (MC)'!F17:F18)*Variables!$B$23),0)</f>
        <v>0</v>
      </c>
      <c r="T18" s="63">
        <f ca="1">IF((H17+SUM(J18:Q18))&lt;(Variables!$B$26*Variables!$E$50),$F$1*((Variables!$B$26*Variables!$E$50)-H17-SUM(J18:Q18)),0)</f>
        <v>0</v>
      </c>
      <c r="U18" s="64">
        <f ca="1">IF(AND(AND(B18="Autumn",SUM(D15:E18)&gt;Variables!$B$27),SUM(J18:Q18)&lt;Variables!$B$28*H17),$F$1*(Variables!$B$28*H17-SUM(J18:Q18)),0)</f>
        <v>0</v>
      </c>
      <c r="V18" s="96">
        <f ca="1">IF(AND((J18+K18)=0,(Q18+T18)=0),$H$1*H18*Variables!$I$23*0.25,0)</f>
        <v>19.468183389243073</v>
      </c>
      <c r="W18" s="97">
        <f ca="1">IF(AND((K18+J18)=0,(T18+Q18)=0),$I$1*H18*Variables!$Q$23*0.25,0)</f>
        <v>6.2612197416525346</v>
      </c>
      <c r="X18" s="95">
        <f ca="1">IF(AND(NOT(K18=0),(H18-H17)&gt;0),(H18-H17)*(Variables!$M$5*$H$1+Variables!$U$5*$I$1),0)+IF(AND(NOT((J18+N18+Q18)=0),(H17-H18)&gt;0),(H17-H18)*(Variables!$M$4*$H$1+Variables!$U$4*$I$1),0)</f>
        <v>0</v>
      </c>
      <c r="Y18" s="95">
        <f ca="1">IF(SUM(T18,U17:U18)&gt;0,H18*Variables!$Y$11*0.25*(1-$J$1),0)</f>
        <v>0</v>
      </c>
      <c r="Z18" s="95">
        <f ca="1">IF(T18=0,H18*$J$1*Variables!$Y$5*0.25,0)</f>
        <v>1.7973033590980763</v>
      </c>
      <c r="AA18" s="95">
        <f t="shared" ca="1" si="0"/>
        <v>27.526706489993686</v>
      </c>
      <c r="AB18" s="91">
        <f ca="1">AA18/Variables!$E$49</f>
        <v>4.43979136935382</v>
      </c>
    </row>
    <row r="19" spans="1:29" x14ac:dyDescent="0.25">
      <c r="A19" s="61">
        <f>'Water runs'!C26</f>
        <v>3712</v>
      </c>
      <c r="B19" s="61" t="str">
        <f>'Water runs'!B26</f>
        <v>Summer</v>
      </c>
      <c r="C19" s="54">
        <f>'Water runs'!D26/100</f>
        <v>0.86199999999999999</v>
      </c>
      <c r="D19" s="108">
        <f>VLOOKUP(ROW(D19)+4,'Water runs'!$BS$3:$CF$423,MATCH($B$1,Scenarios,0)+1)</f>
        <v>0.3253557035289274</v>
      </c>
      <c r="E19" s="54">
        <f>IF(B19=Variables!$D$8,C19-Variables!$E$8,IF(B19=Variables!$D$9,C19-Variables!$E$9,IF(B19=Variables!$D$10,C19-Variables!$E$10,IF(B19=Variables!$D$11,C19-Variables!$E$11,"ELSE"))))</f>
        <v>-0.39637013605442173</v>
      </c>
      <c r="F19" s="108">
        <f>VLOOKUP(ROW(F19)+4,'Water runs'!$CH$3:$CU$423,MATCH($B$1,Scenarios,0)+1)</f>
        <v>0.45722214744376438</v>
      </c>
      <c r="G19" s="65">
        <f ca="1">H19/Variables!$E$49</f>
        <v>0.25761221857041988</v>
      </c>
      <c r="H19" s="62">
        <f ca="1">IF((H18+I19)&gt;(1.1*Variables!$E$50),(1.1*Variables!$E$50),IF((H18+I19)&gt;0,H18+I19,0))</f>
        <v>1.5971957551366034</v>
      </c>
      <c r="I19" s="64">
        <f t="shared" ca="1" si="1"/>
        <v>0</v>
      </c>
      <c r="J19" s="63">
        <f>IF(SUM(E15:E18)&lt;Variables!$B$3,-H18,0)</f>
        <v>0</v>
      </c>
      <c r="K19" s="64">
        <f ca="1">IF(AND(H18&lt;Variables!$B$6*Variables!$E$50,OR(SUM(D16:D19)&gt;Variables!$B$5,SUM(E16:E19)&gt;Variables!$B$4)),Variables!$B$6*Variables!$E$50+Variables!$B$7*$G$1*Variables!$E$50*SUM(D16:D19),0)</f>
        <v>0</v>
      </c>
      <c r="L19" s="64">
        <f>IF(B19="Winter",Variables!$B$8*H18,0)</f>
        <v>0</v>
      </c>
      <c r="M19" s="64">
        <f ca="1">IF(AND(B19="Spring",AND(NOT(H18=0),H18&lt;(Variables!$B$9*Variables!$E$50))),(Variables!$B$10*Variables!$E$50+Variables!$B$11*Variables!$E$50*SUM(E16:E19)+$G$1*SUM(D18:D19)*Variables!$E$50*Variables!$B$12),0)</f>
        <v>0</v>
      </c>
      <c r="N19" s="64">
        <f>IF(AND(B19="Spring",AND(SUM(D16:D19)&gt;Variables!$B$13,SUM(D12:D15)&gt;Variables!$B$13)),-Variables!$B$14*Variables!$E$50,0)</f>
        <v>0</v>
      </c>
      <c r="O19" s="64">
        <f>IF(AND(B19="Summer",SUM(C15:D19)&gt;Variables!$B$15),(Variables!$B$16*Variables!$E$50*SUM(C15:C19)+$G$1*Variables!$B$16*Variables!$E$50*SUM(D15:D19)+$G$1*Variables!$E$50*Variables!$B$17*F19),0)</f>
        <v>0</v>
      </c>
      <c r="P19" s="64">
        <f ca="1">IF(AND(AND(B19="Autumn",SUM(D18:E19)&gt;0),NOT(H18=0)),Variables!$B$18*Variables!$E$50+Variables!$B$19*Variables!$E$50*SUM(E18:E19)+$G$1*Variables!$B$19*Variables!$E$50*SUM(D18:D19),0)</f>
        <v>0</v>
      </c>
      <c r="Q19" s="64">
        <f>IF(AND(B19="Autumn",AND((E19+E18)&lt;Variables!$B$20,(D18+D19)=0)),-Variables!$B$21*Variables!$E$50,0)</f>
        <v>0</v>
      </c>
      <c r="R19" s="64">
        <f>IF(B19="Autumn",(SUM(F18:F19)*$G$1*Variables!$B$22*Variables!$E$50),0)</f>
        <v>0</v>
      </c>
      <c r="S19" s="64">
        <f>IF(B19="Spring",($G$1*Variables!$E$50*SUM('Guts (MC)'!F18:F19)*Variables!$B$23),0)</f>
        <v>0</v>
      </c>
      <c r="T19" s="63">
        <f ca="1">IF((H18+SUM(J19:Q19))&lt;(Variables!$B$26*Variables!$E$50),$F$1*((Variables!$B$26*Variables!$E$50)-H18-SUM(J19:Q19)),0)</f>
        <v>0</v>
      </c>
      <c r="U19" s="64">
        <f ca="1">IF(AND(AND(B19="Autumn",SUM(D16:E19)&gt;Variables!$B$27),SUM(J19:Q19)&lt;Variables!$B$28*H18),$F$1*(Variables!$B$28*H18-SUM(J19:Q19)),0)</f>
        <v>0</v>
      </c>
      <c r="V19" s="96">
        <f ca="1">IF(AND((J19+K19)=0,(Q19+T19)=0),$H$1*H19*Variables!$I$23*0.25,0)</f>
        <v>19.468183389243073</v>
      </c>
      <c r="W19" s="97">
        <f ca="1">IF(AND((K19+J19)=0,(T19+Q19)=0),$I$1*H19*Variables!$Q$23*0.25,0)</f>
        <v>6.2612197416525346</v>
      </c>
      <c r="X19" s="95">
        <f ca="1">IF(AND(NOT(K19=0),(H19-H18)&gt;0),(H19-H18)*(Variables!$M$5*$H$1+Variables!$U$5*$I$1),0)+IF(AND(NOT((J19+N19+Q19)=0),(H18-H19)&gt;0),(H18-H19)*(Variables!$M$4*$H$1+Variables!$U$4*$I$1),0)</f>
        <v>0</v>
      </c>
      <c r="Y19" s="95">
        <f ca="1">IF(SUM(T19,U18:U19)&gt;0,H19*Variables!$Y$11*0.25*(1-$J$1),0)</f>
        <v>0</v>
      </c>
      <c r="Z19" s="95">
        <f ca="1">IF(T19=0,H19*$J$1*Variables!$Y$5*0.25,0)</f>
        <v>1.7973033590980763</v>
      </c>
      <c r="AA19" s="95">
        <f t="shared" ca="1" si="0"/>
        <v>27.526706489993686</v>
      </c>
      <c r="AB19" s="91">
        <f ca="1">AA19/Variables!$E$49</f>
        <v>4.43979136935382</v>
      </c>
      <c r="AC19" s="15"/>
    </row>
    <row r="20" spans="1:29" x14ac:dyDescent="0.25">
      <c r="A20" s="61">
        <f>'Water runs'!C27</f>
        <v>3804</v>
      </c>
      <c r="B20" s="61" t="str">
        <f>'Water runs'!B27</f>
        <v>Autumn</v>
      </c>
      <c r="C20" s="54">
        <f>'Water runs'!D27/100</f>
        <v>0.55359999999999998</v>
      </c>
      <c r="D20" s="108">
        <f>VLOOKUP(ROW(D20)+4,'Water runs'!$BS$3:$CF$423,MATCH($B$1,Scenarios,0)+1)</f>
        <v>0.18273383003824259</v>
      </c>
      <c r="E20" s="54">
        <f>IF(B20=Variables!$D$8,C20-Variables!$E$8,IF(B20=Variables!$D$9,C20-Variables!$E$9,IF(B20=Variables!$D$10,C20-Variables!$E$10,IF(B20=Variables!$D$11,C20-Variables!$E$11,"ELSE"))))</f>
        <v>-0.44104329931972786</v>
      </c>
      <c r="F20" s="108">
        <f>VLOOKUP(ROW(F20)+4,'Water runs'!$CH$3:$CU$423,MATCH($B$1,Scenarios,0)+1)</f>
        <v>0.16200088678453511</v>
      </c>
      <c r="G20" s="65">
        <f ca="1">H20/Variables!$E$49</f>
        <v>0.27273245796423629</v>
      </c>
      <c r="H20" s="62">
        <f ca="1">IF((H19+I20)&gt;(1.1*Variables!$E$50),(1.1*Variables!$E$50),IF((H19+I20)&gt;0,H19+I20,0))</f>
        <v>1.690941239378265</v>
      </c>
      <c r="I20" s="64">
        <f t="shared" ca="1" si="1"/>
        <v>9.3745484241661584E-2</v>
      </c>
      <c r="J20" s="63">
        <f>IF(SUM(E16:E19)&lt;Variables!$B$3,-H19,0)</f>
        <v>0</v>
      </c>
      <c r="K20" s="64">
        <f ca="1">IF(AND(H19&lt;Variables!$B$6*Variables!$E$50,OR(SUM(D17:D20)&gt;Variables!$B$5,SUM(E17:E20)&gt;Variables!$B$4)),Variables!$B$6*Variables!$E$50+Variables!$B$7*$G$1*Variables!$E$50*SUM(D17:D20),0)</f>
        <v>0</v>
      </c>
      <c r="L20" s="64">
        <f>IF(B20="Winter",Variables!$B$8*H19,0)</f>
        <v>0</v>
      </c>
      <c r="M20" s="64">
        <f ca="1">IF(AND(B20="Spring",AND(NOT(H19=0),H19&lt;(Variables!$B$9*Variables!$E$50))),(Variables!$B$10*Variables!$E$50+Variables!$B$11*Variables!$E$50*SUM(E17:E20)+$G$1*SUM(D19:D20)*Variables!$E$50*Variables!$B$12),0)</f>
        <v>0</v>
      </c>
      <c r="N20" s="64">
        <f>IF(AND(B20="Spring",AND(SUM(D17:D20)&gt;Variables!$B$13,SUM(D13:D16)&gt;Variables!$B$13)),-Variables!$B$14*Variables!$E$50,0)</f>
        <v>0</v>
      </c>
      <c r="O20" s="64">
        <f>IF(AND(B20="Summer",SUM(C16:D20)&gt;Variables!$B$15),(Variables!$B$16*Variables!$E$50*SUM(C16:C20)+$G$1*Variables!$B$16*Variables!$E$50*SUM(D16:D20)+$G$1*Variables!$E$50*Variables!$B$17*F20),0)</f>
        <v>0</v>
      </c>
      <c r="P20" s="64">
        <f ca="1">IF(AND(AND(B20="Autumn",SUM(D19:E20)&gt;0),NOT(H19=0)),Variables!$B$18*Variables!$E$50+Variables!$B$19*Variables!$E$50*SUM(E19:E20)+$G$1*Variables!$B$19*Variables!$E$50*SUM(D19:D20),0)</f>
        <v>0</v>
      </c>
      <c r="Q20" s="64">
        <f>IF(AND(B20="Autumn",AND((E20+E19)&lt;Variables!$B$20,(D19+D20)=0)),-Variables!$B$21*Variables!$E$50,0)</f>
        <v>0</v>
      </c>
      <c r="R20" s="64">
        <f ca="1">IF(B20="Autumn",(SUM(F19:F20)*$G$1*Variables!$B$22*Variables!$E$50),0)</f>
        <v>9.3745484241661584E-2</v>
      </c>
      <c r="S20" s="64">
        <f>IF(B20="Spring",($G$1*Variables!$E$50*SUM('Guts (MC)'!F19:F20)*Variables!$B$23),0)</f>
        <v>0</v>
      </c>
      <c r="T20" s="63">
        <f ca="1">IF((H19+SUM(J20:Q20))&lt;(Variables!$B$26*Variables!$E$50),$F$1*((Variables!$B$26*Variables!$E$50)-H19-SUM(J20:Q20)),0)</f>
        <v>0</v>
      </c>
      <c r="U20" s="64">
        <f ca="1">IF(AND(AND(B20="Autumn",SUM(D17:E20)&gt;Variables!$B$27),SUM(J20:Q20)&lt;Variables!$B$28*H19),$F$1*(Variables!$B$28*H19-SUM(J20:Q20)),0)</f>
        <v>0</v>
      </c>
      <c r="V20" s="96">
        <f ca="1">IF(AND((J20+K20)=0,(Q20+T20)=0),$H$1*H20*Variables!$I$23*0.25,0)</f>
        <v>20.610845003050063</v>
      </c>
      <c r="W20" s="97">
        <f ca="1">IF(AND((K20+J20)=0,(T20+Q20)=0),$I$1*H20*Variables!$Q$23*0.25,0)</f>
        <v>6.628714505357606</v>
      </c>
      <c r="X20" s="95">
        <f ca="1">IF(AND(NOT(K20=0),(H20-H19)&gt;0),(H20-H19)*(Variables!$M$5*$H$1+Variables!$U$5*$I$1),0)+IF(AND(NOT((J20+N20+Q20)=0),(H19-H20)&gt;0),(H19-H20)*(Variables!$M$4*$H$1+Variables!$U$4*$I$1),0)</f>
        <v>0</v>
      </c>
      <c r="Y20" s="95">
        <f ca="1">IF(SUM(T20,U19:U20)&gt;0,H20*Variables!$Y$11*0.25*(1-$J$1),0)</f>
        <v>0</v>
      </c>
      <c r="Z20" s="95">
        <f ca="1">IF(T20=0,H20*$J$1*Variables!$Y$5*0.25,0)</f>
        <v>1.9027939185275959</v>
      </c>
      <c r="AA20" s="95">
        <f t="shared" ca="1" si="0"/>
        <v>29.142353426935266</v>
      </c>
      <c r="AB20" s="91">
        <f ca="1">AA20/Variables!$E$49</f>
        <v>4.7003795849895589</v>
      </c>
    </row>
    <row r="21" spans="1:29" x14ac:dyDescent="0.25">
      <c r="A21" s="61">
        <f>'Water runs'!C28</f>
        <v>3896</v>
      </c>
      <c r="B21" s="61" t="str">
        <f>'Water runs'!B28</f>
        <v>Winter</v>
      </c>
      <c r="C21" s="54">
        <f>'Water runs'!D28/100</f>
        <v>0.92620000000000002</v>
      </c>
      <c r="D21" s="108">
        <f>VLOOKUP(ROW(D21)+4,'Water runs'!$BS$3:$CF$423,MATCH($B$1,Scenarios,0)+1)</f>
        <v>0.13311665175496243</v>
      </c>
      <c r="E21" s="54">
        <f>IF(B21=Variables!$D$8,C21-Variables!$E$8,IF(B21=Variables!$D$9,C21-Variables!$E$9,IF(B21=Variables!$D$10,C21-Variables!$E$10,IF(B21=Variables!$D$11,C21-Variables!$E$11,"ELSE"))))</f>
        <v>0.35443237433862429</v>
      </c>
      <c r="F21" s="108">
        <f>VLOOKUP(ROW(F21)+4,'Water runs'!$CH$3:$CU$423,MATCH($B$1,Scenarios,0)+1)</f>
        <v>0.10477636402505167</v>
      </c>
      <c r="G21" s="65">
        <f ca="1">H21/Variables!$E$49</f>
        <v>0.161</v>
      </c>
      <c r="H21" s="62">
        <f ca="1">IF((H20+I21)&gt;(1.1*Variables!$E$50),(1.1*Variables!$E$50),IF((H20+I21)&gt;0,H20+I21,0))</f>
        <v>0.99820000000000009</v>
      </c>
      <c r="I21" s="64">
        <f t="shared" ca="1" si="1"/>
        <v>-0.69274123937826493</v>
      </c>
      <c r="J21" s="63">
        <f>IF(SUM(E17:E20)&lt;Variables!$B$3,-H20,0)</f>
        <v>0</v>
      </c>
      <c r="K21" s="64">
        <f ca="1">IF(AND(H20&lt;Variables!$B$6*Variables!$E$50,OR(SUM(D18:D21)&gt;Variables!$B$5,SUM(E18:E21)&gt;Variables!$B$4)),Variables!$B$6*Variables!$E$50+Variables!$B$7*$G$1*Variables!$E$50*SUM(D18:D21),0)</f>
        <v>0</v>
      </c>
      <c r="L21" s="64">
        <f ca="1">IF(B21="Winter",Variables!$B$8*H20,0)</f>
        <v>-0.84199615198049893</v>
      </c>
      <c r="M21" s="64">
        <f ca="1">IF(AND(B21="Spring",AND(NOT(H20=0),H20&lt;(Variables!$B$9*Variables!$E$50))),(Variables!$B$10*Variables!$E$50+Variables!$B$11*Variables!$E$50*SUM(E18:E21)+$G$1*SUM(D20:D21)*Variables!$E$50*Variables!$B$12),0)</f>
        <v>0</v>
      </c>
      <c r="N21" s="64">
        <f>IF(AND(B21="Spring",AND(SUM(D18:D21)&gt;Variables!$B$13,SUM(D14:D17)&gt;Variables!$B$13)),-Variables!$B$14*Variables!$E$50,0)</f>
        <v>0</v>
      </c>
      <c r="O21" s="64">
        <f>IF(AND(B21="Summer",SUM(C17:D21)&gt;Variables!$B$15),(Variables!$B$16*Variables!$E$50*SUM(C17:C21)+$G$1*Variables!$B$16*Variables!$E$50*SUM(D17:D21)+$G$1*Variables!$E$50*Variables!$B$17*F21),0)</f>
        <v>0</v>
      </c>
      <c r="P21" s="64">
        <f ca="1">IF(AND(AND(B21="Autumn",SUM(D20:E21)&gt;0),NOT(H20=0)),Variables!$B$18*Variables!$E$50+Variables!$B$19*Variables!$E$50*SUM(E20:E21)+$G$1*Variables!$B$19*Variables!$E$50*SUM(D20:D21),0)</f>
        <v>0</v>
      </c>
      <c r="Q21" s="64">
        <f>IF(AND(B21="Autumn",AND((E21+E20)&lt;Variables!$B$20,(D20+D21)=0)),-Variables!$B$21*Variables!$E$50,0)</f>
        <v>0</v>
      </c>
      <c r="R21" s="64">
        <f>IF(B21="Autumn",(SUM(F20:F21)*$G$1*Variables!$B$22*Variables!$E$50),0)</f>
        <v>0</v>
      </c>
      <c r="S21" s="64">
        <f>IF(B21="Spring",($G$1*Variables!$E$50*SUM('Guts (MC)'!F20:F21)*Variables!$B$23),0)</f>
        <v>0</v>
      </c>
      <c r="T21" s="63">
        <f ca="1">IF((H20+SUM(J21:Q21))&lt;(Variables!$B$26*Variables!$E$50),$F$1*((Variables!$B$26*Variables!$E$50)-H20-SUM(J21:Q21)),0)</f>
        <v>0.149254912602234</v>
      </c>
      <c r="U21" s="64">
        <f ca="1">IF(AND(AND(B21="Autumn",SUM(D18:E21)&gt;Variables!$B$27),SUM(J21:Q21)&lt;Variables!$B$28*H20),$F$1*(Variables!$B$28*H20-SUM(J21:Q21)),0)</f>
        <v>0</v>
      </c>
      <c r="V21" s="96">
        <f ca="1">IF(AND((J21+K21)=0,(Q21+T21)=0),$H$1*H21*Variables!$I$23*0.25,0)</f>
        <v>0</v>
      </c>
      <c r="W21" s="97">
        <f ca="1">IF(AND((K21+J21)=0,(T21+Q21)=0),$I$1*H21*Variables!$Q$23*0.25,0)</f>
        <v>0</v>
      </c>
      <c r="X21" s="95">
        <f ca="1">IF(AND(NOT(K21=0),(H21-H20)&gt;0),(H21-H20)*(Variables!$M$5*$H$1+Variables!$U$5*$I$1),0)+IF(AND(NOT((J21+N21+Q21)=0),(H20-H21)&gt;0),(H20-H21)*(Variables!$M$4*$H$1+Variables!$U$4*$I$1),0)</f>
        <v>0</v>
      </c>
      <c r="Y21" s="95">
        <f ca="1">IF(SUM(T21,U20:U21)&gt;0,H21*Variables!$Y$11*0.25*(1-$J$1),0)</f>
        <v>-8.6666009437672749</v>
      </c>
      <c r="Z21" s="95">
        <f ca="1">IF(T21=0,H21*$J$1*Variables!$Y$5*0.25,0)</f>
        <v>0</v>
      </c>
      <c r="AA21" s="95">
        <f t="shared" ca="1" si="0"/>
        <v>-8.6666009437672749</v>
      </c>
      <c r="AB21" s="91">
        <f ca="1">AA21/Variables!$E$49</f>
        <v>-1.3978388618979476</v>
      </c>
    </row>
    <row r="22" spans="1:29" x14ac:dyDescent="0.25">
      <c r="A22" s="61">
        <f>'Water runs'!C29</f>
        <v>3987</v>
      </c>
      <c r="B22" s="61" t="str">
        <f>'Water runs'!B29</f>
        <v>Spring</v>
      </c>
      <c r="C22" s="54">
        <f>'Water runs'!D29/100</f>
        <v>0.70400000000000007</v>
      </c>
      <c r="D22" s="108">
        <f>VLOOKUP(ROW(D22)+4,'Water runs'!$BS$3:$CF$423,MATCH($B$1,Scenarios,0)+1)</f>
        <v>1.0846483345077949E-2</v>
      </c>
      <c r="E22" s="54">
        <f>IF(B22=Variables!$D$8,C22-Variables!$E$8,IF(B22=Variables!$D$9,C22-Variables!$E$9,IF(B22=Variables!$D$10,C22-Variables!$E$10,IF(B22=Variables!$D$11,C22-Variables!$E$11,"ELSE"))))</f>
        <v>-5.9982208994709074E-2</v>
      </c>
      <c r="F22" s="108">
        <f>VLOOKUP(ROW(F22)+4,'Water runs'!$CH$3:$CU$423,MATCH($B$1,Scenarios,0)+1)</f>
        <v>0</v>
      </c>
      <c r="G22" s="65">
        <f ca="1">H22/Variables!$E$49</f>
        <v>0.30287900994589911</v>
      </c>
      <c r="H22" s="62">
        <f ca="1">IF((H21+I22)&gt;(1.1*Variables!$E$50),(1.1*Variables!$E$50),IF((H21+I22)&gt;0,H21+I22,0))</f>
        <v>1.8778498616645747</v>
      </c>
      <c r="I22" s="64">
        <f t="shared" ca="1" si="1"/>
        <v>0.87964986166457471</v>
      </c>
      <c r="J22" s="63">
        <f>IF(SUM(E18:E21)&lt;Variables!$B$3,-H21,0)</f>
        <v>0</v>
      </c>
      <c r="K22" s="64">
        <f ca="1">IF(AND(H21&lt;Variables!$B$6*Variables!$E$50,OR(SUM(D19:D22)&gt;Variables!$B$5,SUM(E19:E22)&gt;Variables!$B$4)),Variables!$B$6*Variables!$E$50+Variables!$B$7*$G$1*Variables!$E$50*SUM(D19:D22),0)</f>
        <v>1.1777677481690294</v>
      </c>
      <c r="L22" s="64">
        <f>IF(B22="Winter",Variables!$B$8*H21,0)</f>
        <v>0</v>
      </c>
      <c r="M22" s="64">
        <f ca="1">IF(AND(B22="Spring",AND(NOT(H21=0),H21&lt;(Variables!$B$9*Variables!$E$50))),(Variables!$B$10*Variables!$E$50+Variables!$B$11*Variables!$E$50*SUM(E19:E22)+$G$1*SUM(D21:D22)*Variables!$E$50*Variables!$B$12),0)</f>
        <v>-0.31252447962813712</v>
      </c>
      <c r="N22" s="64">
        <f>IF(AND(B22="Spring",AND(SUM(D19:D22)&gt;Variables!$B$13,SUM(D15:D18)&gt;Variables!$B$13)),-Variables!$B$14*Variables!$E$50,0)</f>
        <v>0</v>
      </c>
      <c r="O22" s="64">
        <f>IF(AND(B22="Summer",SUM(C18:D22)&gt;Variables!$B$15),(Variables!$B$16*Variables!$E$50*SUM(C18:C22)+$G$1*Variables!$B$16*Variables!$E$50*SUM(D18:D22)+$G$1*Variables!$E$50*Variables!$B$17*F22),0)</f>
        <v>0</v>
      </c>
      <c r="P22" s="64">
        <f ca="1">IF(AND(AND(B22="Autumn",SUM(D21:E22)&gt;0),NOT(H21=0)),Variables!$B$18*Variables!$E$50+Variables!$B$19*Variables!$E$50*SUM(E21:E22)+$G$1*Variables!$B$19*Variables!$E$50*SUM(D21:D22),0)</f>
        <v>0</v>
      </c>
      <c r="Q22" s="64">
        <f>IF(AND(B22="Autumn",AND((E22+E21)&lt;Variables!$B$20,(D21+D22)=0)),-Variables!$B$21*Variables!$E$50,0)</f>
        <v>0</v>
      </c>
      <c r="R22" s="64">
        <f>IF(B22="Autumn",(SUM(F21:F22)*$G$1*Variables!$B$22*Variables!$E$50),0)</f>
        <v>0</v>
      </c>
      <c r="S22" s="64">
        <f ca="1">IF(B22="Spring",($G$1*Variables!$E$50*SUM('Guts (MC)'!F21:F22)*Variables!$B$23),0)</f>
        <v>1.440659312368244E-2</v>
      </c>
      <c r="T22" s="63">
        <f ca="1">IF((H21+SUM(J22:Q22))&lt;(Variables!$B$26*Variables!$E$50),$F$1*((Variables!$B$26*Variables!$E$50)-H21-SUM(J22:Q22)),0)</f>
        <v>0</v>
      </c>
      <c r="U22" s="64">
        <f ca="1">IF(AND(AND(B22="Autumn",SUM(D19:E22)&gt;Variables!$B$27),SUM(J22:Q22)&lt;Variables!$B$28*H21),$F$1*(Variables!$B$28*H21-SUM(J22:Q22)),0)</f>
        <v>0</v>
      </c>
      <c r="V22" s="96">
        <f ca="1">IF(AND((J22+K22)=0,(Q22+T22)=0),$H$1*H22*Variables!$I$23*0.25,0)</f>
        <v>0</v>
      </c>
      <c r="W22" s="97">
        <f ca="1">IF(AND((K22+J22)=0,(T22+Q22)=0),$I$1*H22*Variables!$Q$23*0.25,0)</f>
        <v>0</v>
      </c>
      <c r="X22" s="95">
        <f ca="1">IF(AND(NOT(K22=0),(H22-H21)&gt;0),(H22-H21)*(Variables!$M$5*$H$1+Variables!$U$5*$I$1),0)+IF(AND(NOT((J22+N22+Q22)=0),(H21-H22)&gt;0),(H21-H22)*(Variables!$M$4*$H$1+Variables!$U$4*$I$1),0)</f>
        <v>-100.55670934720158</v>
      </c>
      <c r="Y22" s="95">
        <f ca="1">IF(SUM(T22,U21:U22)&gt;0,H22*Variables!$Y$11*0.25*(1-$J$1),0)</f>
        <v>0</v>
      </c>
      <c r="Z22" s="95">
        <f ca="1">IF(T22=0,H22*$J$1*Variables!$Y$5*0.25,0)</f>
        <v>2.1131197308766567</v>
      </c>
      <c r="AA22" s="95">
        <f t="shared" ca="1" si="0"/>
        <v>-98.443589616324914</v>
      </c>
      <c r="AB22" s="91">
        <f ca="1">AA22/Variables!$E$49</f>
        <v>-15.877998325213696</v>
      </c>
    </row>
    <row r="23" spans="1:29" x14ac:dyDescent="0.25">
      <c r="A23" s="61">
        <f>'Water runs'!C30</f>
        <v>4077</v>
      </c>
      <c r="B23" s="61" t="str">
        <f>'Water runs'!B30</f>
        <v>Summer</v>
      </c>
      <c r="C23" s="54">
        <f>'Water runs'!D30/100</f>
        <v>2.1475999999999997</v>
      </c>
      <c r="D23" s="108">
        <f>VLOOKUP(ROW(D23)+4,'Water runs'!$BS$3:$CF$423,MATCH($B$1,Scenarios,0)+1)</f>
        <v>0.69375371143081099</v>
      </c>
      <c r="E23" s="54">
        <f>IF(B23=Variables!$D$8,C23-Variables!$E$8,IF(B23=Variables!$D$9,C23-Variables!$E$9,IF(B23=Variables!$D$10,C23-Variables!$E$10,IF(B23=Variables!$D$11,C23-Variables!$E$11,"ELSE"))))</f>
        <v>0.88922986394557801</v>
      </c>
      <c r="F23" s="108">
        <f>VLOOKUP(ROW(F23)+4,'Water runs'!$CH$3:$CU$423,MATCH($B$1,Scenarios,0)+1)</f>
        <v>0</v>
      </c>
      <c r="G23" s="65">
        <f ca="1">H23/Variables!$E$49</f>
        <v>0.68317411873609624</v>
      </c>
      <c r="H23" s="62">
        <f ca="1">IF((H22+I23)&gt;(1.1*Variables!$E$50),(1.1*Variables!$E$50),IF((H22+I23)&gt;0,H22+I23,0))</f>
        <v>4.2356795361637971</v>
      </c>
      <c r="I23" s="64">
        <f t="shared" ca="1" si="1"/>
        <v>2.3578296744992224</v>
      </c>
      <c r="J23" s="63">
        <f>IF(SUM(E19:E22)&lt;Variables!$B$3,-H22,0)</f>
        <v>0</v>
      </c>
      <c r="K23" s="64">
        <f ca="1">IF(AND(H22&lt;Variables!$B$6*Variables!$E$50,OR(SUM(D20:D23)&gt;Variables!$B$5,SUM(E20:E23)&gt;Variables!$B$4)),Variables!$B$6*Variables!$E$50+Variables!$B$7*$G$1*Variables!$E$50*SUM(D20:D23),0)</f>
        <v>0</v>
      </c>
      <c r="L23" s="64">
        <f>IF(B23="Winter",Variables!$B$8*H22,0)</f>
        <v>0</v>
      </c>
      <c r="M23" s="64">
        <f ca="1">IF(AND(B23="Spring",AND(NOT(H22=0),H22&lt;(Variables!$B$9*Variables!$E$50))),(Variables!$B$10*Variables!$E$50+Variables!$B$11*Variables!$E$50*SUM(E20:E23)+$G$1*SUM(D22:D23)*Variables!$E$50*Variables!$B$12),0)</f>
        <v>0</v>
      </c>
      <c r="N23" s="64">
        <f>IF(AND(B23="Spring",AND(SUM(D20:D23)&gt;Variables!$B$13,SUM(D16:D19)&gt;Variables!$B$13)),-Variables!$B$14*Variables!$E$50,0)</f>
        <v>0</v>
      </c>
      <c r="O23" s="64">
        <f ca="1">IF(AND(B23="Summer",SUM(C19:D23)&gt;Variables!$B$15),(Variables!$B$16*Variables!$E$50*SUM(C19:C23)+$G$1*Variables!$B$16*Variables!$E$50*SUM(D19:D23)+$G$1*Variables!$E$50*Variables!$B$17*F23),0)</f>
        <v>2.3578296744992224</v>
      </c>
      <c r="P23" s="64">
        <f ca="1">IF(AND(AND(B23="Autumn",SUM(D22:E23)&gt;0),NOT(H22=0)),Variables!$B$18*Variables!$E$50+Variables!$B$19*Variables!$E$50*SUM(E22:E23)+$G$1*Variables!$B$19*Variables!$E$50*SUM(D22:D23),0)</f>
        <v>0</v>
      </c>
      <c r="Q23" s="64">
        <f>IF(AND(B23="Autumn",AND((E23+E22)&lt;Variables!$B$20,(D22+D23)=0)),-Variables!$B$21*Variables!$E$50,0)</f>
        <v>0</v>
      </c>
      <c r="R23" s="64">
        <f>IF(B23="Autumn",(SUM(F22:F23)*$G$1*Variables!$B$22*Variables!$E$50),0)</f>
        <v>0</v>
      </c>
      <c r="S23" s="64">
        <f>IF(B23="Spring",($G$1*Variables!$E$50*SUM('Guts (MC)'!F22:F23)*Variables!$B$23),0)</f>
        <v>0</v>
      </c>
      <c r="T23" s="63">
        <f ca="1">IF((H22+SUM(J23:Q23))&lt;(Variables!$B$26*Variables!$E$50),$F$1*((Variables!$B$26*Variables!$E$50)-H22-SUM(J23:Q23)),0)</f>
        <v>0</v>
      </c>
      <c r="U23" s="64">
        <f ca="1">IF(AND(AND(B23="Autumn",SUM(D20:E23)&gt;Variables!$B$27),SUM(J23:Q23)&lt;Variables!$B$28*H22),$F$1*(Variables!$B$28*H22-SUM(J23:Q23)),0)</f>
        <v>0</v>
      </c>
      <c r="V23" s="96">
        <f ca="1">IF(AND((J23+K23)=0,(Q23+T23)=0),$H$1*H23*Variables!$I$23*0.25,0)</f>
        <v>51.628603271017454</v>
      </c>
      <c r="W23" s="97">
        <f ca="1">IF(AND((K23+J23)=0,(T23+Q23)=0),$I$1*H23*Variables!$Q$23*0.25,0)</f>
        <v>16.604427006428025</v>
      </c>
      <c r="X23" s="95">
        <f ca="1">IF(AND(NOT(K23=0),(H23-H22)&gt;0),(H23-H22)*(Variables!$M$5*$H$1+Variables!$U$5*$I$1),0)+IF(AND(NOT((J23+N23+Q23)=0),(H22-H23)&gt;0),(H22-H23)*(Variables!$M$4*$H$1+Variables!$U$4*$I$1),0)</f>
        <v>0</v>
      </c>
      <c r="Y23" s="95">
        <f ca="1">IF(SUM(T23,U22:U23)&gt;0,H23*Variables!$Y$11*0.25*(1-$J$1),0)</f>
        <v>0</v>
      </c>
      <c r="Z23" s="95">
        <f ca="1">IF(T23=0,H23*$J$1*Variables!$Y$5*0.25,0)</f>
        <v>4.766354427080902</v>
      </c>
      <c r="AA23" s="95">
        <f t="shared" ca="1" si="0"/>
        <v>72.999384704526378</v>
      </c>
      <c r="AB23" s="91">
        <f ca="1">AA23/Variables!$E$49</f>
        <v>11.774094307181674</v>
      </c>
      <c r="AC23" s="15"/>
    </row>
    <row r="24" spans="1:29" x14ac:dyDescent="0.25">
      <c r="A24" s="61">
        <f>'Water runs'!C31</f>
        <v>4169</v>
      </c>
      <c r="B24" s="61" t="str">
        <f>'Water runs'!B31</f>
        <v>Autumn</v>
      </c>
      <c r="C24" s="54">
        <f>'Water runs'!D31/100</f>
        <v>0.82220000000000004</v>
      </c>
      <c r="D24" s="108">
        <f>VLOOKUP(ROW(D24)+4,'Water runs'!$BS$3:$CF$423,MATCH($B$1,Scenarios,0)+1)</f>
        <v>4.8885581041813474E-2</v>
      </c>
      <c r="E24" s="54">
        <f>IF(B24=Variables!$D$8,C24-Variables!$E$8,IF(B24=Variables!$D$9,C24-Variables!$E$9,IF(B24=Variables!$D$10,C24-Variables!$E$10,IF(B24=Variables!$D$11,C24-Variables!$E$11,"ELSE"))))</f>
        <v>-0.17244329931972779</v>
      </c>
      <c r="F24" s="108">
        <f>VLOOKUP(ROW(F24)+4,'Water runs'!$CH$3:$CU$423,MATCH($B$1,Scenarios,0)+1)</f>
        <v>0.858182566766166</v>
      </c>
      <c r="G24" s="65">
        <f ca="1">H24/Variables!$E$49</f>
        <v>1.2243144563074659</v>
      </c>
      <c r="H24" s="62">
        <f ca="1">IF((H23+I24)&gt;(1.1*Variables!$E$50),(1.1*Variables!$E$50),IF((H23+I24)&gt;0,H23+I24,0))</f>
        <v>7.5907496291062895</v>
      </c>
      <c r="I24" s="64">
        <f t="shared" ca="1" si="1"/>
        <v>3.3550700929424919</v>
      </c>
      <c r="J24" s="63">
        <f>IF(SUM(E20:E23)&lt;Variables!$B$3,-H23,0)</f>
        <v>0</v>
      </c>
      <c r="K24" s="64">
        <f ca="1">IF(AND(H23&lt;Variables!$B$6*Variables!$E$50,OR(SUM(D21:D24)&gt;Variables!$B$5,SUM(E21:E24)&gt;Variables!$B$4)),Variables!$B$6*Variables!$E$50+Variables!$B$7*$G$1*Variables!$E$50*SUM(D21:D24),0)</f>
        <v>0</v>
      </c>
      <c r="L24" s="64">
        <f>IF(B24="Winter",Variables!$B$8*H23,0)</f>
        <v>0</v>
      </c>
      <c r="M24" s="64">
        <f ca="1">IF(AND(B24="Spring",AND(NOT(H23=0),H23&lt;(Variables!$B$9*Variables!$E$50))),(Variables!$B$10*Variables!$E$50+Variables!$B$11*Variables!$E$50*SUM(E21:E24)+$G$1*SUM(D23:D24)*Variables!$E$50*Variables!$B$12),0)</f>
        <v>0</v>
      </c>
      <c r="N24" s="64">
        <f>IF(AND(B24="Spring",AND(SUM(D21:D24)&gt;Variables!$B$13,SUM(D17:D20)&gt;Variables!$B$13)),-Variables!$B$14*Variables!$E$50,0)</f>
        <v>0</v>
      </c>
      <c r="O24" s="64">
        <f>IF(AND(B24="Summer",SUM(C20:D24)&gt;Variables!$B$15),(Variables!$B$16*Variables!$E$50*SUM(C20:C24)+$G$1*Variables!$B$16*Variables!$E$50*SUM(D20:D24)+$G$1*Variables!$E$50*Variables!$B$17*F24),0)</f>
        <v>0</v>
      </c>
      <c r="P24" s="64">
        <f ca="1">IF(AND(AND(B24="Autumn",SUM(D23:E24)&gt;0),NOT(H23=0)),Variables!$B$18*Variables!$E$50+Variables!$B$19*Variables!$E$50*SUM(E23:E24)+$G$1*Variables!$B$19*Variables!$E$50*SUM(D23:D24),0)</f>
        <v>3.225148019889271</v>
      </c>
      <c r="Q24" s="64">
        <f>IF(AND(B24="Autumn",AND((E24+E23)&lt;Variables!$B$20,(D23+D24)=0)),-Variables!$B$21*Variables!$E$50,0)</f>
        <v>0</v>
      </c>
      <c r="R24" s="64">
        <f ca="1">IF(B24="Autumn",(SUM(F23:F24)*$G$1*Variables!$B$22*Variables!$E$50),0)</f>
        <v>0.12992207305322101</v>
      </c>
      <c r="S24" s="64">
        <f>IF(B24="Spring",($G$1*Variables!$E$50*SUM('Guts (MC)'!F23:F24)*Variables!$B$23),0)</f>
        <v>0</v>
      </c>
      <c r="T24" s="63">
        <f ca="1">IF((H23+SUM(J24:Q24))&lt;(Variables!$B$26*Variables!$E$50),$F$1*((Variables!$B$26*Variables!$E$50)-H23-SUM(J24:Q24)),0)</f>
        <v>0</v>
      </c>
      <c r="U24" s="64">
        <f ca="1">IF(AND(AND(B24="Autumn",SUM(D21:E24)&gt;Variables!$B$27),SUM(J24:Q24)&lt;Variables!$B$28*H23),$F$1*(Variables!$B$28*H23-SUM(J24:Q24)),0)</f>
        <v>0</v>
      </c>
      <c r="V24" s="96">
        <f ca="1">IF(AND((J24+K24)=0,(Q24+T24)=0),$H$1*H24*Variables!$I$23*0.25,0)</f>
        <v>92.523477705230349</v>
      </c>
      <c r="W24" s="97">
        <f ca="1">IF(AND((K24+J24)=0,(T24+Q24)=0),$I$1*H24*Variables!$Q$23*0.25,0)</f>
        <v>29.756747899469023</v>
      </c>
      <c r="X24" s="95">
        <f ca="1">IF(AND(NOT(K24=0),(H24-H23)&gt;0),(H24-H23)*(Variables!$M$5*$H$1+Variables!$U$5*$I$1),0)+IF(AND(NOT((J24+N24+Q24)=0),(H23-H24)&gt;0),(H23-H24)*(Variables!$M$4*$H$1+Variables!$U$4*$I$1),0)</f>
        <v>0</v>
      </c>
      <c r="Y24" s="95">
        <f ca="1">IF(SUM(T24,U23:U24)&gt;0,H24*Variables!$Y$11*0.25*(1-$J$1),0)</f>
        <v>0</v>
      </c>
      <c r="Z24" s="95">
        <f ca="1">IF(T24=0,H24*$J$1*Variables!$Y$5*0.25,0)</f>
        <v>8.5417706393155139</v>
      </c>
      <c r="AA24" s="95">
        <f t="shared" ca="1" si="0"/>
        <v>130.82199624401488</v>
      </c>
      <c r="AB24" s="91">
        <f ca="1">AA24/Variables!$E$49</f>
        <v>21.100321974841108</v>
      </c>
    </row>
    <row r="25" spans="1:29" x14ac:dyDescent="0.25">
      <c r="A25" s="61">
        <f>'Water runs'!C32</f>
        <v>4261</v>
      </c>
      <c r="B25" s="61" t="str">
        <f>'Water runs'!B32</f>
        <v>Winter</v>
      </c>
      <c r="C25" s="54">
        <f>'Water runs'!D32/100</f>
        <v>0.05</v>
      </c>
      <c r="D25" s="108">
        <f>VLOOKUP(ROW(D25)+4,'Water runs'!$BS$3:$CF$423,MATCH($B$1,Scenarios,0)+1)</f>
        <v>0</v>
      </c>
      <c r="E25" s="54">
        <f>IF(B25=Variables!$D$8,C25-Variables!$E$8,IF(B25=Variables!$D$9,C25-Variables!$E$9,IF(B25=Variables!$D$10,C25-Variables!$E$10,IF(B25=Variables!$D$11,C25-Variables!$E$11,"ELSE"))))</f>
        <v>-0.52176762566137569</v>
      </c>
      <c r="F25" s="108">
        <f>VLOOKUP(ROW(F25)+4,'Water runs'!$CH$3:$CU$423,MATCH($B$1,Scenarios,0)+1)</f>
        <v>0</v>
      </c>
      <c r="G25" s="65">
        <f ca="1">H25/Variables!$E$49</f>
        <v>0.61467289276974157</v>
      </c>
      <c r="H25" s="62">
        <f ca="1">IF((H24+I25)&gt;(1.1*Variables!$E$50),(1.1*Variables!$E$50),IF((H24+I25)&gt;0,H24+I25,0))</f>
        <v>3.8109719351723976</v>
      </c>
      <c r="I25" s="64">
        <f t="shared" ca="1" si="1"/>
        <v>-3.7797776939338918</v>
      </c>
      <c r="J25" s="63">
        <f>IF(SUM(E21:E24)&lt;Variables!$B$3,-H24,0)</f>
        <v>0</v>
      </c>
      <c r="K25" s="64">
        <f ca="1">IF(AND(H24&lt;Variables!$B$6*Variables!$E$50,OR(SUM(D22:D25)&gt;Variables!$B$5,SUM(E22:E25)&gt;Variables!$B$4)),Variables!$B$6*Variables!$E$50+Variables!$B$7*$G$1*Variables!$E$50*SUM(D22:D25),0)</f>
        <v>0</v>
      </c>
      <c r="L25" s="64">
        <f ca="1">IF(B25="Winter",Variables!$B$8*H24,0)</f>
        <v>-3.7797776939338918</v>
      </c>
      <c r="M25" s="64">
        <f ca="1">IF(AND(B25="Spring",AND(NOT(H24=0),H24&lt;(Variables!$B$9*Variables!$E$50))),(Variables!$B$10*Variables!$E$50+Variables!$B$11*Variables!$E$50*SUM(E22:E25)+$G$1*SUM(D24:D25)*Variables!$E$50*Variables!$B$12),0)</f>
        <v>0</v>
      </c>
      <c r="N25" s="64">
        <f>IF(AND(B25="Spring",AND(SUM(D22:D25)&gt;Variables!$B$13,SUM(D18:D21)&gt;Variables!$B$13)),-Variables!$B$14*Variables!$E$50,0)</f>
        <v>0</v>
      </c>
      <c r="O25" s="64">
        <f>IF(AND(B25="Summer",SUM(C21:D25)&gt;Variables!$B$15),(Variables!$B$16*Variables!$E$50*SUM(C21:C25)+$G$1*Variables!$B$16*Variables!$E$50*SUM(D21:D25)+$G$1*Variables!$E$50*Variables!$B$17*F25),0)</f>
        <v>0</v>
      </c>
      <c r="P25" s="64">
        <f ca="1">IF(AND(AND(B25="Autumn",SUM(D24:E25)&gt;0),NOT(H24=0)),Variables!$B$18*Variables!$E$50+Variables!$B$19*Variables!$E$50*SUM(E24:E25)+$G$1*Variables!$B$19*Variables!$E$50*SUM(D24:D25),0)</f>
        <v>0</v>
      </c>
      <c r="Q25" s="64">
        <f>IF(AND(B25="Autumn",AND((E25+E24)&lt;Variables!$B$20,(D24+D25)=0)),-Variables!$B$21*Variables!$E$50,0)</f>
        <v>0</v>
      </c>
      <c r="R25" s="64">
        <f>IF(B25="Autumn",(SUM(F24:F25)*$G$1*Variables!$B$22*Variables!$E$50),0)</f>
        <v>0</v>
      </c>
      <c r="S25" s="64">
        <f>IF(B25="Spring",($G$1*Variables!$E$50*SUM('Guts (MC)'!F24:F25)*Variables!$B$23),0)</f>
        <v>0</v>
      </c>
      <c r="T25" s="63">
        <f ca="1">IF((H24+SUM(J25:Q25))&lt;(Variables!$B$26*Variables!$E$50),$F$1*((Variables!$B$26*Variables!$E$50)-H24-SUM(J25:Q25)),0)</f>
        <v>0</v>
      </c>
      <c r="U25" s="64">
        <f ca="1">IF(AND(AND(B25="Autumn",SUM(D22:E25)&gt;Variables!$B$27),SUM(J25:Q25)&lt;Variables!$B$28*H24),$F$1*(Variables!$B$28*H24-SUM(J25:Q25)),0)</f>
        <v>0</v>
      </c>
      <c r="V25" s="96">
        <f ca="1">IF(AND((J25+K25)=0,(Q25+T25)=0),$H$1*H25*Variables!$I$23*0.25,0)</f>
        <v>46.4518518075133</v>
      </c>
      <c r="W25" s="97">
        <f ca="1">IF(AND((K25+J25)=0,(T25+Q25)=0),$I$1*H25*Variables!$Q$23*0.25,0)</f>
        <v>14.939516736534523</v>
      </c>
      <c r="X25" s="95">
        <f ca="1">IF(AND(NOT(K25=0),(H25-H24)&gt;0),(H25-H24)*(Variables!$M$5*$H$1+Variables!$U$5*$I$1),0)+IF(AND(NOT((J25+N25+Q25)=0),(H24-H25)&gt;0),(H24-H25)*(Variables!$M$4*$H$1+Variables!$U$4*$I$1),0)</f>
        <v>0</v>
      </c>
      <c r="Y25" s="95">
        <f ca="1">IF(SUM(T25,U24:U25)&gt;0,H25*Variables!$Y$11*0.25*(1-$J$1),0)</f>
        <v>0</v>
      </c>
      <c r="Z25" s="95">
        <f ca="1">IF(T25=0,H25*$J$1*Variables!$Y$5*0.25,0)</f>
        <v>4.2884365541830727</v>
      </c>
      <c r="AA25" s="95">
        <f t="shared" ca="1" si="0"/>
        <v>65.679805098230901</v>
      </c>
      <c r="AB25" s="91">
        <f ca="1">AA25/Variables!$E$49</f>
        <v>10.593516951327564</v>
      </c>
    </row>
    <row r="26" spans="1:29" x14ac:dyDescent="0.25">
      <c r="A26" s="61">
        <f>'Water runs'!C33</f>
        <v>4352</v>
      </c>
      <c r="B26" s="61" t="str">
        <f>'Water runs'!B33</f>
        <v>Spring</v>
      </c>
      <c r="C26" s="54">
        <f>'Water runs'!D33/100</f>
        <v>0.35</v>
      </c>
      <c r="D26" s="108">
        <f>VLOOKUP(ROW(D26)+4,'Water runs'!$BS$3:$CF$423,MATCH($B$1,Scenarios,0)+1)</f>
        <v>0</v>
      </c>
      <c r="E26" s="54">
        <f>IF(B26=Variables!$D$8,C26-Variables!$E$8,IF(B26=Variables!$D$9,C26-Variables!$E$9,IF(B26=Variables!$D$10,C26-Variables!$E$10,IF(B26=Variables!$D$11,C26-Variables!$E$11,"ELSE"))))</f>
        <v>-0.41398220899470917</v>
      </c>
      <c r="F26" s="108">
        <f>VLOOKUP(ROW(F26)+4,'Water runs'!$CH$3:$CU$423,MATCH($B$1,Scenarios,0)+1)</f>
        <v>0</v>
      </c>
      <c r="G26" s="65">
        <f ca="1">H26/Variables!$E$49</f>
        <v>0.61467289276974157</v>
      </c>
      <c r="H26" s="62">
        <f ca="1">IF((H25+I26)&gt;(1.1*Variables!$E$50),(1.1*Variables!$E$50),IF((H25+I26)&gt;0,H25+I26,0))</f>
        <v>3.8109719351723976</v>
      </c>
      <c r="I26" s="64">
        <f t="shared" ca="1" si="1"/>
        <v>0</v>
      </c>
      <c r="J26" s="63">
        <f>IF(SUM(E22:E25)&lt;Variables!$B$3,-H25,0)</f>
        <v>0</v>
      </c>
      <c r="K26" s="64">
        <f ca="1">IF(AND(H25&lt;Variables!$B$6*Variables!$E$50,OR(SUM(D23:D26)&gt;Variables!$B$5,SUM(E23:E26)&gt;Variables!$B$4)),Variables!$B$6*Variables!$E$50+Variables!$B$7*$G$1*Variables!$E$50*SUM(D23:D26),0)</f>
        <v>0</v>
      </c>
      <c r="L26" s="64">
        <f>IF(B26="Winter",Variables!$B$8*H25,0)</f>
        <v>0</v>
      </c>
      <c r="M26" s="64">
        <f ca="1">IF(AND(B26="Spring",AND(NOT(H25=0),H25&lt;(Variables!$B$9*Variables!$E$50))),(Variables!$B$10*Variables!$E$50+Variables!$B$11*Variables!$E$50*SUM(E23:E26)+$G$1*SUM(D25:D26)*Variables!$E$50*Variables!$B$12),0)</f>
        <v>0</v>
      </c>
      <c r="N26" s="64">
        <f>IF(AND(B26="Spring",AND(SUM(D23:D26)&gt;Variables!$B$13,SUM(D19:D22)&gt;Variables!$B$13)),-Variables!$B$14*Variables!$E$50,0)</f>
        <v>0</v>
      </c>
      <c r="O26" s="64">
        <f>IF(AND(B26="Summer",SUM(C22:D26)&gt;Variables!$B$15),(Variables!$B$16*Variables!$E$50*SUM(C22:C26)+$G$1*Variables!$B$16*Variables!$E$50*SUM(D22:D26)+$G$1*Variables!$E$50*Variables!$B$17*F26),0)</f>
        <v>0</v>
      </c>
      <c r="P26" s="64">
        <f ca="1">IF(AND(AND(B26="Autumn",SUM(D25:E26)&gt;0),NOT(H25=0)),Variables!$B$18*Variables!$E$50+Variables!$B$19*Variables!$E$50*SUM(E25:E26)+$G$1*Variables!$B$19*Variables!$E$50*SUM(D25:D26),0)</f>
        <v>0</v>
      </c>
      <c r="Q26" s="64">
        <f>IF(AND(B26="Autumn",AND((E26+E25)&lt;Variables!$B$20,(D25+D26)=0)),-Variables!$B$21*Variables!$E$50,0)</f>
        <v>0</v>
      </c>
      <c r="R26" s="64">
        <f>IF(B26="Autumn",(SUM(F25:F26)*$G$1*Variables!$B$22*Variables!$E$50),0)</f>
        <v>0</v>
      </c>
      <c r="S26" s="64">
        <f ca="1">IF(B26="Spring",($G$1*Variables!$E$50*SUM('Guts (MC)'!F25:F26)*Variables!$B$23),0)</f>
        <v>0</v>
      </c>
      <c r="T26" s="63">
        <f ca="1">IF((H25+SUM(J26:Q26))&lt;(Variables!$B$26*Variables!$E$50),$F$1*((Variables!$B$26*Variables!$E$50)-H25-SUM(J26:Q26)),0)</f>
        <v>0</v>
      </c>
      <c r="U26" s="64">
        <f ca="1">IF(AND(AND(B26="Autumn",SUM(D23:E26)&gt;Variables!$B$27),SUM(J26:Q26)&lt;Variables!$B$28*H25),$F$1*(Variables!$B$28*H25-SUM(J26:Q26)),0)</f>
        <v>0</v>
      </c>
      <c r="V26" s="96">
        <f ca="1">IF(AND((J26+K26)=0,(Q26+T26)=0),$H$1*H26*Variables!$I$23*0.25,0)</f>
        <v>46.4518518075133</v>
      </c>
      <c r="W26" s="97">
        <f ca="1">IF(AND((K26+J26)=0,(T26+Q26)=0),$I$1*H26*Variables!$Q$23*0.25,0)</f>
        <v>14.939516736534523</v>
      </c>
      <c r="X26" s="95">
        <f ca="1">IF(AND(NOT(K26=0),(H26-H25)&gt;0),(H26-H25)*(Variables!$M$5*$H$1+Variables!$U$5*$I$1),0)+IF(AND(NOT((J26+N26+Q26)=0),(H25-H26)&gt;0),(H25-H26)*(Variables!$M$4*$H$1+Variables!$U$4*$I$1),0)</f>
        <v>0</v>
      </c>
      <c r="Y26" s="95">
        <f ca="1">IF(SUM(T26,U25:U26)&gt;0,H26*Variables!$Y$11*0.25*(1-$J$1),0)</f>
        <v>0</v>
      </c>
      <c r="Z26" s="95">
        <f ca="1">IF(T26=0,H26*$J$1*Variables!$Y$5*0.25,0)</f>
        <v>4.2884365541830727</v>
      </c>
      <c r="AA26" s="95">
        <f t="shared" ca="1" si="0"/>
        <v>65.679805098230901</v>
      </c>
      <c r="AB26" s="91">
        <f ca="1">AA26/Variables!$E$49</f>
        <v>10.593516951327564</v>
      </c>
    </row>
    <row r="27" spans="1:29" x14ac:dyDescent="0.25">
      <c r="A27" s="61">
        <f>'Water runs'!C34</f>
        <v>4442</v>
      </c>
      <c r="B27" s="61" t="str">
        <f>'Water runs'!B34</f>
        <v>Summer</v>
      </c>
      <c r="C27" s="54">
        <f>'Water runs'!D34/100</f>
        <v>0.48100000000000004</v>
      </c>
      <c r="D27" s="108">
        <f>VLOOKUP(ROW(D27)+4,'Water runs'!$BS$3:$CF$423,MATCH($B$1,Scenarios,0)+1)</f>
        <v>0</v>
      </c>
      <c r="E27" s="54">
        <f>IF(B27=Variables!$D$8,C27-Variables!$E$8,IF(B27=Variables!$D$9,C27-Variables!$E$9,IF(B27=Variables!$D$10,C27-Variables!$E$10,IF(B27=Variables!$D$11,C27-Variables!$E$11,"ELSE"))))</f>
        <v>-0.77737013605442162</v>
      </c>
      <c r="F27" s="108">
        <f>VLOOKUP(ROW(F27)+4,'Water runs'!$CH$3:$CU$423,MATCH($B$1,Scenarios,0)+1)</f>
        <v>0</v>
      </c>
      <c r="G27" s="65">
        <f ca="1">H27/Variables!$E$49</f>
        <v>0.61467289276974157</v>
      </c>
      <c r="H27" s="62">
        <f ca="1">IF((H26+I27)&gt;(1.1*Variables!$E$50),(1.1*Variables!$E$50),IF((H26+I27)&gt;0,H26+I27,0))</f>
        <v>3.8109719351723976</v>
      </c>
      <c r="I27" s="64">
        <f t="shared" ca="1" si="1"/>
        <v>0</v>
      </c>
      <c r="J27" s="63">
        <f>IF(SUM(E23:E26)&lt;Variables!$B$3,-H26,0)</f>
        <v>0</v>
      </c>
      <c r="K27" s="64">
        <f ca="1">IF(AND(H26&lt;Variables!$B$6*Variables!$E$50,OR(SUM(D24:D27)&gt;Variables!$B$5,SUM(E24:E27)&gt;Variables!$B$4)),Variables!$B$6*Variables!$E$50+Variables!$B$7*$G$1*Variables!$E$50*SUM(D24:D27),0)</f>
        <v>0</v>
      </c>
      <c r="L27" s="64">
        <f>IF(B27="Winter",Variables!$B$8*H26,0)</f>
        <v>0</v>
      </c>
      <c r="M27" s="64">
        <f ca="1">IF(AND(B27="Spring",AND(NOT(H26=0),H26&lt;(Variables!$B$9*Variables!$E$50))),(Variables!$B$10*Variables!$E$50+Variables!$B$11*Variables!$E$50*SUM(E24:E27)+$G$1*SUM(D26:D27)*Variables!$E$50*Variables!$B$12),0)</f>
        <v>0</v>
      </c>
      <c r="N27" s="64">
        <f>IF(AND(B27="Spring",AND(SUM(D24:D27)&gt;Variables!$B$13,SUM(D20:D23)&gt;Variables!$B$13)),-Variables!$B$14*Variables!$E$50,0)</f>
        <v>0</v>
      </c>
      <c r="O27" s="64">
        <f>IF(AND(B27="Summer",SUM(C23:D27)&gt;Variables!$B$15),(Variables!$B$16*Variables!$E$50*SUM(C23:C27)+$G$1*Variables!$B$16*Variables!$E$50*SUM(D23:D27)+$G$1*Variables!$E$50*Variables!$B$17*F27),0)</f>
        <v>0</v>
      </c>
      <c r="P27" s="64">
        <f ca="1">IF(AND(AND(B27="Autumn",SUM(D26:E27)&gt;0),NOT(H26=0)),Variables!$B$18*Variables!$E$50+Variables!$B$19*Variables!$E$50*SUM(E26:E27)+$G$1*Variables!$B$19*Variables!$E$50*SUM(D26:D27),0)</f>
        <v>0</v>
      </c>
      <c r="Q27" s="64">
        <f>IF(AND(B27="Autumn",AND((E27+E26)&lt;Variables!$B$20,(D26+D27)=0)),-Variables!$B$21*Variables!$E$50,0)</f>
        <v>0</v>
      </c>
      <c r="R27" s="64">
        <f>IF(B27="Autumn",(SUM(F26:F27)*$G$1*Variables!$B$22*Variables!$E$50),0)</f>
        <v>0</v>
      </c>
      <c r="S27" s="64">
        <f>IF(B27="Spring",($G$1*Variables!$E$50*SUM('Guts (MC)'!F26:F27)*Variables!$B$23),0)</f>
        <v>0</v>
      </c>
      <c r="T27" s="63">
        <f ca="1">IF((H26+SUM(J27:Q27))&lt;(Variables!$B$26*Variables!$E$50),$F$1*((Variables!$B$26*Variables!$E$50)-H26-SUM(J27:Q27)),0)</f>
        <v>0</v>
      </c>
      <c r="U27" s="64">
        <f ca="1">IF(AND(AND(B27="Autumn",SUM(D24:E27)&gt;Variables!$B$27),SUM(J27:Q27)&lt;Variables!$B$28*H26),$F$1*(Variables!$B$28*H26-SUM(J27:Q27)),0)</f>
        <v>0</v>
      </c>
      <c r="V27" s="96">
        <f ca="1">IF(AND((J27+K27)=0,(Q27+T27)=0),$H$1*H27*Variables!$I$23*0.25,0)</f>
        <v>46.4518518075133</v>
      </c>
      <c r="W27" s="97">
        <f ca="1">IF(AND((K27+J27)=0,(T27+Q27)=0),$I$1*H27*Variables!$Q$23*0.25,0)</f>
        <v>14.939516736534523</v>
      </c>
      <c r="X27" s="95">
        <f ca="1">IF(AND(NOT(K27=0),(H27-H26)&gt;0),(H27-H26)*(Variables!$M$5*$H$1+Variables!$U$5*$I$1),0)+IF(AND(NOT((J27+N27+Q27)=0),(H26-H27)&gt;0),(H26-H27)*(Variables!$M$4*$H$1+Variables!$U$4*$I$1),0)</f>
        <v>0</v>
      </c>
      <c r="Y27" s="95">
        <f ca="1">IF(SUM(T27,U26:U27)&gt;0,H27*Variables!$Y$11*0.25*(1-$J$1),0)</f>
        <v>0</v>
      </c>
      <c r="Z27" s="95">
        <f ca="1">IF(T27=0,H27*$J$1*Variables!$Y$5*0.25,0)</f>
        <v>4.2884365541830727</v>
      </c>
      <c r="AA27" s="95">
        <f t="shared" ca="1" si="0"/>
        <v>65.679805098230901</v>
      </c>
      <c r="AB27" s="91">
        <f ca="1">AA27/Variables!$E$49</f>
        <v>10.593516951327564</v>
      </c>
      <c r="AC27" s="15"/>
    </row>
    <row r="28" spans="1:29" x14ac:dyDescent="0.25">
      <c r="A28" s="61">
        <f>'Water runs'!C35</f>
        <v>4535</v>
      </c>
      <c r="B28" s="61" t="str">
        <f>'Water runs'!B35</f>
        <v>Autumn</v>
      </c>
      <c r="C28" s="54">
        <f>'Water runs'!D35/100</f>
        <v>9.7200000000000009E-2</v>
      </c>
      <c r="D28" s="108">
        <f>VLOOKUP(ROW(D28)+4,'Water runs'!$BS$3:$CF$423,MATCH($B$1,Scenarios,0)+1)</f>
        <v>6.8931662166763002E-3</v>
      </c>
      <c r="E28" s="54">
        <f>IF(B28=Variables!$D$8,C28-Variables!$E$8,IF(B28=Variables!$D$9,C28-Variables!$E$9,IF(B28=Variables!$D$10,C28-Variables!$E$10,IF(B28=Variables!$D$11,C28-Variables!$E$11,"ELSE"))))</f>
        <v>-0.89744329931972788</v>
      </c>
      <c r="F28" s="108">
        <f>VLOOKUP(ROW(F28)+4,'Water runs'!$CH$3:$CU$423,MATCH($B$1,Scenarios,0)+1)</f>
        <v>0</v>
      </c>
      <c r="G28" s="65">
        <f ca="1">H28/Variables!$E$49</f>
        <v>0.16100000000000003</v>
      </c>
      <c r="H28" s="62">
        <f ca="1">IF((H27+I28)&gt;(1.1*Variables!$E$50),(1.1*Variables!$E$50),IF((H27+I28)&gt;0,H27+I28,0))</f>
        <v>0.9982000000000002</v>
      </c>
      <c r="I28" s="64">
        <f t="shared" ca="1" si="1"/>
        <v>-2.8127719351723974</v>
      </c>
      <c r="J28" s="63">
        <f ca="1">IF(SUM(E24:E27)&lt;Variables!$B$3,-H27,0)</f>
        <v>-3.8109719351723976</v>
      </c>
      <c r="K28" s="64">
        <f ca="1">IF(AND(H27&lt;Variables!$B$6*Variables!$E$50,OR(SUM(D25:D28)&gt;Variables!$B$5,SUM(E25:E28)&gt;Variables!$B$4)),Variables!$B$6*Variables!$E$50+Variables!$B$7*$G$1*Variables!$E$50*SUM(D25:D28),0)</f>
        <v>0</v>
      </c>
      <c r="L28" s="64">
        <f>IF(B28="Winter",Variables!$B$8*H27,0)</f>
        <v>0</v>
      </c>
      <c r="M28" s="64">
        <f ca="1">IF(AND(B28="Spring",AND(NOT(H27=0),H27&lt;(Variables!$B$9*Variables!$E$50))),(Variables!$B$10*Variables!$E$50+Variables!$B$11*Variables!$E$50*SUM(E25:E28)+$G$1*SUM(D27:D28)*Variables!$E$50*Variables!$B$12),0)</f>
        <v>0</v>
      </c>
      <c r="N28" s="64">
        <f>IF(AND(B28="Spring",AND(SUM(D25:D28)&gt;Variables!$B$13,SUM(D21:D24)&gt;Variables!$B$13)),-Variables!$B$14*Variables!$E$50,0)</f>
        <v>0</v>
      </c>
      <c r="O28" s="64">
        <f>IF(AND(B28="Summer",SUM(C24:D28)&gt;Variables!$B$15),(Variables!$B$16*Variables!$E$50*SUM(C24:C28)+$G$1*Variables!$B$16*Variables!$E$50*SUM(D24:D28)+$G$1*Variables!$E$50*Variables!$B$17*F28),0)</f>
        <v>0</v>
      </c>
      <c r="P28" s="64">
        <f ca="1">IF(AND(AND(B28="Autumn",SUM(D27:E28)&gt;0),NOT(H27=0)),Variables!$B$18*Variables!$E$50+Variables!$B$19*Variables!$E$50*SUM(E27:E28)+$G$1*Variables!$B$19*Variables!$E$50*SUM(D27:D28),0)</f>
        <v>0</v>
      </c>
      <c r="Q28" s="64">
        <f>IF(AND(B28="Autumn",AND((E28+E27)&lt;Variables!$B$20,(D27+D28)=0)),-Variables!$B$21*Variables!$E$50,0)</f>
        <v>0</v>
      </c>
      <c r="R28" s="64">
        <f ca="1">IF(B28="Autumn",(SUM(F27:F28)*$G$1*Variables!$B$22*Variables!$E$50),0)</f>
        <v>0</v>
      </c>
      <c r="S28" s="64">
        <f>IF(B28="Spring",($G$1*Variables!$E$50*SUM('Guts (MC)'!F27:F28)*Variables!$B$23),0)</f>
        <v>0</v>
      </c>
      <c r="T28" s="63">
        <f ca="1">IF((H27+SUM(J28:Q28))&lt;(Variables!$B$26*Variables!$E$50),$F$1*((Variables!$B$26*Variables!$E$50)-H27-SUM(J28:Q28)),0)</f>
        <v>0.9982000000000002</v>
      </c>
      <c r="U28" s="64">
        <f ca="1">IF(AND(AND(B28="Autumn",SUM(D25:E28)&gt;Variables!$B$27),SUM(J28:Q28)&lt;Variables!$B$28*H27),$F$1*(Variables!$B$28*H27-SUM(J28:Q28)),0)</f>
        <v>0</v>
      </c>
      <c r="V28" s="96">
        <f ca="1">IF(AND((J28+K28)=0,(Q28+T28)=0),$H$1*H28*Variables!$I$23*0.25,0)</f>
        <v>0</v>
      </c>
      <c r="W28" s="97">
        <f ca="1">IF(AND((K28+J28)=0,(T28+Q28)=0),$I$1*H28*Variables!$Q$23*0.25,0)</f>
        <v>0</v>
      </c>
      <c r="X28" s="95">
        <f ca="1">IF(AND(NOT(K28=0),(H28-H27)&gt;0),(H28-H27)*(Variables!$M$5*$H$1+Variables!$U$5*$I$1),0)+IF(AND(NOT((J28+N28+Q28)=0),(H27-H28)&gt;0),(H27-H28)*(Variables!$M$4*$H$1+Variables!$U$4*$I$1),0)</f>
        <v>160.77026909881408</v>
      </c>
      <c r="Y28" s="95">
        <f ca="1">IF(SUM(T28,U27:U28)&gt;0,H28*Variables!$Y$11*0.25*(1-$J$1),0)</f>
        <v>-8.6666009437672749</v>
      </c>
      <c r="Z28" s="95">
        <f ca="1">IF(T28=0,H28*$J$1*Variables!$Y$5*0.25,0)</f>
        <v>0</v>
      </c>
      <c r="AA28" s="95">
        <f t="shared" ca="1" si="0"/>
        <v>152.10366815504682</v>
      </c>
      <c r="AB28" s="91">
        <f ca="1">AA28/Variables!$E$49</f>
        <v>24.532849702426905</v>
      </c>
    </row>
    <row r="29" spans="1:29" x14ac:dyDescent="0.25">
      <c r="A29" s="61">
        <f>'Water runs'!C36</f>
        <v>4627</v>
      </c>
      <c r="B29" s="61" t="str">
        <f>'Water runs'!B36</f>
        <v>Winter</v>
      </c>
      <c r="C29" s="54">
        <f>'Water runs'!D36/100</f>
        <v>1.2716000000000001</v>
      </c>
      <c r="D29" s="108">
        <f>VLOOKUP(ROW(D29)+4,'Water runs'!$BS$3:$CF$423,MATCH($B$1,Scenarios,0)+1)</f>
        <v>0.54508349234752451</v>
      </c>
      <c r="E29" s="54">
        <f>IF(B29=Variables!$D$8,C29-Variables!$E$8,IF(B29=Variables!$D$9,C29-Variables!$E$9,IF(B29=Variables!$D$10,C29-Variables!$E$10,IF(B29=Variables!$D$11,C29-Variables!$E$11,"ELSE"))))</f>
        <v>0.69983237433862433</v>
      </c>
      <c r="F29" s="108">
        <f>VLOOKUP(ROW(F29)+4,'Water runs'!$CH$3:$CU$423,MATCH($B$1,Scenarios,0)+1)</f>
        <v>0.69260643393851096</v>
      </c>
      <c r="G29" s="65">
        <f ca="1">H29/Variables!$E$49</f>
        <v>0.161</v>
      </c>
      <c r="H29" s="62">
        <f ca="1">IF((H28+I29)&gt;(1.1*Variables!$E$50),(1.1*Variables!$E$50),IF((H28+I29)&gt;0,H28+I29,0))</f>
        <v>0.99820000000000009</v>
      </c>
      <c r="I29" s="64">
        <f t="shared" ca="1" si="1"/>
        <v>-1.1102230246251565E-16</v>
      </c>
      <c r="J29" s="63">
        <f ca="1">IF(SUM(E25:E28)&lt;Variables!$B$3,-H28,0)</f>
        <v>-0.9982000000000002</v>
      </c>
      <c r="K29" s="64">
        <f ca="1">IF(AND(H28&lt;Variables!$B$6*Variables!$E$50,OR(SUM(D26:D29)&gt;Variables!$B$5,SUM(E26:E29)&gt;Variables!$B$4)),Variables!$B$6*Variables!$E$50+Variables!$B$7*$G$1*Variables!$E$50*SUM(D26:D29),0)</f>
        <v>1.172093996772825</v>
      </c>
      <c r="L29" s="64">
        <f ca="1">IF(B29="Winter",Variables!$B$8*H28,0)</f>
        <v>-0.49704894489176155</v>
      </c>
      <c r="M29" s="64">
        <f ca="1">IF(AND(B29="Spring",AND(NOT(H28=0),H28&lt;(Variables!$B$9*Variables!$E$50))),(Variables!$B$10*Variables!$E$50+Variables!$B$11*Variables!$E$50*SUM(E26:E29)+$G$1*SUM(D28:D29)*Variables!$E$50*Variables!$B$12),0)</f>
        <v>0</v>
      </c>
      <c r="N29" s="64">
        <f>IF(AND(B29="Spring",AND(SUM(D26:D29)&gt;Variables!$B$13,SUM(D22:D25)&gt;Variables!$B$13)),-Variables!$B$14*Variables!$E$50,0)</f>
        <v>0</v>
      </c>
      <c r="O29" s="64">
        <f>IF(AND(B29="Summer",SUM(C25:D29)&gt;Variables!$B$15),(Variables!$B$16*Variables!$E$50*SUM(C25:C29)+$G$1*Variables!$B$16*Variables!$E$50*SUM(D25:D29)+$G$1*Variables!$E$50*Variables!$B$17*F29),0)</f>
        <v>0</v>
      </c>
      <c r="P29" s="64">
        <f ca="1">IF(AND(AND(B29="Autumn",SUM(D28:E29)&gt;0),NOT(H28=0)),Variables!$B$18*Variables!$E$50+Variables!$B$19*Variables!$E$50*SUM(E28:E29)+$G$1*Variables!$B$19*Variables!$E$50*SUM(D28:D29),0)</f>
        <v>0</v>
      </c>
      <c r="Q29" s="64">
        <f>IF(AND(B29="Autumn",AND((E29+E28)&lt;Variables!$B$20,(D28+D29)=0)),-Variables!$B$21*Variables!$E$50,0)</f>
        <v>0</v>
      </c>
      <c r="R29" s="64">
        <f>IF(B29="Autumn",(SUM(F28:F29)*$G$1*Variables!$B$22*Variables!$E$50),0)</f>
        <v>0</v>
      </c>
      <c r="S29" s="64">
        <f>IF(B29="Spring",($G$1*Variables!$E$50*SUM('Guts (MC)'!F28:F29)*Variables!$B$23),0)</f>
        <v>0</v>
      </c>
      <c r="T29" s="63">
        <f ca="1">IF((H28+SUM(J29:Q29))&lt;(Variables!$B$26*Variables!$E$50),$F$1*((Variables!$B$26*Variables!$E$50)-H28-SUM(J29:Q29)),0)</f>
        <v>0.32315494811893664</v>
      </c>
      <c r="U29" s="64">
        <f ca="1">IF(AND(AND(B29="Autumn",SUM(D26:E29)&gt;Variables!$B$27),SUM(J29:Q29)&lt;Variables!$B$28*H28),$F$1*(Variables!$B$28*H28-SUM(J29:Q29)),0)</f>
        <v>0</v>
      </c>
      <c r="V29" s="96">
        <f ca="1">IF(AND((J29+K29)=0,(Q29+T29)=0),$H$1*H29*Variables!$I$23*0.25,0)</f>
        <v>0</v>
      </c>
      <c r="W29" s="97">
        <f ca="1">IF(AND((K29+J29)=0,(T29+Q29)=0),$I$1*H29*Variables!$Q$23*0.25,0)</f>
        <v>0</v>
      </c>
      <c r="X29" s="95">
        <f ca="1">IF(AND(NOT(K29=0),(H29-H28)&gt;0),(H29-H28)*(Variables!$M$5*$H$1+Variables!$U$5*$I$1),0)+IF(AND(NOT((J29+N29+Q29)=0),(H28-H29)&gt;0),(H28-H29)*(Variables!$M$4*$H$1+Variables!$U$4*$I$1),0)</f>
        <v>6.3457279346661938E-15</v>
      </c>
      <c r="Y29" s="95">
        <f ca="1">IF(SUM(T29,U28:U29)&gt;0,H29*Variables!$Y$11*0.25*(1-$J$1),0)</f>
        <v>-8.6666009437672749</v>
      </c>
      <c r="Z29" s="95">
        <f ca="1">IF(T29=0,H29*$J$1*Variables!$Y$5*0.25,0)</f>
        <v>0</v>
      </c>
      <c r="AA29" s="95">
        <f t="shared" ca="1" si="0"/>
        <v>-8.6666009437672678</v>
      </c>
      <c r="AB29" s="91">
        <f ca="1">AA29/Variables!$E$49</f>
        <v>-1.3978388618979463</v>
      </c>
    </row>
    <row r="30" spans="1:29" x14ac:dyDescent="0.25">
      <c r="A30" s="61">
        <f>'Water runs'!C37</f>
        <v>4718</v>
      </c>
      <c r="B30" s="61" t="str">
        <f>'Water runs'!B37</f>
        <v>Spring</v>
      </c>
      <c r="C30" s="54">
        <f>'Water runs'!D37/100</f>
        <v>0.55100000000000005</v>
      </c>
      <c r="D30" s="108">
        <f>VLOOKUP(ROW(D30)+4,'Water runs'!$BS$3:$CF$423,MATCH($B$1,Scenarios,0)+1)</f>
        <v>0</v>
      </c>
      <c r="E30" s="54">
        <f>IF(B30=Variables!$D$8,C30-Variables!$E$8,IF(B30=Variables!$D$9,C30-Variables!$E$9,IF(B30=Variables!$D$10,C30-Variables!$E$10,IF(B30=Variables!$D$11,C30-Variables!$E$11,"ELSE"))))</f>
        <v>-0.2129822089947091</v>
      </c>
      <c r="F30" s="108">
        <f>VLOOKUP(ROW(F30)+4,'Water runs'!$CH$3:$CU$423,MATCH($B$1,Scenarios,0)+1)</f>
        <v>0</v>
      </c>
      <c r="G30" s="65">
        <f ca="1">H30/Variables!$E$49</f>
        <v>0.26988362567511415</v>
      </c>
      <c r="H30" s="62">
        <f ca="1">IF((H29+I30)&gt;(1.1*Variables!$E$50),(1.1*Variables!$E$50),IF((H29+I30)&gt;0,H29+I30,0))</f>
        <v>1.6732784791857078</v>
      </c>
      <c r="I30" s="64">
        <f t="shared" ca="1" si="1"/>
        <v>0.67507847918570785</v>
      </c>
      <c r="J30" s="63">
        <f>IF(SUM(E26:E29)&lt;Variables!$B$3,-H29,0)</f>
        <v>0</v>
      </c>
      <c r="K30" s="64">
        <f ca="1">IF(AND(H29&lt;Variables!$B$6*Variables!$E$50,OR(SUM(D27:D30)&gt;Variables!$B$5,SUM(E27:E30)&gt;Variables!$B$4)),Variables!$B$6*Variables!$E$50+Variables!$B$7*$G$1*Variables!$E$50*SUM(D27:D30),0)</f>
        <v>1.172093996772825</v>
      </c>
      <c r="L30" s="64">
        <f>IF(B30="Winter",Variables!$B$8*H29,0)</f>
        <v>0</v>
      </c>
      <c r="M30" s="64">
        <f ca="1">IF(AND(B30="Spring",AND(NOT(H29=0),H29&lt;(Variables!$B$9*Variables!$E$50))),(Variables!$B$10*Variables!$E$50+Variables!$B$11*Variables!$E$50*SUM(E27:E30)+$G$1*SUM(D29:D30)*Variables!$E$50*Variables!$B$12),0)</f>
        <v>-0.59224786489601056</v>
      </c>
      <c r="N30" s="64">
        <f>IF(AND(B30="Spring",AND(SUM(D27:D30)&gt;Variables!$B$13,SUM(D23:D26)&gt;Variables!$B$13)),-Variables!$B$14*Variables!$E$50,0)</f>
        <v>0</v>
      </c>
      <c r="O30" s="64">
        <f>IF(AND(B30="Summer",SUM(C26:D30)&gt;Variables!$B$15),(Variables!$B$16*Variables!$E$50*SUM(C26:C30)+$G$1*Variables!$B$16*Variables!$E$50*SUM(D26:D30)+$G$1*Variables!$E$50*Variables!$B$17*F30),0)</f>
        <v>0</v>
      </c>
      <c r="P30" s="64">
        <f ca="1">IF(AND(AND(B30="Autumn",SUM(D29:E30)&gt;0),NOT(H29=0)),Variables!$B$18*Variables!$E$50+Variables!$B$19*Variables!$E$50*SUM(E29:E30)+$G$1*Variables!$B$19*Variables!$E$50*SUM(D29:D30),0)</f>
        <v>0</v>
      </c>
      <c r="Q30" s="64">
        <f>IF(AND(B30="Autumn",AND((E30+E29)&lt;Variables!$B$20,(D29+D30)=0)),-Variables!$B$21*Variables!$E$50,0)</f>
        <v>0</v>
      </c>
      <c r="R30" s="64">
        <f>IF(B30="Autumn",(SUM(F29:F30)*$G$1*Variables!$B$22*Variables!$E$50),0)</f>
        <v>0</v>
      </c>
      <c r="S30" s="64">
        <f ca="1">IF(B30="Spring",($G$1*Variables!$E$50*SUM('Guts (MC)'!F29:F30)*Variables!$B$23),0)</f>
        <v>9.5232347308893447E-2</v>
      </c>
      <c r="T30" s="63">
        <f ca="1">IF((H29+SUM(J30:Q30))&lt;(Variables!$B$26*Variables!$E$50),$F$1*((Variables!$B$26*Variables!$E$50)-H29-SUM(J30:Q30)),0)</f>
        <v>0</v>
      </c>
      <c r="U30" s="64">
        <f ca="1">IF(AND(AND(B30="Autumn",SUM(D27:E30)&gt;Variables!$B$27),SUM(J30:Q30)&lt;Variables!$B$28*H29),$F$1*(Variables!$B$28*H29-SUM(J30:Q30)),0)</f>
        <v>0</v>
      </c>
      <c r="V30" s="96">
        <f ca="1">IF(AND((J30+K30)=0,(Q30+T30)=0),$H$1*H30*Variables!$I$23*0.25,0)</f>
        <v>0</v>
      </c>
      <c r="W30" s="97">
        <f ca="1">IF(AND((K30+J30)=0,(T30+Q30)=0),$I$1*H30*Variables!$Q$23*0.25,0)</f>
        <v>0</v>
      </c>
      <c r="X30" s="95">
        <f ca="1">IF(AND(NOT(K30=0),(H30-H29)&gt;0),(H30-H29)*(Variables!$M$5*$H$1+Variables!$U$5*$I$1),0)+IF(AND(NOT((J30+N30+Q30)=0),(H29-H30)&gt;0),(H29-H30)*(Variables!$M$4*$H$1+Variables!$U$4*$I$1),0)</f>
        <v>-77.171239803949717</v>
      </c>
      <c r="Y30" s="95">
        <f ca="1">IF(SUM(T30,U29:U30)&gt;0,H30*Variables!$Y$11*0.25*(1-$J$1),0)</f>
        <v>0</v>
      </c>
      <c r="Z30" s="95">
        <f ca="1">IF(T30=0,H30*$J$1*Variables!$Y$5*0.25,0)</f>
        <v>1.882918246980803</v>
      </c>
      <c r="AA30" s="95">
        <f t="shared" ca="1" si="0"/>
        <v>-75.28832155696891</v>
      </c>
      <c r="AB30" s="91">
        <f ca="1">AA30/Variables!$E$49</f>
        <v>-12.143277670478856</v>
      </c>
    </row>
    <row r="31" spans="1:29" x14ac:dyDescent="0.25">
      <c r="A31" s="61">
        <f>'Water runs'!C38</f>
        <v>4808</v>
      </c>
      <c r="B31" s="61" t="str">
        <f>'Water runs'!B38</f>
        <v>Summer</v>
      </c>
      <c r="C31" s="54">
        <f>'Water runs'!D38/100</f>
        <v>0.85560000000000003</v>
      </c>
      <c r="D31" s="108">
        <f>VLOOKUP(ROW(D31)+4,'Water runs'!$BS$3:$CF$423,MATCH($B$1,Scenarios,0)+1)</f>
        <v>0</v>
      </c>
      <c r="E31" s="54">
        <f>IF(B31=Variables!$D$8,C31-Variables!$E$8,IF(B31=Variables!$D$9,C31-Variables!$E$9,IF(B31=Variables!$D$10,C31-Variables!$E$10,IF(B31=Variables!$D$11,C31-Variables!$E$11,"ELSE"))))</f>
        <v>-0.40277013605442169</v>
      </c>
      <c r="F31" s="108">
        <f>VLOOKUP(ROW(F31)+4,'Water runs'!$CH$3:$CU$423,MATCH($B$1,Scenarios,0)+1)</f>
        <v>0</v>
      </c>
      <c r="G31" s="65">
        <f ca="1">H31/Variables!$E$49</f>
        <v>0.26988362567511415</v>
      </c>
      <c r="H31" s="62">
        <f ca="1">IF((H30+I31)&gt;(1.1*Variables!$E$50),(1.1*Variables!$E$50),IF((H30+I31)&gt;0,H30+I31,0))</f>
        <v>1.6732784791857078</v>
      </c>
      <c r="I31" s="64">
        <f t="shared" ca="1" si="1"/>
        <v>0</v>
      </c>
      <c r="J31" s="63">
        <f>IF(SUM(E27:E30)&lt;Variables!$B$3,-H30,0)</f>
        <v>0</v>
      </c>
      <c r="K31" s="64">
        <f ca="1">IF(AND(H30&lt;Variables!$B$6*Variables!$E$50,OR(SUM(D28:D31)&gt;Variables!$B$5,SUM(E28:E31)&gt;Variables!$B$4)),Variables!$B$6*Variables!$E$50+Variables!$B$7*$G$1*Variables!$E$50*SUM(D28:D31),0)</f>
        <v>0</v>
      </c>
      <c r="L31" s="64">
        <f>IF(B31="Winter",Variables!$B$8*H30,0)</f>
        <v>0</v>
      </c>
      <c r="M31" s="64">
        <f ca="1">IF(AND(B31="Spring",AND(NOT(H30=0),H30&lt;(Variables!$B$9*Variables!$E$50))),(Variables!$B$10*Variables!$E$50+Variables!$B$11*Variables!$E$50*SUM(E28:E31)+$G$1*SUM(D30:D31)*Variables!$E$50*Variables!$B$12),0)</f>
        <v>0</v>
      </c>
      <c r="N31" s="64">
        <f>IF(AND(B31="Spring",AND(SUM(D28:D31)&gt;Variables!$B$13,SUM(D24:D27)&gt;Variables!$B$13)),-Variables!$B$14*Variables!$E$50,0)</f>
        <v>0</v>
      </c>
      <c r="O31" s="64">
        <f>IF(AND(B31="Summer",SUM(C27:D31)&gt;Variables!$B$15),(Variables!$B$16*Variables!$E$50*SUM(C27:C31)+$G$1*Variables!$B$16*Variables!$E$50*SUM(D27:D31)+$G$1*Variables!$E$50*Variables!$B$17*F31),0)</f>
        <v>0</v>
      </c>
      <c r="P31" s="64">
        <f ca="1">IF(AND(AND(B31="Autumn",SUM(D30:E31)&gt;0),NOT(H30=0)),Variables!$B$18*Variables!$E$50+Variables!$B$19*Variables!$E$50*SUM(E30:E31)+$G$1*Variables!$B$19*Variables!$E$50*SUM(D30:D31),0)</f>
        <v>0</v>
      </c>
      <c r="Q31" s="64">
        <f>IF(AND(B31="Autumn",AND((E31+E30)&lt;Variables!$B$20,(D30+D31)=0)),-Variables!$B$21*Variables!$E$50,0)</f>
        <v>0</v>
      </c>
      <c r="R31" s="64">
        <f>IF(B31="Autumn",(SUM(F30:F31)*$G$1*Variables!$B$22*Variables!$E$50),0)</f>
        <v>0</v>
      </c>
      <c r="S31" s="64">
        <f>IF(B31="Spring",($G$1*Variables!$E$50*SUM('Guts (MC)'!F30:F31)*Variables!$B$23),0)</f>
        <v>0</v>
      </c>
      <c r="T31" s="63">
        <f ca="1">IF((H30+SUM(J31:Q31))&lt;(Variables!$B$26*Variables!$E$50),$F$1*((Variables!$B$26*Variables!$E$50)-H30-SUM(J31:Q31)),0)</f>
        <v>0</v>
      </c>
      <c r="U31" s="64">
        <f ca="1">IF(AND(AND(B31="Autumn",SUM(D28:E31)&gt;Variables!$B$27),SUM(J31:Q31)&lt;Variables!$B$28*H30),$F$1*(Variables!$B$28*H30-SUM(J31:Q31)),0)</f>
        <v>0</v>
      </c>
      <c r="V31" s="96">
        <f ca="1">IF(AND((J31+K31)=0,(Q31+T31)=0),$H$1*H31*Variables!$I$23*0.25,0)</f>
        <v>20.395554013524791</v>
      </c>
      <c r="W31" s="97">
        <f ca="1">IF(AND((K31+J31)=0,(T31+Q31)=0),$I$1*H31*Variables!$Q$23*0.25,0)</f>
        <v>6.5594741367590466</v>
      </c>
      <c r="X31" s="95">
        <f ca="1">IF(AND(NOT(K31=0),(H31-H30)&gt;0),(H31-H30)*(Variables!$M$5*$H$1+Variables!$U$5*$I$1),0)+IF(AND(NOT((J31+N31+Q31)=0),(H30-H31)&gt;0),(H30-H31)*(Variables!$M$4*$H$1+Variables!$U$4*$I$1),0)</f>
        <v>0</v>
      </c>
      <c r="Y31" s="95">
        <f ca="1">IF(SUM(T31,U30:U31)&gt;0,H31*Variables!$Y$11*0.25*(1-$J$1),0)</f>
        <v>0</v>
      </c>
      <c r="Z31" s="95">
        <f ca="1">IF(T31=0,H31*$J$1*Variables!$Y$5*0.25,0)</f>
        <v>1.882918246980803</v>
      </c>
      <c r="AA31" s="95">
        <f t="shared" ca="1" si="0"/>
        <v>28.837946397264641</v>
      </c>
      <c r="AB31" s="91">
        <f ca="1">AA31/Variables!$E$49</f>
        <v>4.6512816769781677</v>
      </c>
      <c r="AC31" s="15"/>
    </row>
    <row r="32" spans="1:29" x14ac:dyDescent="0.25">
      <c r="A32" s="61">
        <f>'Water runs'!C39</f>
        <v>4900</v>
      </c>
      <c r="B32" s="61" t="str">
        <f>'Water runs'!B39</f>
        <v>Autumn</v>
      </c>
      <c r="C32" s="54">
        <f>'Water runs'!D39/100</f>
        <v>1.6786000000000001</v>
      </c>
      <c r="D32" s="108">
        <f>VLOOKUP(ROW(D32)+4,'Water runs'!$BS$3:$CF$423,MATCH($B$1,Scenarios,0)+1)</f>
        <v>0</v>
      </c>
      <c r="E32" s="54">
        <f>IF(B32=Variables!$D$8,C32-Variables!$E$8,IF(B32=Variables!$D$9,C32-Variables!$E$9,IF(B32=Variables!$D$10,C32-Variables!$E$10,IF(B32=Variables!$D$11,C32-Variables!$E$11,"ELSE"))))</f>
        <v>0.68395670068027226</v>
      </c>
      <c r="F32" s="108">
        <f>VLOOKUP(ROW(F32)+4,'Water runs'!$CH$3:$CU$423,MATCH($B$1,Scenarios,0)+1)</f>
        <v>0</v>
      </c>
      <c r="G32" s="65">
        <f ca="1">H32/Variables!$E$49</f>
        <v>0.42815278291778985</v>
      </c>
      <c r="H32" s="62">
        <f ca="1">IF((H31+I32)&gt;(1.1*Variables!$E$50),(1.1*Variables!$E$50),IF((H31+I32)&gt;0,H31+I32,0))</f>
        <v>2.6545472540902972</v>
      </c>
      <c r="I32" s="64">
        <f t="shared" ca="1" si="1"/>
        <v>0.9812687749045893</v>
      </c>
      <c r="J32" s="63">
        <f>IF(SUM(E28:E31)&lt;Variables!$B$3,-H31,0)</f>
        <v>0</v>
      </c>
      <c r="K32" s="64">
        <f ca="1">IF(AND(H31&lt;Variables!$B$6*Variables!$E$50,OR(SUM(D29:D32)&gt;Variables!$B$5,SUM(E29:E32)&gt;Variables!$B$4)),Variables!$B$6*Variables!$E$50+Variables!$B$7*$G$1*Variables!$E$50*SUM(D29:D32),0)</f>
        <v>0</v>
      </c>
      <c r="L32" s="64">
        <f>IF(B32="Winter",Variables!$B$8*H31,0)</f>
        <v>0</v>
      </c>
      <c r="M32" s="64">
        <f ca="1">IF(AND(B32="Spring",AND(NOT(H31=0),H31&lt;(Variables!$B$9*Variables!$E$50))),(Variables!$B$10*Variables!$E$50+Variables!$B$11*Variables!$E$50*SUM(E29:E32)+$G$1*SUM(D31:D32)*Variables!$E$50*Variables!$B$12),0)</f>
        <v>0</v>
      </c>
      <c r="N32" s="64">
        <f>IF(AND(B32="Spring",AND(SUM(D29:D32)&gt;Variables!$B$13,SUM(D25:D28)&gt;Variables!$B$13)),-Variables!$B$14*Variables!$E$50,0)</f>
        <v>0</v>
      </c>
      <c r="O32" s="64">
        <f>IF(AND(B32="Summer",SUM(C28:D32)&gt;Variables!$B$15),(Variables!$B$16*Variables!$E$50*SUM(C28:C32)+$G$1*Variables!$B$16*Variables!$E$50*SUM(D28:D32)+$G$1*Variables!$E$50*Variables!$B$17*F32),0)</f>
        <v>0</v>
      </c>
      <c r="P32" s="64">
        <f ca="1">IF(AND(AND(B32="Autumn",SUM(D31:E32)&gt;0),NOT(H31=0)),Variables!$B$18*Variables!$E$50+Variables!$B$19*Variables!$E$50*SUM(E31:E32)+$G$1*Variables!$B$19*Variables!$E$50*SUM(D31:D32),0)</f>
        <v>0.9812687749045893</v>
      </c>
      <c r="Q32" s="64">
        <f>IF(AND(B32="Autumn",AND((E32+E31)&lt;Variables!$B$20,(D31+D32)=0)),-Variables!$B$21*Variables!$E$50,0)</f>
        <v>0</v>
      </c>
      <c r="R32" s="64">
        <f ca="1">IF(B32="Autumn",(SUM(F31:F32)*$G$1*Variables!$B$22*Variables!$E$50),0)</f>
        <v>0</v>
      </c>
      <c r="S32" s="64">
        <f>IF(B32="Spring",($G$1*Variables!$E$50*SUM('Guts (MC)'!F31:F32)*Variables!$B$23),0)</f>
        <v>0</v>
      </c>
      <c r="T32" s="63">
        <f ca="1">IF((H31+SUM(J32:Q32))&lt;(Variables!$B$26*Variables!$E$50),$F$1*((Variables!$B$26*Variables!$E$50)-H31-SUM(J32:Q32)),0)</f>
        <v>0</v>
      </c>
      <c r="U32" s="64">
        <f ca="1">IF(AND(AND(B32="Autumn",SUM(D29:E32)&gt;Variables!$B$27),SUM(J32:Q32)&lt;Variables!$B$28*H31),$F$1*(Variables!$B$28*H31-SUM(J32:Q32)),0)</f>
        <v>0</v>
      </c>
      <c r="V32" s="96">
        <f ca="1">IF(AND((J32+K32)=0,(Q32+T32)=0),$H$1*H32*Variables!$I$23*0.25,0)</f>
        <v>32.356217196195573</v>
      </c>
      <c r="W32" s="97">
        <f ca="1">IF(AND((K32+J32)=0,(T32+Q32)=0),$I$1*H32*Variables!$Q$23*0.25,0)</f>
        <v>10.40617821516698</v>
      </c>
      <c r="X32" s="95">
        <f ca="1">IF(AND(NOT(K32=0),(H32-H31)&gt;0),(H32-H31)*(Variables!$M$5*$H$1+Variables!$U$5*$I$1),0)+IF(AND(NOT((J32+N32+Q32)=0),(H31-H32)&gt;0),(H31-H32)*(Variables!$M$4*$H$1+Variables!$U$4*$I$1),0)</f>
        <v>0</v>
      </c>
      <c r="Y32" s="95">
        <f ca="1">IF(SUM(T32,U31:U32)&gt;0,H32*Variables!$Y$11*0.25*(1-$J$1),0)</f>
        <v>0</v>
      </c>
      <c r="Z32" s="95">
        <f ca="1">IF(T32=0,H32*$J$1*Variables!$Y$5*0.25,0)</f>
        <v>2.9871270827745304</v>
      </c>
      <c r="AA32" s="95">
        <f t="shared" ca="1" si="0"/>
        <v>45.749522494137082</v>
      </c>
      <c r="AB32" s="91">
        <f ca="1">AA32/Variables!$E$49</f>
        <v>7.3789552409898516</v>
      </c>
    </row>
    <row r="33" spans="1:29" x14ac:dyDescent="0.25">
      <c r="A33" s="61">
        <f>'Water runs'!C40</f>
        <v>4992</v>
      </c>
      <c r="B33" s="61" t="str">
        <f>'Water runs'!B40</f>
        <v>Winter</v>
      </c>
      <c r="C33" s="54">
        <f>'Water runs'!D40/100</f>
        <v>0.46279999999999999</v>
      </c>
      <c r="D33" s="108">
        <f>VLOOKUP(ROW(D33)+4,'Water runs'!$BS$3:$CF$423,MATCH($B$1,Scenarios,0)+1)</f>
        <v>8.9359377350572852E-2</v>
      </c>
      <c r="E33" s="54">
        <f>IF(B33=Variables!$D$8,C33-Variables!$E$8,IF(B33=Variables!$D$9,C33-Variables!$E$9,IF(B33=Variables!$D$10,C33-Variables!$E$10,IF(B33=Variables!$D$11,C33-Variables!$E$11,"ELSE"))))</f>
        <v>-0.10896762566137574</v>
      </c>
      <c r="F33" s="108">
        <f>VLOOKUP(ROW(F33)+4,'Water runs'!$CH$3:$CU$423,MATCH($B$1,Scenarios,0)+1)</f>
        <v>6.4377786047395469E-2</v>
      </c>
      <c r="G33" s="65">
        <f ca="1">H33/Variables!$E$49</f>
        <v>0.21495613995870466</v>
      </c>
      <c r="H33" s="62">
        <f ca="1">IF((H32+I33)&gt;(1.1*Variables!$E$50),(1.1*Variables!$E$50),IF((H32+I33)&gt;0,H32+I33,0))</f>
        <v>1.332728067743969</v>
      </c>
      <c r="I33" s="64">
        <f t="shared" ca="1" si="1"/>
        <v>-1.3218191863463282</v>
      </c>
      <c r="J33" s="63">
        <f>IF(SUM(E29:E32)&lt;Variables!$B$3,-H32,0)</f>
        <v>0</v>
      </c>
      <c r="K33" s="64">
        <f ca="1">IF(AND(H32&lt;Variables!$B$6*Variables!$E$50,OR(SUM(D30:D33)&gt;Variables!$B$5,SUM(E30:E33)&gt;Variables!$B$4)),Variables!$B$6*Variables!$E$50+Variables!$B$7*$G$1*Variables!$E$50*SUM(D30:D33),0)</f>
        <v>0</v>
      </c>
      <c r="L33" s="64">
        <f ca="1">IF(B33="Winter",Variables!$B$8*H32,0)</f>
        <v>-1.3218191863463282</v>
      </c>
      <c r="M33" s="64">
        <f ca="1">IF(AND(B33="Spring",AND(NOT(H32=0),H32&lt;(Variables!$B$9*Variables!$E$50))),(Variables!$B$10*Variables!$E$50+Variables!$B$11*Variables!$E$50*SUM(E30:E33)+$G$1*SUM(D32:D33)*Variables!$E$50*Variables!$B$12),0)</f>
        <v>0</v>
      </c>
      <c r="N33" s="64">
        <f>IF(AND(B33="Spring",AND(SUM(D30:D33)&gt;Variables!$B$13,SUM(D26:D29)&gt;Variables!$B$13)),-Variables!$B$14*Variables!$E$50,0)</f>
        <v>0</v>
      </c>
      <c r="O33" s="64">
        <f>IF(AND(B33="Summer",SUM(C29:D33)&gt;Variables!$B$15),(Variables!$B$16*Variables!$E$50*SUM(C29:C33)+$G$1*Variables!$B$16*Variables!$E$50*SUM(D29:D33)+$G$1*Variables!$E$50*Variables!$B$17*F33),0)</f>
        <v>0</v>
      </c>
      <c r="P33" s="64">
        <f ca="1">IF(AND(AND(B33="Autumn",SUM(D32:E33)&gt;0),NOT(H32=0)),Variables!$B$18*Variables!$E$50+Variables!$B$19*Variables!$E$50*SUM(E32:E33)+$G$1*Variables!$B$19*Variables!$E$50*SUM(D32:D33),0)</f>
        <v>0</v>
      </c>
      <c r="Q33" s="64">
        <f>IF(AND(B33="Autumn",AND((E33+E32)&lt;Variables!$B$20,(D32+D33)=0)),-Variables!$B$21*Variables!$E$50,0)</f>
        <v>0</v>
      </c>
      <c r="R33" s="64">
        <f>IF(B33="Autumn",(SUM(F32:F33)*$G$1*Variables!$B$22*Variables!$E$50),0)</f>
        <v>0</v>
      </c>
      <c r="S33" s="64">
        <f>IF(B33="Spring",($G$1*Variables!$E$50*SUM('Guts (MC)'!F32:F33)*Variables!$B$23),0)</f>
        <v>0</v>
      </c>
      <c r="T33" s="63">
        <f ca="1">IF((H32+SUM(J33:Q33))&lt;(Variables!$B$26*Variables!$E$50),$F$1*((Variables!$B$26*Variables!$E$50)-H32-SUM(J33:Q33)),0)</f>
        <v>0</v>
      </c>
      <c r="U33" s="64">
        <f ca="1">IF(AND(AND(B33="Autumn",SUM(D30:E33)&gt;Variables!$B$27),SUM(J33:Q33)&lt;Variables!$B$28*H32),$F$1*(Variables!$B$28*H32-SUM(J33:Q33)),0)</f>
        <v>0</v>
      </c>
      <c r="V33" s="96">
        <f ca="1">IF(AND((J33+K33)=0,(Q33+T33)=0),$H$1*H33*Variables!$I$23*0.25,0)</f>
        <v>16.244592653961874</v>
      </c>
      <c r="W33" s="97">
        <f ca="1">IF(AND((K33+J33)=0,(T33+Q33)=0),$I$1*H33*Variables!$Q$23*0.25,0)</f>
        <v>5.2244712404080342</v>
      </c>
      <c r="X33" s="95">
        <f ca="1">IF(AND(NOT(K33=0),(H33-H32)&gt;0),(H33-H32)*(Variables!$M$5*$H$1+Variables!$U$5*$I$1),0)+IF(AND(NOT((J33+N33+Q33)=0),(H32-H33)&gt;0),(H32-H33)*(Variables!$M$4*$H$1+Variables!$U$4*$I$1),0)</f>
        <v>0</v>
      </c>
      <c r="Y33" s="95">
        <f ca="1">IF(SUM(T33,U32:U33)&gt;0,H33*Variables!$Y$11*0.25*(1-$J$1),0)</f>
        <v>0</v>
      </c>
      <c r="Z33" s="95">
        <f ca="1">IF(T33=0,H33*$J$1*Variables!$Y$5*0.25,0)</f>
        <v>1.4997013517079247</v>
      </c>
      <c r="AA33" s="95">
        <f t="shared" ca="1" si="0"/>
        <v>22.968765246077833</v>
      </c>
      <c r="AB33" s="91">
        <f ca="1">AA33/Variables!$E$49</f>
        <v>3.7046395558190053</v>
      </c>
    </row>
    <row r="34" spans="1:29" x14ac:dyDescent="0.25">
      <c r="A34" s="61">
        <f>'Water runs'!C41</f>
        <v>5083</v>
      </c>
      <c r="B34" s="61" t="str">
        <f>'Water runs'!B41</f>
        <v>Spring</v>
      </c>
      <c r="C34" s="54">
        <f>'Water runs'!D41/100</f>
        <v>0.15160000000000001</v>
      </c>
      <c r="D34" s="108">
        <f>VLOOKUP(ROW(D34)+4,'Water runs'!$BS$3:$CF$423,MATCH($B$1,Scenarios,0)+1)</f>
        <v>0</v>
      </c>
      <c r="E34" s="54">
        <f>IF(B34=Variables!$D$8,C34-Variables!$E$8,IF(B34=Variables!$D$9,C34-Variables!$E$9,IF(B34=Variables!$D$10,C34-Variables!$E$10,IF(B34=Variables!$D$11,C34-Variables!$E$11,"ELSE"))))</f>
        <v>-0.61238220899470908</v>
      </c>
      <c r="F34" s="108">
        <f>VLOOKUP(ROW(F34)+4,'Water runs'!$CH$3:$CU$423,MATCH($B$1,Scenarios,0)+1)</f>
        <v>0</v>
      </c>
      <c r="G34" s="65">
        <f ca="1">H34/Variables!$E$49</f>
        <v>0.17376577190891687</v>
      </c>
      <c r="H34" s="62">
        <f ca="1">IF((H33+I34)&gt;(1.1*Variables!$E$50),(1.1*Variables!$E$50),IF((H33+I34)&gt;0,H33+I34,0))</f>
        <v>1.0773477858352847</v>
      </c>
      <c r="I34" s="64">
        <f t="shared" ca="1" si="1"/>
        <v>-0.25538028190868428</v>
      </c>
      <c r="J34" s="63">
        <f>IF(SUM(E30:E33)&lt;Variables!$B$3,-H33,0)</f>
        <v>0</v>
      </c>
      <c r="K34" s="64">
        <f ca="1">IF(AND(H33&lt;Variables!$B$6*Variables!$E$50,OR(SUM(D31:D34)&gt;Variables!$B$5,SUM(E31:E34)&gt;Variables!$B$4)),Variables!$B$6*Variables!$E$50+Variables!$B$7*$G$1*Variables!$E$50*SUM(D31:D34),0)</f>
        <v>0</v>
      </c>
      <c r="L34" s="64">
        <f>IF(B34="Winter",Variables!$B$8*H33,0)</f>
        <v>0</v>
      </c>
      <c r="M34" s="64">
        <f ca="1">IF(AND(B34="Spring",AND(NOT(H33=0),H33&lt;(Variables!$B$9*Variables!$E$50))),(Variables!$B$10*Variables!$E$50+Variables!$B$11*Variables!$E$50*SUM(E31:E34)+$G$1*SUM(D33:D34)*Variables!$E$50*Variables!$B$12),0)</f>
        <v>-0.26423213106778043</v>
      </c>
      <c r="N34" s="64">
        <f>IF(AND(B34="Spring",AND(SUM(D31:D34)&gt;Variables!$B$13,SUM(D27:D30)&gt;Variables!$B$13)),-Variables!$B$14*Variables!$E$50,0)</f>
        <v>0</v>
      </c>
      <c r="O34" s="64">
        <f>IF(AND(B34="Summer",SUM(C30:D34)&gt;Variables!$B$15),(Variables!$B$16*Variables!$E$50*SUM(C30:C34)+$G$1*Variables!$B$16*Variables!$E$50*SUM(D30:D34)+$G$1*Variables!$E$50*Variables!$B$17*F34),0)</f>
        <v>0</v>
      </c>
      <c r="P34" s="64">
        <f ca="1">IF(AND(AND(B34="Autumn",SUM(D33:E34)&gt;0),NOT(H33=0)),Variables!$B$18*Variables!$E$50+Variables!$B$19*Variables!$E$50*SUM(E33:E34)+$G$1*Variables!$B$19*Variables!$E$50*SUM(D33:D34),0)</f>
        <v>0</v>
      </c>
      <c r="Q34" s="64">
        <f>IF(AND(B34="Autumn",AND((E34+E33)&lt;Variables!$B$20,(D33+D34)=0)),-Variables!$B$21*Variables!$E$50,0)</f>
        <v>0</v>
      </c>
      <c r="R34" s="64">
        <f>IF(B34="Autumn",(SUM(F33:F34)*$G$1*Variables!$B$22*Variables!$E$50),0)</f>
        <v>0</v>
      </c>
      <c r="S34" s="64">
        <f ca="1">IF(B34="Spring",($G$1*Variables!$E$50*SUM('Guts (MC)'!F33:F34)*Variables!$B$23),0)</f>
        <v>8.8518491590961618E-3</v>
      </c>
      <c r="T34" s="63">
        <f ca="1">IF((H33+SUM(J34:Q34))&lt;(Variables!$B$26*Variables!$E$50),$F$1*((Variables!$B$26*Variables!$E$50)-H33-SUM(J34:Q34)),0)</f>
        <v>0</v>
      </c>
      <c r="U34" s="64">
        <f ca="1">IF(AND(AND(B34="Autumn",SUM(D31:E34)&gt;Variables!$B$27),SUM(J34:Q34)&lt;Variables!$B$28*H33),$F$1*(Variables!$B$28*H33-SUM(J34:Q34)),0)</f>
        <v>0</v>
      </c>
      <c r="V34" s="96">
        <f ca="1">IF(AND((J34+K34)=0,(Q34+T34)=0),$H$1*H34*Variables!$I$23*0.25,0)</f>
        <v>13.131768101175831</v>
      </c>
      <c r="W34" s="97">
        <f ca="1">IF(AND((K34+J34)=0,(T34+Q34)=0),$I$1*H34*Variables!$Q$23*0.25,0)</f>
        <v>4.2233465770265646</v>
      </c>
      <c r="X34" s="95">
        <f ca="1">IF(AND(NOT(K34=0),(H34-H33)&gt;0),(H34-H33)*(Variables!$M$5*$H$1+Variables!$U$5*$I$1),0)+IF(AND(NOT((J34+N34+Q34)=0),(H33-H34)&gt;0),(H33-H34)*(Variables!$M$4*$H$1+Variables!$U$4*$I$1),0)</f>
        <v>0</v>
      </c>
      <c r="Y34" s="95">
        <f ca="1">IF(SUM(T34,U33:U34)&gt;0,H34*Variables!$Y$11*0.25*(1-$J$1),0)</f>
        <v>0</v>
      </c>
      <c r="Z34" s="95">
        <f ca="1">IF(T34=0,H34*$J$1*Variables!$Y$5*0.25,0)</f>
        <v>1.2123252820898114</v>
      </c>
      <c r="AA34" s="95">
        <f t="shared" ca="1" si="0"/>
        <v>18.567439960292209</v>
      </c>
      <c r="AB34" s="91">
        <f ca="1">AA34/Variables!$E$49</f>
        <v>2.9947483806922914</v>
      </c>
    </row>
    <row r="35" spans="1:29" x14ac:dyDescent="0.25">
      <c r="A35" s="61">
        <f>'Water runs'!C42</f>
        <v>5173</v>
      </c>
      <c r="B35" s="61" t="str">
        <f>'Water runs'!B42</f>
        <v>Summer</v>
      </c>
      <c r="C35" s="54">
        <f>'Water runs'!D42/100</f>
        <v>1.214</v>
      </c>
      <c r="D35" s="108">
        <f>VLOOKUP(ROW(D35)+4,'Water runs'!$BS$3:$CF$423,MATCH($B$1,Scenarios,0)+1)</f>
        <v>0</v>
      </c>
      <c r="E35" s="54">
        <f>IF(B35=Variables!$D$8,C35-Variables!$E$8,IF(B35=Variables!$D$9,C35-Variables!$E$9,IF(B35=Variables!$D$10,C35-Variables!$E$10,IF(B35=Variables!$D$11,C35-Variables!$E$11,"ELSE"))))</f>
        <v>-4.4370136054421749E-2</v>
      </c>
      <c r="F35" s="108">
        <f>VLOOKUP(ROW(F35)+4,'Water runs'!$CH$3:$CU$423,MATCH($B$1,Scenarios,0)+1)</f>
        <v>0</v>
      </c>
      <c r="G35" s="65">
        <f ca="1">H35/Variables!$E$49</f>
        <v>0.35858289741099192</v>
      </c>
      <c r="H35" s="62">
        <f ca="1">IF((H34+I35)&gt;(1.1*Variables!$E$50),(1.1*Variables!$E$50),IF((H34+I35)&gt;0,H34+I35,0))</f>
        <v>2.2232139639481501</v>
      </c>
      <c r="I35" s="64">
        <f t="shared" ca="1" si="1"/>
        <v>1.1458661781128654</v>
      </c>
      <c r="J35" s="63">
        <f>IF(SUM(E31:E34)&lt;Variables!$B$3,-H34,0)</f>
        <v>0</v>
      </c>
      <c r="K35" s="64">
        <f ca="1">IF(AND(H34&lt;Variables!$B$6*Variables!$E$50,OR(SUM(D32:D35)&gt;Variables!$B$5,SUM(E32:E35)&gt;Variables!$B$4)),Variables!$B$6*Variables!$E$50+Variables!$B$7*$G$1*Variables!$E$50*SUM(D32:D35),0)</f>
        <v>1.1458661781128654</v>
      </c>
      <c r="L35" s="64">
        <f>IF(B35="Winter",Variables!$B$8*H34,0)</f>
        <v>0</v>
      </c>
      <c r="M35" s="64">
        <f ca="1">IF(AND(B35="Spring",AND(NOT(H34=0),H34&lt;(Variables!$B$9*Variables!$E$50))),(Variables!$B$10*Variables!$E$50+Variables!$B$11*Variables!$E$50*SUM(E32:E35)+$G$1*SUM(D34:D35)*Variables!$E$50*Variables!$B$12),0)</f>
        <v>0</v>
      </c>
      <c r="N35" s="64">
        <f>IF(AND(B35="Spring",AND(SUM(D32:D35)&gt;Variables!$B$13,SUM(D28:D31)&gt;Variables!$B$13)),-Variables!$B$14*Variables!$E$50,0)</f>
        <v>0</v>
      </c>
      <c r="O35" s="64">
        <f>IF(AND(B35="Summer",SUM(C31:D35)&gt;Variables!$B$15),(Variables!$B$16*Variables!$E$50*SUM(C31:C35)+$G$1*Variables!$B$16*Variables!$E$50*SUM(D31:D35)+$G$1*Variables!$E$50*Variables!$B$17*F35),0)</f>
        <v>0</v>
      </c>
      <c r="P35" s="64">
        <f ca="1">IF(AND(AND(B35="Autumn",SUM(D34:E35)&gt;0),NOT(H34=0)),Variables!$B$18*Variables!$E$50+Variables!$B$19*Variables!$E$50*SUM(E34:E35)+$G$1*Variables!$B$19*Variables!$E$50*SUM(D34:D35),0)</f>
        <v>0</v>
      </c>
      <c r="Q35" s="64">
        <f>IF(AND(B35="Autumn",AND((E35+E34)&lt;Variables!$B$20,(D34+D35)=0)),-Variables!$B$21*Variables!$E$50,0)</f>
        <v>0</v>
      </c>
      <c r="R35" s="64">
        <f>IF(B35="Autumn",(SUM(F34:F35)*$G$1*Variables!$B$22*Variables!$E$50),0)</f>
        <v>0</v>
      </c>
      <c r="S35" s="64">
        <f>IF(B35="Spring",($G$1*Variables!$E$50*SUM('Guts (MC)'!F34:F35)*Variables!$B$23),0)</f>
        <v>0</v>
      </c>
      <c r="T35" s="63">
        <f ca="1">IF((H34+SUM(J35:Q35))&lt;(Variables!$B$26*Variables!$E$50),$F$1*((Variables!$B$26*Variables!$E$50)-H34-SUM(J35:Q35)),0)</f>
        <v>0</v>
      </c>
      <c r="U35" s="64">
        <f ca="1">IF(AND(AND(B35="Autumn",SUM(D32:E35)&gt;Variables!$B$27),SUM(J35:Q35)&lt;Variables!$B$28*H34),$F$1*(Variables!$B$28*H34-SUM(J35:Q35)),0)</f>
        <v>0</v>
      </c>
      <c r="V35" s="96">
        <f ca="1">IF(AND((J35+K35)=0,(Q35+T35)=0),$H$1*H35*Variables!$I$23*0.25,0)</f>
        <v>0</v>
      </c>
      <c r="W35" s="97">
        <f ca="1">IF(AND((K35+J35)=0,(T35+Q35)=0),$I$1*H35*Variables!$Q$23*0.25,0)</f>
        <v>0</v>
      </c>
      <c r="X35" s="95">
        <f ca="1">IF(AND(NOT(K35=0),(H35-H34)&gt;0),(H35-H34)*(Variables!$M$5*$H$1+Variables!$U$5*$I$1),0)+IF(AND(NOT((J35+N35+Q35)=0),(H34-H35)&gt;0),(H34-H35)*(Variables!$M$4*$H$1+Variables!$U$4*$I$1),0)</f>
        <v>-130.98908695926241</v>
      </c>
      <c r="Y35" s="95">
        <f ca="1">IF(SUM(T35,U34:U35)&gt;0,H35*Variables!$Y$11*0.25*(1-$J$1),0)</f>
        <v>0</v>
      </c>
      <c r="Z35" s="95">
        <f ca="1">IF(T35=0,H35*$J$1*Variables!$Y$5*0.25,0)</f>
        <v>2.5017534090904285</v>
      </c>
      <c r="AA35" s="95">
        <f t="shared" ca="1" si="0"/>
        <v>-128.48733355017197</v>
      </c>
      <c r="AB35" s="91">
        <f ca="1">AA35/Variables!$E$49</f>
        <v>-20.723763475834186</v>
      </c>
      <c r="AC35" s="15"/>
    </row>
    <row r="36" spans="1:29" x14ac:dyDescent="0.25">
      <c r="A36" s="61">
        <f>'Water runs'!C43</f>
        <v>5265</v>
      </c>
      <c r="B36" s="61" t="str">
        <f>'Water runs'!B43</f>
        <v>Autumn</v>
      </c>
      <c r="C36" s="54">
        <f>'Water runs'!D43/100</f>
        <v>0.56440000000000001</v>
      </c>
      <c r="D36" s="108">
        <f>VLOOKUP(ROW(D36)+4,'Water runs'!$BS$3:$CF$423,MATCH($B$1,Scenarios,0)+1)</f>
        <v>6.1857180183532728E-2</v>
      </c>
      <c r="E36" s="54">
        <f>IF(B36=Variables!$D$8,C36-Variables!$E$8,IF(B36=Variables!$D$9,C36-Variables!$E$9,IF(B36=Variables!$D$10,C36-Variables!$E$10,IF(B36=Variables!$D$11,C36-Variables!$E$11,"ELSE"))))</f>
        <v>-0.43024329931972782</v>
      </c>
      <c r="F36" s="108">
        <f>VLOOKUP(ROW(F36)+4,'Water runs'!$CH$3:$CU$423,MATCH($B$1,Scenarios,0)+1)</f>
        <v>0</v>
      </c>
      <c r="G36" s="65">
        <f ca="1">H36/Variables!$E$49</f>
        <v>0.35858289741099192</v>
      </c>
      <c r="H36" s="62">
        <f ca="1">IF((H35+I36)&gt;(1.1*Variables!$E$50),(1.1*Variables!$E$50),IF((H35+I36)&gt;0,H35+I36,0))</f>
        <v>2.2232139639481501</v>
      </c>
      <c r="I36" s="64">
        <f t="shared" ca="1" si="1"/>
        <v>0</v>
      </c>
      <c r="J36" s="63">
        <f>IF(SUM(E32:E35)&lt;Variables!$B$3,-H35,0)</f>
        <v>0</v>
      </c>
      <c r="K36" s="64">
        <f ca="1">IF(AND(H35&lt;Variables!$B$6*Variables!$E$50,OR(SUM(D33:D36)&gt;Variables!$B$5,SUM(E33:E36)&gt;Variables!$B$4)),Variables!$B$6*Variables!$E$50+Variables!$B$7*$G$1*Variables!$E$50*SUM(D33:D36),0)</f>
        <v>0</v>
      </c>
      <c r="L36" s="64">
        <f>IF(B36="Winter",Variables!$B$8*H35,0)</f>
        <v>0</v>
      </c>
      <c r="M36" s="64">
        <f ca="1">IF(AND(B36="Spring",AND(NOT(H35=0),H35&lt;(Variables!$B$9*Variables!$E$50))),(Variables!$B$10*Variables!$E$50+Variables!$B$11*Variables!$E$50*SUM(E33:E36)+$G$1*SUM(D35:D36)*Variables!$E$50*Variables!$B$12),0)</f>
        <v>0</v>
      </c>
      <c r="N36" s="64">
        <f>IF(AND(B36="Spring",AND(SUM(D33:D36)&gt;Variables!$B$13,SUM(D29:D32)&gt;Variables!$B$13)),-Variables!$B$14*Variables!$E$50,0)</f>
        <v>0</v>
      </c>
      <c r="O36" s="64">
        <f>IF(AND(B36="Summer",SUM(C32:D36)&gt;Variables!$B$15),(Variables!$B$16*Variables!$E$50*SUM(C32:C36)+$G$1*Variables!$B$16*Variables!$E$50*SUM(D32:D36)+$G$1*Variables!$E$50*Variables!$B$17*F36),0)</f>
        <v>0</v>
      </c>
      <c r="P36" s="64">
        <f ca="1">IF(AND(AND(B36="Autumn",SUM(D35:E36)&gt;0),NOT(H35=0)),Variables!$B$18*Variables!$E$50+Variables!$B$19*Variables!$E$50*SUM(E35:E36)+$G$1*Variables!$B$19*Variables!$E$50*SUM(D35:D36),0)</f>
        <v>0</v>
      </c>
      <c r="Q36" s="64">
        <f>IF(AND(B36="Autumn",AND((E36+E35)&lt;Variables!$B$20,(D35+D36)=0)),-Variables!$B$21*Variables!$E$50,0)</f>
        <v>0</v>
      </c>
      <c r="R36" s="64">
        <f ca="1">IF(B36="Autumn",(SUM(F35:F36)*$G$1*Variables!$B$22*Variables!$E$50),0)</f>
        <v>0</v>
      </c>
      <c r="S36" s="64">
        <f>IF(B36="Spring",($G$1*Variables!$E$50*SUM('Guts (MC)'!F35:F36)*Variables!$B$23),0)</f>
        <v>0</v>
      </c>
      <c r="T36" s="63">
        <f ca="1">IF((H35+SUM(J36:Q36))&lt;(Variables!$B$26*Variables!$E$50),$F$1*((Variables!$B$26*Variables!$E$50)-H35-SUM(J36:Q36)),0)</f>
        <v>0</v>
      </c>
      <c r="U36" s="64">
        <f ca="1">IF(AND(AND(B36="Autumn",SUM(D33:E36)&gt;Variables!$B$27),SUM(J36:Q36)&lt;Variables!$B$28*H35),$F$1*(Variables!$B$28*H35-SUM(J36:Q36)),0)</f>
        <v>0</v>
      </c>
      <c r="V36" s="96">
        <f ca="1">IF(AND((J36+K36)=0,(Q36+T36)=0),$H$1*H36*Variables!$I$23*0.25,0)</f>
        <v>27.098705355604235</v>
      </c>
      <c r="W36" s="97">
        <f ca="1">IF(AND((K36+J36)=0,(T36+Q36)=0),$I$1*H36*Variables!$Q$23*0.25,0)</f>
        <v>8.7152943627747153</v>
      </c>
      <c r="X36" s="95">
        <f ca="1">IF(AND(NOT(K36=0),(H36-H35)&gt;0),(H36-H35)*(Variables!$M$5*$H$1+Variables!$U$5*$I$1),0)+IF(AND(NOT((J36+N36+Q36)=0),(H35-H36)&gt;0),(H35-H36)*(Variables!$M$4*$H$1+Variables!$U$4*$I$1),0)</f>
        <v>0</v>
      </c>
      <c r="Y36" s="95">
        <f ca="1">IF(SUM(T36,U35:U36)&gt;0,H36*Variables!$Y$11*0.25*(1-$J$1),0)</f>
        <v>0</v>
      </c>
      <c r="Z36" s="95">
        <f ca="1">IF(T36=0,H36*$J$1*Variables!$Y$5*0.25,0)</f>
        <v>2.5017534090904285</v>
      </c>
      <c r="AA36" s="95">
        <f t="shared" ca="1" si="0"/>
        <v>38.315753127469378</v>
      </c>
      <c r="AB36" s="91">
        <f ca="1">AA36/Variables!$E$49</f>
        <v>6.1799601818498999</v>
      </c>
    </row>
    <row r="37" spans="1:29" x14ac:dyDescent="0.25">
      <c r="A37" s="61">
        <f>'Water runs'!C44</f>
        <v>5357</v>
      </c>
      <c r="B37" s="61" t="str">
        <f>'Water runs'!B44</f>
        <v>Winter</v>
      </c>
      <c r="C37" s="54">
        <f>'Water runs'!D44/100</f>
        <v>0.49740000000000001</v>
      </c>
      <c r="D37" s="108">
        <f>VLOOKUP(ROW(D37)+4,'Water runs'!$BS$3:$CF$423,MATCH($B$1,Scenarios,0)+1)</f>
        <v>0</v>
      </c>
      <c r="E37" s="54">
        <f>IF(B37=Variables!$D$8,C37-Variables!$E$8,IF(B37=Variables!$D$9,C37-Variables!$E$9,IF(B37=Variables!$D$10,C37-Variables!$E$10,IF(B37=Variables!$D$11,C37-Variables!$E$11,"ELSE"))))</f>
        <v>-7.4367625661375725E-2</v>
      </c>
      <c r="F37" s="108">
        <f>VLOOKUP(ROW(F37)+4,'Water runs'!$CH$3:$CU$423,MATCH($B$1,Scenarios,0)+1)</f>
        <v>0</v>
      </c>
      <c r="G37" s="65">
        <f ca="1">H37/Variables!$E$49</f>
        <v>0.18002824822809846</v>
      </c>
      <c r="H37" s="62">
        <f ca="1">IF((H36+I37)&gt;(1.1*Variables!$E$50),(1.1*Variables!$E$50),IF((H36+I37)&gt;0,H36+I37,0))</f>
        <v>1.1161751390142105</v>
      </c>
      <c r="I37" s="64">
        <f t="shared" ca="1" si="1"/>
        <v>-1.1070388249339396</v>
      </c>
      <c r="J37" s="63">
        <f>IF(SUM(E33:E36)&lt;Variables!$B$3,-H36,0)</f>
        <v>0</v>
      </c>
      <c r="K37" s="64">
        <f ca="1">IF(AND(H36&lt;Variables!$B$6*Variables!$E$50,OR(SUM(D34:D37)&gt;Variables!$B$5,SUM(E34:E37)&gt;Variables!$B$4)),Variables!$B$6*Variables!$E$50+Variables!$B$7*$G$1*Variables!$E$50*SUM(D34:D37),0)</f>
        <v>0</v>
      </c>
      <c r="L37" s="64">
        <f ca="1">IF(B37="Winter",Variables!$B$8*H36,0)</f>
        <v>-1.1070388249339396</v>
      </c>
      <c r="M37" s="64">
        <f ca="1">IF(AND(B37="Spring",AND(NOT(H36=0),H36&lt;(Variables!$B$9*Variables!$E$50))),(Variables!$B$10*Variables!$E$50+Variables!$B$11*Variables!$E$50*SUM(E34:E37)+$G$1*SUM(D36:D37)*Variables!$E$50*Variables!$B$12),0)</f>
        <v>0</v>
      </c>
      <c r="N37" s="64">
        <f>IF(AND(B37="Spring",AND(SUM(D34:D37)&gt;Variables!$B$13,SUM(D30:D33)&gt;Variables!$B$13)),-Variables!$B$14*Variables!$E$50,0)</f>
        <v>0</v>
      </c>
      <c r="O37" s="64">
        <f>IF(AND(B37="Summer",SUM(C33:D37)&gt;Variables!$B$15),(Variables!$B$16*Variables!$E$50*SUM(C33:C37)+$G$1*Variables!$B$16*Variables!$E$50*SUM(D33:D37)+$G$1*Variables!$E$50*Variables!$B$17*F37),0)</f>
        <v>0</v>
      </c>
      <c r="P37" s="64">
        <f ca="1">IF(AND(AND(B37="Autumn",SUM(D36:E37)&gt;0),NOT(H36=0)),Variables!$B$18*Variables!$E$50+Variables!$B$19*Variables!$E$50*SUM(E36:E37)+$G$1*Variables!$B$19*Variables!$E$50*SUM(D36:D37),0)</f>
        <v>0</v>
      </c>
      <c r="Q37" s="64">
        <f>IF(AND(B37="Autumn",AND((E37+E36)&lt;Variables!$B$20,(D36+D37)=0)),-Variables!$B$21*Variables!$E$50,0)</f>
        <v>0</v>
      </c>
      <c r="R37" s="64">
        <f>IF(B37="Autumn",(SUM(F36:F37)*$G$1*Variables!$B$22*Variables!$E$50),0)</f>
        <v>0</v>
      </c>
      <c r="S37" s="64">
        <f>IF(B37="Spring",($G$1*Variables!$E$50*SUM('Guts (MC)'!F36:F37)*Variables!$B$23),0)</f>
        <v>0</v>
      </c>
      <c r="T37" s="63">
        <f ca="1">IF((H36+SUM(J37:Q37))&lt;(Variables!$B$26*Variables!$E$50),$F$1*((Variables!$B$26*Variables!$E$50)-H36-SUM(J37:Q37)),0)</f>
        <v>0</v>
      </c>
      <c r="U37" s="64">
        <f ca="1">IF(AND(AND(B37="Autumn",SUM(D34:E37)&gt;Variables!$B$27),SUM(J37:Q37)&lt;Variables!$B$28*H36),$F$1*(Variables!$B$28*H36-SUM(J37:Q37)),0)</f>
        <v>0</v>
      </c>
      <c r="V37" s="96">
        <f ca="1">IF(AND((J37+K37)=0,(Q37+T37)=0),$H$1*H37*Variables!$I$23*0.25,0)</f>
        <v>13.605033841943836</v>
      </c>
      <c r="W37" s="97">
        <f ca="1">IF(AND((K37+J37)=0,(T37+Q37)=0),$I$1*H37*Variables!$Q$23*0.25,0)</f>
        <v>4.3755549644193872</v>
      </c>
      <c r="X37" s="95">
        <f ca="1">IF(AND(NOT(K37=0),(H37-H36)&gt;0),(H37-H36)*(Variables!$M$5*$H$1+Variables!$U$5*$I$1),0)+IF(AND(NOT((J37+N37+Q37)=0),(H36-H37)&gt;0),(H36-H37)*(Variables!$M$4*$H$1+Variables!$U$4*$I$1),0)</f>
        <v>0</v>
      </c>
      <c r="Y37" s="95">
        <f ca="1">IF(SUM(T37,U36:U37)&gt;0,H37*Variables!$Y$11*0.25*(1-$J$1),0)</f>
        <v>0</v>
      </c>
      <c r="Z37" s="95">
        <f ca="1">IF(T37=0,H37*$J$1*Variables!$Y$5*0.25,0)</f>
        <v>1.2560171915310572</v>
      </c>
      <c r="AA37" s="95">
        <f t="shared" ca="1" si="0"/>
        <v>19.23660599789428</v>
      </c>
      <c r="AB37" s="91">
        <f ca="1">AA37/Variables!$E$49</f>
        <v>3.1026783867571419</v>
      </c>
    </row>
    <row r="38" spans="1:29" x14ac:dyDescent="0.25">
      <c r="A38" s="61">
        <f>'Water runs'!C45</f>
        <v>5448</v>
      </c>
      <c r="B38" s="61" t="str">
        <f>'Water runs'!B45</f>
        <v>Spring</v>
      </c>
      <c r="C38" s="54">
        <f>'Water runs'!D45/100</f>
        <v>0.98580000000000001</v>
      </c>
      <c r="D38" s="108">
        <f>VLOOKUP(ROW(D38)+4,'Water runs'!$BS$3:$CF$423,MATCH($B$1,Scenarios,0)+1)</f>
        <v>0</v>
      </c>
      <c r="E38" s="54">
        <f>IF(B38=Variables!$D$8,C38-Variables!$E$8,IF(B38=Variables!$D$9,C38-Variables!$E$9,IF(B38=Variables!$D$10,C38-Variables!$E$10,IF(B38=Variables!$D$11,C38-Variables!$E$11,"ELSE"))))</f>
        <v>0.22181779100529087</v>
      </c>
      <c r="F38" s="108">
        <f>VLOOKUP(ROW(F38)+4,'Water runs'!$CH$3:$CU$423,MATCH($B$1,Scenarios,0)+1)</f>
        <v>0</v>
      </c>
      <c r="G38" s="65">
        <f ca="1">H38/Variables!$E$49</f>
        <v>0.32865543995155638</v>
      </c>
      <c r="H38" s="62">
        <f ca="1">IF((H37+I38)&gt;(1.1*Variables!$E$50),(1.1*Variables!$E$50),IF((H37+I38)&gt;0,H37+I38,0))</f>
        <v>2.0376637276996497</v>
      </c>
      <c r="I38" s="64">
        <f t="shared" ca="1" si="1"/>
        <v>0.92148858868543904</v>
      </c>
      <c r="J38" s="63">
        <f>IF(SUM(E34:E37)&lt;Variables!$B$3,-H37,0)</f>
        <v>0</v>
      </c>
      <c r="K38" s="64">
        <f ca="1">IF(AND(H37&lt;Variables!$B$6*Variables!$E$50,OR(SUM(D35:D38)&gt;Variables!$B$5,SUM(E35:E38)&gt;Variables!$B$4)),Variables!$B$6*Variables!$E$50+Variables!$B$7*$G$1*Variables!$E$50*SUM(D35:D38),0)</f>
        <v>1.1443069569827007</v>
      </c>
      <c r="L38" s="64">
        <f>IF(B38="Winter",Variables!$B$8*H37,0)</f>
        <v>0</v>
      </c>
      <c r="M38" s="64">
        <f ca="1">IF(AND(B38="Spring",AND(NOT(H37=0),H37&lt;(Variables!$B$9*Variables!$E$50))),(Variables!$B$10*Variables!$E$50+Variables!$B$11*Variables!$E$50*SUM(E35:E38)+$G$1*SUM(D37:D38)*Variables!$E$50*Variables!$B$12),0)</f>
        <v>-0.22281836829726168</v>
      </c>
      <c r="N38" s="64">
        <f>IF(AND(B38="Spring",AND(SUM(D35:D38)&gt;Variables!$B$13,SUM(D31:D34)&gt;Variables!$B$13)),-Variables!$B$14*Variables!$E$50,0)</f>
        <v>0</v>
      </c>
      <c r="O38" s="64">
        <f>IF(AND(B38="Summer",SUM(C34:D38)&gt;Variables!$B$15),(Variables!$B$16*Variables!$E$50*SUM(C34:C38)+$G$1*Variables!$B$16*Variables!$E$50*SUM(D34:D38)+$G$1*Variables!$E$50*Variables!$B$17*F38),0)</f>
        <v>0</v>
      </c>
      <c r="P38" s="64">
        <f ca="1">IF(AND(AND(B38="Autumn",SUM(D37:E38)&gt;0),NOT(H37=0)),Variables!$B$18*Variables!$E$50+Variables!$B$19*Variables!$E$50*SUM(E37:E38)+$G$1*Variables!$B$19*Variables!$E$50*SUM(D37:D38),0)</f>
        <v>0</v>
      </c>
      <c r="Q38" s="64">
        <f>IF(AND(B38="Autumn",AND((E38+E37)&lt;Variables!$B$20,(D37+D38)=0)),-Variables!$B$21*Variables!$E$50,0)</f>
        <v>0</v>
      </c>
      <c r="R38" s="64">
        <f>IF(B38="Autumn",(SUM(F37:F38)*$G$1*Variables!$B$22*Variables!$E$50),0)</f>
        <v>0</v>
      </c>
      <c r="S38" s="64">
        <f ca="1">IF(B38="Spring",($G$1*Variables!$E$50*SUM('Guts (MC)'!F37:F38)*Variables!$B$23),0)</f>
        <v>0</v>
      </c>
      <c r="T38" s="63">
        <f ca="1">IF((H37+SUM(J38:Q38))&lt;(Variables!$B$26*Variables!$E$50),$F$1*((Variables!$B$26*Variables!$E$50)-H37-SUM(J38:Q38)),0)</f>
        <v>0</v>
      </c>
      <c r="U38" s="64">
        <f ca="1">IF(AND(AND(B38="Autumn",SUM(D35:E38)&gt;Variables!$B$27),SUM(J38:Q38)&lt;Variables!$B$28*H37),$F$1*(Variables!$B$28*H37-SUM(J38:Q38)),0)</f>
        <v>0</v>
      </c>
      <c r="V38" s="96">
        <f ca="1">IF(AND((J38+K38)=0,(Q38+T38)=0),$H$1*H38*Variables!$I$23*0.25,0)</f>
        <v>0</v>
      </c>
      <c r="W38" s="97">
        <f ca="1">IF(AND((K38+J38)=0,(T38+Q38)=0),$I$1*H38*Variables!$Q$23*0.25,0)</f>
        <v>0</v>
      </c>
      <c r="X38" s="95">
        <f ca="1">IF(AND(NOT(K38=0),(H38-H37)&gt;0),(H38-H37)*(Variables!$M$5*$H$1+Variables!$U$5*$I$1),0)+IF(AND(NOT((J38+N38+Q38)=0),(H37-H38)&gt;0),(H37-H38)*(Variables!$M$4*$H$1+Variables!$U$4*$I$1),0)</f>
        <v>-105.33948132937719</v>
      </c>
      <c r="Y38" s="95">
        <f ca="1">IF(SUM(T38,U37:U38)&gt;0,H38*Variables!$Y$11*0.25*(1-$J$1),0)</f>
        <v>0</v>
      </c>
      <c r="Z38" s="95">
        <f ca="1">IF(T38=0,H38*$J$1*Variables!$Y$5*0.25,0)</f>
        <v>2.2929561706690498</v>
      </c>
      <c r="AA38" s="95">
        <f t="shared" ca="1" si="0"/>
        <v>-103.04652515870815</v>
      </c>
      <c r="AB38" s="91">
        <f ca="1">AA38/Variables!$E$49</f>
        <v>-16.620407283662605</v>
      </c>
    </row>
    <row r="39" spans="1:29" x14ac:dyDescent="0.25">
      <c r="A39" s="61">
        <f>'Water runs'!C46</f>
        <v>5538</v>
      </c>
      <c r="B39" s="61" t="str">
        <f>'Water runs'!B46</f>
        <v>Summer</v>
      </c>
      <c r="C39" s="54">
        <f>'Water runs'!D46/100</f>
        <v>0.71439999999999992</v>
      </c>
      <c r="D39" s="108">
        <f>VLOOKUP(ROW(D39)+4,'Water runs'!$BS$3:$CF$423,MATCH($B$1,Scenarios,0)+1)</f>
        <v>0</v>
      </c>
      <c r="E39" s="54">
        <f>IF(B39=Variables!$D$8,C39-Variables!$E$8,IF(B39=Variables!$D$9,C39-Variables!$E$9,IF(B39=Variables!$D$10,C39-Variables!$E$10,IF(B39=Variables!$D$11,C39-Variables!$E$11,"ELSE"))))</f>
        <v>-0.54397013605442179</v>
      </c>
      <c r="F39" s="108">
        <f>VLOOKUP(ROW(F39)+4,'Water runs'!$CH$3:$CU$423,MATCH($B$1,Scenarios,0)+1)</f>
        <v>0</v>
      </c>
      <c r="G39" s="65">
        <f ca="1">H39/Variables!$E$49</f>
        <v>0.32865543995155638</v>
      </c>
      <c r="H39" s="62">
        <f ca="1">IF((H38+I39)&gt;(1.1*Variables!$E$50),(1.1*Variables!$E$50),IF((H38+I39)&gt;0,H38+I39,0))</f>
        <v>2.0376637276996497</v>
      </c>
      <c r="I39" s="64">
        <f t="shared" ca="1" si="1"/>
        <v>0</v>
      </c>
      <c r="J39" s="63">
        <f>IF(SUM(E35:E38)&lt;Variables!$B$3,-H38,0)</f>
        <v>0</v>
      </c>
      <c r="K39" s="64">
        <f ca="1">IF(AND(H38&lt;Variables!$B$6*Variables!$E$50,OR(SUM(D36:D39)&gt;Variables!$B$5,SUM(E36:E39)&gt;Variables!$B$4)),Variables!$B$6*Variables!$E$50+Variables!$B$7*$G$1*Variables!$E$50*SUM(D36:D39),0)</f>
        <v>0</v>
      </c>
      <c r="L39" s="64">
        <f>IF(B39="Winter",Variables!$B$8*H38,0)</f>
        <v>0</v>
      </c>
      <c r="M39" s="64">
        <f ca="1">IF(AND(B39="Spring",AND(NOT(H38=0),H38&lt;(Variables!$B$9*Variables!$E$50))),(Variables!$B$10*Variables!$E$50+Variables!$B$11*Variables!$E$50*SUM(E36:E39)+$G$1*SUM(D38:D39)*Variables!$E$50*Variables!$B$12),0)</f>
        <v>0</v>
      </c>
      <c r="N39" s="64">
        <f>IF(AND(B39="Spring",AND(SUM(D36:D39)&gt;Variables!$B$13,SUM(D32:D35)&gt;Variables!$B$13)),-Variables!$B$14*Variables!$E$50,0)</f>
        <v>0</v>
      </c>
      <c r="O39" s="64">
        <f>IF(AND(B39="Summer",SUM(C35:D39)&gt;Variables!$B$15),(Variables!$B$16*Variables!$E$50*SUM(C35:C39)+$G$1*Variables!$B$16*Variables!$E$50*SUM(D35:D39)+$G$1*Variables!$E$50*Variables!$B$17*F39),0)</f>
        <v>0</v>
      </c>
      <c r="P39" s="64">
        <f ca="1">IF(AND(AND(B39="Autumn",SUM(D38:E39)&gt;0),NOT(H38=0)),Variables!$B$18*Variables!$E$50+Variables!$B$19*Variables!$E$50*SUM(E38:E39)+$G$1*Variables!$B$19*Variables!$E$50*SUM(D38:D39),0)</f>
        <v>0</v>
      </c>
      <c r="Q39" s="64">
        <f>IF(AND(B39="Autumn",AND((E39+E38)&lt;Variables!$B$20,(D38+D39)=0)),-Variables!$B$21*Variables!$E$50,0)</f>
        <v>0</v>
      </c>
      <c r="R39" s="64">
        <f>IF(B39="Autumn",(SUM(F38:F39)*$G$1*Variables!$B$22*Variables!$E$50),0)</f>
        <v>0</v>
      </c>
      <c r="S39" s="64">
        <f>IF(B39="Spring",($G$1*Variables!$E$50*SUM('Guts (MC)'!F38:F39)*Variables!$B$23),0)</f>
        <v>0</v>
      </c>
      <c r="T39" s="63">
        <f ca="1">IF((H38+SUM(J39:Q39))&lt;(Variables!$B$26*Variables!$E$50),$F$1*((Variables!$B$26*Variables!$E$50)-H38-SUM(J39:Q39)),0)</f>
        <v>0</v>
      </c>
      <c r="U39" s="64">
        <f ca="1">IF(AND(AND(B39="Autumn",SUM(D36:E39)&gt;Variables!$B$27),SUM(J39:Q39)&lt;Variables!$B$28*H38),$F$1*(Variables!$B$28*H38-SUM(J39:Q39)),0)</f>
        <v>0</v>
      </c>
      <c r="V39" s="96">
        <f ca="1">IF(AND((J39+K39)=0,(Q39+T39)=0),$H$1*H39*Variables!$I$23*0.25,0)</f>
        <v>24.837037669858205</v>
      </c>
      <c r="W39" s="97">
        <f ca="1">IF(AND((K39+J39)=0,(T39+Q39)=0),$I$1*H39*Variables!$Q$23*0.25,0)</f>
        <v>7.9879127637871576</v>
      </c>
      <c r="X39" s="95">
        <f ca="1">IF(AND(NOT(K39=0),(H39-H38)&gt;0),(H39-H38)*(Variables!$M$5*$H$1+Variables!$U$5*$I$1),0)+IF(AND(NOT((J39+N39+Q39)=0),(H38-H39)&gt;0),(H38-H39)*(Variables!$M$4*$H$1+Variables!$U$4*$I$1),0)</f>
        <v>0</v>
      </c>
      <c r="Y39" s="95">
        <f ca="1">IF(SUM(T39,U38:U39)&gt;0,H39*Variables!$Y$11*0.25*(1-$J$1),0)</f>
        <v>0</v>
      </c>
      <c r="Z39" s="95">
        <f ca="1">IF(T39=0,H39*$J$1*Variables!$Y$5*0.25,0)</f>
        <v>2.2929561706690498</v>
      </c>
      <c r="AA39" s="95">
        <f t="shared" ca="1" si="0"/>
        <v>35.117906604314413</v>
      </c>
      <c r="AB39" s="91">
        <f ca="1">AA39/Variables!$E$49</f>
        <v>5.6641784845668406</v>
      </c>
      <c r="AC39" s="15"/>
    </row>
    <row r="40" spans="1:29" x14ac:dyDescent="0.25">
      <c r="A40" s="61">
        <f>'Water runs'!C47</f>
        <v>5630</v>
      </c>
      <c r="B40" s="61" t="str">
        <f>'Water runs'!B47</f>
        <v>Autumn</v>
      </c>
      <c r="C40" s="54">
        <f>'Water runs'!D47/100</f>
        <v>0.32520000000000004</v>
      </c>
      <c r="D40" s="108">
        <f>VLOOKUP(ROW(D40)+4,'Water runs'!$BS$3:$CF$423,MATCH($B$1,Scenarios,0)+1)</f>
        <v>0</v>
      </c>
      <c r="E40" s="54">
        <f>IF(B40=Variables!$D$8,C40-Variables!$E$8,IF(B40=Variables!$D$9,C40-Variables!$E$9,IF(B40=Variables!$D$10,C40-Variables!$E$10,IF(B40=Variables!$D$11,C40-Variables!$E$11,"ELSE"))))</f>
        <v>-0.66944329931972779</v>
      </c>
      <c r="F40" s="108">
        <f>VLOOKUP(ROW(F40)+4,'Water runs'!$CH$3:$CU$423,MATCH($B$1,Scenarios,0)+1)</f>
        <v>0</v>
      </c>
      <c r="G40" s="65">
        <f ca="1">H40/Variables!$E$49</f>
        <v>0.32865543995155638</v>
      </c>
      <c r="H40" s="62">
        <f ca="1">IF((H39+I40)&gt;(1.1*Variables!$E$50),(1.1*Variables!$E$50),IF((H39+I40)&gt;0,H39+I40,0))</f>
        <v>2.0376637276996497</v>
      </c>
      <c r="I40" s="64">
        <f t="shared" ca="1" si="1"/>
        <v>0</v>
      </c>
      <c r="J40" s="63">
        <f>IF(SUM(E36:E39)&lt;Variables!$B$3,-H39,0)</f>
        <v>0</v>
      </c>
      <c r="K40" s="64">
        <f ca="1">IF(AND(H39&lt;Variables!$B$6*Variables!$E$50,OR(SUM(D37:D40)&gt;Variables!$B$5,SUM(E37:E40)&gt;Variables!$B$4)),Variables!$B$6*Variables!$E$50+Variables!$B$7*$G$1*Variables!$E$50*SUM(D37:D40),0)</f>
        <v>0</v>
      </c>
      <c r="L40" s="64">
        <f>IF(B40="Winter",Variables!$B$8*H39,0)</f>
        <v>0</v>
      </c>
      <c r="M40" s="64">
        <f ca="1">IF(AND(B40="Spring",AND(NOT(H39=0),H39&lt;(Variables!$B$9*Variables!$E$50))),(Variables!$B$10*Variables!$E$50+Variables!$B$11*Variables!$E$50*SUM(E37:E40)+$G$1*SUM(D39:D40)*Variables!$E$50*Variables!$B$12),0)</f>
        <v>0</v>
      </c>
      <c r="N40" s="64">
        <f>IF(AND(B40="Spring",AND(SUM(D37:D40)&gt;Variables!$B$13,SUM(D33:D36)&gt;Variables!$B$13)),-Variables!$B$14*Variables!$E$50,0)</f>
        <v>0</v>
      </c>
      <c r="O40" s="64">
        <f>IF(AND(B40="Summer",SUM(C36:D40)&gt;Variables!$B$15),(Variables!$B$16*Variables!$E$50*SUM(C36:C40)+$G$1*Variables!$B$16*Variables!$E$50*SUM(D36:D40)+$G$1*Variables!$E$50*Variables!$B$17*F40),0)</f>
        <v>0</v>
      </c>
      <c r="P40" s="64">
        <f ca="1">IF(AND(AND(B40="Autumn",SUM(D39:E40)&gt;0),NOT(H39=0)),Variables!$B$18*Variables!$E$50+Variables!$B$19*Variables!$E$50*SUM(E39:E40)+$G$1*Variables!$B$19*Variables!$E$50*SUM(D39:D40),0)</f>
        <v>0</v>
      </c>
      <c r="Q40" s="64">
        <f>IF(AND(B40="Autumn",AND((E40+E39)&lt;Variables!$B$20,(D39+D40)=0)),-Variables!$B$21*Variables!$E$50,0)</f>
        <v>0</v>
      </c>
      <c r="R40" s="64">
        <f ca="1">IF(B40="Autumn",(SUM(F39:F40)*$G$1*Variables!$B$22*Variables!$E$50),0)</f>
        <v>0</v>
      </c>
      <c r="S40" s="64">
        <f>IF(B40="Spring",($G$1*Variables!$E$50*SUM('Guts (MC)'!F39:F40)*Variables!$B$23),0)</f>
        <v>0</v>
      </c>
      <c r="T40" s="63">
        <f ca="1">IF((H39+SUM(J40:Q40))&lt;(Variables!$B$26*Variables!$E$50),$F$1*((Variables!$B$26*Variables!$E$50)-H39-SUM(J40:Q40)),0)</f>
        <v>0</v>
      </c>
      <c r="U40" s="64">
        <f ca="1">IF(AND(AND(B40="Autumn",SUM(D37:E40)&gt;Variables!$B$27),SUM(J40:Q40)&lt;Variables!$B$28*H39),$F$1*(Variables!$B$28*H39-SUM(J40:Q40)),0)</f>
        <v>0</v>
      </c>
      <c r="V40" s="96">
        <f ca="1">IF(AND((J40+K40)=0,(Q40+T40)=0),$H$1*H40*Variables!$I$23*0.25,0)</f>
        <v>24.837037669858205</v>
      </c>
      <c r="W40" s="97">
        <f ca="1">IF(AND((K40+J40)=0,(T40+Q40)=0),$I$1*H40*Variables!$Q$23*0.25,0)</f>
        <v>7.9879127637871576</v>
      </c>
      <c r="X40" s="95">
        <f ca="1">IF(AND(NOT(K40=0),(H40-H39)&gt;0),(H40-H39)*(Variables!$M$5*$H$1+Variables!$U$5*$I$1),0)+IF(AND(NOT((J40+N40+Q40)=0),(H39-H40)&gt;0),(H39-H40)*(Variables!$M$4*$H$1+Variables!$U$4*$I$1),0)</f>
        <v>0</v>
      </c>
      <c r="Y40" s="95">
        <f ca="1">IF(SUM(T40,U39:U40)&gt;0,H40*Variables!$Y$11*0.25*(1-$J$1),0)</f>
        <v>0</v>
      </c>
      <c r="Z40" s="95">
        <f ca="1">IF(T40=0,H40*$J$1*Variables!$Y$5*0.25,0)</f>
        <v>2.2929561706690498</v>
      </c>
      <c r="AA40" s="95">
        <f t="shared" ca="1" si="0"/>
        <v>35.117906604314413</v>
      </c>
      <c r="AB40" s="91">
        <f ca="1">AA40/Variables!$E$49</f>
        <v>5.6641784845668406</v>
      </c>
    </row>
    <row r="41" spans="1:29" x14ac:dyDescent="0.25">
      <c r="A41" s="61">
        <f>'Water runs'!C48</f>
        <v>5722</v>
      </c>
      <c r="B41" s="61" t="str">
        <f>'Water runs'!B48</f>
        <v>Winter</v>
      </c>
      <c r="C41" s="54">
        <f>'Water runs'!D48/100</f>
        <v>0.41619999999999996</v>
      </c>
      <c r="D41" s="108">
        <f>VLOOKUP(ROW(D41)+4,'Water runs'!$BS$3:$CF$423,MATCH($B$1,Scenarios,0)+1)</f>
        <v>0</v>
      </c>
      <c r="E41" s="54">
        <f>IF(B41=Variables!$D$8,C41-Variables!$E$8,IF(B41=Variables!$D$9,C41-Variables!$E$9,IF(B41=Variables!$D$10,C41-Variables!$E$10,IF(B41=Variables!$D$11,C41-Variables!$E$11,"ELSE"))))</f>
        <v>-0.15556762566137577</v>
      </c>
      <c r="F41" s="108">
        <f>VLOOKUP(ROW(F41)+4,'Water runs'!$CH$3:$CU$423,MATCH($B$1,Scenarios,0)+1)</f>
        <v>0</v>
      </c>
      <c r="G41" s="65">
        <f ca="1">H41/Variables!$E$49</f>
        <v>0.16500302594548671</v>
      </c>
      <c r="H41" s="62">
        <f ca="1">IF((H40+I41)&gt;(1.1*Variables!$E$50),(1.1*Variables!$E$50),IF((H40+I41)&gt;0,H40+I41,0))</f>
        <v>1.0230187608620176</v>
      </c>
      <c r="I41" s="64">
        <f t="shared" ca="1" si="1"/>
        <v>-1.0146449668376321</v>
      </c>
      <c r="J41" s="63">
        <f>IF(SUM(E37:E40)&lt;Variables!$B$3,-H40,0)</f>
        <v>0</v>
      </c>
      <c r="K41" s="64">
        <f ca="1">IF(AND(H40&lt;Variables!$B$6*Variables!$E$50,OR(SUM(D38:D41)&gt;Variables!$B$5,SUM(E38:E41)&gt;Variables!$B$4)),Variables!$B$6*Variables!$E$50+Variables!$B$7*$G$1*Variables!$E$50*SUM(D38:D41),0)</f>
        <v>0</v>
      </c>
      <c r="L41" s="64">
        <f ca="1">IF(B41="Winter",Variables!$B$8*H40,0)</f>
        <v>-1.0146449668376321</v>
      </c>
      <c r="M41" s="64">
        <f ca="1">IF(AND(B41="Spring",AND(NOT(H40=0),H40&lt;(Variables!$B$9*Variables!$E$50))),(Variables!$B$10*Variables!$E$50+Variables!$B$11*Variables!$E$50*SUM(E38:E41)+$G$1*SUM(D40:D41)*Variables!$E$50*Variables!$B$12),0)</f>
        <v>0</v>
      </c>
      <c r="N41" s="64">
        <f>IF(AND(B41="Spring",AND(SUM(D38:D41)&gt;Variables!$B$13,SUM(D34:D37)&gt;Variables!$B$13)),-Variables!$B$14*Variables!$E$50,0)</f>
        <v>0</v>
      </c>
      <c r="O41" s="64">
        <f>IF(AND(B41="Summer",SUM(C37:D41)&gt;Variables!$B$15),(Variables!$B$16*Variables!$E$50*SUM(C37:C41)+$G$1*Variables!$B$16*Variables!$E$50*SUM(D37:D41)+$G$1*Variables!$E$50*Variables!$B$17*F41),0)</f>
        <v>0</v>
      </c>
      <c r="P41" s="64">
        <f ca="1">IF(AND(AND(B41="Autumn",SUM(D40:E41)&gt;0),NOT(H40=0)),Variables!$B$18*Variables!$E$50+Variables!$B$19*Variables!$E$50*SUM(E40:E41)+$G$1*Variables!$B$19*Variables!$E$50*SUM(D40:D41),0)</f>
        <v>0</v>
      </c>
      <c r="Q41" s="64">
        <f>IF(AND(B41="Autumn",AND((E41+E40)&lt;Variables!$B$20,(D40+D41)=0)),-Variables!$B$21*Variables!$E$50,0)</f>
        <v>0</v>
      </c>
      <c r="R41" s="64">
        <f>IF(B41="Autumn",(SUM(F40:F41)*$G$1*Variables!$B$22*Variables!$E$50),0)</f>
        <v>0</v>
      </c>
      <c r="S41" s="64">
        <f>IF(B41="Spring",($G$1*Variables!$E$50*SUM('Guts (MC)'!F40:F41)*Variables!$B$23),0)</f>
        <v>0</v>
      </c>
      <c r="T41" s="63">
        <f ca="1">IF((H40+SUM(J41:Q41))&lt;(Variables!$B$26*Variables!$E$50),$F$1*((Variables!$B$26*Variables!$E$50)-H40-SUM(J41:Q41)),0)</f>
        <v>0</v>
      </c>
      <c r="U41" s="64">
        <f ca="1">IF(AND(AND(B41="Autumn",SUM(D38:E41)&gt;Variables!$B$27),SUM(J41:Q41)&lt;Variables!$B$28*H40),$F$1*(Variables!$B$28*H40-SUM(J41:Q41)),0)</f>
        <v>0</v>
      </c>
      <c r="V41" s="96">
        <f ca="1">IF(AND((J41+K41)=0,(Q41+T41)=0),$H$1*H41*Variables!$I$23*0.25,0)</f>
        <v>12.469552829104895</v>
      </c>
      <c r="W41" s="97">
        <f ca="1">IF(AND((K41+J41)=0,(T41+Q41)=0),$I$1*H41*Variables!$Q$23*0.25,0)</f>
        <v>4.0103695749193555</v>
      </c>
      <c r="X41" s="95">
        <f ca="1">IF(AND(NOT(K41=0),(H41-H40)&gt;0),(H41-H40)*(Variables!$M$5*$H$1+Variables!$U$5*$I$1),0)+IF(AND(NOT((J41+N41+Q41)=0),(H40-H41)&gt;0),(H40-H41)*(Variables!$M$4*$H$1+Variables!$U$4*$I$1),0)</f>
        <v>0</v>
      </c>
      <c r="Y41" s="95">
        <f ca="1">IF(SUM(T41,U40:U41)&gt;0,H41*Variables!$Y$11*0.25*(1-$J$1),0)</f>
        <v>0</v>
      </c>
      <c r="Z41" s="95">
        <f ca="1">IF(T41=0,H41*$J$1*Variables!$Y$5*0.25,0)</f>
        <v>1.1511895454295138</v>
      </c>
      <c r="AA41" s="95">
        <f t="shared" ca="1" si="0"/>
        <v>17.631111949453764</v>
      </c>
      <c r="AB41" s="91">
        <f ca="1">AA41/Variables!$E$49</f>
        <v>2.843727733782865</v>
      </c>
    </row>
    <row r="42" spans="1:29" x14ac:dyDescent="0.25">
      <c r="A42" s="61">
        <f>'Water runs'!C49</f>
        <v>5813</v>
      </c>
      <c r="B42" s="61" t="str">
        <f>'Water runs'!B49</f>
        <v>Spring</v>
      </c>
      <c r="C42" s="54">
        <f>'Water runs'!D49/100</f>
        <v>0.20860000000000001</v>
      </c>
      <c r="D42" s="108">
        <f>VLOOKUP(ROW(D42)+4,'Water runs'!$BS$3:$CF$423,MATCH($B$1,Scenarios,0)+1)</f>
        <v>0</v>
      </c>
      <c r="E42" s="54">
        <f>IF(B42=Variables!$D$8,C42-Variables!$E$8,IF(B42=Variables!$D$9,C42-Variables!$E$9,IF(B42=Variables!$D$10,C42-Variables!$E$10,IF(B42=Variables!$D$11,C42-Variables!$E$11,"ELSE"))))</f>
        <v>-0.55538220899470914</v>
      </c>
      <c r="F42" s="108">
        <f>VLOOKUP(ROW(F42)+4,'Water runs'!$CH$3:$CU$423,MATCH($B$1,Scenarios,0)+1)</f>
        <v>0</v>
      </c>
      <c r="G42" s="65">
        <f ca="1">H42/Variables!$E$49</f>
        <v>0.16100000000000003</v>
      </c>
      <c r="H42" s="62">
        <f ca="1">IF((H41+I42)&gt;(1.1*Variables!$E$50),(1.1*Variables!$E$50),IF((H41+I42)&gt;0,H41+I42,0))</f>
        <v>0.9982000000000002</v>
      </c>
      <c r="I42" s="64">
        <f t="shared" ca="1" si="1"/>
        <v>-2.4818760862017397E-2</v>
      </c>
      <c r="J42" s="63">
        <f>IF(SUM(E38:E41)&lt;Variables!$B$3,-H41,0)</f>
        <v>0</v>
      </c>
      <c r="K42" s="64">
        <f ca="1">IF(AND(H41&lt;Variables!$B$6*Variables!$E$50,OR(SUM(D39:D42)&gt;Variables!$B$5,SUM(E39:E42)&gt;Variables!$B$4)),Variables!$B$6*Variables!$E$50+Variables!$B$7*$G$1*Variables!$E$50*SUM(D39:D42),0)</f>
        <v>0</v>
      </c>
      <c r="L42" s="64">
        <f>IF(B42="Winter",Variables!$B$8*H41,0)</f>
        <v>0</v>
      </c>
      <c r="M42" s="64">
        <f ca="1">IF(AND(B42="Spring",AND(NOT(H41=0),H41&lt;(Variables!$B$9*Variables!$E$50))),(Variables!$B$10*Variables!$E$50+Variables!$B$11*Variables!$E$50*SUM(E39:E42)+$G$1*SUM(D41:D42)*Variables!$E$50*Variables!$B$12),0)</f>
        <v>-1.3106100932408891</v>
      </c>
      <c r="N42" s="64">
        <f>IF(AND(B42="Spring",AND(SUM(D39:D42)&gt;Variables!$B$13,SUM(D35:D38)&gt;Variables!$B$13)),-Variables!$B$14*Variables!$E$50,0)</f>
        <v>0</v>
      </c>
      <c r="O42" s="64">
        <f>IF(AND(B42="Summer",SUM(C38:D42)&gt;Variables!$B$15),(Variables!$B$16*Variables!$E$50*SUM(C38:C42)+$G$1*Variables!$B$16*Variables!$E$50*SUM(D38:D42)+$G$1*Variables!$E$50*Variables!$B$17*F42),0)</f>
        <v>0</v>
      </c>
      <c r="P42" s="64">
        <f ca="1">IF(AND(AND(B42="Autumn",SUM(D41:E42)&gt;0),NOT(H41=0)),Variables!$B$18*Variables!$E$50+Variables!$B$19*Variables!$E$50*SUM(E41:E42)+$G$1*Variables!$B$19*Variables!$E$50*SUM(D41:D42),0)</f>
        <v>0</v>
      </c>
      <c r="Q42" s="64">
        <f>IF(AND(B42="Autumn",AND((E42+E41)&lt;Variables!$B$20,(D41+D42)=0)),-Variables!$B$21*Variables!$E$50,0)</f>
        <v>0</v>
      </c>
      <c r="R42" s="64">
        <f>IF(B42="Autumn",(SUM(F41:F42)*$G$1*Variables!$B$22*Variables!$E$50),0)</f>
        <v>0</v>
      </c>
      <c r="S42" s="64">
        <f ca="1">IF(B42="Spring",($G$1*Variables!$E$50*SUM('Guts (MC)'!F41:F42)*Variables!$B$23),0)</f>
        <v>0</v>
      </c>
      <c r="T42" s="63">
        <f ca="1">IF((H41+SUM(J42:Q42))&lt;(Variables!$B$26*Variables!$E$50),$F$1*((Variables!$B$26*Variables!$E$50)-H41-SUM(J42:Q42)),0)</f>
        <v>1.2857913323788717</v>
      </c>
      <c r="U42" s="64">
        <f ca="1">IF(AND(AND(B42="Autumn",SUM(D39:E42)&gt;Variables!$B$27),SUM(J42:Q42)&lt;Variables!$B$28*H41),$F$1*(Variables!$B$28*H41-SUM(J42:Q42)),0)</f>
        <v>0</v>
      </c>
      <c r="V42" s="96">
        <f ca="1">IF(AND((J42+K42)=0,(Q42+T42)=0),$H$1*H42*Variables!$I$23*0.25,0)</f>
        <v>0</v>
      </c>
      <c r="W42" s="97">
        <f ca="1">IF(AND((K42+J42)=0,(T42+Q42)=0),$I$1*H42*Variables!$Q$23*0.25,0)</f>
        <v>0</v>
      </c>
      <c r="X42" s="95">
        <f ca="1">IF(AND(NOT(K42=0),(H42-H41)&gt;0),(H42-H41)*(Variables!$M$5*$H$1+Variables!$U$5*$I$1),0)+IF(AND(NOT((J42+N42+Q42)=0),(H41-H42)&gt;0),(H41-H42)*(Variables!$M$4*$H$1+Variables!$U$4*$I$1),0)</f>
        <v>0</v>
      </c>
      <c r="Y42" s="95">
        <f ca="1">IF(SUM(T42,U41:U42)&gt;0,H42*Variables!$Y$11*0.25*(1-$J$1),0)</f>
        <v>-8.6666009437672749</v>
      </c>
      <c r="Z42" s="95">
        <f ca="1">IF(T42=0,H42*$J$1*Variables!$Y$5*0.25,0)</f>
        <v>0</v>
      </c>
      <c r="AA42" s="95">
        <f t="shared" ca="1" si="0"/>
        <v>-8.6666009437672749</v>
      </c>
      <c r="AB42" s="91">
        <f ca="1">AA42/Variables!$E$49</f>
        <v>-1.3978388618979476</v>
      </c>
    </row>
    <row r="43" spans="1:29" x14ac:dyDescent="0.25">
      <c r="A43" s="61">
        <f>'Water runs'!C50</f>
        <v>5903</v>
      </c>
      <c r="B43" s="61" t="str">
        <f>'Water runs'!B50</f>
        <v>Summer</v>
      </c>
      <c r="C43" s="54">
        <f>'Water runs'!D50/100</f>
        <v>0.59660000000000002</v>
      </c>
      <c r="D43" s="108">
        <f>VLOOKUP(ROW(D43)+4,'Water runs'!$BS$3:$CF$423,MATCH($B$1,Scenarios,0)+1)</f>
        <v>0</v>
      </c>
      <c r="E43" s="54">
        <f>IF(B43=Variables!$D$8,C43-Variables!$E$8,IF(B43=Variables!$D$9,C43-Variables!$E$9,IF(B43=Variables!$D$10,C43-Variables!$E$10,IF(B43=Variables!$D$11,C43-Variables!$E$11,"ELSE"))))</f>
        <v>-0.6617701360544217</v>
      </c>
      <c r="F43" s="108">
        <f>VLOOKUP(ROW(F43)+4,'Water runs'!$CH$3:$CU$423,MATCH($B$1,Scenarios,0)+1)</f>
        <v>0</v>
      </c>
      <c r="G43" s="65">
        <f ca="1">H43/Variables!$E$49</f>
        <v>0.161</v>
      </c>
      <c r="H43" s="62">
        <f ca="1">IF((H42+I43)&gt;(1.1*Variables!$E$50),(1.1*Variables!$E$50),IF((H42+I43)&gt;0,H42+I43,0))</f>
        <v>0.99820000000000009</v>
      </c>
      <c r="I43" s="64">
        <f t="shared" ca="1" si="1"/>
        <v>-1.1102230246251565E-16</v>
      </c>
      <c r="J43" s="63">
        <f ca="1">IF(SUM(E39:E42)&lt;Variables!$B$3,-H42,0)</f>
        <v>-0.9982000000000002</v>
      </c>
      <c r="K43" s="64">
        <f ca="1">IF(AND(H42&lt;Variables!$B$6*Variables!$E$50,OR(SUM(D40:D43)&gt;Variables!$B$5,SUM(E40:E43)&gt;Variables!$B$4)),Variables!$B$6*Variables!$E$50+Variables!$B$7*$G$1*Variables!$E$50*SUM(D40:D43),0)</f>
        <v>0</v>
      </c>
      <c r="L43" s="64">
        <f>IF(B43="Winter",Variables!$B$8*H42,0)</f>
        <v>0</v>
      </c>
      <c r="M43" s="64">
        <f ca="1">IF(AND(B43="Spring",AND(NOT(H42=0),H42&lt;(Variables!$B$9*Variables!$E$50))),(Variables!$B$10*Variables!$E$50+Variables!$B$11*Variables!$E$50*SUM(E40:E43)+$G$1*SUM(D42:D43)*Variables!$E$50*Variables!$B$12),0)</f>
        <v>0</v>
      </c>
      <c r="N43" s="64">
        <f>IF(AND(B43="Spring",AND(SUM(D40:D43)&gt;Variables!$B$13,SUM(D36:D39)&gt;Variables!$B$13)),-Variables!$B$14*Variables!$E$50,0)</f>
        <v>0</v>
      </c>
      <c r="O43" s="64">
        <f>IF(AND(B43="Summer",SUM(C39:D43)&gt;Variables!$B$15),(Variables!$B$16*Variables!$E$50*SUM(C39:C43)+$G$1*Variables!$B$16*Variables!$E$50*SUM(D39:D43)+$G$1*Variables!$E$50*Variables!$B$17*F43),0)</f>
        <v>0</v>
      </c>
      <c r="P43" s="64">
        <f ca="1">IF(AND(AND(B43="Autumn",SUM(D42:E43)&gt;0),NOT(H42=0)),Variables!$B$18*Variables!$E$50+Variables!$B$19*Variables!$E$50*SUM(E42:E43)+$G$1*Variables!$B$19*Variables!$E$50*SUM(D42:D43),0)</f>
        <v>0</v>
      </c>
      <c r="Q43" s="64">
        <f>IF(AND(B43="Autumn",AND((E43+E42)&lt;Variables!$B$20,(D42+D43)=0)),-Variables!$B$21*Variables!$E$50,0)</f>
        <v>0</v>
      </c>
      <c r="R43" s="64">
        <f>IF(B43="Autumn",(SUM(F42:F43)*$G$1*Variables!$B$22*Variables!$E$50),0)</f>
        <v>0</v>
      </c>
      <c r="S43" s="64">
        <f>IF(B43="Spring",($G$1*Variables!$E$50*SUM('Guts (MC)'!F42:F43)*Variables!$B$23),0)</f>
        <v>0</v>
      </c>
      <c r="T43" s="63">
        <f ca="1">IF((H42+SUM(J43:Q43))&lt;(Variables!$B$26*Variables!$E$50),$F$1*((Variables!$B$26*Variables!$E$50)-H42-SUM(J43:Q43)),0)</f>
        <v>0.99820000000000009</v>
      </c>
      <c r="U43" s="64">
        <f ca="1">IF(AND(AND(B43="Autumn",SUM(D40:E43)&gt;Variables!$B$27),SUM(J43:Q43)&lt;Variables!$B$28*H42),$F$1*(Variables!$B$28*H42-SUM(J43:Q43)),0)</f>
        <v>0</v>
      </c>
      <c r="V43" s="96">
        <f ca="1">IF(AND((J43+K43)=0,(Q43+T43)=0),$H$1*H43*Variables!$I$23*0.25,0)</f>
        <v>0</v>
      </c>
      <c r="W43" s="97">
        <f ca="1">IF(AND((K43+J43)=0,(T43+Q43)=0),$I$1*H43*Variables!$Q$23*0.25,0)</f>
        <v>0</v>
      </c>
      <c r="X43" s="95">
        <f ca="1">IF(AND(NOT(K43=0),(H43-H42)&gt;0),(H43-H42)*(Variables!$M$5*$H$1+Variables!$U$5*$I$1),0)+IF(AND(NOT((J43+N43+Q43)=0),(H42-H43)&gt;0),(H42-H43)*(Variables!$M$4*$H$1+Variables!$U$4*$I$1),0)</f>
        <v>6.3457279346661938E-15</v>
      </c>
      <c r="Y43" s="95">
        <f ca="1">IF(SUM(T43,U42:U43)&gt;0,H43*Variables!$Y$11*0.25*(1-$J$1),0)</f>
        <v>-8.6666009437672749</v>
      </c>
      <c r="Z43" s="95">
        <f ca="1">IF(T43=0,H43*$J$1*Variables!$Y$5*0.25,0)</f>
        <v>0</v>
      </c>
      <c r="AA43" s="95">
        <f t="shared" ca="1" si="0"/>
        <v>-8.6666009437672678</v>
      </c>
      <c r="AB43" s="91">
        <f ca="1">AA43/Variables!$E$49</f>
        <v>-1.3978388618979463</v>
      </c>
      <c r="AC43" s="15"/>
    </row>
    <row r="44" spans="1:29" x14ac:dyDescent="0.25">
      <c r="A44" s="61">
        <f>'Water runs'!C51</f>
        <v>5996</v>
      </c>
      <c r="B44" s="61" t="str">
        <f>'Water runs'!B51</f>
        <v>Autumn</v>
      </c>
      <c r="C44" s="54">
        <f>'Water runs'!D51/100</f>
        <v>0.56600000000000006</v>
      </c>
      <c r="D44" s="108">
        <f>VLOOKUP(ROW(D44)+4,'Water runs'!$BS$3:$CF$423,MATCH($B$1,Scenarios,0)+1)</f>
        <v>0</v>
      </c>
      <c r="E44" s="54">
        <f>IF(B44=Variables!$D$8,C44-Variables!$E$8,IF(B44=Variables!$D$9,C44-Variables!$E$9,IF(B44=Variables!$D$10,C44-Variables!$E$10,IF(B44=Variables!$D$11,C44-Variables!$E$11,"ELSE"))))</f>
        <v>-0.42864329931972778</v>
      </c>
      <c r="F44" s="108">
        <f>VLOOKUP(ROW(F44)+4,'Water runs'!$CH$3:$CU$423,MATCH($B$1,Scenarios,0)+1)</f>
        <v>0</v>
      </c>
      <c r="G44" s="65">
        <f ca="1">H44/Variables!$E$49</f>
        <v>0.161</v>
      </c>
      <c r="H44" s="62">
        <f ca="1">IF((H43+I44)&gt;(1.1*Variables!$E$50),(1.1*Variables!$E$50),IF((H43+I44)&gt;0,H43+I44,0))</f>
        <v>0.99820000000000009</v>
      </c>
      <c r="I44" s="64">
        <f t="shared" ca="1" si="1"/>
        <v>0</v>
      </c>
      <c r="J44" s="63">
        <f ca="1">IF(SUM(E40:E43)&lt;Variables!$B$3,-H43,0)</f>
        <v>-0.99820000000000009</v>
      </c>
      <c r="K44" s="64">
        <f ca="1">IF(AND(H43&lt;Variables!$B$6*Variables!$E$50,OR(SUM(D41:D44)&gt;Variables!$B$5,SUM(E41:E44)&gt;Variables!$B$4)),Variables!$B$6*Variables!$E$50+Variables!$B$7*$G$1*Variables!$E$50*SUM(D41:D44),0)</f>
        <v>0</v>
      </c>
      <c r="L44" s="64">
        <f>IF(B44="Winter",Variables!$B$8*H43,0)</f>
        <v>0</v>
      </c>
      <c r="M44" s="64">
        <f ca="1">IF(AND(B44="Spring",AND(NOT(H43=0),H43&lt;(Variables!$B$9*Variables!$E$50))),(Variables!$B$10*Variables!$E$50+Variables!$B$11*Variables!$E$50*SUM(E41:E44)+$G$1*SUM(D43:D44)*Variables!$E$50*Variables!$B$12),0)</f>
        <v>0</v>
      </c>
      <c r="N44" s="64">
        <f>IF(AND(B44="Spring",AND(SUM(D41:D44)&gt;Variables!$B$13,SUM(D37:D40)&gt;Variables!$B$13)),-Variables!$B$14*Variables!$E$50,0)</f>
        <v>0</v>
      </c>
      <c r="O44" s="64">
        <f>IF(AND(B44="Summer",SUM(C40:D44)&gt;Variables!$B$15),(Variables!$B$16*Variables!$E$50*SUM(C40:C44)+$G$1*Variables!$B$16*Variables!$E$50*SUM(D40:D44)+$G$1*Variables!$E$50*Variables!$B$17*F44),0)</f>
        <v>0</v>
      </c>
      <c r="P44" s="64">
        <f ca="1">IF(AND(AND(B44="Autumn",SUM(D43:E44)&gt;0),NOT(H43=0)),Variables!$B$18*Variables!$E$50+Variables!$B$19*Variables!$E$50*SUM(E43:E44)+$G$1*Variables!$B$19*Variables!$E$50*SUM(D43:D44),0)</f>
        <v>0</v>
      </c>
      <c r="Q44" s="64">
        <f>IF(AND(B44="Autumn",AND((E44+E43)&lt;Variables!$B$20,(D43+D44)=0)),-Variables!$B$21*Variables!$E$50,0)</f>
        <v>0</v>
      </c>
      <c r="R44" s="64">
        <f ca="1">IF(B44="Autumn",(SUM(F43:F44)*$G$1*Variables!$B$22*Variables!$E$50),0)</f>
        <v>0</v>
      </c>
      <c r="S44" s="64">
        <f>IF(B44="Spring",($G$1*Variables!$E$50*SUM('Guts (MC)'!F43:F44)*Variables!$B$23),0)</f>
        <v>0</v>
      </c>
      <c r="T44" s="63">
        <f ca="1">IF((H43+SUM(J44:Q44))&lt;(Variables!$B$26*Variables!$E$50),$F$1*((Variables!$B$26*Variables!$E$50)-H43-SUM(J44:Q44)),0)</f>
        <v>0.99820000000000009</v>
      </c>
      <c r="U44" s="64">
        <f ca="1">IF(AND(AND(B44="Autumn",SUM(D41:E44)&gt;Variables!$B$27),SUM(J44:Q44)&lt;Variables!$B$28*H43),$F$1*(Variables!$B$28*H43-SUM(J44:Q44)),0)</f>
        <v>0</v>
      </c>
      <c r="V44" s="96">
        <f ca="1">IF(AND((J44+K44)=0,(Q44+T44)=0),$H$1*H44*Variables!$I$23*0.25,0)</f>
        <v>0</v>
      </c>
      <c r="W44" s="97">
        <f ca="1">IF(AND((K44+J44)=0,(T44+Q44)=0),$I$1*H44*Variables!$Q$23*0.25,0)</f>
        <v>0</v>
      </c>
      <c r="X44" s="95">
        <f ca="1">IF(AND(NOT(K44=0),(H44-H43)&gt;0),(H44-H43)*(Variables!$M$5*$H$1+Variables!$U$5*$I$1),0)+IF(AND(NOT((J44+N44+Q44)=0),(H43-H44)&gt;0),(H43-H44)*(Variables!$M$4*$H$1+Variables!$U$4*$I$1),0)</f>
        <v>0</v>
      </c>
      <c r="Y44" s="95">
        <f ca="1">IF(SUM(T44,U43:U44)&gt;0,H44*Variables!$Y$11*0.25*(1-$J$1),0)</f>
        <v>-8.6666009437672749</v>
      </c>
      <c r="Z44" s="95">
        <f ca="1">IF(T44=0,H44*$J$1*Variables!$Y$5*0.25,0)</f>
        <v>0</v>
      </c>
      <c r="AA44" s="95">
        <f t="shared" ca="1" si="0"/>
        <v>-8.6666009437672749</v>
      </c>
      <c r="AB44" s="91">
        <f ca="1">AA44/Variables!$E$49</f>
        <v>-1.3978388618979476</v>
      </c>
    </row>
    <row r="45" spans="1:29" x14ac:dyDescent="0.25">
      <c r="A45" s="61">
        <f>'Water runs'!C52</f>
        <v>6088</v>
      </c>
      <c r="B45" s="61" t="str">
        <f>'Water runs'!B52</f>
        <v>Winter</v>
      </c>
      <c r="C45" s="54">
        <f>'Water runs'!D52/100</f>
        <v>1.4982</v>
      </c>
      <c r="D45" s="108">
        <f>VLOOKUP(ROW(D45)+4,'Water runs'!$BS$3:$CF$423,MATCH($B$1,Scenarios,0)+1)</f>
        <v>4.9789784558864285E-2</v>
      </c>
      <c r="E45" s="54">
        <f>IF(B45=Variables!$D$8,C45-Variables!$E$8,IF(B45=Variables!$D$9,C45-Variables!$E$9,IF(B45=Variables!$D$10,C45-Variables!$E$10,IF(B45=Variables!$D$11,C45-Variables!$E$11,"ELSE"))))</f>
        <v>0.92643237433862424</v>
      </c>
      <c r="F45" s="108">
        <f>VLOOKUP(ROW(F45)+4,'Water runs'!$CH$3:$CU$423,MATCH($B$1,Scenarios,0)+1)</f>
        <v>0</v>
      </c>
      <c r="G45" s="65">
        <f ca="1">H45/Variables!$E$49</f>
        <v>0.161</v>
      </c>
      <c r="H45" s="62">
        <f ca="1">IF((H44+I45)&gt;(1.1*Variables!$E$50),(1.1*Variables!$E$50),IF((H44+I45)&gt;0,H44+I45,0))</f>
        <v>0.99820000000000009</v>
      </c>
      <c r="I45" s="64">
        <f t="shared" ca="1" si="1"/>
        <v>0</v>
      </c>
      <c r="J45" s="63">
        <f ca="1">IF(SUM(E41:E44)&lt;Variables!$B$3,-H44,0)</f>
        <v>-0.99820000000000009</v>
      </c>
      <c r="K45" s="64">
        <f ca="1">IF(AND(H44&lt;Variables!$B$6*Variables!$E$50,OR(SUM(D42:D45)&gt;Variables!$B$5,SUM(E42:E45)&gt;Variables!$B$4)),Variables!$B$6*Variables!$E$50+Variables!$B$7*$G$1*Variables!$E$50*SUM(D42:D45),0)</f>
        <v>0</v>
      </c>
      <c r="L45" s="64">
        <f ca="1">IF(B45="Winter",Variables!$B$8*H44,0)</f>
        <v>-0.49704894489176149</v>
      </c>
      <c r="M45" s="64">
        <f ca="1">IF(AND(B45="Spring",AND(NOT(H44=0),H44&lt;(Variables!$B$9*Variables!$E$50))),(Variables!$B$10*Variables!$E$50+Variables!$B$11*Variables!$E$50*SUM(E42:E45)+$G$1*SUM(D44:D45)*Variables!$E$50*Variables!$B$12),0)</f>
        <v>0</v>
      </c>
      <c r="N45" s="64">
        <f>IF(AND(B45="Spring",AND(SUM(D42:D45)&gt;Variables!$B$13,SUM(D38:D41)&gt;Variables!$B$13)),-Variables!$B$14*Variables!$E$50,0)</f>
        <v>0</v>
      </c>
      <c r="O45" s="64">
        <f>IF(AND(B45="Summer",SUM(C41:D45)&gt;Variables!$B$15),(Variables!$B$16*Variables!$E$50*SUM(C41:C45)+$G$1*Variables!$B$16*Variables!$E$50*SUM(D41:D45)+$G$1*Variables!$E$50*Variables!$B$17*F45),0)</f>
        <v>0</v>
      </c>
      <c r="P45" s="64">
        <f ca="1">IF(AND(AND(B45="Autumn",SUM(D44:E45)&gt;0),NOT(H44=0)),Variables!$B$18*Variables!$E$50+Variables!$B$19*Variables!$E$50*SUM(E44:E45)+$G$1*Variables!$B$19*Variables!$E$50*SUM(D44:D45),0)</f>
        <v>0</v>
      </c>
      <c r="Q45" s="64">
        <f>IF(AND(B45="Autumn",AND((E45+E44)&lt;Variables!$B$20,(D44+D45)=0)),-Variables!$B$21*Variables!$E$50,0)</f>
        <v>0</v>
      </c>
      <c r="R45" s="64">
        <f>IF(B45="Autumn",(SUM(F44:F45)*$G$1*Variables!$B$22*Variables!$E$50),0)</f>
        <v>0</v>
      </c>
      <c r="S45" s="64">
        <f>IF(B45="Spring",($G$1*Variables!$E$50*SUM('Guts (MC)'!F44:F45)*Variables!$B$23),0)</f>
        <v>0</v>
      </c>
      <c r="T45" s="63">
        <f ca="1">IF((H44+SUM(J45:Q45))&lt;(Variables!$B$26*Variables!$E$50),$F$1*((Variables!$B$26*Variables!$E$50)-H44-SUM(J45:Q45)),0)</f>
        <v>1.4952489448917616</v>
      </c>
      <c r="U45" s="64">
        <f ca="1">IF(AND(AND(B45="Autumn",SUM(D42:E45)&gt;Variables!$B$27),SUM(J45:Q45)&lt;Variables!$B$28*H44),$F$1*(Variables!$B$28*H44-SUM(J45:Q45)),0)</f>
        <v>0</v>
      </c>
      <c r="V45" s="96">
        <f ca="1">IF(AND((J45+K45)=0,(Q45+T45)=0),$H$1*H45*Variables!$I$23*0.25,0)</f>
        <v>0</v>
      </c>
      <c r="W45" s="97">
        <f ca="1">IF(AND((K45+J45)=0,(T45+Q45)=0),$I$1*H45*Variables!$Q$23*0.25,0)</f>
        <v>0</v>
      </c>
      <c r="X45" s="95">
        <f ca="1">IF(AND(NOT(K45=0),(H45-H44)&gt;0),(H45-H44)*(Variables!$M$5*$H$1+Variables!$U$5*$I$1),0)+IF(AND(NOT((J45+N45+Q45)=0),(H44-H45)&gt;0),(H44-H45)*(Variables!$M$4*$H$1+Variables!$U$4*$I$1),0)</f>
        <v>0</v>
      </c>
      <c r="Y45" s="95">
        <f ca="1">IF(SUM(T45,U44:U45)&gt;0,H45*Variables!$Y$11*0.25*(1-$J$1),0)</f>
        <v>-8.6666009437672749</v>
      </c>
      <c r="Z45" s="95">
        <f ca="1">IF(T45=0,H45*$J$1*Variables!$Y$5*0.25,0)</f>
        <v>0</v>
      </c>
      <c r="AA45" s="95">
        <f t="shared" ca="1" si="0"/>
        <v>-8.6666009437672749</v>
      </c>
      <c r="AB45" s="91">
        <f ca="1">AA45/Variables!$E$49</f>
        <v>-1.3978388618979476</v>
      </c>
    </row>
    <row r="46" spans="1:29" x14ac:dyDescent="0.25">
      <c r="A46" s="61">
        <f>'Water runs'!C53</f>
        <v>6179</v>
      </c>
      <c r="B46" s="61" t="str">
        <f>'Water runs'!B53</f>
        <v>Spring</v>
      </c>
      <c r="C46" s="54">
        <f>'Water runs'!D53/100</f>
        <v>1.1978</v>
      </c>
      <c r="D46" s="108">
        <f>VLOOKUP(ROW(D46)+4,'Water runs'!$BS$3:$CF$423,MATCH($B$1,Scenarios,0)+1)</f>
        <v>6.1744748572831139E-2</v>
      </c>
      <c r="E46" s="54">
        <f>IF(B46=Variables!$D$8,C46-Variables!$E$8,IF(B46=Variables!$D$9,C46-Variables!$E$9,IF(B46=Variables!$D$10,C46-Variables!$E$10,IF(B46=Variables!$D$11,C46-Variables!$E$11,"ELSE"))))</f>
        <v>0.43381779100529083</v>
      </c>
      <c r="F46" s="108">
        <f>VLOOKUP(ROW(F46)+4,'Water runs'!$CH$3:$CU$423,MATCH($B$1,Scenarios,0)+1)</f>
        <v>0</v>
      </c>
      <c r="G46" s="65">
        <f ca="1">H46/Variables!$E$49</f>
        <v>0.3828171116653955</v>
      </c>
      <c r="H46" s="62">
        <f ca="1">IF((H45+I46)&gt;(1.1*Variables!$E$50),(1.1*Variables!$E$50),IF((H45+I46)&gt;0,H45+I46,0))</f>
        <v>2.3734660923254522</v>
      </c>
      <c r="I46" s="64">
        <f t="shared" ca="1" si="1"/>
        <v>1.3752660923254523</v>
      </c>
      <c r="J46" s="63">
        <f>IF(SUM(E42:E45)&lt;Variables!$B$3,-H45,0)</f>
        <v>0</v>
      </c>
      <c r="K46" s="64">
        <f ca="1">IF(AND(H45&lt;Variables!$B$6*Variables!$E$50,OR(SUM(D43:D46)&gt;Variables!$B$5,SUM(E43:E46)&gt;Variables!$B$4)),Variables!$B$6*Variables!$E$50+Variables!$B$7*$G$1*Variables!$E$50*SUM(D43:D46),0)</f>
        <v>1.147123385718811</v>
      </c>
      <c r="L46" s="64">
        <f>IF(B46="Winter",Variables!$B$8*H45,0)</f>
        <v>0</v>
      </c>
      <c r="M46" s="64">
        <f ca="1">IF(AND(B46="Spring",AND(NOT(H45=0),H45&lt;(Variables!$B$9*Variables!$E$50))),(Variables!$B$10*Variables!$E$50+Variables!$B$11*Variables!$E$50*SUM(E43:E46)+$G$1*SUM(D45:D46)*Variables!$E$50*Variables!$B$12),0)</f>
        <v>0.22814270660664121</v>
      </c>
      <c r="N46" s="64">
        <f>IF(AND(B46="Spring",AND(SUM(D43:D46)&gt;Variables!$B$13,SUM(D39:D42)&gt;Variables!$B$13)),-Variables!$B$14*Variables!$E$50,0)</f>
        <v>0</v>
      </c>
      <c r="O46" s="64">
        <f>IF(AND(B46="Summer",SUM(C42:D46)&gt;Variables!$B$15),(Variables!$B$16*Variables!$E$50*SUM(C42:C46)+$G$1*Variables!$B$16*Variables!$E$50*SUM(D42:D46)+$G$1*Variables!$E$50*Variables!$B$17*F46),0)</f>
        <v>0</v>
      </c>
      <c r="P46" s="64">
        <f ca="1">IF(AND(AND(B46="Autumn",SUM(D45:E46)&gt;0),NOT(H45=0)),Variables!$B$18*Variables!$E$50+Variables!$B$19*Variables!$E$50*SUM(E45:E46)+$G$1*Variables!$B$19*Variables!$E$50*SUM(D45:D46),0)</f>
        <v>0</v>
      </c>
      <c r="Q46" s="64">
        <f>IF(AND(B46="Autumn",AND((E46+E45)&lt;Variables!$B$20,(D45+D46)=0)),-Variables!$B$21*Variables!$E$50,0)</f>
        <v>0</v>
      </c>
      <c r="R46" s="64">
        <f>IF(B46="Autumn",(SUM(F45:F46)*$G$1*Variables!$B$22*Variables!$E$50),0)</f>
        <v>0</v>
      </c>
      <c r="S46" s="64">
        <f ca="1">IF(B46="Spring",($G$1*Variables!$E$50*SUM('Guts (MC)'!F45:F46)*Variables!$B$23),0)</f>
        <v>0</v>
      </c>
      <c r="T46" s="63">
        <f ca="1">IF((H45+SUM(J46:Q46))&lt;(Variables!$B$26*Variables!$E$50),$F$1*((Variables!$B$26*Variables!$E$50)-H45-SUM(J46:Q46)),0)</f>
        <v>0</v>
      </c>
      <c r="U46" s="64">
        <f ca="1">IF(AND(AND(B46="Autumn",SUM(D43:E46)&gt;Variables!$B$27),SUM(J46:Q46)&lt;Variables!$B$28*H45),$F$1*(Variables!$B$28*H45-SUM(J46:Q46)),0)</f>
        <v>0</v>
      </c>
      <c r="V46" s="96">
        <f ca="1">IF(AND((J46+K46)=0,(Q46+T46)=0),$H$1*H46*Variables!$I$23*0.25,0)</f>
        <v>0</v>
      </c>
      <c r="W46" s="97">
        <f ca="1">IF(AND((K46+J46)=0,(T46+Q46)=0),$I$1*H46*Variables!$Q$23*0.25,0)</f>
        <v>0</v>
      </c>
      <c r="X46" s="95">
        <f ca="1">IF(AND(NOT(K46=0),(H46-H45)&gt;0),(H46-H45)*(Variables!$M$5*$H$1+Variables!$U$5*$I$1),0)+IF(AND(NOT((J46+N46+Q46)=0),(H45-H46)&gt;0),(H45-H46)*(Variables!$M$4*$H$1+Variables!$U$4*$I$1),0)</f>
        <v>-157.2128169944115</v>
      </c>
      <c r="Y46" s="95">
        <f ca="1">IF(SUM(T46,U45:U46)&gt;0,H46*Variables!$Y$11*0.25*(1-$J$1),0)</f>
        <v>0</v>
      </c>
      <c r="Z46" s="95">
        <f ca="1">IF(T46=0,H46*$J$1*Variables!$Y$5*0.25,0)</f>
        <v>2.6708301513592962</v>
      </c>
      <c r="AA46" s="95">
        <f t="shared" ca="1" si="0"/>
        <v>-154.5419868430522</v>
      </c>
      <c r="AB46" s="91">
        <f ca="1">AA46/Variables!$E$49</f>
        <v>-24.92612691016971</v>
      </c>
    </row>
    <row r="47" spans="1:29" x14ac:dyDescent="0.25">
      <c r="A47" s="61">
        <f>'Water runs'!C54</f>
        <v>6269</v>
      </c>
      <c r="B47" s="61" t="str">
        <f>'Water runs'!B54</f>
        <v>Summer</v>
      </c>
      <c r="C47" s="54">
        <f>'Water runs'!D54/100</f>
        <v>2.0525500000000001</v>
      </c>
      <c r="D47" s="108">
        <f>VLOOKUP(ROW(D47)+4,'Water runs'!$BS$3:$CF$423,MATCH($B$1,Scenarios,0)+1)</f>
        <v>0.24149043143651178</v>
      </c>
      <c r="E47" s="54">
        <f>IF(B47=Variables!$D$8,C47-Variables!$E$8,IF(B47=Variables!$D$9,C47-Variables!$E$9,IF(B47=Variables!$D$10,C47-Variables!$E$10,IF(B47=Variables!$D$11,C47-Variables!$E$11,"ELSE"))))</f>
        <v>0.79417986394557838</v>
      </c>
      <c r="F47" s="108">
        <f>VLOOKUP(ROW(F47)+4,'Water runs'!$CH$3:$CU$423,MATCH($B$1,Scenarios,0)+1)</f>
        <v>0.21977173215939952</v>
      </c>
      <c r="G47" s="65">
        <f ca="1">H47/Variables!$E$49</f>
        <v>0.80202803476208062</v>
      </c>
      <c r="H47" s="62">
        <f ca="1">IF((H46+I47)&gt;(1.1*Variables!$E$50),(1.1*Variables!$E$50),IF((H46+I47)&gt;0,H46+I47,0))</f>
        <v>4.9725738155248997</v>
      </c>
      <c r="I47" s="64">
        <f t="shared" ca="1" si="1"/>
        <v>2.5991077231994475</v>
      </c>
      <c r="J47" s="63">
        <f>IF(SUM(E43:E46)&lt;Variables!$B$3,-H46,0)</f>
        <v>0</v>
      </c>
      <c r="K47" s="64">
        <f ca="1">IF(AND(H46&lt;Variables!$B$6*Variables!$E$50,OR(SUM(D44:D47)&gt;Variables!$B$5,SUM(E44:E47)&gt;Variables!$B$4)),Variables!$B$6*Variables!$E$50+Variables!$B$7*$G$1*Variables!$E$50*SUM(D44:D47),0)</f>
        <v>0</v>
      </c>
      <c r="L47" s="64">
        <f>IF(B47="Winter",Variables!$B$8*H46,0)</f>
        <v>0</v>
      </c>
      <c r="M47" s="64">
        <f ca="1">IF(AND(B47="Spring",AND(NOT(H46=0),H46&lt;(Variables!$B$9*Variables!$E$50))),(Variables!$B$10*Variables!$E$50+Variables!$B$11*Variables!$E$50*SUM(E44:E47)+$G$1*SUM(D46:D47)*Variables!$E$50*Variables!$B$12),0)</f>
        <v>0</v>
      </c>
      <c r="N47" s="64">
        <f>IF(AND(B47="Spring",AND(SUM(D44:D47)&gt;Variables!$B$13,SUM(D40:D43)&gt;Variables!$B$13)),-Variables!$B$14*Variables!$E$50,0)</f>
        <v>0</v>
      </c>
      <c r="O47" s="64">
        <f ca="1">IF(AND(B47="Summer",SUM(C43:D47)&gt;Variables!$B$15),(Variables!$B$16*Variables!$E$50*SUM(C43:C47)+$G$1*Variables!$B$16*Variables!$E$50*SUM(D43:D47)+$G$1*Variables!$E$50*Variables!$B$17*F47),0)</f>
        <v>2.5991077231994475</v>
      </c>
      <c r="P47" s="64">
        <f ca="1">IF(AND(AND(B47="Autumn",SUM(D46:E47)&gt;0),NOT(H46=0)),Variables!$B$18*Variables!$E$50+Variables!$B$19*Variables!$E$50*SUM(E46:E47)+$G$1*Variables!$B$19*Variables!$E$50*SUM(D46:D47),0)</f>
        <v>0</v>
      </c>
      <c r="Q47" s="64">
        <f>IF(AND(B47="Autumn",AND((E47+E46)&lt;Variables!$B$20,(D46+D47)=0)),-Variables!$B$21*Variables!$E$50,0)</f>
        <v>0</v>
      </c>
      <c r="R47" s="64">
        <f>IF(B47="Autumn",(SUM(F46:F47)*$G$1*Variables!$B$22*Variables!$E$50),0)</f>
        <v>0</v>
      </c>
      <c r="S47" s="64">
        <f>IF(B47="Spring",($G$1*Variables!$E$50*SUM('Guts (MC)'!F46:F47)*Variables!$B$23),0)</f>
        <v>0</v>
      </c>
      <c r="T47" s="63">
        <f ca="1">IF((H46+SUM(J47:Q47))&lt;(Variables!$B$26*Variables!$E$50),$F$1*((Variables!$B$26*Variables!$E$50)-H46-SUM(J47:Q47)),0)</f>
        <v>0</v>
      </c>
      <c r="U47" s="64">
        <f ca="1">IF(AND(AND(B47="Autumn",SUM(D44:E47)&gt;Variables!$B$27),SUM(J47:Q47)&lt;Variables!$B$28*H46),$F$1*(Variables!$B$28*H46-SUM(J47:Q47)),0)</f>
        <v>0</v>
      </c>
      <c r="V47" s="96">
        <f ca="1">IF(AND((J47+K47)=0,(Q47+T47)=0),$H$1*H47*Variables!$I$23*0.25,0)</f>
        <v>60.610591185115744</v>
      </c>
      <c r="W47" s="97">
        <f ca="1">IF(AND((K47+J47)=0,(T47+Q47)=0),$I$1*H47*Variables!$Q$23*0.25,0)</f>
        <v>19.493150567461999</v>
      </c>
      <c r="X47" s="95">
        <f ca="1">IF(AND(NOT(K47=0),(H47-H46)&gt;0),(H47-H46)*(Variables!$M$5*$H$1+Variables!$U$5*$I$1),0)+IF(AND(NOT((J47+N47+Q47)=0),(H46-H47)&gt;0),(H46-H47)*(Variables!$M$4*$H$1+Variables!$U$4*$I$1),0)</f>
        <v>0</v>
      </c>
      <c r="Y47" s="95">
        <f ca="1">IF(SUM(T47,U46:U47)&gt;0,H47*Variables!$Y$11*0.25*(1-$J$1),0)</f>
        <v>0</v>
      </c>
      <c r="Z47" s="95">
        <f ca="1">IF(T47=0,H47*$J$1*Variables!$Y$5*0.25,0)</f>
        <v>5.5955718597822504</v>
      </c>
      <c r="AA47" s="95">
        <f t="shared" ca="1" si="0"/>
        <v>85.699313612360001</v>
      </c>
      <c r="AB47" s="91">
        <f ca="1">AA47/Variables!$E$49</f>
        <v>13.822469937477418</v>
      </c>
      <c r="AC47" s="15"/>
    </row>
    <row r="48" spans="1:29" x14ac:dyDescent="0.25">
      <c r="A48" s="61">
        <f>'Water runs'!C55</f>
        <v>6361</v>
      </c>
      <c r="B48" s="61" t="str">
        <f>'Water runs'!B55</f>
        <v>Autumn</v>
      </c>
      <c r="C48" s="54">
        <f>'Water runs'!D55/100</f>
        <v>0.23600000000000002</v>
      </c>
      <c r="D48" s="108">
        <f>VLOOKUP(ROW(D48)+4,'Water runs'!$BS$3:$CF$423,MATCH($B$1,Scenarios,0)+1)</f>
        <v>3.7893411665967269E-2</v>
      </c>
      <c r="E48" s="54">
        <f>IF(B48=Variables!$D$8,C48-Variables!$E$8,IF(B48=Variables!$D$9,C48-Variables!$E$9,IF(B48=Variables!$D$10,C48-Variables!$E$10,IF(B48=Variables!$D$11,C48-Variables!$E$11,"ELSE"))))</f>
        <v>-0.75864329931972785</v>
      </c>
      <c r="F48" s="108">
        <f>VLOOKUP(ROW(F48)+4,'Water runs'!$CH$3:$CU$423,MATCH($B$1,Scenarios,0)+1)</f>
        <v>0</v>
      </c>
      <c r="G48" s="65">
        <f ca="1">H48/Variables!$E$49</f>
        <v>1.1683070547836671</v>
      </c>
      <c r="H48" s="62">
        <f ca="1">IF((H47+I48)&gt;(1.1*Variables!$E$50),(1.1*Variables!$E$50),IF((H47+I48)&gt;0,H47+I48,0))</f>
        <v>7.2435037396587365</v>
      </c>
      <c r="I48" s="64">
        <f t="shared" ca="1" si="1"/>
        <v>2.2709299241338363</v>
      </c>
      <c r="J48" s="63">
        <f>IF(SUM(E44:E47)&lt;Variables!$B$3,-H47,0)</f>
        <v>0</v>
      </c>
      <c r="K48" s="64">
        <f ca="1">IF(AND(H47&lt;Variables!$B$6*Variables!$E$50,OR(SUM(D45:D48)&gt;Variables!$B$5,SUM(E45:E48)&gt;Variables!$B$4)),Variables!$B$6*Variables!$E$50+Variables!$B$7*$G$1*Variables!$E$50*SUM(D45:D48),0)</f>
        <v>0</v>
      </c>
      <c r="L48" s="64">
        <f>IF(B48="Winter",Variables!$B$8*H47,0)</f>
        <v>0</v>
      </c>
      <c r="M48" s="64">
        <f ca="1">IF(AND(B48="Spring",AND(NOT(H47=0),H47&lt;(Variables!$B$9*Variables!$E$50))),(Variables!$B$10*Variables!$E$50+Variables!$B$11*Variables!$E$50*SUM(E45:E48)+$G$1*SUM(D47:D48)*Variables!$E$50*Variables!$B$12),0)</f>
        <v>0</v>
      </c>
      <c r="N48" s="64">
        <f>IF(AND(B48="Spring",AND(SUM(D45:D48)&gt;Variables!$B$13,SUM(D41:D44)&gt;Variables!$B$13)),-Variables!$B$14*Variables!$E$50,0)</f>
        <v>0</v>
      </c>
      <c r="O48" s="64">
        <f>IF(AND(B48="Summer",SUM(C44:D48)&gt;Variables!$B$15),(Variables!$B$16*Variables!$E$50*SUM(C44:C48)+$G$1*Variables!$B$16*Variables!$E$50*SUM(D44:D48)+$G$1*Variables!$E$50*Variables!$B$17*F48),0)</f>
        <v>0</v>
      </c>
      <c r="P48" s="64">
        <f ca="1">IF(AND(AND(B48="Autumn",SUM(D47:E48)&gt;0),NOT(H47=0)),Variables!$B$18*Variables!$E$50+Variables!$B$19*Variables!$E$50*SUM(E47:E48)+$G$1*Variables!$B$19*Variables!$E$50*SUM(D47:D48),0)</f>
        <v>0.9298859317676802</v>
      </c>
      <c r="Q48" s="64">
        <f>IF(AND(B48="Autumn",AND((E48+E47)&lt;Variables!$B$20,(D47+D48)=0)),-Variables!$B$21*Variables!$E$50,0)</f>
        <v>0</v>
      </c>
      <c r="R48" s="64">
        <f ca="1">IF(B48="Autumn",(SUM(F47:F48)*$G$1*Variables!$B$22*Variables!$E$50),0)</f>
        <v>3.3271707147631308E-2</v>
      </c>
      <c r="S48" s="64">
        <f>IF(B48="Spring",($G$1*Variables!$E$50*SUM('Guts (MC)'!F47:F48)*Variables!$B$23),0)</f>
        <v>0</v>
      </c>
      <c r="T48" s="63">
        <f ca="1">IF((H47+SUM(J48:Q48))&lt;(Variables!$B$26*Variables!$E$50),$F$1*((Variables!$B$26*Variables!$E$50)-H47-SUM(J48:Q48)),0)</f>
        <v>0</v>
      </c>
      <c r="U48" s="64">
        <f ca="1">IF(AND(AND(B48="Autumn",SUM(D45:E48)&gt;Variables!$B$27),SUM(J48:Q48)&lt;Variables!$B$28*H47),$F$1*(Variables!$B$28*H47-SUM(J48:Q48)),0)</f>
        <v>1.307772285218525</v>
      </c>
      <c r="V48" s="96">
        <f ca="1">IF(AND((J48+K48)=0,(Q48+T48)=0),$H$1*H48*Variables!$I$23*0.25,0)</f>
        <v>88.29090531378445</v>
      </c>
      <c r="W48" s="97">
        <f ca="1">IF(AND((K48+J48)=0,(T48+Q48)=0),$I$1*H48*Variables!$Q$23*0.25,0)</f>
        <v>28.395497839027453</v>
      </c>
      <c r="X48" s="95">
        <f ca="1">IF(AND(NOT(K48=0),(H48-H47)&gt;0),(H48-H47)*(Variables!$M$5*$H$1+Variables!$U$5*$I$1),0)+IF(AND(NOT((J48+N48+Q48)=0),(H47-H48)&gt;0),(H47-H48)*(Variables!$M$4*$H$1+Variables!$U$4*$I$1),0)</f>
        <v>0</v>
      </c>
      <c r="Y48" s="95">
        <f ca="1">IF(SUM(T48,U47:U48)&gt;0,H48*Variables!$Y$11*0.25*(1-$J$1),0)</f>
        <v>-62.889757910547168</v>
      </c>
      <c r="Z48" s="95">
        <f ca="1">IF(T48=0,H48*$J$1*Variables!$Y$5*0.25,0)</f>
        <v>8.1510194107763994</v>
      </c>
      <c r="AA48" s="95">
        <f t="shared" ca="1" si="0"/>
        <v>61.947664653041137</v>
      </c>
      <c r="AB48" s="91">
        <f ca="1">AA48/Variables!$E$49</f>
        <v>9.9915588150066341</v>
      </c>
    </row>
    <row r="49" spans="1:29" x14ac:dyDescent="0.25">
      <c r="A49" s="61">
        <f>'Water runs'!C56</f>
        <v>6453</v>
      </c>
      <c r="B49" s="61" t="str">
        <f>'Water runs'!B56</f>
        <v>Winter</v>
      </c>
      <c r="C49" s="54">
        <f>'Water runs'!D56/100</f>
        <v>0.53125</v>
      </c>
      <c r="D49" s="108">
        <f>VLOOKUP(ROW(D49)+4,'Water runs'!$BS$3:$CF$423,MATCH($B$1,Scenarios,0)+1)</f>
        <v>0</v>
      </c>
      <c r="E49" s="54">
        <f>IF(B49=Variables!$D$8,C49-Variables!$E$8,IF(B49=Variables!$D$9,C49-Variables!$E$9,IF(B49=Variables!$D$10,C49-Variables!$E$10,IF(B49=Variables!$D$11,C49-Variables!$E$11,"ELSE"))))</f>
        <v>-4.0517625661375734E-2</v>
      </c>
      <c r="F49" s="108">
        <f>VLOOKUP(ROW(F49)+4,'Water runs'!$CH$3:$CU$423,MATCH($B$1,Scenarios,0)+1)</f>
        <v>0</v>
      </c>
      <c r="G49" s="65">
        <f ca="1">H49/Variables!$E$49</f>
        <v>0.58655411059430318</v>
      </c>
      <c r="H49" s="62">
        <f ca="1">IF((H48+I49)&gt;(1.1*Variables!$E$50),(1.1*Variables!$E$50),IF((H48+I49)&gt;0,H48+I49,0))</f>
        <v>3.6366354856846801</v>
      </c>
      <c r="I49" s="64">
        <f t="shared" ca="1" si="1"/>
        <v>-3.6068682539740564</v>
      </c>
      <c r="J49" s="63">
        <f>IF(SUM(E45:E48)&lt;Variables!$B$3,-H48,0)</f>
        <v>0</v>
      </c>
      <c r="K49" s="64">
        <f ca="1">IF(AND(H48&lt;Variables!$B$6*Variables!$E$50,OR(SUM(D46:D49)&gt;Variables!$B$5,SUM(E46:E49)&gt;Variables!$B$4)),Variables!$B$6*Variables!$E$50+Variables!$B$7*$G$1*Variables!$E$50*SUM(D46:D49),0)</f>
        <v>0</v>
      </c>
      <c r="L49" s="64">
        <f ca="1">IF(B49="Winter",Variables!$B$8*H48,0)</f>
        <v>-3.6068682539740564</v>
      </c>
      <c r="M49" s="64">
        <f ca="1">IF(AND(B49="Spring",AND(NOT(H48=0),H48&lt;(Variables!$B$9*Variables!$E$50))),(Variables!$B$10*Variables!$E$50+Variables!$B$11*Variables!$E$50*SUM(E46:E49)+$G$1*SUM(D48:D49)*Variables!$E$50*Variables!$B$12),0)</f>
        <v>0</v>
      </c>
      <c r="N49" s="64">
        <f>IF(AND(B49="Spring",AND(SUM(D46:D49)&gt;Variables!$B$13,SUM(D42:D45)&gt;Variables!$B$13)),-Variables!$B$14*Variables!$E$50,0)</f>
        <v>0</v>
      </c>
      <c r="O49" s="64">
        <f>IF(AND(B49="Summer",SUM(C45:D49)&gt;Variables!$B$15),(Variables!$B$16*Variables!$E$50*SUM(C45:C49)+$G$1*Variables!$B$16*Variables!$E$50*SUM(D45:D49)+$G$1*Variables!$E$50*Variables!$B$17*F49),0)</f>
        <v>0</v>
      </c>
      <c r="P49" s="64">
        <f ca="1">IF(AND(AND(B49="Autumn",SUM(D48:E49)&gt;0),NOT(H48=0)),Variables!$B$18*Variables!$E$50+Variables!$B$19*Variables!$E$50*SUM(E48:E49)+$G$1*Variables!$B$19*Variables!$E$50*SUM(D48:D49),0)</f>
        <v>0</v>
      </c>
      <c r="Q49" s="64">
        <f>IF(AND(B49="Autumn",AND((E49+E48)&lt;Variables!$B$20,(D48+D49)=0)),-Variables!$B$21*Variables!$E$50,0)</f>
        <v>0</v>
      </c>
      <c r="R49" s="64">
        <f>IF(B49="Autumn",(SUM(F48:F49)*$G$1*Variables!$B$22*Variables!$E$50),0)</f>
        <v>0</v>
      </c>
      <c r="S49" s="64">
        <f>IF(B49="Spring",($G$1*Variables!$E$50*SUM('Guts (MC)'!F48:F49)*Variables!$B$23),0)</f>
        <v>0</v>
      </c>
      <c r="T49" s="63">
        <f ca="1">IF((H48+SUM(J49:Q49))&lt;(Variables!$B$26*Variables!$E$50),$F$1*((Variables!$B$26*Variables!$E$50)-H48-SUM(J49:Q49)),0)</f>
        <v>0</v>
      </c>
      <c r="U49" s="64">
        <f ca="1">IF(AND(AND(B49="Autumn",SUM(D46:E49)&gt;Variables!$B$27),SUM(J49:Q49)&lt;Variables!$B$28*H48),$F$1*(Variables!$B$28*H48-SUM(J49:Q49)),0)</f>
        <v>0</v>
      </c>
      <c r="V49" s="96">
        <f ca="1">IF(AND((J49+K49)=0,(Q49+T49)=0),$H$1*H49*Variables!$I$23*0.25,0)</f>
        <v>44.32686871815735</v>
      </c>
      <c r="W49" s="97">
        <f ca="1">IF(AND((K49+J49)=0,(T49+Q49)=0),$I$1*H49*Variables!$Q$23*0.25,0)</f>
        <v>14.256094672763291</v>
      </c>
      <c r="X49" s="95">
        <f ca="1">IF(AND(NOT(K49=0),(H49-H48)&gt;0),(H49-H48)*(Variables!$M$5*$H$1+Variables!$U$5*$I$1),0)+IF(AND(NOT((J49+N49+Q49)=0),(H48-H49)&gt;0),(H48-H49)*(Variables!$M$4*$H$1+Variables!$U$4*$I$1),0)</f>
        <v>0</v>
      </c>
      <c r="Y49" s="95">
        <f ca="1">IF(SUM(T49,U48:U49)&gt;0,H49*Variables!$Y$11*0.25*(1-$J$1),0)</f>
        <v>-31.574101915820886</v>
      </c>
      <c r="Z49" s="95">
        <f ca="1">IF(T49=0,H49*$J$1*Variables!$Y$5*0.25,0)</f>
        <v>4.0922580423946355</v>
      </c>
      <c r="AA49" s="95">
        <f t="shared" ca="1" si="0"/>
        <v>31.101119517494389</v>
      </c>
      <c r="AB49" s="91">
        <f ca="1">AA49/Variables!$E$49</f>
        <v>5.0163095995958695</v>
      </c>
    </row>
    <row r="50" spans="1:29" x14ac:dyDescent="0.25">
      <c r="A50" s="61">
        <f>'Water runs'!C57</f>
        <v>6544</v>
      </c>
      <c r="B50" s="61" t="str">
        <f>'Water runs'!B57</f>
        <v>Spring</v>
      </c>
      <c r="C50" s="54">
        <f>'Water runs'!D57/100</f>
        <v>1.32555</v>
      </c>
      <c r="D50" s="108">
        <f>VLOOKUP(ROW(D50)+4,'Water runs'!$BS$3:$CF$423,MATCH($B$1,Scenarios,0)+1)</f>
        <v>0.20852500811566205</v>
      </c>
      <c r="E50" s="54">
        <f>IF(B50=Variables!$D$8,C50-Variables!$E$8,IF(B50=Variables!$D$9,C50-Variables!$E$9,IF(B50=Variables!$D$10,C50-Variables!$E$10,IF(B50=Variables!$D$11,C50-Variables!$E$11,"ELSE"))))</f>
        <v>0.56156779100529086</v>
      </c>
      <c r="F50" s="108">
        <f>VLOOKUP(ROW(F50)+4,'Water runs'!$CH$3:$CU$423,MATCH($B$1,Scenarios,0)+1)</f>
        <v>0.19666386907259756</v>
      </c>
      <c r="G50" s="65">
        <f ca="1">H50/Variables!$E$49</f>
        <v>0.59091556018178137</v>
      </c>
      <c r="H50" s="62">
        <f ca="1">IF((H49+I50)&gt;(1.1*Variables!$E$50),(1.1*Variables!$E$50),IF((H49+I50)&gt;0,H49+I50,0))</f>
        <v>3.6636764731270448</v>
      </c>
      <c r="I50" s="64">
        <f t="shared" ca="1" si="1"/>
        <v>2.7040987442364828E-2</v>
      </c>
      <c r="J50" s="63">
        <f>IF(SUM(E46:E49)&lt;Variables!$B$3,-H49,0)</f>
        <v>0</v>
      </c>
      <c r="K50" s="64">
        <f ca="1">IF(AND(H49&lt;Variables!$B$6*Variables!$E$50,OR(SUM(D47:D50)&gt;Variables!$B$5,SUM(E47:E50)&gt;Variables!$B$4)),Variables!$B$6*Variables!$E$50+Variables!$B$7*$G$1*Variables!$E$50*SUM(D47:D50),0)</f>
        <v>0</v>
      </c>
      <c r="L50" s="64">
        <f>IF(B50="Winter",Variables!$B$8*H49,0)</f>
        <v>0</v>
      </c>
      <c r="M50" s="64">
        <f ca="1">IF(AND(B50="Spring",AND(NOT(H49=0),H49&lt;(Variables!$B$9*Variables!$E$50))),(Variables!$B$10*Variables!$E$50+Variables!$B$11*Variables!$E$50*SUM(E47:E50)+$G$1*SUM(D49:D50)*Variables!$E$50*Variables!$B$12),0)</f>
        <v>0</v>
      </c>
      <c r="N50" s="64">
        <f>IF(AND(B50="Spring",AND(SUM(D47:D50)&gt;Variables!$B$13,SUM(D43:D46)&gt;Variables!$B$13)),-Variables!$B$14*Variables!$E$50,0)</f>
        <v>0</v>
      </c>
      <c r="O50" s="64">
        <f>IF(AND(B50="Summer",SUM(C46:D50)&gt;Variables!$B$15),(Variables!$B$16*Variables!$E$50*SUM(C46:C50)+$G$1*Variables!$B$16*Variables!$E$50*SUM(D46:D50)+$G$1*Variables!$E$50*Variables!$B$17*F50),0)</f>
        <v>0</v>
      </c>
      <c r="P50" s="64">
        <f ca="1">IF(AND(AND(B50="Autumn",SUM(D49:E50)&gt;0),NOT(H49=0)),Variables!$B$18*Variables!$E$50+Variables!$B$19*Variables!$E$50*SUM(E49:E50)+$G$1*Variables!$B$19*Variables!$E$50*SUM(D49:D50),0)</f>
        <v>0</v>
      </c>
      <c r="Q50" s="64">
        <f>IF(AND(B50="Autumn",AND((E50+E49)&lt;Variables!$B$20,(D49+D50)=0)),-Variables!$B$21*Variables!$E$50,0)</f>
        <v>0</v>
      </c>
      <c r="R50" s="64">
        <f>IF(B50="Autumn",(SUM(F49:F50)*$G$1*Variables!$B$22*Variables!$E$50),0)</f>
        <v>0</v>
      </c>
      <c r="S50" s="64">
        <f ca="1">IF(B50="Spring",($G$1*Variables!$E$50*SUM('Guts (MC)'!F49:F50)*Variables!$B$23),0)</f>
        <v>2.7040987442364828E-2</v>
      </c>
      <c r="T50" s="63">
        <f ca="1">IF((H49+SUM(J50:Q50))&lt;(Variables!$B$26*Variables!$E$50),$F$1*((Variables!$B$26*Variables!$E$50)-H49-SUM(J50:Q50)),0)</f>
        <v>0</v>
      </c>
      <c r="U50" s="64">
        <f ca="1">IF(AND(AND(B50="Autumn",SUM(D47:E50)&gt;Variables!$B$27),SUM(J50:Q50)&lt;Variables!$B$28*H49),$F$1*(Variables!$B$28*H49-SUM(J50:Q50)),0)</f>
        <v>0</v>
      </c>
      <c r="V50" s="96">
        <f ca="1">IF(AND((J50+K50)=0,(Q50+T50)=0),$H$1*H50*Variables!$I$23*0.25,0)</f>
        <v>44.656470710186895</v>
      </c>
      <c r="W50" s="97">
        <f ca="1">IF(AND((K50+J50)=0,(T50+Q50)=0),$I$1*H50*Variables!$Q$23*0.25,0)</f>
        <v>14.36209893921805</v>
      </c>
      <c r="X50" s="95">
        <f ca="1">IF(AND(NOT(K50=0),(H50-H49)&gt;0),(H50-H49)*(Variables!$M$5*$H$1+Variables!$U$5*$I$1),0)+IF(AND(NOT((J50+N50+Q50)=0),(H49-H50)&gt;0),(H49-H50)*(Variables!$M$4*$H$1+Variables!$U$4*$I$1),0)</f>
        <v>0</v>
      </c>
      <c r="Y50" s="95">
        <f ca="1">IF(SUM(T50,U49:U50)&gt;0,H50*Variables!$Y$11*0.25*(1-$J$1),0)</f>
        <v>0</v>
      </c>
      <c r="Z50" s="95">
        <f ca="1">IF(T50=0,H50*$J$1*Variables!$Y$5*0.25,0)</f>
        <v>4.1226869096184506</v>
      </c>
      <c r="AA50" s="95">
        <f t="shared" ca="1" si="0"/>
        <v>63.141256559023397</v>
      </c>
      <c r="AB50" s="91">
        <f ca="1">AA50/Variables!$E$49</f>
        <v>10.18407363855216</v>
      </c>
    </row>
    <row r="51" spans="1:29" x14ac:dyDescent="0.25">
      <c r="A51" s="61">
        <f>'Water runs'!C58</f>
        <v>6634</v>
      </c>
      <c r="B51" s="61" t="str">
        <f>'Water runs'!B58</f>
        <v>Summer</v>
      </c>
      <c r="C51" s="54">
        <f>'Water runs'!D58/100</f>
        <v>1.1772499999999999</v>
      </c>
      <c r="D51" s="108">
        <f>VLOOKUP(ROW(D51)+4,'Water runs'!$BS$3:$CF$423,MATCH($B$1,Scenarios,0)+1)</f>
        <v>3.0063579284079843E-2</v>
      </c>
      <c r="E51" s="54">
        <f>IF(B51=Variables!$D$8,C51-Variables!$E$8,IF(B51=Variables!$D$9,C51-Variables!$E$9,IF(B51=Variables!$D$10,C51-Variables!$E$10,IF(B51=Variables!$D$11,C51-Variables!$E$11,"ELSE"))))</f>
        <v>-8.112013605442181E-2</v>
      </c>
      <c r="F51" s="108">
        <f>VLOOKUP(ROW(F51)+4,'Water runs'!$CH$3:$CU$423,MATCH($B$1,Scenarios,0)+1)</f>
        <v>0</v>
      </c>
      <c r="G51" s="65">
        <f ca="1">H51/Variables!$E$49</f>
        <v>0.59091556018178137</v>
      </c>
      <c r="H51" s="62">
        <f ca="1">IF((H50+I51)&gt;(1.1*Variables!$E$50),(1.1*Variables!$E$50),IF((H50+I51)&gt;0,H50+I51,0))</f>
        <v>3.6636764731270448</v>
      </c>
      <c r="I51" s="64">
        <f t="shared" ca="1" si="1"/>
        <v>0</v>
      </c>
      <c r="J51" s="63">
        <f>IF(SUM(E47:E50)&lt;Variables!$B$3,-H50,0)</f>
        <v>0</v>
      </c>
      <c r="K51" s="64">
        <f ca="1">IF(AND(H50&lt;Variables!$B$6*Variables!$E$50,OR(SUM(D48:D51)&gt;Variables!$B$5,SUM(E48:E51)&gt;Variables!$B$4)),Variables!$B$6*Variables!$E$50+Variables!$B$7*$G$1*Variables!$E$50*SUM(D48:D51),0)</f>
        <v>0</v>
      </c>
      <c r="L51" s="64">
        <f>IF(B51="Winter",Variables!$B$8*H50,0)</f>
        <v>0</v>
      </c>
      <c r="M51" s="64">
        <f ca="1">IF(AND(B51="Spring",AND(NOT(H50=0),H50&lt;(Variables!$B$9*Variables!$E$50))),(Variables!$B$10*Variables!$E$50+Variables!$B$11*Variables!$E$50*SUM(E48:E51)+$G$1*SUM(D50:D51)*Variables!$E$50*Variables!$B$12),0)</f>
        <v>0</v>
      </c>
      <c r="N51" s="64">
        <f>IF(AND(B51="Spring",AND(SUM(D48:D51)&gt;Variables!$B$13,SUM(D44:D47)&gt;Variables!$B$13)),-Variables!$B$14*Variables!$E$50,0)</f>
        <v>0</v>
      </c>
      <c r="O51" s="64">
        <f>IF(AND(B51="Summer",SUM(C47:D51)&gt;Variables!$B$15),(Variables!$B$16*Variables!$E$50*SUM(C47:C51)+$G$1*Variables!$B$16*Variables!$E$50*SUM(D47:D51)+$G$1*Variables!$E$50*Variables!$B$17*F51),0)</f>
        <v>0</v>
      </c>
      <c r="P51" s="64">
        <f ca="1">IF(AND(AND(B51="Autumn",SUM(D50:E51)&gt;0),NOT(H50=0)),Variables!$B$18*Variables!$E$50+Variables!$B$19*Variables!$E$50*SUM(E50:E51)+$G$1*Variables!$B$19*Variables!$E$50*SUM(D50:D51),0)</f>
        <v>0</v>
      </c>
      <c r="Q51" s="64">
        <f>IF(AND(B51="Autumn",AND((E51+E50)&lt;Variables!$B$20,(D50+D51)=0)),-Variables!$B$21*Variables!$E$50,0)</f>
        <v>0</v>
      </c>
      <c r="R51" s="64">
        <f>IF(B51="Autumn",(SUM(F50:F51)*$G$1*Variables!$B$22*Variables!$E$50),0)</f>
        <v>0</v>
      </c>
      <c r="S51" s="64">
        <f>IF(B51="Spring",($G$1*Variables!$E$50*SUM('Guts (MC)'!F50:F51)*Variables!$B$23),0)</f>
        <v>0</v>
      </c>
      <c r="T51" s="63">
        <f ca="1">IF((H50+SUM(J51:Q51))&lt;(Variables!$B$26*Variables!$E$50),$F$1*((Variables!$B$26*Variables!$E$50)-H50-SUM(J51:Q51)),0)</f>
        <v>0</v>
      </c>
      <c r="U51" s="64">
        <f ca="1">IF(AND(AND(B51="Autumn",SUM(D48:E51)&gt;Variables!$B$27),SUM(J51:Q51)&lt;Variables!$B$28*H50),$F$1*(Variables!$B$28*H50-SUM(J51:Q51)),0)</f>
        <v>0</v>
      </c>
      <c r="V51" s="96">
        <f ca="1">IF(AND((J51+K51)=0,(Q51+T51)=0),$H$1*H51*Variables!$I$23*0.25,0)</f>
        <v>44.656470710186895</v>
      </c>
      <c r="W51" s="97">
        <f ca="1">IF(AND((K51+J51)=0,(T51+Q51)=0),$I$1*H51*Variables!$Q$23*0.25,0)</f>
        <v>14.36209893921805</v>
      </c>
      <c r="X51" s="95">
        <f ca="1">IF(AND(NOT(K51=0),(H51-H50)&gt;0),(H51-H50)*(Variables!$M$5*$H$1+Variables!$U$5*$I$1),0)+IF(AND(NOT((J51+N51+Q51)=0),(H50-H51)&gt;0),(H50-H51)*(Variables!$M$4*$H$1+Variables!$U$4*$I$1),0)</f>
        <v>0</v>
      </c>
      <c r="Y51" s="95">
        <f ca="1">IF(SUM(T51,U50:U51)&gt;0,H51*Variables!$Y$11*0.25*(1-$J$1),0)</f>
        <v>0</v>
      </c>
      <c r="Z51" s="95">
        <f ca="1">IF(T51=0,H51*$J$1*Variables!$Y$5*0.25,0)</f>
        <v>4.1226869096184506</v>
      </c>
      <c r="AA51" s="95">
        <f t="shared" ca="1" si="0"/>
        <v>63.141256559023397</v>
      </c>
      <c r="AB51" s="91">
        <f ca="1">AA51/Variables!$E$49</f>
        <v>10.18407363855216</v>
      </c>
      <c r="AC51" s="15"/>
    </row>
    <row r="52" spans="1:29" x14ac:dyDescent="0.25">
      <c r="A52" s="61">
        <f>'Water runs'!C59</f>
        <v>6726</v>
      </c>
      <c r="B52" s="61" t="str">
        <f>'Water runs'!B59</f>
        <v>Autumn</v>
      </c>
      <c r="C52" s="54">
        <f>'Water runs'!D59/100</f>
        <v>0.25340000000000001</v>
      </c>
      <c r="D52" s="108">
        <f>VLOOKUP(ROW(D52)+4,'Water runs'!$BS$3:$CF$423,MATCH($B$1,Scenarios,0)+1)</f>
        <v>0</v>
      </c>
      <c r="E52" s="54">
        <f>IF(B52=Variables!$D$8,C52-Variables!$E$8,IF(B52=Variables!$D$9,C52-Variables!$E$9,IF(B52=Variables!$D$10,C52-Variables!$E$10,IF(B52=Variables!$D$11,C52-Variables!$E$11,"ELSE"))))</f>
        <v>-0.74124329931972777</v>
      </c>
      <c r="F52" s="108">
        <f>VLOOKUP(ROW(F52)+4,'Water runs'!$CH$3:$CU$423,MATCH($B$1,Scenarios,0)+1)</f>
        <v>0</v>
      </c>
      <c r="G52" s="65">
        <f ca="1">H52/Variables!$E$49</f>
        <v>0.59091556018178137</v>
      </c>
      <c r="H52" s="62">
        <f ca="1">IF((H51+I52)&gt;(1.1*Variables!$E$50),(1.1*Variables!$E$50),IF((H51+I52)&gt;0,H51+I52,0))</f>
        <v>3.6636764731270448</v>
      </c>
      <c r="I52" s="64">
        <f t="shared" ca="1" si="1"/>
        <v>0</v>
      </c>
      <c r="J52" s="63">
        <f>IF(SUM(E48:E51)&lt;Variables!$B$3,-H51,0)</f>
        <v>0</v>
      </c>
      <c r="K52" s="64">
        <f ca="1">IF(AND(H51&lt;Variables!$B$6*Variables!$E$50,OR(SUM(D49:D52)&gt;Variables!$B$5,SUM(E49:E52)&gt;Variables!$B$4)),Variables!$B$6*Variables!$E$50+Variables!$B$7*$G$1*Variables!$E$50*SUM(D49:D52),0)</f>
        <v>0</v>
      </c>
      <c r="L52" s="64">
        <f>IF(B52="Winter",Variables!$B$8*H51,0)</f>
        <v>0</v>
      </c>
      <c r="M52" s="64">
        <f ca="1">IF(AND(B52="Spring",AND(NOT(H51=0),H51&lt;(Variables!$B$9*Variables!$E$50))),(Variables!$B$10*Variables!$E$50+Variables!$B$11*Variables!$E$50*SUM(E49:E52)+$G$1*SUM(D51:D52)*Variables!$E$50*Variables!$B$12),0)</f>
        <v>0</v>
      </c>
      <c r="N52" s="64">
        <f>IF(AND(B52="Spring",AND(SUM(D49:D52)&gt;Variables!$B$13,SUM(D45:D48)&gt;Variables!$B$13)),-Variables!$B$14*Variables!$E$50,0)</f>
        <v>0</v>
      </c>
      <c r="O52" s="64">
        <f>IF(AND(B52="Summer",SUM(C48:D52)&gt;Variables!$B$15),(Variables!$B$16*Variables!$E$50*SUM(C48:C52)+$G$1*Variables!$B$16*Variables!$E$50*SUM(D48:D52)+$G$1*Variables!$E$50*Variables!$B$17*F52),0)</f>
        <v>0</v>
      </c>
      <c r="P52" s="64">
        <f ca="1">IF(AND(AND(B52="Autumn",SUM(D51:E52)&gt;0),NOT(H51=0)),Variables!$B$18*Variables!$E$50+Variables!$B$19*Variables!$E$50*SUM(E51:E52)+$G$1*Variables!$B$19*Variables!$E$50*SUM(D51:D52),0)</f>
        <v>0</v>
      </c>
      <c r="Q52" s="64">
        <f>IF(AND(B52="Autumn",AND((E52+E51)&lt;Variables!$B$20,(D51+D52)=0)),-Variables!$B$21*Variables!$E$50,0)</f>
        <v>0</v>
      </c>
      <c r="R52" s="64">
        <f ca="1">IF(B52="Autumn",(SUM(F51:F52)*$G$1*Variables!$B$22*Variables!$E$50),0)</f>
        <v>0</v>
      </c>
      <c r="S52" s="64">
        <f>IF(B52="Spring",($G$1*Variables!$E$50*SUM('Guts (MC)'!F51:F52)*Variables!$B$23),0)</f>
        <v>0</v>
      </c>
      <c r="T52" s="63">
        <f ca="1">IF((H51+SUM(J52:Q52))&lt;(Variables!$B$26*Variables!$E$50),$F$1*((Variables!$B$26*Variables!$E$50)-H51-SUM(J52:Q52)),0)</f>
        <v>0</v>
      </c>
      <c r="U52" s="64">
        <f ca="1">IF(AND(AND(B52="Autumn",SUM(D49:E52)&gt;Variables!$B$27),SUM(J52:Q52)&lt;Variables!$B$28*H51),$F$1*(Variables!$B$28*H51-SUM(J52:Q52)),0)</f>
        <v>0</v>
      </c>
      <c r="V52" s="96">
        <f ca="1">IF(AND((J52+K52)=0,(Q52+T52)=0),$H$1*H52*Variables!$I$23*0.25,0)</f>
        <v>44.656470710186895</v>
      </c>
      <c r="W52" s="97">
        <f ca="1">IF(AND((K52+J52)=0,(T52+Q52)=0),$I$1*H52*Variables!$Q$23*0.25,0)</f>
        <v>14.36209893921805</v>
      </c>
      <c r="X52" s="95">
        <f ca="1">IF(AND(NOT(K52=0),(H52-H51)&gt;0),(H52-H51)*(Variables!$M$5*$H$1+Variables!$U$5*$I$1),0)+IF(AND(NOT((J52+N52+Q52)=0),(H51-H52)&gt;0),(H51-H52)*(Variables!$M$4*$H$1+Variables!$U$4*$I$1),0)</f>
        <v>0</v>
      </c>
      <c r="Y52" s="95">
        <f ca="1">IF(SUM(T52,U51:U52)&gt;0,H52*Variables!$Y$11*0.25*(1-$J$1),0)</f>
        <v>0</v>
      </c>
      <c r="Z52" s="95">
        <f ca="1">IF(T52=0,H52*$J$1*Variables!$Y$5*0.25,0)</f>
        <v>4.1226869096184506</v>
      </c>
      <c r="AA52" s="95">
        <f t="shared" ca="1" si="0"/>
        <v>63.141256559023397</v>
      </c>
      <c r="AB52" s="91">
        <f ca="1">AA52/Variables!$E$49</f>
        <v>10.18407363855216</v>
      </c>
    </row>
    <row r="53" spans="1:29" x14ac:dyDescent="0.25">
      <c r="A53" s="61">
        <f>'Water runs'!C60</f>
        <v>6818</v>
      </c>
      <c r="B53" s="61" t="str">
        <f>'Water runs'!B60</f>
        <v>Winter</v>
      </c>
      <c r="C53" s="54">
        <f>'Water runs'!D60/100</f>
        <v>0.97900000000000009</v>
      </c>
      <c r="D53" s="108">
        <f>VLOOKUP(ROW(D53)+4,'Water runs'!$BS$3:$CF$423,MATCH($B$1,Scenarios,0)+1)</f>
        <v>0</v>
      </c>
      <c r="E53" s="54">
        <f>IF(B53=Variables!$D$8,C53-Variables!$E$8,IF(B53=Variables!$D$9,C53-Variables!$E$9,IF(B53=Variables!$D$10,C53-Variables!$E$10,IF(B53=Variables!$D$11,C53-Variables!$E$11,"ELSE"))))</f>
        <v>0.40723237433862436</v>
      </c>
      <c r="F53" s="108">
        <f>VLOOKUP(ROW(F53)+4,'Water runs'!$CH$3:$CU$423,MATCH($B$1,Scenarios,0)+1)</f>
        <v>0</v>
      </c>
      <c r="G53" s="65">
        <f ca="1">H53/Variables!$E$49</f>
        <v>0.29667196600378243</v>
      </c>
      <c r="H53" s="62">
        <f ca="1">IF((H52+I53)&gt;(1.1*Variables!$E$50),(1.1*Variables!$E$50),IF((H52+I53)&gt;0,H52+I53,0))</f>
        <v>1.839366189223451</v>
      </c>
      <c r="I53" s="64">
        <f t="shared" ca="1" si="1"/>
        <v>-1.8243102839035938</v>
      </c>
      <c r="J53" s="63">
        <f>IF(SUM(E49:E52)&lt;Variables!$B$3,-H52,0)</f>
        <v>0</v>
      </c>
      <c r="K53" s="64">
        <f ca="1">IF(AND(H52&lt;Variables!$B$6*Variables!$E$50,OR(SUM(D50:D53)&gt;Variables!$B$5,SUM(E50:E53)&gt;Variables!$B$4)),Variables!$B$6*Variables!$E$50+Variables!$B$7*$G$1*Variables!$E$50*SUM(D50:D53),0)</f>
        <v>0</v>
      </c>
      <c r="L53" s="64">
        <f ca="1">IF(B53="Winter",Variables!$B$8*H52,0)</f>
        <v>-1.8243102839035938</v>
      </c>
      <c r="M53" s="64">
        <f ca="1">IF(AND(B53="Spring",AND(NOT(H52=0),H52&lt;(Variables!$B$9*Variables!$E$50))),(Variables!$B$10*Variables!$E$50+Variables!$B$11*Variables!$E$50*SUM(E50:E53)+$G$1*SUM(D52:D53)*Variables!$E$50*Variables!$B$12),0)</f>
        <v>0</v>
      </c>
      <c r="N53" s="64">
        <f>IF(AND(B53="Spring",AND(SUM(D50:D53)&gt;Variables!$B$13,SUM(D46:D49)&gt;Variables!$B$13)),-Variables!$B$14*Variables!$E$50,0)</f>
        <v>0</v>
      </c>
      <c r="O53" s="64">
        <f>IF(AND(B53="Summer",SUM(C49:D53)&gt;Variables!$B$15),(Variables!$B$16*Variables!$E$50*SUM(C49:C53)+$G$1*Variables!$B$16*Variables!$E$50*SUM(D49:D53)+$G$1*Variables!$E$50*Variables!$B$17*F53),0)</f>
        <v>0</v>
      </c>
      <c r="P53" s="64">
        <f ca="1">IF(AND(AND(B53="Autumn",SUM(D52:E53)&gt;0),NOT(H52=0)),Variables!$B$18*Variables!$E$50+Variables!$B$19*Variables!$E$50*SUM(E52:E53)+$G$1*Variables!$B$19*Variables!$E$50*SUM(D52:D53),0)</f>
        <v>0</v>
      </c>
      <c r="Q53" s="64">
        <f>IF(AND(B53="Autumn",AND((E53+E52)&lt;Variables!$B$20,(D52+D53)=0)),-Variables!$B$21*Variables!$E$50,0)</f>
        <v>0</v>
      </c>
      <c r="R53" s="64">
        <f>IF(B53="Autumn",(SUM(F52:F53)*$G$1*Variables!$B$22*Variables!$E$50),0)</f>
        <v>0</v>
      </c>
      <c r="S53" s="64">
        <f>IF(B53="Spring",($G$1*Variables!$E$50*SUM('Guts (MC)'!F52:F53)*Variables!$B$23),0)</f>
        <v>0</v>
      </c>
      <c r="T53" s="63">
        <f ca="1">IF((H52+SUM(J53:Q53))&lt;(Variables!$B$26*Variables!$E$50),$F$1*((Variables!$B$26*Variables!$E$50)-H52-SUM(J53:Q53)),0)</f>
        <v>0</v>
      </c>
      <c r="U53" s="64">
        <f ca="1">IF(AND(AND(B53="Autumn",SUM(D50:E53)&gt;Variables!$B$27),SUM(J53:Q53)&lt;Variables!$B$28*H52),$F$1*(Variables!$B$28*H52-SUM(J53:Q53)),0)</f>
        <v>0</v>
      </c>
      <c r="V53" s="96">
        <f ca="1">IF(AND((J53+K53)=0,(Q53+T53)=0),$H$1*H53*Variables!$I$23*0.25,0)</f>
        <v>22.419993401943813</v>
      </c>
      <c r="W53" s="97">
        <f ca="1">IF(AND((K53+J53)=0,(T53+Q53)=0),$I$1*H53*Variables!$Q$23*0.25,0)</f>
        <v>7.2105600450391103</v>
      </c>
      <c r="X53" s="95">
        <f ca="1">IF(AND(NOT(K53=0),(H53-H52)&gt;0),(H53-H52)*(Variables!$M$5*$H$1+Variables!$U$5*$I$1),0)+IF(AND(NOT((J53+N53+Q53)=0),(H52-H53)&gt;0),(H52-H53)*(Variables!$M$4*$H$1+Variables!$U$4*$I$1),0)</f>
        <v>0</v>
      </c>
      <c r="Y53" s="95">
        <f ca="1">IF(SUM(T53,U52:U53)&gt;0,H53*Variables!$Y$11*0.25*(1-$J$1),0)</f>
        <v>0</v>
      </c>
      <c r="Z53" s="95">
        <f ca="1">IF(T53=0,H53*$J$1*Variables!$Y$5*0.25,0)</f>
        <v>2.0698145608457317</v>
      </c>
      <c r="AA53" s="95">
        <f t="shared" ca="1" si="0"/>
        <v>31.700368007828654</v>
      </c>
      <c r="AB53" s="91">
        <f ca="1">AA53/Variables!$E$49</f>
        <v>5.1129625819078477</v>
      </c>
    </row>
    <row r="54" spans="1:29" x14ac:dyDescent="0.25">
      <c r="A54" s="61">
        <f>'Water runs'!C61</f>
        <v>6909</v>
      </c>
      <c r="B54" s="61" t="str">
        <f>'Water runs'!B61</f>
        <v>Spring</v>
      </c>
      <c r="C54" s="54">
        <f>'Water runs'!D61/100</f>
        <v>0.24879999999999999</v>
      </c>
      <c r="D54" s="108">
        <f>VLOOKUP(ROW(D54)+4,'Water runs'!$BS$3:$CF$423,MATCH($B$1,Scenarios,0)+1)</f>
        <v>0</v>
      </c>
      <c r="E54" s="54">
        <f>IF(B54=Variables!$D$8,C54-Variables!$E$8,IF(B54=Variables!$D$9,C54-Variables!$E$9,IF(B54=Variables!$D$10,C54-Variables!$E$10,IF(B54=Variables!$D$11,C54-Variables!$E$11,"ELSE"))))</f>
        <v>-0.51518220899470912</v>
      </c>
      <c r="F54" s="108">
        <f>VLOOKUP(ROW(F54)+4,'Water runs'!$CH$3:$CU$423,MATCH($B$1,Scenarios,0)+1)</f>
        <v>0</v>
      </c>
      <c r="G54" s="65">
        <f ca="1">H54/Variables!$E$49</f>
        <v>0.19447830080499351</v>
      </c>
      <c r="H54" s="62">
        <f ca="1">IF((H53+I54)&gt;(1.1*Variables!$E$50),(1.1*Variables!$E$50),IF((H53+I54)&gt;0,H53+I54,0))</f>
        <v>1.2057654649909597</v>
      </c>
      <c r="I54" s="64">
        <f t="shared" ca="1" si="1"/>
        <v>-0.63360072423249125</v>
      </c>
      <c r="J54" s="63">
        <f>IF(SUM(E50:E53)&lt;Variables!$B$3,-H53,0)</f>
        <v>0</v>
      </c>
      <c r="K54" s="64">
        <f ca="1">IF(AND(H53&lt;Variables!$B$6*Variables!$E$50,OR(SUM(D51:D54)&gt;Variables!$B$5,SUM(E51:E54)&gt;Variables!$B$4)),Variables!$B$6*Variables!$E$50+Variables!$B$7*$G$1*Variables!$E$50*SUM(D51:D54),0)</f>
        <v>0</v>
      </c>
      <c r="L54" s="64">
        <f>IF(B54="Winter",Variables!$B$8*H53,0)</f>
        <v>0</v>
      </c>
      <c r="M54" s="64">
        <f ca="1">IF(AND(B54="Spring",AND(NOT(H53=0),H53&lt;(Variables!$B$9*Variables!$E$50))),(Variables!$B$10*Variables!$E$50+Variables!$B$11*Variables!$E$50*SUM(E51:E54)+$G$1*SUM(D53:D54)*Variables!$E$50*Variables!$B$12),0)</f>
        <v>-0.63360072423249125</v>
      </c>
      <c r="N54" s="64">
        <f>IF(AND(B54="Spring",AND(SUM(D51:D54)&gt;Variables!$B$13,SUM(D47:D50)&gt;Variables!$B$13)),-Variables!$B$14*Variables!$E$50,0)</f>
        <v>0</v>
      </c>
      <c r="O54" s="64">
        <f>IF(AND(B54="Summer",SUM(C50:D54)&gt;Variables!$B$15),(Variables!$B$16*Variables!$E$50*SUM(C50:C54)+$G$1*Variables!$B$16*Variables!$E$50*SUM(D50:D54)+$G$1*Variables!$E$50*Variables!$B$17*F54),0)</f>
        <v>0</v>
      </c>
      <c r="P54" s="64">
        <f ca="1">IF(AND(AND(B54="Autumn",SUM(D53:E54)&gt;0),NOT(H53=0)),Variables!$B$18*Variables!$E$50+Variables!$B$19*Variables!$E$50*SUM(E53:E54)+$G$1*Variables!$B$19*Variables!$E$50*SUM(D53:D54),0)</f>
        <v>0</v>
      </c>
      <c r="Q54" s="64">
        <f>IF(AND(B54="Autumn",AND((E54+E53)&lt;Variables!$B$20,(D53+D54)=0)),-Variables!$B$21*Variables!$E$50,0)</f>
        <v>0</v>
      </c>
      <c r="R54" s="64">
        <f>IF(B54="Autumn",(SUM(F53:F54)*$G$1*Variables!$B$22*Variables!$E$50),0)</f>
        <v>0</v>
      </c>
      <c r="S54" s="64">
        <f ca="1">IF(B54="Spring",($G$1*Variables!$E$50*SUM('Guts (MC)'!F53:F54)*Variables!$B$23),0)</f>
        <v>0</v>
      </c>
      <c r="T54" s="63">
        <f ca="1">IF((H53+SUM(J54:Q54))&lt;(Variables!$B$26*Variables!$E$50),$F$1*((Variables!$B$26*Variables!$E$50)-H53-SUM(J54:Q54)),0)</f>
        <v>0</v>
      </c>
      <c r="U54" s="64">
        <f ca="1">IF(AND(AND(B54="Autumn",SUM(D51:E54)&gt;Variables!$B$27),SUM(J54:Q54)&lt;Variables!$B$28*H53),$F$1*(Variables!$B$28*H53-SUM(J54:Q54)),0)</f>
        <v>0</v>
      </c>
      <c r="V54" s="96">
        <f ca="1">IF(AND((J54+K54)=0,(Q54+T54)=0),$H$1*H54*Variables!$I$23*0.25,0)</f>
        <v>14.697048324456812</v>
      </c>
      <c r="W54" s="97">
        <f ca="1">IF(AND((K54+J54)=0,(T54+Q54)=0),$I$1*H54*Variables!$Q$23*0.25,0)</f>
        <v>4.7267609552083707</v>
      </c>
      <c r="X54" s="95">
        <f ca="1">IF(AND(NOT(K54=0),(H54-H53)&gt;0),(H54-H53)*(Variables!$M$5*$H$1+Variables!$U$5*$I$1),0)+IF(AND(NOT((J54+N54+Q54)=0),(H53-H54)&gt;0),(H53-H54)*(Variables!$M$4*$H$1+Variables!$U$4*$I$1),0)</f>
        <v>0</v>
      </c>
      <c r="Y54" s="95">
        <f ca="1">IF(SUM(T54,U53:U54)&gt;0,H54*Variables!$Y$11*0.25*(1-$J$1),0)</f>
        <v>0</v>
      </c>
      <c r="Z54" s="95">
        <f ca="1">IF(T54=0,H54*$J$1*Variables!$Y$5*0.25,0)</f>
        <v>1.3568320060601198</v>
      </c>
      <c r="AA54" s="95">
        <f t="shared" ca="1" si="0"/>
        <v>20.780641285725302</v>
      </c>
      <c r="AB54" s="91">
        <f ca="1">AA54/Variables!$E$49</f>
        <v>3.3517163364073066</v>
      </c>
    </row>
    <row r="55" spans="1:29" x14ac:dyDescent="0.25">
      <c r="A55" s="61">
        <f>'Water runs'!C62</f>
        <v>6999</v>
      </c>
      <c r="B55" s="61" t="str">
        <f>'Water runs'!B62</f>
        <v>Summer</v>
      </c>
      <c r="C55" s="54">
        <f>'Water runs'!D62/100</f>
        <v>0.6018</v>
      </c>
      <c r="D55" s="108">
        <f>VLOOKUP(ROW(D55)+4,'Water runs'!$BS$3:$CF$423,MATCH($B$1,Scenarios,0)+1)</f>
        <v>0</v>
      </c>
      <c r="E55" s="54">
        <f>IF(B55=Variables!$D$8,C55-Variables!$E$8,IF(B55=Variables!$D$9,C55-Variables!$E$9,IF(B55=Variables!$D$10,C55-Variables!$E$10,IF(B55=Variables!$D$11,C55-Variables!$E$11,"ELSE"))))</f>
        <v>-0.65657013605442172</v>
      </c>
      <c r="F55" s="108">
        <f>VLOOKUP(ROW(F55)+4,'Water runs'!$CH$3:$CU$423,MATCH($B$1,Scenarios,0)+1)</f>
        <v>0</v>
      </c>
      <c r="G55" s="65">
        <f ca="1">H55/Variables!$E$49</f>
        <v>0.19447830080499351</v>
      </c>
      <c r="H55" s="62">
        <f ca="1">IF((H54+I55)&gt;(1.1*Variables!$E$50),(1.1*Variables!$E$50),IF((H54+I55)&gt;0,H54+I55,0))</f>
        <v>1.2057654649909597</v>
      </c>
      <c r="I55" s="64">
        <f t="shared" ca="1" si="1"/>
        <v>0</v>
      </c>
      <c r="J55" s="63">
        <f>IF(SUM(E51:E54)&lt;Variables!$B$3,-H54,0)</f>
        <v>0</v>
      </c>
      <c r="K55" s="64">
        <f ca="1">IF(AND(H54&lt;Variables!$B$6*Variables!$E$50,OR(SUM(D52:D55)&gt;Variables!$B$5,SUM(E52:E55)&gt;Variables!$B$4)),Variables!$B$6*Variables!$E$50+Variables!$B$7*$G$1*Variables!$E$50*SUM(D52:D55),0)</f>
        <v>0</v>
      </c>
      <c r="L55" s="64">
        <f>IF(B55="Winter",Variables!$B$8*H54,0)</f>
        <v>0</v>
      </c>
      <c r="M55" s="64">
        <f ca="1">IF(AND(B55="Spring",AND(NOT(H54=0),H54&lt;(Variables!$B$9*Variables!$E$50))),(Variables!$B$10*Variables!$E$50+Variables!$B$11*Variables!$E$50*SUM(E52:E55)+$G$1*SUM(D54:D55)*Variables!$E$50*Variables!$B$12),0)</f>
        <v>0</v>
      </c>
      <c r="N55" s="64">
        <f>IF(AND(B55="Spring",AND(SUM(D52:D55)&gt;Variables!$B$13,SUM(D48:D51)&gt;Variables!$B$13)),-Variables!$B$14*Variables!$E$50,0)</f>
        <v>0</v>
      </c>
      <c r="O55" s="64">
        <f>IF(AND(B55="Summer",SUM(C51:D55)&gt;Variables!$B$15),(Variables!$B$16*Variables!$E$50*SUM(C51:C55)+$G$1*Variables!$B$16*Variables!$E$50*SUM(D51:D55)+$G$1*Variables!$E$50*Variables!$B$17*F55),0)</f>
        <v>0</v>
      </c>
      <c r="P55" s="64">
        <f ca="1">IF(AND(AND(B55="Autumn",SUM(D54:E55)&gt;0),NOT(H54=0)),Variables!$B$18*Variables!$E$50+Variables!$B$19*Variables!$E$50*SUM(E54:E55)+$G$1*Variables!$B$19*Variables!$E$50*SUM(D54:D55),0)</f>
        <v>0</v>
      </c>
      <c r="Q55" s="64">
        <f>IF(AND(B55="Autumn",AND((E55+E54)&lt;Variables!$B$20,(D54+D55)=0)),-Variables!$B$21*Variables!$E$50,0)</f>
        <v>0</v>
      </c>
      <c r="R55" s="64">
        <f>IF(B55="Autumn",(SUM(F54:F55)*$G$1*Variables!$B$22*Variables!$E$50),0)</f>
        <v>0</v>
      </c>
      <c r="S55" s="64">
        <f>IF(B55="Spring",($G$1*Variables!$E$50*SUM('Guts (MC)'!F54:F55)*Variables!$B$23),0)</f>
        <v>0</v>
      </c>
      <c r="T55" s="63">
        <f ca="1">IF((H54+SUM(J55:Q55))&lt;(Variables!$B$26*Variables!$E$50),$F$1*((Variables!$B$26*Variables!$E$50)-H54-SUM(J55:Q55)),0)</f>
        <v>0</v>
      </c>
      <c r="U55" s="64">
        <f ca="1">IF(AND(AND(B55="Autumn",SUM(D52:E55)&gt;Variables!$B$27),SUM(J55:Q55)&lt;Variables!$B$28*H54),$F$1*(Variables!$B$28*H54-SUM(J55:Q55)),0)</f>
        <v>0</v>
      </c>
      <c r="V55" s="96">
        <f ca="1">IF(AND((J55+K55)=0,(Q55+T55)=0),$H$1*H55*Variables!$I$23*0.25,0)</f>
        <v>14.697048324456812</v>
      </c>
      <c r="W55" s="97">
        <f ca="1">IF(AND((K55+J55)=0,(T55+Q55)=0),$I$1*H55*Variables!$Q$23*0.25,0)</f>
        <v>4.7267609552083707</v>
      </c>
      <c r="X55" s="95">
        <f ca="1">IF(AND(NOT(K55=0),(H55-H54)&gt;0),(H55-H54)*(Variables!$M$5*$H$1+Variables!$U$5*$I$1),0)+IF(AND(NOT((J55+N55+Q55)=0),(H54-H55)&gt;0),(H54-H55)*(Variables!$M$4*$H$1+Variables!$U$4*$I$1),0)</f>
        <v>0</v>
      </c>
      <c r="Y55" s="95">
        <f ca="1">IF(SUM(T55,U54:U55)&gt;0,H55*Variables!$Y$11*0.25*(1-$J$1),0)</f>
        <v>0</v>
      </c>
      <c r="Z55" s="95">
        <f ca="1">IF(T55=0,H55*$J$1*Variables!$Y$5*0.25,0)</f>
        <v>1.3568320060601198</v>
      </c>
      <c r="AA55" s="95">
        <f t="shared" ca="1" si="0"/>
        <v>20.780641285725302</v>
      </c>
      <c r="AB55" s="91">
        <f ca="1">AA55/Variables!$E$49</f>
        <v>3.3517163364073066</v>
      </c>
      <c r="AC55" s="15"/>
    </row>
    <row r="56" spans="1:29" x14ac:dyDescent="0.25">
      <c r="A56" s="61">
        <f>'Water runs'!C63</f>
        <v>7091</v>
      </c>
      <c r="B56" s="61" t="str">
        <f>'Water runs'!B63</f>
        <v>Autumn</v>
      </c>
      <c r="C56" s="54">
        <f>'Water runs'!D63/100</f>
        <v>0.9516</v>
      </c>
      <c r="D56" s="108">
        <f>VLOOKUP(ROW(D56)+4,'Water runs'!$BS$3:$CF$423,MATCH($B$1,Scenarios,0)+1)</f>
        <v>0</v>
      </c>
      <c r="E56" s="54">
        <f>IF(B56=Variables!$D$8,C56-Variables!$E$8,IF(B56=Variables!$D$9,C56-Variables!$E$9,IF(B56=Variables!$D$10,C56-Variables!$E$10,IF(B56=Variables!$D$11,C56-Variables!$E$11,"ELSE"))))</f>
        <v>-4.3043299319727835E-2</v>
      </c>
      <c r="F56" s="108">
        <f>VLOOKUP(ROW(F56)+4,'Water runs'!$CH$3:$CU$423,MATCH($B$1,Scenarios,0)+1)</f>
        <v>0</v>
      </c>
      <c r="G56" s="65">
        <f ca="1">H56/Variables!$E$49</f>
        <v>0.19447830080499351</v>
      </c>
      <c r="H56" s="62">
        <f ca="1">IF((H55+I56)&gt;(1.1*Variables!$E$50),(1.1*Variables!$E$50),IF((H55+I56)&gt;0,H55+I56,0))</f>
        <v>1.2057654649909597</v>
      </c>
      <c r="I56" s="64">
        <f t="shared" ca="1" si="1"/>
        <v>0</v>
      </c>
      <c r="J56" s="63">
        <f>IF(SUM(E52:E55)&lt;Variables!$B$3,-H55,0)</f>
        <v>0</v>
      </c>
      <c r="K56" s="64">
        <f ca="1">IF(AND(H55&lt;Variables!$B$6*Variables!$E$50,OR(SUM(D53:D56)&gt;Variables!$B$5,SUM(E53:E56)&gt;Variables!$B$4)),Variables!$B$6*Variables!$E$50+Variables!$B$7*$G$1*Variables!$E$50*SUM(D53:D56),0)</f>
        <v>0</v>
      </c>
      <c r="L56" s="64">
        <f>IF(B56="Winter",Variables!$B$8*H55,0)</f>
        <v>0</v>
      </c>
      <c r="M56" s="64">
        <f ca="1">IF(AND(B56="Spring",AND(NOT(H55=0),H55&lt;(Variables!$B$9*Variables!$E$50))),(Variables!$B$10*Variables!$E$50+Variables!$B$11*Variables!$E$50*SUM(E53:E56)+$G$1*SUM(D55:D56)*Variables!$E$50*Variables!$B$12),0)</f>
        <v>0</v>
      </c>
      <c r="N56" s="64">
        <f>IF(AND(B56="Spring",AND(SUM(D53:D56)&gt;Variables!$B$13,SUM(D49:D52)&gt;Variables!$B$13)),-Variables!$B$14*Variables!$E$50,0)</f>
        <v>0</v>
      </c>
      <c r="O56" s="64">
        <f>IF(AND(B56="Summer",SUM(C52:D56)&gt;Variables!$B$15),(Variables!$B$16*Variables!$E$50*SUM(C52:C56)+$G$1*Variables!$B$16*Variables!$E$50*SUM(D52:D56)+$G$1*Variables!$E$50*Variables!$B$17*F56),0)</f>
        <v>0</v>
      </c>
      <c r="P56" s="64">
        <f ca="1">IF(AND(AND(B56="Autumn",SUM(D55:E56)&gt;0),NOT(H55=0)),Variables!$B$18*Variables!$E$50+Variables!$B$19*Variables!$E$50*SUM(E55:E56)+$G$1*Variables!$B$19*Variables!$E$50*SUM(D55:D56),0)</f>
        <v>0</v>
      </c>
      <c r="Q56" s="64">
        <f>IF(AND(B56="Autumn",AND((E56+E55)&lt;Variables!$B$20,(D55+D56)=0)),-Variables!$B$21*Variables!$E$50,0)</f>
        <v>0</v>
      </c>
      <c r="R56" s="64">
        <f ca="1">IF(B56="Autumn",(SUM(F55:F56)*$G$1*Variables!$B$22*Variables!$E$50),0)</f>
        <v>0</v>
      </c>
      <c r="S56" s="64">
        <f>IF(B56="Spring",($G$1*Variables!$E$50*SUM('Guts (MC)'!F55:F56)*Variables!$B$23),0)</f>
        <v>0</v>
      </c>
      <c r="T56" s="63">
        <f ca="1">IF((H55+SUM(J56:Q56))&lt;(Variables!$B$26*Variables!$E$50),$F$1*((Variables!$B$26*Variables!$E$50)-H55-SUM(J56:Q56)),0)</f>
        <v>0</v>
      </c>
      <c r="U56" s="64">
        <f ca="1">IF(AND(AND(B56="Autumn",SUM(D53:E56)&gt;Variables!$B$27),SUM(J56:Q56)&lt;Variables!$B$28*H55),$F$1*(Variables!$B$28*H55-SUM(J56:Q56)),0)</f>
        <v>0</v>
      </c>
      <c r="V56" s="96">
        <f ca="1">IF(AND((J56+K56)=0,(Q56+T56)=0),$H$1*H56*Variables!$I$23*0.25,0)</f>
        <v>14.697048324456812</v>
      </c>
      <c r="W56" s="97">
        <f ca="1">IF(AND((K56+J56)=0,(T56+Q56)=0),$I$1*H56*Variables!$Q$23*0.25,0)</f>
        <v>4.7267609552083707</v>
      </c>
      <c r="X56" s="95">
        <f ca="1">IF(AND(NOT(K56=0),(H56-H55)&gt;0),(H56-H55)*(Variables!$M$5*$H$1+Variables!$U$5*$I$1),0)+IF(AND(NOT((J56+N56+Q56)=0),(H55-H56)&gt;0),(H55-H56)*(Variables!$M$4*$H$1+Variables!$U$4*$I$1),0)</f>
        <v>0</v>
      </c>
      <c r="Y56" s="95">
        <f ca="1">IF(SUM(T56,U55:U56)&gt;0,H56*Variables!$Y$11*0.25*(1-$J$1),0)</f>
        <v>0</v>
      </c>
      <c r="Z56" s="95">
        <f ca="1">IF(T56=0,H56*$J$1*Variables!$Y$5*0.25,0)</f>
        <v>1.3568320060601198</v>
      </c>
      <c r="AA56" s="95">
        <f t="shared" ca="1" si="0"/>
        <v>20.780641285725302</v>
      </c>
      <c r="AB56" s="91">
        <f ca="1">AA56/Variables!$E$49</f>
        <v>3.3517163364073066</v>
      </c>
    </row>
    <row r="57" spans="1:29" x14ac:dyDescent="0.25">
      <c r="A57" s="61">
        <f>'Water runs'!C64</f>
        <v>7183</v>
      </c>
      <c r="B57" s="61" t="str">
        <f>'Water runs'!B64</f>
        <v>Winter</v>
      </c>
      <c r="C57" s="54">
        <f>'Water runs'!D64/100</f>
        <v>0.30260000000000004</v>
      </c>
      <c r="D57" s="108">
        <f>VLOOKUP(ROW(D57)+4,'Water runs'!$BS$3:$CF$423,MATCH($B$1,Scenarios,0)+1)</f>
        <v>0</v>
      </c>
      <c r="E57" s="54">
        <f>IF(B57=Variables!$D$8,C57-Variables!$E$8,IF(B57=Variables!$D$9,C57-Variables!$E$9,IF(B57=Variables!$D$10,C57-Variables!$E$10,IF(B57=Variables!$D$11,C57-Variables!$E$11,"ELSE"))))</f>
        <v>-0.2691676256613757</v>
      </c>
      <c r="F57" s="108">
        <f>VLOOKUP(ROW(F57)+4,'Water runs'!$CH$3:$CU$423,MATCH($B$1,Scenarios,0)+1)</f>
        <v>0</v>
      </c>
      <c r="G57" s="65">
        <f ca="1">H57/Variables!$E$49</f>
        <v>0.161</v>
      </c>
      <c r="H57" s="62">
        <f ca="1">IF((H56+I57)&gt;(1.1*Variables!$E$50),(1.1*Variables!$E$50),IF((H56+I57)&gt;0,H56+I57,0))</f>
        <v>0.99820000000000009</v>
      </c>
      <c r="I57" s="64">
        <f t="shared" ca="1" si="1"/>
        <v>-0.20756546499095962</v>
      </c>
      <c r="J57" s="63">
        <f>IF(SUM(E53:E56)&lt;Variables!$B$3,-H56,0)</f>
        <v>0</v>
      </c>
      <c r="K57" s="64">
        <f ca="1">IF(AND(H56&lt;Variables!$B$6*Variables!$E$50,OR(SUM(D54:D57)&gt;Variables!$B$5,SUM(E54:E57)&gt;Variables!$B$4)),Variables!$B$6*Variables!$E$50+Variables!$B$7*$G$1*Variables!$E$50*SUM(D54:D57),0)</f>
        <v>0</v>
      </c>
      <c r="L57" s="64">
        <f ca="1">IF(B57="Winter",Variables!$B$8*H56,0)</f>
        <v>-0.60040518148735789</v>
      </c>
      <c r="M57" s="64">
        <f ca="1">IF(AND(B57="Spring",AND(NOT(H56=0),H56&lt;(Variables!$B$9*Variables!$E$50))),(Variables!$B$10*Variables!$E$50+Variables!$B$11*Variables!$E$50*SUM(E54:E57)+$G$1*SUM(D56:D57)*Variables!$E$50*Variables!$B$12),0)</f>
        <v>0</v>
      </c>
      <c r="N57" s="64">
        <f>IF(AND(B57="Spring",AND(SUM(D54:D57)&gt;Variables!$B$13,SUM(D50:D53)&gt;Variables!$B$13)),-Variables!$B$14*Variables!$E$50,0)</f>
        <v>0</v>
      </c>
      <c r="O57" s="64">
        <f>IF(AND(B57="Summer",SUM(C53:D57)&gt;Variables!$B$15),(Variables!$B$16*Variables!$E$50*SUM(C53:C57)+$G$1*Variables!$B$16*Variables!$E$50*SUM(D53:D57)+$G$1*Variables!$E$50*Variables!$B$17*F57),0)</f>
        <v>0</v>
      </c>
      <c r="P57" s="64">
        <f ca="1">IF(AND(AND(B57="Autumn",SUM(D56:E57)&gt;0),NOT(H56=0)),Variables!$B$18*Variables!$E$50+Variables!$B$19*Variables!$E$50*SUM(E56:E57)+$G$1*Variables!$B$19*Variables!$E$50*SUM(D56:D57),0)</f>
        <v>0</v>
      </c>
      <c r="Q57" s="64">
        <f>IF(AND(B57="Autumn",AND((E57+E56)&lt;Variables!$B$20,(D56+D57)=0)),-Variables!$B$21*Variables!$E$50,0)</f>
        <v>0</v>
      </c>
      <c r="R57" s="64">
        <f>IF(B57="Autumn",(SUM(F56:F57)*$G$1*Variables!$B$22*Variables!$E$50),0)</f>
        <v>0</v>
      </c>
      <c r="S57" s="64">
        <f>IF(B57="Spring",($G$1*Variables!$E$50*SUM('Guts (MC)'!F56:F57)*Variables!$B$23),0)</f>
        <v>0</v>
      </c>
      <c r="T57" s="63">
        <f ca="1">IF((H56+SUM(J57:Q57))&lt;(Variables!$B$26*Variables!$E$50),$F$1*((Variables!$B$26*Variables!$E$50)-H56-SUM(J57:Q57)),0)</f>
        <v>0.39283971649639826</v>
      </c>
      <c r="U57" s="64">
        <f ca="1">IF(AND(AND(B57="Autumn",SUM(D54:E57)&gt;Variables!$B$27),SUM(J57:Q57)&lt;Variables!$B$28*H56),$F$1*(Variables!$B$28*H56-SUM(J57:Q57)),0)</f>
        <v>0</v>
      </c>
      <c r="V57" s="96">
        <f ca="1">IF(AND((J57+K57)=0,(Q57+T57)=0),$H$1*H57*Variables!$I$23*0.25,0)</f>
        <v>0</v>
      </c>
      <c r="W57" s="97">
        <f ca="1">IF(AND((K57+J57)=0,(T57+Q57)=0),$I$1*H57*Variables!$Q$23*0.25,0)</f>
        <v>0</v>
      </c>
      <c r="X57" s="95">
        <f ca="1">IF(AND(NOT(K57=0),(H57-H56)&gt;0),(H57-H56)*(Variables!$M$5*$H$1+Variables!$U$5*$I$1),0)+IF(AND(NOT((J57+N57+Q57)=0),(H56-H57)&gt;0),(H56-H57)*(Variables!$M$4*$H$1+Variables!$U$4*$I$1),0)</f>
        <v>0</v>
      </c>
      <c r="Y57" s="95">
        <f ca="1">IF(SUM(T57,U56:U57)&gt;0,H57*Variables!$Y$11*0.25*(1-$J$1),0)</f>
        <v>-8.6666009437672749</v>
      </c>
      <c r="Z57" s="95">
        <f ca="1">IF(T57=0,H57*$J$1*Variables!$Y$5*0.25,0)</f>
        <v>0</v>
      </c>
      <c r="AA57" s="95">
        <f t="shared" ca="1" si="0"/>
        <v>-8.6666009437672749</v>
      </c>
      <c r="AB57" s="91">
        <f ca="1">AA57/Variables!$E$49</f>
        <v>-1.3978388618979476</v>
      </c>
    </row>
    <row r="58" spans="1:29" x14ac:dyDescent="0.25">
      <c r="A58" s="61">
        <f>'Water runs'!C65</f>
        <v>7274</v>
      </c>
      <c r="B58" s="61" t="str">
        <f>'Water runs'!B65</f>
        <v>Spring</v>
      </c>
      <c r="C58" s="54">
        <f>'Water runs'!D65/100</f>
        <v>4.4400000000000002E-2</v>
      </c>
      <c r="D58" s="108">
        <f>VLOOKUP(ROW(D58)+4,'Water runs'!$BS$3:$CF$423,MATCH($B$1,Scenarios,0)+1)</f>
        <v>0</v>
      </c>
      <c r="E58" s="54">
        <f>IF(B58=Variables!$D$8,C58-Variables!$E$8,IF(B58=Variables!$D$9,C58-Variables!$E$9,IF(B58=Variables!$D$10,C58-Variables!$E$10,IF(B58=Variables!$D$11,C58-Variables!$E$11,"ELSE"))))</f>
        <v>-0.71958220899470915</v>
      </c>
      <c r="F58" s="108">
        <f>VLOOKUP(ROW(F58)+4,'Water runs'!$CH$3:$CU$423,MATCH($B$1,Scenarios,0)+1)</f>
        <v>0</v>
      </c>
      <c r="G58" s="65">
        <f ca="1">H58/Variables!$E$49</f>
        <v>0.161</v>
      </c>
      <c r="H58" s="62">
        <f ca="1">IF((H57+I58)&gt;(1.1*Variables!$E$50),(1.1*Variables!$E$50),IF((H57+I58)&gt;0,H57+I58,0))</f>
        <v>0.99820000000000009</v>
      </c>
      <c r="I58" s="64">
        <f t="shared" ca="1" si="1"/>
        <v>0</v>
      </c>
      <c r="J58" s="63">
        <f>IF(SUM(E54:E57)&lt;Variables!$B$3,-H57,0)</f>
        <v>0</v>
      </c>
      <c r="K58" s="64">
        <f ca="1">IF(AND(H57&lt;Variables!$B$6*Variables!$E$50,OR(SUM(D55:D58)&gt;Variables!$B$5,SUM(E55:E58)&gt;Variables!$B$4)),Variables!$B$6*Variables!$E$50+Variables!$B$7*$G$1*Variables!$E$50*SUM(D55:D58),0)</f>
        <v>0</v>
      </c>
      <c r="L58" s="64">
        <f>IF(B58="Winter",Variables!$B$8*H57,0)</f>
        <v>0</v>
      </c>
      <c r="M58" s="64">
        <f ca="1">IF(AND(B58="Spring",AND(NOT(H57=0),H57&lt;(Variables!$B$9*Variables!$E$50))),(Variables!$B$10*Variables!$E$50+Variables!$B$11*Variables!$E$50*SUM(E55:E58)+$G$1*SUM(D57:D58)*Variables!$E$50*Variables!$B$12),0)</f>
        <v>-1.1498795353353692</v>
      </c>
      <c r="N58" s="64">
        <f>IF(AND(B58="Spring",AND(SUM(D55:D58)&gt;Variables!$B$13,SUM(D51:D54)&gt;Variables!$B$13)),-Variables!$B$14*Variables!$E$50,0)</f>
        <v>0</v>
      </c>
      <c r="O58" s="64">
        <f>IF(AND(B58="Summer",SUM(C54:D58)&gt;Variables!$B$15),(Variables!$B$16*Variables!$E$50*SUM(C54:C58)+$G$1*Variables!$B$16*Variables!$E$50*SUM(D54:D58)+$G$1*Variables!$E$50*Variables!$B$17*F58),0)</f>
        <v>0</v>
      </c>
      <c r="P58" s="64">
        <f ca="1">IF(AND(AND(B58="Autumn",SUM(D57:E58)&gt;0),NOT(H57=0)),Variables!$B$18*Variables!$E$50+Variables!$B$19*Variables!$E$50*SUM(E57:E58)+$G$1*Variables!$B$19*Variables!$E$50*SUM(D57:D58),0)</f>
        <v>0</v>
      </c>
      <c r="Q58" s="64">
        <f>IF(AND(B58="Autumn",AND((E58+E57)&lt;Variables!$B$20,(D57+D58)=0)),-Variables!$B$21*Variables!$E$50,0)</f>
        <v>0</v>
      </c>
      <c r="R58" s="64">
        <f>IF(B58="Autumn",(SUM(F57:F58)*$G$1*Variables!$B$22*Variables!$E$50),0)</f>
        <v>0</v>
      </c>
      <c r="S58" s="64">
        <f ca="1">IF(B58="Spring",($G$1*Variables!$E$50*SUM('Guts (MC)'!F57:F58)*Variables!$B$23),0)</f>
        <v>0</v>
      </c>
      <c r="T58" s="63">
        <f ca="1">IF((H57+SUM(J58:Q58))&lt;(Variables!$B$26*Variables!$E$50),$F$1*((Variables!$B$26*Variables!$E$50)-H57-SUM(J58:Q58)),0)</f>
        <v>1.1498795353353692</v>
      </c>
      <c r="U58" s="64">
        <f ca="1">IF(AND(AND(B58="Autumn",SUM(D55:E58)&gt;Variables!$B$27),SUM(J58:Q58)&lt;Variables!$B$28*H57),$F$1*(Variables!$B$28*H57-SUM(J58:Q58)),0)</f>
        <v>0</v>
      </c>
      <c r="V58" s="96">
        <f ca="1">IF(AND((J58+K58)=0,(Q58+T58)=0),$H$1*H58*Variables!$I$23*0.25,0)</f>
        <v>0</v>
      </c>
      <c r="W58" s="97">
        <f ca="1">IF(AND((K58+J58)=0,(T58+Q58)=0),$I$1*H58*Variables!$Q$23*0.25,0)</f>
        <v>0</v>
      </c>
      <c r="X58" s="95">
        <f ca="1">IF(AND(NOT(K58=0),(H58-H57)&gt;0),(H58-H57)*(Variables!$M$5*$H$1+Variables!$U$5*$I$1),0)+IF(AND(NOT((J58+N58+Q58)=0),(H57-H58)&gt;0),(H57-H58)*(Variables!$M$4*$H$1+Variables!$U$4*$I$1),0)</f>
        <v>0</v>
      </c>
      <c r="Y58" s="95">
        <f ca="1">IF(SUM(T58,U57:U58)&gt;0,H58*Variables!$Y$11*0.25*(1-$J$1),0)</f>
        <v>-8.6666009437672749</v>
      </c>
      <c r="Z58" s="95">
        <f ca="1">IF(T58=0,H58*$J$1*Variables!$Y$5*0.25,0)</f>
        <v>0</v>
      </c>
      <c r="AA58" s="95">
        <f t="shared" ca="1" si="0"/>
        <v>-8.6666009437672749</v>
      </c>
      <c r="AB58" s="91">
        <f ca="1">AA58/Variables!$E$49</f>
        <v>-1.3978388618979476</v>
      </c>
    </row>
    <row r="59" spans="1:29" x14ac:dyDescent="0.25">
      <c r="A59" s="61">
        <f>'Water runs'!C66</f>
        <v>7364</v>
      </c>
      <c r="B59" s="61" t="str">
        <f>'Water runs'!B66</f>
        <v>Summer</v>
      </c>
      <c r="C59" s="54">
        <f>'Water runs'!D66/100</f>
        <v>0.73799999999999999</v>
      </c>
      <c r="D59" s="108">
        <f>VLOOKUP(ROW(D59)+4,'Water runs'!$BS$3:$CF$423,MATCH($B$1,Scenarios,0)+1)</f>
        <v>3.1795184443265581E-2</v>
      </c>
      <c r="E59" s="54">
        <f>IF(B59=Variables!$D$8,C59-Variables!$E$8,IF(B59=Variables!$D$9,C59-Variables!$E$9,IF(B59=Variables!$D$10,C59-Variables!$E$10,IF(B59=Variables!$D$11,C59-Variables!$E$11,"ELSE"))))</f>
        <v>-0.52037013605442173</v>
      </c>
      <c r="F59" s="108">
        <f>VLOOKUP(ROW(F59)+4,'Water runs'!$CH$3:$CU$423,MATCH($B$1,Scenarios,0)+1)</f>
        <v>0</v>
      </c>
      <c r="G59" s="65">
        <f ca="1">H59/Variables!$E$49</f>
        <v>0.161</v>
      </c>
      <c r="H59" s="62">
        <f ca="1">IF((H58+I59)&gt;(1.1*Variables!$E$50),(1.1*Variables!$E$50),IF((H58+I59)&gt;0,H58+I59,0))</f>
        <v>0.99820000000000009</v>
      </c>
      <c r="I59" s="64">
        <f t="shared" ca="1" si="1"/>
        <v>0</v>
      </c>
      <c r="J59" s="63">
        <f ca="1">IF(SUM(E55:E58)&lt;Variables!$B$3,-H58,0)</f>
        <v>-0.99820000000000009</v>
      </c>
      <c r="K59" s="64">
        <f ca="1">IF(AND(H58&lt;Variables!$B$6*Variables!$E$50,OR(SUM(D56:D59)&gt;Variables!$B$5,SUM(E56:E59)&gt;Variables!$B$4)),Variables!$B$6*Variables!$E$50+Variables!$B$7*$G$1*Variables!$E$50*SUM(D56:D59),0)</f>
        <v>0</v>
      </c>
      <c r="L59" s="64">
        <f>IF(B59="Winter",Variables!$B$8*H58,0)</f>
        <v>0</v>
      </c>
      <c r="M59" s="64">
        <f ca="1">IF(AND(B59="Spring",AND(NOT(H58=0),H58&lt;(Variables!$B$9*Variables!$E$50))),(Variables!$B$10*Variables!$E$50+Variables!$B$11*Variables!$E$50*SUM(E56:E59)+$G$1*SUM(D58:D59)*Variables!$E$50*Variables!$B$12),0)</f>
        <v>0</v>
      </c>
      <c r="N59" s="64">
        <f>IF(AND(B59="Spring",AND(SUM(D56:D59)&gt;Variables!$B$13,SUM(D52:D55)&gt;Variables!$B$13)),-Variables!$B$14*Variables!$E$50,0)</f>
        <v>0</v>
      </c>
      <c r="O59" s="64">
        <f>IF(AND(B59="Summer",SUM(C55:D59)&gt;Variables!$B$15),(Variables!$B$16*Variables!$E$50*SUM(C55:C59)+$G$1*Variables!$B$16*Variables!$E$50*SUM(D55:D59)+$G$1*Variables!$E$50*Variables!$B$17*F59),0)</f>
        <v>0</v>
      </c>
      <c r="P59" s="64">
        <f ca="1">IF(AND(AND(B59="Autumn",SUM(D58:E59)&gt;0),NOT(H58=0)),Variables!$B$18*Variables!$E$50+Variables!$B$19*Variables!$E$50*SUM(E58:E59)+$G$1*Variables!$B$19*Variables!$E$50*SUM(D58:D59),0)</f>
        <v>0</v>
      </c>
      <c r="Q59" s="64">
        <f>IF(AND(B59="Autumn",AND((E59+E58)&lt;Variables!$B$20,(D58+D59)=0)),-Variables!$B$21*Variables!$E$50,0)</f>
        <v>0</v>
      </c>
      <c r="R59" s="64">
        <f>IF(B59="Autumn",(SUM(F58:F59)*$G$1*Variables!$B$22*Variables!$E$50),0)</f>
        <v>0</v>
      </c>
      <c r="S59" s="64">
        <f>IF(B59="Spring",($G$1*Variables!$E$50*SUM('Guts (MC)'!F58:F59)*Variables!$B$23),0)</f>
        <v>0</v>
      </c>
      <c r="T59" s="63">
        <f ca="1">IF((H58+SUM(J59:Q59))&lt;(Variables!$B$26*Variables!$E$50),$F$1*((Variables!$B$26*Variables!$E$50)-H58-SUM(J59:Q59)),0)</f>
        <v>0.99820000000000009</v>
      </c>
      <c r="U59" s="64">
        <f ca="1">IF(AND(AND(B59="Autumn",SUM(D56:E59)&gt;Variables!$B$27),SUM(J59:Q59)&lt;Variables!$B$28*H58),$F$1*(Variables!$B$28*H58-SUM(J59:Q59)),0)</f>
        <v>0</v>
      </c>
      <c r="V59" s="96">
        <f ca="1">IF(AND((J59+K59)=0,(Q59+T59)=0),$H$1*H59*Variables!$I$23*0.25,0)</f>
        <v>0</v>
      </c>
      <c r="W59" s="97">
        <f ca="1">IF(AND((K59+J59)=0,(T59+Q59)=0),$I$1*H59*Variables!$Q$23*0.25,0)</f>
        <v>0</v>
      </c>
      <c r="X59" s="95">
        <f ca="1">IF(AND(NOT(K59=0),(H59-H58)&gt;0),(H59-H58)*(Variables!$M$5*$H$1+Variables!$U$5*$I$1),0)+IF(AND(NOT((J59+N59+Q59)=0),(H58-H59)&gt;0),(H58-H59)*(Variables!$M$4*$H$1+Variables!$U$4*$I$1),0)</f>
        <v>0</v>
      </c>
      <c r="Y59" s="95">
        <f ca="1">IF(SUM(T59,U58:U59)&gt;0,H59*Variables!$Y$11*0.25*(1-$J$1),0)</f>
        <v>-8.6666009437672749</v>
      </c>
      <c r="Z59" s="95">
        <f ca="1">IF(T59=0,H59*$J$1*Variables!$Y$5*0.25,0)</f>
        <v>0</v>
      </c>
      <c r="AA59" s="95">
        <f t="shared" ca="1" si="0"/>
        <v>-8.6666009437672749</v>
      </c>
      <c r="AB59" s="91">
        <f ca="1">AA59/Variables!$E$49</f>
        <v>-1.3978388618979476</v>
      </c>
    </row>
    <row r="60" spans="1:29" x14ac:dyDescent="0.25">
      <c r="A60" s="61">
        <f>'Water runs'!C67</f>
        <v>7457</v>
      </c>
      <c r="B60" s="61" t="str">
        <f>'Water runs'!B67</f>
        <v>Autumn</v>
      </c>
      <c r="C60" s="54">
        <f>'Water runs'!D67/100</f>
        <v>0.25679999999999997</v>
      </c>
      <c r="D60" s="108">
        <f>VLOOKUP(ROW(D60)+4,'Water runs'!$BS$3:$CF$423,MATCH($B$1,Scenarios,0)+1)</f>
        <v>0</v>
      </c>
      <c r="E60" s="54">
        <f>IF(B60=Variables!$D$8,C60-Variables!$E$8,IF(B60=Variables!$D$9,C60-Variables!$E$9,IF(B60=Variables!$D$10,C60-Variables!$E$10,IF(B60=Variables!$D$11,C60-Variables!$E$11,"ELSE"))))</f>
        <v>-0.73784329931972792</v>
      </c>
      <c r="F60" s="108">
        <f>VLOOKUP(ROW(F60)+4,'Water runs'!$CH$3:$CU$423,MATCH($B$1,Scenarios,0)+1)</f>
        <v>0</v>
      </c>
      <c r="G60" s="65">
        <f ca="1">H60/Variables!$E$49</f>
        <v>0.161</v>
      </c>
      <c r="H60" s="62">
        <f ca="1">IF((H59+I60)&gt;(1.1*Variables!$E$50),(1.1*Variables!$E$50),IF((H59+I60)&gt;0,H59+I60,0))</f>
        <v>0.99820000000000009</v>
      </c>
      <c r="I60" s="64">
        <f t="shared" ca="1" si="1"/>
        <v>0</v>
      </c>
      <c r="J60" s="63">
        <f>IF(SUM(E56:E59)&lt;Variables!$B$3,-H59,0)</f>
        <v>0</v>
      </c>
      <c r="K60" s="64">
        <f ca="1">IF(AND(H59&lt;Variables!$B$6*Variables!$E$50,OR(SUM(D57:D60)&gt;Variables!$B$5,SUM(E57:E60)&gt;Variables!$B$4)),Variables!$B$6*Variables!$E$50+Variables!$B$7*$G$1*Variables!$E$50*SUM(D57:D60),0)</f>
        <v>0</v>
      </c>
      <c r="L60" s="64">
        <f>IF(B60="Winter",Variables!$B$8*H59,0)</f>
        <v>0</v>
      </c>
      <c r="M60" s="64">
        <f ca="1">IF(AND(B60="Spring",AND(NOT(H59=0),H59&lt;(Variables!$B$9*Variables!$E$50))),(Variables!$B$10*Variables!$E$50+Variables!$B$11*Variables!$E$50*SUM(E57:E60)+$G$1*SUM(D59:D60)*Variables!$E$50*Variables!$B$12),0)</f>
        <v>0</v>
      </c>
      <c r="N60" s="64">
        <f>IF(AND(B60="Spring",AND(SUM(D57:D60)&gt;Variables!$B$13,SUM(D53:D56)&gt;Variables!$B$13)),-Variables!$B$14*Variables!$E$50,0)</f>
        <v>0</v>
      </c>
      <c r="O60" s="64">
        <f>IF(AND(B60="Summer",SUM(C56:D60)&gt;Variables!$B$15),(Variables!$B$16*Variables!$E$50*SUM(C56:C60)+$G$1*Variables!$B$16*Variables!$E$50*SUM(D56:D60)+$G$1*Variables!$E$50*Variables!$B$17*F60),0)</f>
        <v>0</v>
      </c>
      <c r="P60" s="64">
        <f ca="1">IF(AND(AND(B60="Autumn",SUM(D59:E60)&gt;0),NOT(H59=0)),Variables!$B$18*Variables!$E$50+Variables!$B$19*Variables!$E$50*SUM(E59:E60)+$G$1*Variables!$B$19*Variables!$E$50*SUM(D59:D60),0)</f>
        <v>0</v>
      </c>
      <c r="Q60" s="64">
        <f>IF(AND(B60="Autumn",AND((E60+E59)&lt;Variables!$B$20,(D59+D60)=0)),-Variables!$B$21*Variables!$E$50,0)</f>
        <v>0</v>
      </c>
      <c r="R60" s="64">
        <f ca="1">IF(B60="Autumn",(SUM(F59:F60)*$G$1*Variables!$B$22*Variables!$E$50),0)</f>
        <v>0</v>
      </c>
      <c r="S60" s="64">
        <f>IF(B60="Spring",($G$1*Variables!$E$50*SUM('Guts (MC)'!F59:F60)*Variables!$B$23),0)</f>
        <v>0</v>
      </c>
      <c r="T60" s="63">
        <f ca="1">IF((H59+SUM(J60:Q60))&lt;(Variables!$B$26*Variables!$E$50),$F$1*((Variables!$B$26*Variables!$E$50)-H59-SUM(J60:Q60)),0)</f>
        <v>0</v>
      </c>
      <c r="U60" s="64">
        <f ca="1">IF(AND(AND(B60="Autumn",SUM(D57:E60)&gt;Variables!$B$27),SUM(J60:Q60)&lt;Variables!$B$28*H59),$F$1*(Variables!$B$28*H59-SUM(J60:Q60)),0)</f>
        <v>0</v>
      </c>
      <c r="V60" s="96">
        <f ca="1">IF(AND((J60+K60)=0,(Q60+T60)=0),$H$1*H60*Variables!$I$23*0.25,0)</f>
        <v>12.167037507234284</v>
      </c>
      <c r="W60" s="97">
        <f ca="1">IF(AND((K60+J60)=0,(T60+Q60)=0),$I$1*H60*Variables!$Q$23*0.25,0)</f>
        <v>3.9130767321523603</v>
      </c>
      <c r="X60" s="95">
        <f ca="1">IF(AND(NOT(K60=0),(H60-H59)&gt;0),(H60-H59)*(Variables!$M$5*$H$1+Variables!$U$5*$I$1),0)+IF(AND(NOT((J60+N60+Q60)=0),(H59-H60)&gt;0),(H59-H60)*(Variables!$M$4*$H$1+Variables!$U$4*$I$1),0)</f>
        <v>0</v>
      </c>
      <c r="Y60" s="95">
        <f ca="1">IF(SUM(T60,U59:U60)&gt;0,H60*Variables!$Y$11*0.25*(1-$J$1),0)</f>
        <v>0</v>
      </c>
      <c r="Z60" s="95">
        <f ca="1">IF(T60=0,H60*$J$1*Variables!$Y$5*0.25,0)</f>
        <v>1.1232613205250213</v>
      </c>
      <c r="AA60" s="95">
        <f t="shared" ca="1" si="0"/>
        <v>17.203375559911667</v>
      </c>
      <c r="AB60" s="91">
        <f ca="1">AA60/Variables!$E$49</f>
        <v>2.7747379935341399</v>
      </c>
    </row>
    <row r="61" spans="1:29" x14ac:dyDescent="0.25">
      <c r="A61" s="61">
        <f>'Water runs'!C68</f>
        <v>7549</v>
      </c>
      <c r="B61" s="61" t="str">
        <f>'Water runs'!B68</f>
        <v>Winter</v>
      </c>
      <c r="C61" s="54">
        <f>'Water runs'!D68/100</f>
        <v>2.37995</v>
      </c>
      <c r="D61" s="108">
        <f>VLOOKUP(ROW(D61)+4,'Water runs'!$BS$3:$CF$423,MATCH($B$1,Scenarios,0)+1)</f>
        <v>0.16007806870996602</v>
      </c>
      <c r="E61" s="54">
        <f>IF(B61=Variables!$D$8,C61-Variables!$E$8,IF(B61=Variables!$D$9,C61-Variables!$E$9,IF(B61=Variables!$D$10,C61-Variables!$E$10,IF(B61=Variables!$D$11,C61-Variables!$E$11,"ELSE"))))</f>
        <v>1.8081823743386243</v>
      </c>
      <c r="F61" s="108">
        <f>VLOOKUP(ROW(F61)+4,'Water runs'!$CH$3:$CU$423,MATCH($B$1,Scenarios,0)+1)</f>
        <v>7.9151853933918714E-2</v>
      </c>
      <c r="G61" s="65">
        <f ca="1">H61/Variables!$E$49</f>
        <v>0.161</v>
      </c>
      <c r="H61" s="62">
        <f ca="1">IF((H60+I61)&gt;(1.1*Variables!$E$50),(1.1*Variables!$E$50),IF((H60+I61)&gt;0,H60+I61,0))</f>
        <v>0.99820000000000009</v>
      </c>
      <c r="I61" s="64">
        <f t="shared" ca="1" si="1"/>
        <v>0</v>
      </c>
      <c r="J61" s="63">
        <f ca="1">IF(SUM(E57:E60)&lt;Variables!$B$3,-H60,0)</f>
        <v>-0.99820000000000009</v>
      </c>
      <c r="K61" s="64">
        <f ca="1">IF(AND(H60&lt;Variables!$B$6*Variables!$E$50,OR(SUM(D58:D61)&gt;Variables!$B$5,SUM(E58:E61)&gt;Variables!$B$4)),Variables!$B$6*Variables!$E$50+Variables!$B$7*$G$1*Variables!$E$50*SUM(D58:D61),0)</f>
        <v>1.1516781428921061</v>
      </c>
      <c r="L61" s="64">
        <f ca="1">IF(B61="Winter",Variables!$B$8*H60,0)</f>
        <v>-0.49704894489176149</v>
      </c>
      <c r="M61" s="64">
        <f ca="1">IF(AND(B61="Spring",AND(NOT(H60=0),H60&lt;(Variables!$B$9*Variables!$E$50))),(Variables!$B$10*Variables!$E$50+Variables!$B$11*Variables!$E$50*SUM(E58:E61)+$G$1*SUM(D60:D61)*Variables!$E$50*Variables!$B$12),0)</f>
        <v>0</v>
      </c>
      <c r="N61" s="64">
        <f>IF(AND(B61="Spring",AND(SUM(D58:D61)&gt;Variables!$B$13,SUM(D54:D57)&gt;Variables!$B$13)),-Variables!$B$14*Variables!$E$50,0)</f>
        <v>0</v>
      </c>
      <c r="O61" s="64">
        <f>IF(AND(B61="Summer",SUM(C57:D61)&gt;Variables!$B$15),(Variables!$B$16*Variables!$E$50*SUM(C57:C61)+$G$1*Variables!$B$16*Variables!$E$50*SUM(D57:D61)+$G$1*Variables!$E$50*Variables!$B$17*F61),0)</f>
        <v>0</v>
      </c>
      <c r="P61" s="64">
        <f ca="1">IF(AND(AND(B61="Autumn",SUM(D60:E61)&gt;0),NOT(H60=0)),Variables!$B$18*Variables!$E$50+Variables!$B$19*Variables!$E$50*SUM(E60:E61)+$G$1*Variables!$B$19*Variables!$E$50*SUM(D60:D61),0)</f>
        <v>0</v>
      </c>
      <c r="Q61" s="64">
        <f>IF(AND(B61="Autumn",AND((E61+E60)&lt;Variables!$B$20,(D60+D61)=0)),-Variables!$B$21*Variables!$E$50,0)</f>
        <v>0</v>
      </c>
      <c r="R61" s="64">
        <f>IF(B61="Autumn",(SUM(F60:F61)*$G$1*Variables!$B$22*Variables!$E$50),0)</f>
        <v>0</v>
      </c>
      <c r="S61" s="64">
        <f>IF(B61="Spring",($G$1*Variables!$E$50*SUM('Guts (MC)'!F60:F61)*Variables!$B$23),0)</f>
        <v>0</v>
      </c>
      <c r="T61" s="63">
        <f ca="1">IF((H60+SUM(J61:Q61))&lt;(Variables!$B$26*Variables!$E$50),$F$1*((Variables!$B$26*Variables!$E$50)-H60-SUM(J61:Q61)),0)</f>
        <v>0.34357080199965545</v>
      </c>
      <c r="U61" s="64">
        <f ca="1">IF(AND(AND(B61="Autumn",SUM(D58:E61)&gt;Variables!$B$27),SUM(J61:Q61)&lt;Variables!$B$28*H60),$F$1*(Variables!$B$28*H60-SUM(J61:Q61)),0)</f>
        <v>0</v>
      </c>
      <c r="V61" s="96">
        <f ca="1">IF(AND((J61+K61)=0,(Q61+T61)=0),$H$1*H61*Variables!$I$23*0.25,0)</f>
        <v>0</v>
      </c>
      <c r="W61" s="97">
        <f ca="1">IF(AND((K61+J61)=0,(T61+Q61)=0),$I$1*H61*Variables!$Q$23*0.25,0)</f>
        <v>0</v>
      </c>
      <c r="X61" s="95">
        <f ca="1">IF(AND(NOT(K61=0),(H61-H60)&gt;0),(H61-H60)*(Variables!$M$5*$H$1+Variables!$U$5*$I$1),0)+IF(AND(NOT((J61+N61+Q61)=0),(H60-H61)&gt;0),(H60-H61)*(Variables!$M$4*$H$1+Variables!$U$4*$I$1),0)</f>
        <v>0</v>
      </c>
      <c r="Y61" s="95">
        <f ca="1">IF(SUM(T61,U60:U61)&gt;0,H61*Variables!$Y$11*0.25*(1-$J$1),0)</f>
        <v>-8.6666009437672749</v>
      </c>
      <c r="Z61" s="95">
        <f ca="1">IF(T61=0,H61*$J$1*Variables!$Y$5*0.25,0)</f>
        <v>0</v>
      </c>
      <c r="AA61" s="95">
        <f t="shared" ca="1" si="0"/>
        <v>-8.6666009437672749</v>
      </c>
      <c r="AB61" s="91">
        <f ca="1">AA61/Variables!$E$49</f>
        <v>-1.3978388618979476</v>
      </c>
    </row>
    <row r="62" spans="1:29" x14ac:dyDescent="0.25">
      <c r="A62" s="61">
        <f>'Water runs'!C69</f>
        <v>7640</v>
      </c>
      <c r="B62" s="61" t="str">
        <f>'Water runs'!B69</f>
        <v>Spring</v>
      </c>
      <c r="C62" s="54">
        <f>'Water runs'!D69/100</f>
        <v>0.70299999999999996</v>
      </c>
      <c r="D62" s="108">
        <f>VLOOKUP(ROW(D62)+4,'Water runs'!$BS$3:$CF$423,MATCH($B$1,Scenarios,0)+1)</f>
        <v>0</v>
      </c>
      <c r="E62" s="54">
        <f>IF(B62=Variables!$D$8,C62-Variables!$E$8,IF(B62=Variables!$D$9,C62-Variables!$E$9,IF(B62=Variables!$D$10,C62-Variables!$E$10,IF(B62=Variables!$D$11,C62-Variables!$E$11,"ELSE"))))</f>
        <v>-6.0982208994709186E-2</v>
      </c>
      <c r="F62" s="108">
        <f>VLOOKUP(ROW(F62)+4,'Water runs'!$CH$3:$CU$423,MATCH($B$1,Scenarios,0)+1)</f>
        <v>0</v>
      </c>
      <c r="G62" s="65">
        <f ca="1">H62/Variables!$E$49</f>
        <v>0.41249498070096174</v>
      </c>
      <c r="H62" s="62">
        <f ca="1">IF((H61+I62)&gt;(1.1*Variables!$E$50),(1.1*Variables!$E$50),IF((H61+I62)&gt;0,H61+I62,0))</f>
        <v>2.5574688803459629</v>
      </c>
      <c r="I62" s="64">
        <f t="shared" ca="1" si="1"/>
        <v>1.5592688803459629</v>
      </c>
      <c r="J62" s="63">
        <f>IF(SUM(E58:E61)&lt;Variables!$B$3,-H61,0)</f>
        <v>0</v>
      </c>
      <c r="K62" s="64">
        <f ca="1">IF(AND(H61&lt;Variables!$B$6*Variables!$E$50,OR(SUM(D59:D62)&gt;Variables!$B$5,SUM(E59:E62)&gt;Variables!$B$4)),Variables!$B$6*Variables!$E$50+Variables!$B$7*$G$1*Variables!$E$50*SUM(D59:D62),0)</f>
        <v>1.1516781428921061</v>
      </c>
      <c r="L62" s="64">
        <f>IF(B62="Winter",Variables!$B$8*H61,0)</f>
        <v>0</v>
      </c>
      <c r="M62" s="64">
        <f ca="1">IF(AND(B62="Spring",AND(NOT(H61=0),H61&lt;(Variables!$B$9*Variables!$E$50))),(Variables!$B$10*Variables!$E$50+Variables!$B$11*Variables!$E$50*SUM(E59:E62)+$G$1*SUM(D61:D62)*Variables!$E$50*Variables!$B$12),0)</f>
        <v>0.39670747608835955</v>
      </c>
      <c r="N62" s="64">
        <f>IF(AND(B62="Spring",AND(SUM(D59:D62)&gt;Variables!$B$13,SUM(D55:D58)&gt;Variables!$B$13)),-Variables!$B$14*Variables!$E$50,0)</f>
        <v>0</v>
      </c>
      <c r="O62" s="64">
        <f>IF(AND(B62="Summer",SUM(C58:D62)&gt;Variables!$B$15),(Variables!$B$16*Variables!$E$50*SUM(C58:C62)+$G$1*Variables!$B$16*Variables!$E$50*SUM(D58:D62)+$G$1*Variables!$E$50*Variables!$B$17*F62),0)</f>
        <v>0</v>
      </c>
      <c r="P62" s="64">
        <f ca="1">IF(AND(AND(B62="Autumn",SUM(D61:E62)&gt;0),NOT(H61=0)),Variables!$B$18*Variables!$E$50+Variables!$B$19*Variables!$E$50*SUM(E61:E62)+$G$1*Variables!$B$19*Variables!$E$50*SUM(D61:D62),0)</f>
        <v>0</v>
      </c>
      <c r="Q62" s="64">
        <f>IF(AND(B62="Autumn",AND((E62+E61)&lt;Variables!$B$20,(D61+D62)=0)),-Variables!$B$21*Variables!$E$50,0)</f>
        <v>0</v>
      </c>
      <c r="R62" s="64">
        <f>IF(B62="Autumn",(SUM(F61:F62)*$G$1*Variables!$B$22*Variables!$E$50),0)</f>
        <v>0</v>
      </c>
      <c r="S62" s="64">
        <f ca="1">IF(B62="Spring",($G$1*Variables!$E$50*SUM('Guts (MC)'!F61:F62)*Variables!$B$23),0)</f>
        <v>1.088326136549715E-2</v>
      </c>
      <c r="T62" s="63">
        <f ca="1">IF((H61+SUM(J62:Q62))&lt;(Variables!$B$26*Variables!$E$50),$F$1*((Variables!$B$26*Variables!$E$50)-H61-SUM(J62:Q62)),0)</f>
        <v>0</v>
      </c>
      <c r="U62" s="64">
        <f ca="1">IF(AND(AND(B62="Autumn",SUM(D59:E62)&gt;Variables!$B$27),SUM(J62:Q62)&lt;Variables!$B$28*H61),$F$1*(Variables!$B$28*H61-SUM(J62:Q62)),0)</f>
        <v>0</v>
      </c>
      <c r="V62" s="96">
        <f ca="1">IF(AND((J62+K62)=0,(Q62+T62)=0),$H$1*H62*Variables!$I$23*0.25,0)</f>
        <v>0</v>
      </c>
      <c r="W62" s="97">
        <f ca="1">IF(AND((K62+J62)=0,(T62+Q62)=0),$I$1*H62*Variables!$Q$23*0.25,0)</f>
        <v>0</v>
      </c>
      <c r="X62" s="95">
        <f ca="1">IF(AND(NOT(K62=0),(H62-H61)&gt;0),(H62-H61)*(Variables!$M$5*$H$1+Variables!$U$5*$I$1),0)+IF(AND(NOT((J62+N62+Q62)=0),(H61-H62)&gt;0),(H61-H62)*(Variables!$M$4*$H$1+Variables!$U$4*$I$1),0)</f>
        <v>-178.24699852550418</v>
      </c>
      <c r="Y62" s="95">
        <f ca="1">IF(SUM(T62,U61:U62)&gt;0,H62*Variables!$Y$11*0.25*(1-$J$1),0)</f>
        <v>0</v>
      </c>
      <c r="Z62" s="95">
        <f ca="1">IF(T62=0,H62*$J$1*Variables!$Y$5*0.25,0)</f>
        <v>2.8778860666590398</v>
      </c>
      <c r="AA62" s="95">
        <f t="shared" ca="1" si="0"/>
        <v>-175.36911245884514</v>
      </c>
      <c r="AB62" s="91">
        <f ca="1">AA62/Variables!$E$49</f>
        <v>-28.28534071916857</v>
      </c>
    </row>
    <row r="63" spans="1:29" x14ac:dyDescent="0.25">
      <c r="A63" s="61">
        <f>'Water runs'!C70</f>
        <v>7730</v>
      </c>
      <c r="B63" s="61" t="str">
        <f>'Water runs'!B70</f>
        <v>Summer</v>
      </c>
      <c r="C63" s="54">
        <f>'Water runs'!D70/100</f>
        <v>1.3653999999999999</v>
      </c>
      <c r="D63" s="108">
        <f>VLOOKUP(ROW(D63)+4,'Water runs'!$BS$3:$CF$423,MATCH($B$1,Scenarios,0)+1)</f>
        <v>0</v>
      </c>
      <c r="E63" s="54">
        <f>IF(B63=Variables!$D$8,C63-Variables!$E$8,IF(B63=Variables!$D$9,C63-Variables!$E$9,IF(B63=Variables!$D$10,C63-Variables!$E$10,IF(B63=Variables!$D$11,C63-Variables!$E$11,"ELSE"))))</f>
        <v>0.10702986394557823</v>
      </c>
      <c r="F63" s="108">
        <f>VLOOKUP(ROW(F63)+4,'Water runs'!$CH$3:$CU$423,MATCH($B$1,Scenarios,0)+1)</f>
        <v>0</v>
      </c>
      <c r="G63" s="65">
        <f ca="1">H63/Variables!$E$49</f>
        <v>0.41249498070096174</v>
      </c>
      <c r="H63" s="62">
        <f ca="1">IF((H62+I63)&gt;(1.1*Variables!$E$50),(1.1*Variables!$E$50),IF((H62+I63)&gt;0,H62+I63,0))</f>
        <v>2.5574688803459629</v>
      </c>
      <c r="I63" s="64">
        <f t="shared" ca="1" si="1"/>
        <v>0</v>
      </c>
      <c r="J63" s="63">
        <f>IF(SUM(E59:E62)&lt;Variables!$B$3,-H62,0)</f>
        <v>0</v>
      </c>
      <c r="K63" s="64">
        <f ca="1">IF(AND(H62&lt;Variables!$B$6*Variables!$E$50,OR(SUM(D60:D63)&gt;Variables!$B$5,SUM(E60:E63)&gt;Variables!$B$4)),Variables!$B$6*Variables!$E$50+Variables!$B$7*$G$1*Variables!$E$50*SUM(D60:D63),0)</f>
        <v>0</v>
      </c>
      <c r="L63" s="64">
        <f>IF(B63="Winter",Variables!$B$8*H62,0)</f>
        <v>0</v>
      </c>
      <c r="M63" s="64">
        <f ca="1">IF(AND(B63="Spring",AND(NOT(H62=0),H62&lt;(Variables!$B$9*Variables!$E$50))),(Variables!$B$10*Variables!$E$50+Variables!$B$11*Variables!$E$50*SUM(E60:E63)+$G$1*SUM(D62:D63)*Variables!$E$50*Variables!$B$12),0)</f>
        <v>0</v>
      </c>
      <c r="N63" s="64">
        <f>IF(AND(B63="Spring",AND(SUM(D60:D63)&gt;Variables!$B$13,SUM(D56:D59)&gt;Variables!$B$13)),-Variables!$B$14*Variables!$E$50,0)</f>
        <v>0</v>
      </c>
      <c r="O63" s="64">
        <f>IF(AND(B63="Summer",SUM(C59:D63)&gt;Variables!$B$15),(Variables!$B$16*Variables!$E$50*SUM(C59:C63)+$G$1*Variables!$B$16*Variables!$E$50*SUM(D59:D63)+$G$1*Variables!$E$50*Variables!$B$17*F63),0)</f>
        <v>0</v>
      </c>
      <c r="P63" s="64">
        <f ca="1">IF(AND(AND(B63="Autumn",SUM(D62:E63)&gt;0),NOT(H62=0)),Variables!$B$18*Variables!$E$50+Variables!$B$19*Variables!$E$50*SUM(E62:E63)+$G$1*Variables!$B$19*Variables!$E$50*SUM(D62:D63),0)</f>
        <v>0</v>
      </c>
      <c r="Q63" s="64">
        <f>IF(AND(B63="Autumn",AND((E63+E62)&lt;Variables!$B$20,(D62+D63)=0)),-Variables!$B$21*Variables!$E$50,0)</f>
        <v>0</v>
      </c>
      <c r="R63" s="64">
        <f>IF(B63="Autumn",(SUM(F62:F63)*$G$1*Variables!$B$22*Variables!$E$50),0)</f>
        <v>0</v>
      </c>
      <c r="S63" s="64">
        <f>IF(B63="Spring",($G$1*Variables!$E$50*SUM('Guts (MC)'!F62:F63)*Variables!$B$23),0)</f>
        <v>0</v>
      </c>
      <c r="T63" s="63">
        <f ca="1">IF((H62+SUM(J63:Q63))&lt;(Variables!$B$26*Variables!$E$50),$F$1*((Variables!$B$26*Variables!$E$50)-H62-SUM(J63:Q63)),0)</f>
        <v>0</v>
      </c>
      <c r="U63" s="64">
        <f ca="1">IF(AND(AND(B63="Autumn",SUM(D60:E63)&gt;Variables!$B$27),SUM(J63:Q63)&lt;Variables!$B$28*H62),$F$1*(Variables!$B$28*H62-SUM(J63:Q63)),0)</f>
        <v>0</v>
      </c>
      <c r="V63" s="96">
        <f ca="1">IF(AND((J63+K63)=0,(Q63+T63)=0),$H$1*H63*Variables!$I$23*0.25,0)</f>
        <v>31.172931066673808</v>
      </c>
      <c r="W63" s="97">
        <f ca="1">IF(AND((K63+J63)=0,(T63+Q63)=0),$I$1*H63*Variables!$Q$23*0.25,0)</f>
        <v>10.025618081432112</v>
      </c>
      <c r="X63" s="95">
        <f ca="1">IF(AND(NOT(K63=0),(H63-H62)&gt;0),(H63-H62)*(Variables!$M$5*$H$1+Variables!$U$5*$I$1),0)+IF(AND(NOT((J63+N63+Q63)=0),(H62-H63)&gt;0),(H62-H63)*(Variables!$M$4*$H$1+Variables!$U$4*$I$1),0)</f>
        <v>0</v>
      </c>
      <c r="Y63" s="95">
        <f ca="1">IF(SUM(T63,U62:U63)&gt;0,H63*Variables!$Y$11*0.25*(1-$J$1),0)</f>
        <v>0</v>
      </c>
      <c r="Z63" s="95">
        <f ca="1">IF(T63=0,H63*$J$1*Variables!$Y$5*0.25,0)</f>
        <v>2.8778860666590398</v>
      </c>
      <c r="AA63" s="95">
        <f t="shared" ca="1" si="0"/>
        <v>44.076435214764956</v>
      </c>
      <c r="AB63" s="91">
        <f ca="1">AA63/Variables!$E$49</f>
        <v>7.1091024539943479</v>
      </c>
    </row>
    <row r="64" spans="1:29" x14ac:dyDescent="0.25">
      <c r="A64" s="61">
        <f>'Water runs'!C71</f>
        <v>7822</v>
      </c>
      <c r="B64" s="61" t="str">
        <f>'Water runs'!B71</f>
        <v>Autumn</v>
      </c>
      <c r="C64" s="54">
        <f>'Water runs'!D71/100</f>
        <v>1.7924</v>
      </c>
      <c r="D64" s="108">
        <f>VLOOKUP(ROW(D64)+4,'Water runs'!$BS$3:$CF$423,MATCH($B$1,Scenarios,0)+1)</f>
        <v>0</v>
      </c>
      <c r="E64" s="54">
        <f>IF(B64=Variables!$D$8,C64-Variables!$E$8,IF(B64=Variables!$D$9,C64-Variables!$E$9,IF(B64=Variables!$D$10,C64-Variables!$E$10,IF(B64=Variables!$D$11,C64-Variables!$E$11,"ELSE"))))</f>
        <v>0.79775670068027216</v>
      </c>
      <c r="F64" s="108">
        <f>VLOOKUP(ROW(F64)+4,'Water runs'!$CH$3:$CU$423,MATCH($B$1,Scenarios,0)+1)</f>
        <v>0</v>
      </c>
      <c r="G64" s="65">
        <f ca="1">H64/Variables!$E$49</f>
        <v>0.79071169348225601</v>
      </c>
      <c r="H64" s="62">
        <f ca="1">IF((H63+I64)&gt;(1.1*Variables!$E$50),(1.1*Variables!$E$50),IF((H63+I64)&gt;0,H63+I64,0))</f>
        <v>4.9024124995899871</v>
      </c>
      <c r="I64" s="64">
        <f t="shared" ca="1" si="1"/>
        <v>2.3449436192440243</v>
      </c>
      <c r="J64" s="63">
        <f>IF(SUM(E60:E63)&lt;Variables!$B$3,-H63,0)</f>
        <v>0</v>
      </c>
      <c r="K64" s="64">
        <f ca="1">IF(AND(H63&lt;Variables!$B$6*Variables!$E$50,OR(SUM(D61:D64)&gt;Variables!$B$5,SUM(E61:E64)&gt;Variables!$B$4)),Variables!$B$6*Variables!$E$50+Variables!$B$7*$G$1*Variables!$E$50*SUM(D61:D64),0)</f>
        <v>0</v>
      </c>
      <c r="L64" s="64">
        <f>IF(B64="Winter",Variables!$B$8*H63,0)</f>
        <v>0</v>
      </c>
      <c r="M64" s="64">
        <f ca="1">IF(AND(B64="Spring",AND(NOT(H63=0),H63&lt;(Variables!$B$9*Variables!$E$50))),(Variables!$B$10*Variables!$E$50+Variables!$B$11*Variables!$E$50*SUM(E61:E64)+$G$1*SUM(D63:D64)*Variables!$E$50*Variables!$B$12),0)</f>
        <v>0</v>
      </c>
      <c r="N64" s="64">
        <f>IF(AND(B64="Spring",AND(SUM(D61:D64)&gt;Variables!$B$13,SUM(D57:D60)&gt;Variables!$B$13)),-Variables!$B$14*Variables!$E$50,0)</f>
        <v>0</v>
      </c>
      <c r="O64" s="64">
        <f>IF(AND(B64="Summer",SUM(C60:D64)&gt;Variables!$B$15),(Variables!$B$16*Variables!$E$50*SUM(C60:C64)+$G$1*Variables!$B$16*Variables!$E$50*SUM(D60:D64)+$G$1*Variables!$E$50*Variables!$B$17*F64),0)</f>
        <v>0</v>
      </c>
      <c r="P64" s="64">
        <f ca="1">IF(AND(AND(B64="Autumn",SUM(D63:E64)&gt;0),NOT(H63=0)),Variables!$B$18*Variables!$E$50+Variables!$B$19*Variables!$E$50*SUM(E63:E64)+$G$1*Variables!$B$19*Variables!$E$50*SUM(D63:D64),0)</f>
        <v>2.3449436192440243</v>
      </c>
      <c r="Q64" s="64">
        <f>IF(AND(B64="Autumn",AND((E64+E63)&lt;Variables!$B$20,(D63+D64)=0)),-Variables!$B$21*Variables!$E$50,0)</f>
        <v>0</v>
      </c>
      <c r="R64" s="64">
        <f ca="1">IF(B64="Autumn",(SUM(F63:F64)*$G$1*Variables!$B$22*Variables!$E$50),0)</f>
        <v>0</v>
      </c>
      <c r="S64" s="64">
        <f>IF(B64="Spring",($G$1*Variables!$E$50*SUM('Guts (MC)'!F63:F64)*Variables!$B$23),0)</f>
        <v>0</v>
      </c>
      <c r="T64" s="63">
        <f ca="1">IF((H63+SUM(J64:Q64))&lt;(Variables!$B$26*Variables!$E$50),$F$1*((Variables!$B$26*Variables!$E$50)-H63-SUM(J64:Q64)),0)</f>
        <v>0</v>
      </c>
      <c r="U64" s="64">
        <f ca="1">IF(AND(AND(B64="Autumn",SUM(D61:E64)&gt;Variables!$B$27),SUM(J64:Q64)&lt;Variables!$B$28*H63),$F$1*(Variables!$B$28*H63-SUM(J64:Q64)),0)</f>
        <v>0</v>
      </c>
      <c r="V64" s="96">
        <f ca="1">IF(AND((J64+K64)=0,(Q64+T64)=0),$H$1*H64*Variables!$I$23*0.25,0)</f>
        <v>59.755396472095313</v>
      </c>
      <c r="W64" s="97">
        <f ca="1">IF(AND((K64+J64)=0,(T64+Q64)=0),$I$1*H64*Variables!$Q$23*0.25,0)</f>
        <v>19.218108879541642</v>
      </c>
      <c r="X64" s="95">
        <f ca="1">IF(AND(NOT(K64=0),(H64-H63)&gt;0),(H64-H63)*(Variables!$M$5*$H$1+Variables!$U$5*$I$1),0)+IF(AND(NOT((J64+N64+Q64)=0),(H63-H64)&gt;0),(H63-H64)*(Variables!$M$4*$H$1+Variables!$U$4*$I$1),0)</f>
        <v>0</v>
      </c>
      <c r="Y64" s="95">
        <f ca="1">IF(SUM(T64,U63:U64)&gt;0,H64*Variables!$Y$11*0.25*(1-$J$1),0)</f>
        <v>0</v>
      </c>
      <c r="Z64" s="95">
        <f ca="1">IF(T64=0,H64*$J$1*Variables!$Y$5*0.25,0)</f>
        <v>5.5166202545059297</v>
      </c>
      <c r="AA64" s="95">
        <f t="shared" ca="1" si="0"/>
        <v>84.490125606142882</v>
      </c>
      <c r="AB64" s="91">
        <f ca="1">AA64/Variables!$E$49</f>
        <v>13.627439613894014</v>
      </c>
    </row>
    <row r="65" spans="1:28" x14ac:dyDescent="0.25">
      <c r="A65" s="61">
        <f>'Water runs'!C72</f>
        <v>7914</v>
      </c>
      <c r="B65" s="61" t="str">
        <f>'Water runs'!B72</f>
        <v>Winter</v>
      </c>
      <c r="C65" s="54">
        <f>'Water runs'!D72/100</f>
        <v>1.9356</v>
      </c>
      <c r="D65" s="108">
        <f>VLOOKUP(ROW(D65)+4,'Water runs'!$BS$3:$CF$423,MATCH($B$1,Scenarios,0)+1)</f>
        <v>0.5214871059945051</v>
      </c>
      <c r="E65" s="54">
        <f>IF(B65=Variables!$D$8,C65-Variables!$E$8,IF(B65=Variables!$D$9,C65-Variables!$E$9,IF(B65=Variables!$D$10,C65-Variables!$E$10,IF(B65=Variables!$D$11,C65-Variables!$E$11,"ELSE"))))</f>
        <v>1.3638323743386243</v>
      </c>
      <c r="F65" s="108">
        <f>VLOOKUP(ROW(F65)+4,'Water runs'!$CH$3:$CU$423,MATCH($B$1,Scenarios,0)+1)</f>
        <v>1.5590087807504414</v>
      </c>
      <c r="G65" s="65">
        <f ca="1">H65/Variables!$E$49</f>
        <v>0.39698056449113872</v>
      </c>
      <c r="H65" s="62">
        <f ca="1">IF((H64+I65)&gt;(1.1*Variables!$E$50),(1.1*Variables!$E$50),IF((H64+I65)&gt;0,H64+I65,0))</f>
        <v>2.4612794998450602</v>
      </c>
      <c r="I65" s="64">
        <f t="shared" ca="1" si="1"/>
        <v>-2.4411329997449269</v>
      </c>
      <c r="J65" s="63">
        <f>IF(SUM(E61:E64)&lt;Variables!$B$3,-H64,0)</f>
        <v>0</v>
      </c>
      <c r="K65" s="64">
        <f ca="1">IF(AND(H64&lt;Variables!$B$6*Variables!$E$50,OR(SUM(D62:D65)&gt;Variables!$B$5,SUM(E62:E65)&gt;Variables!$B$4)),Variables!$B$6*Variables!$E$50+Variables!$B$7*$G$1*Variables!$E$50*SUM(D62:D65),0)</f>
        <v>0</v>
      </c>
      <c r="L65" s="64">
        <f ca="1">IF(B65="Winter",Variables!$B$8*H64,0)</f>
        <v>-2.4411329997449269</v>
      </c>
      <c r="M65" s="64">
        <f ca="1">IF(AND(B65="Spring",AND(NOT(H64=0),H64&lt;(Variables!$B$9*Variables!$E$50))),(Variables!$B$10*Variables!$E$50+Variables!$B$11*Variables!$E$50*SUM(E62:E65)+$G$1*SUM(D64:D65)*Variables!$E$50*Variables!$B$12),0)</f>
        <v>0</v>
      </c>
      <c r="N65" s="64">
        <f>IF(AND(B65="Spring",AND(SUM(D62:D65)&gt;Variables!$B$13,SUM(D58:D61)&gt;Variables!$B$13)),-Variables!$B$14*Variables!$E$50,0)</f>
        <v>0</v>
      </c>
      <c r="O65" s="64">
        <f>IF(AND(B65="Summer",SUM(C61:D65)&gt;Variables!$B$15),(Variables!$B$16*Variables!$E$50*SUM(C61:C65)+$G$1*Variables!$B$16*Variables!$E$50*SUM(D61:D65)+$G$1*Variables!$E$50*Variables!$B$17*F65),0)</f>
        <v>0</v>
      </c>
      <c r="P65" s="64">
        <f ca="1">IF(AND(AND(B65="Autumn",SUM(D64:E65)&gt;0),NOT(H64=0)),Variables!$B$18*Variables!$E$50+Variables!$B$19*Variables!$E$50*SUM(E64:E65)+$G$1*Variables!$B$19*Variables!$E$50*SUM(D64:D65),0)</f>
        <v>0</v>
      </c>
      <c r="Q65" s="64">
        <f>IF(AND(B65="Autumn",AND((E65+E64)&lt;Variables!$B$20,(D64+D65)=0)),-Variables!$B$21*Variables!$E$50,0)</f>
        <v>0</v>
      </c>
      <c r="R65" s="64">
        <f>IF(B65="Autumn",(SUM(F64:F65)*$G$1*Variables!$B$22*Variables!$E$50),0)</f>
        <v>0</v>
      </c>
      <c r="S65" s="64">
        <f>IF(B65="Spring",($G$1*Variables!$E$50*SUM('Guts (MC)'!F64:F65)*Variables!$B$23),0)</f>
        <v>0</v>
      </c>
      <c r="T65" s="63">
        <f ca="1">IF((H64+SUM(J65:Q65))&lt;(Variables!$B$26*Variables!$E$50),$F$1*((Variables!$B$26*Variables!$E$50)-H64-SUM(J65:Q65)),0)</f>
        <v>0</v>
      </c>
      <c r="U65" s="64">
        <f ca="1">IF(AND(AND(B65="Autumn",SUM(D62:E65)&gt;Variables!$B$27),SUM(J65:Q65)&lt;Variables!$B$28*H64),$F$1*(Variables!$B$28*H64-SUM(J65:Q65)),0)</f>
        <v>0</v>
      </c>
      <c r="V65" s="96">
        <f ca="1">IF(AND((J65+K65)=0,(Q65+T65)=0),$H$1*H65*Variables!$I$23*0.25,0)</f>
        <v>30.000480855942374</v>
      </c>
      <c r="W65" s="97">
        <f ca="1">IF(AND((K65+J65)=0,(T65+Q65)=0),$I$1*H65*Variables!$Q$23*0.25,0)</f>
        <v>9.6485429194222636</v>
      </c>
      <c r="X65" s="95">
        <f ca="1">IF(AND(NOT(K65=0),(H65-H64)&gt;0),(H65-H64)*(Variables!$M$5*$H$1+Variables!$U$5*$I$1),0)+IF(AND(NOT((J65+N65+Q65)=0),(H64-H65)&gt;0),(H64-H65)*(Variables!$M$4*$H$1+Variables!$U$4*$I$1),0)</f>
        <v>0</v>
      </c>
      <c r="Y65" s="95">
        <f ca="1">IF(SUM(T65,U64:U65)&gt;0,H65*Variables!$Y$11*0.25*(1-$J$1),0)</f>
        <v>0</v>
      </c>
      <c r="Z65" s="95">
        <f ca="1">IF(T65=0,H65*$J$1*Variables!$Y$5*0.25,0)</f>
        <v>2.7696454229384151</v>
      </c>
      <c r="AA65" s="95">
        <f t="shared" ca="1" si="0"/>
        <v>42.418669198303057</v>
      </c>
      <c r="AB65" s="91">
        <f ca="1">AA65/Variables!$E$49</f>
        <v>6.8417208384359771</v>
      </c>
    </row>
    <row r="66" spans="1:28" x14ac:dyDescent="0.25">
      <c r="A66" s="61">
        <f>'Water runs'!C73</f>
        <v>8005</v>
      </c>
      <c r="B66" s="61" t="str">
        <f>'Water runs'!B73</f>
        <v>Spring</v>
      </c>
      <c r="C66" s="54">
        <f>'Water runs'!D73/100</f>
        <v>1.0287999999999999</v>
      </c>
      <c r="D66" s="108">
        <f>VLOOKUP(ROW(D66)+4,'Water runs'!$BS$3:$CF$423,MATCH($B$1,Scenarios,0)+1)</f>
        <v>0</v>
      </c>
      <c r="E66" s="54">
        <f>IF(B66=Variables!$D$8,C66-Variables!$E$8,IF(B66=Variables!$D$9,C66-Variables!$E$9,IF(B66=Variables!$D$10,C66-Variables!$E$10,IF(B66=Variables!$D$11,C66-Variables!$E$11,"ELSE"))))</f>
        <v>0.26481779100529079</v>
      </c>
      <c r="F66" s="108">
        <f>VLOOKUP(ROW(F66)+4,'Water runs'!$CH$3:$CU$423,MATCH($B$1,Scenarios,0)+1)</f>
        <v>0</v>
      </c>
      <c r="G66" s="65">
        <f ca="1">H66/Variables!$E$49</f>
        <v>0.43155497938363169</v>
      </c>
      <c r="H66" s="62">
        <f ca="1">IF((H65+I66)&gt;(1.1*Variables!$E$50),(1.1*Variables!$E$50),IF((H65+I66)&gt;0,H65+I66,0))</f>
        <v>2.6756408721785165</v>
      </c>
      <c r="I66" s="64">
        <f t="shared" ca="1" si="1"/>
        <v>0.21436137233345628</v>
      </c>
      <c r="J66" s="63">
        <f>IF(SUM(E62:E65)&lt;Variables!$B$3,-H65,0)</f>
        <v>0</v>
      </c>
      <c r="K66" s="64">
        <f ca="1">IF(AND(H65&lt;Variables!$B$6*Variables!$E$50,OR(SUM(D63:D66)&gt;Variables!$B$5,SUM(E63:E66)&gt;Variables!$B$4)),Variables!$B$6*Variables!$E$50+Variables!$B$7*$G$1*Variables!$E$50*SUM(D63:D66),0)</f>
        <v>0</v>
      </c>
      <c r="L66" s="64">
        <f>IF(B66="Winter",Variables!$B$8*H65,0)</f>
        <v>0</v>
      </c>
      <c r="M66" s="64">
        <f ca="1">IF(AND(B66="Spring",AND(NOT(H65=0),H65&lt;(Variables!$B$9*Variables!$E$50))),(Variables!$B$10*Variables!$E$50+Variables!$B$11*Variables!$E$50*SUM(E63:E66)+$G$1*SUM(D65:D66)*Variables!$E$50*Variables!$B$12),0)</f>
        <v>0</v>
      </c>
      <c r="N66" s="64">
        <f>IF(AND(B66="Spring",AND(SUM(D63:D66)&gt;Variables!$B$13,SUM(D59:D62)&gt;Variables!$B$13)),-Variables!$B$14*Variables!$E$50,0)</f>
        <v>0</v>
      </c>
      <c r="O66" s="64">
        <f>IF(AND(B66="Summer",SUM(C62:D66)&gt;Variables!$B$15),(Variables!$B$16*Variables!$E$50*SUM(C62:C66)+$G$1*Variables!$B$16*Variables!$E$50*SUM(D62:D66)+$G$1*Variables!$E$50*Variables!$B$17*F66),0)</f>
        <v>0</v>
      </c>
      <c r="P66" s="64">
        <f ca="1">IF(AND(AND(B66="Autumn",SUM(D65:E66)&gt;0),NOT(H65=0)),Variables!$B$18*Variables!$E$50+Variables!$B$19*Variables!$E$50*SUM(E65:E66)+$G$1*Variables!$B$19*Variables!$E$50*SUM(D65:D66),0)</f>
        <v>0</v>
      </c>
      <c r="Q66" s="64">
        <f>IF(AND(B66="Autumn",AND((E66+E65)&lt;Variables!$B$20,(D65+D66)=0)),-Variables!$B$21*Variables!$E$50,0)</f>
        <v>0</v>
      </c>
      <c r="R66" s="64">
        <f>IF(B66="Autumn",(SUM(F65:F66)*$G$1*Variables!$B$22*Variables!$E$50),0)</f>
        <v>0</v>
      </c>
      <c r="S66" s="64">
        <f ca="1">IF(B66="Spring",($G$1*Variables!$E$50*SUM('Guts (MC)'!F65:F66)*Variables!$B$23),0)</f>
        <v>0.21436137233345628</v>
      </c>
      <c r="T66" s="63">
        <f ca="1">IF((H65+SUM(J66:Q66))&lt;(Variables!$B$26*Variables!$E$50),$F$1*((Variables!$B$26*Variables!$E$50)-H65-SUM(J66:Q66)),0)</f>
        <v>0</v>
      </c>
      <c r="U66" s="64">
        <f ca="1">IF(AND(AND(B66="Autumn",SUM(D63:E66)&gt;Variables!$B$27),SUM(J66:Q66)&lt;Variables!$B$28*H65),$F$1*(Variables!$B$28*H65-SUM(J66:Q66)),0)</f>
        <v>0</v>
      </c>
      <c r="V66" s="96">
        <f ca="1">IF(AND((J66+K66)=0,(Q66+T66)=0),$H$1*H66*Variables!$I$23*0.25,0)</f>
        <v>32.613326835989838</v>
      </c>
      <c r="W66" s="97">
        <f ca="1">IF(AND((K66+J66)=0,(T66+Q66)=0),$I$1*H66*Variables!$Q$23*0.25,0)</f>
        <v>10.48886800292286</v>
      </c>
      <c r="X66" s="95">
        <f ca="1">IF(AND(NOT(K66=0),(H66-H65)&gt;0),(H66-H65)*(Variables!$M$5*$H$1+Variables!$U$5*$I$1),0)+IF(AND(NOT((J66+N66+Q66)=0),(H65-H66)&gt;0),(H65-H66)*(Variables!$M$4*$H$1+Variables!$U$4*$I$1),0)</f>
        <v>0</v>
      </c>
      <c r="Y66" s="95">
        <f ca="1">IF(SUM(T66,U65:U66)&gt;0,H66*Variables!$Y$11*0.25*(1-$J$1),0)</f>
        <v>0</v>
      </c>
      <c r="Z66" s="95">
        <f ca="1">IF(T66=0,H66*$J$1*Variables!$Y$5*0.25,0)</f>
        <v>3.0108634535503507</v>
      </c>
      <c r="AA66" s="95">
        <f t="shared" ca="1" si="0"/>
        <v>46.113058292463045</v>
      </c>
      <c r="AB66" s="91">
        <f ca="1">AA66/Variables!$E$49</f>
        <v>7.4375900471714589</v>
      </c>
    </row>
    <row r="67" spans="1:28" x14ac:dyDescent="0.25">
      <c r="A67" s="61">
        <f>'Water runs'!C74</f>
        <v>8095</v>
      </c>
      <c r="B67" s="61" t="str">
        <f>'Water runs'!B74</f>
        <v>Summer</v>
      </c>
      <c r="C67" s="54">
        <f>'Water runs'!D74/100</f>
        <v>1.4490000000000001</v>
      </c>
      <c r="D67" s="108">
        <f>VLOOKUP(ROW(D67)+4,'Water runs'!$BS$3:$CF$423,MATCH($B$1,Scenarios,0)+1)</f>
        <v>0.60098417247959213</v>
      </c>
      <c r="E67" s="54">
        <f>IF(B67=Variables!$D$8,C67-Variables!$E$8,IF(B67=Variables!$D$9,C67-Variables!$E$9,IF(B67=Variables!$D$10,C67-Variables!$E$10,IF(B67=Variables!$D$11,C67-Variables!$E$11,"ELSE"))))</f>
        <v>0.19062986394557835</v>
      </c>
      <c r="F67" s="108">
        <f>VLOOKUP(ROW(F67)+4,'Water runs'!$CH$3:$CU$423,MATCH($B$1,Scenarios,0)+1)</f>
        <v>0.53890212907465618</v>
      </c>
      <c r="G67" s="65">
        <f ca="1">H67/Variables!$E$49</f>
        <v>1.0515327547590583</v>
      </c>
      <c r="H67" s="62">
        <f ca="1">IF((H66+I67)&gt;(1.1*Variables!$E$50),(1.1*Variables!$E$50),IF((H66+I67)&gt;0,H66+I67,0))</f>
        <v>6.5195030795061619</v>
      </c>
      <c r="I67" s="64">
        <f t="shared" ca="1" si="1"/>
        <v>3.8438622073276454</v>
      </c>
      <c r="J67" s="63">
        <f>IF(SUM(E63:E66)&lt;Variables!$B$3,-H66,0)</f>
        <v>0</v>
      </c>
      <c r="K67" s="64">
        <f ca="1">IF(AND(H66&lt;Variables!$B$6*Variables!$E$50,OR(SUM(D64:D67)&gt;Variables!$B$5,SUM(E64:E67)&gt;Variables!$B$4)),Variables!$B$6*Variables!$E$50+Variables!$B$7*$G$1*Variables!$E$50*SUM(D64:D67),0)</f>
        <v>0</v>
      </c>
      <c r="L67" s="64">
        <f>IF(B67="Winter",Variables!$B$8*H66,0)</f>
        <v>0</v>
      </c>
      <c r="M67" s="64">
        <f ca="1">IF(AND(B67="Spring",AND(NOT(H66=0),H66&lt;(Variables!$B$9*Variables!$E$50))),(Variables!$B$10*Variables!$E$50+Variables!$B$11*Variables!$E$50*SUM(E64:E67)+$G$1*SUM(D66:D67)*Variables!$E$50*Variables!$B$12),0)</f>
        <v>0</v>
      </c>
      <c r="N67" s="64">
        <f>IF(AND(B67="Spring",AND(SUM(D64:D67)&gt;Variables!$B$13,SUM(D60:D63)&gt;Variables!$B$13)),-Variables!$B$14*Variables!$E$50,0)</f>
        <v>0</v>
      </c>
      <c r="O67" s="64">
        <f ca="1">IF(AND(B67="Summer",SUM(C63:D67)&gt;Variables!$B$15),(Variables!$B$16*Variables!$E$50*SUM(C63:C67)+$G$1*Variables!$B$16*Variables!$E$50*SUM(D63:D67)+$G$1*Variables!$E$50*Variables!$B$17*F67),0)</f>
        <v>3.8438622073276454</v>
      </c>
      <c r="P67" s="64">
        <f ca="1">IF(AND(AND(B67="Autumn",SUM(D66:E67)&gt;0),NOT(H66=0)),Variables!$B$18*Variables!$E$50+Variables!$B$19*Variables!$E$50*SUM(E66:E67)+$G$1*Variables!$B$19*Variables!$E$50*SUM(D66:D67),0)</f>
        <v>0</v>
      </c>
      <c r="Q67" s="64">
        <f>IF(AND(B67="Autumn",AND((E67+E66)&lt;Variables!$B$20,(D66+D67)=0)),-Variables!$B$21*Variables!$E$50,0)</f>
        <v>0</v>
      </c>
      <c r="R67" s="64">
        <f>IF(B67="Autumn",(SUM(F66:F67)*$G$1*Variables!$B$22*Variables!$E$50),0)</f>
        <v>0</v>
      </c>
      <c r="S67" s="64">
        <f>IF(B67="Spring",($G$1*Variables!$E$50*SUM('Guts (MC)'!F66:F67)*Variables!$B$23),0)</f>
        <v>0</v>
      </c>
      <c r="T67" s="63">
        <f ca="1">IF((H66+SUM(J67:Q67))&lt;(Variables!$B$26*Variables!$E$50),$F$1*((Variables!$B$26*Variables!$E$50)-H66-SUM(J67:Q67)),0)</f>
        <v>0</v>
      </c>
      <c r="U67" s="64">
        <f ca="1">IF(AND(AND(B67="Autumn",SUM(D64:E67)&gt;Variables!$B$27),SUM(J67:Q67)&lt;Variables!$B$28*H66),$F$1*(Variables!$B$28*H66-SUM(J67:Q67)),0)</f>
        <v>0</v>
      </c>
      <c r="V67" s="96">
        <f ca="1">IF(AND((J67+K67)=0,(Q67+T67)=0),$H$1*H67*Variables!$I$23*0.25,0)</f>
        <v>79.466077436266147</v>
      </c>
      <c r="W67" s="97">
        <f ca="1">IF(AND((K67+J67)=0,(T67+Q67)=0),$I$1*H67*Variables!$Q$23*0.25,0)</f>
        <v>25.557318979774813</v>
      </c>
      <c r="X67" s="95">
        <f ca="1">IF(AND(NOT(K67=0),(H67-H66)&gt;0),(H67-H66)*(Variables!$M$5*$H$1+Variables!$U$5*$I$1),0)+IF(AND(NOT((J67+N67+Q67)=0),(H66-H67)&gt;0),(H66-H67)*(Variables!$M$4*$H$1+Variables!$U$4*$I$1),0)</f>
        <v>0</v>
      </c>
      <c r="Y67" s="95">
        <f ca="1">IF(SUM(T67,U66:U67)&gt;0,H67*Variables!$Y$11*0.25*(1-$J$1),0)</f>
        <v>0</v>
      </c>
      <c r="Z67" s="95">
        <f ca="1">IF(T67=0,H67*$J$1*Variables!$Y$5*0.25,0)</f>
        <v>7.336310998049524</v>
      </c>
      <c r="AA67" s="95">
        <f t="shared" ca="1" si="0"/>
        <v>112.35970741409048</v>
      </c>
      <c r="AB67" s="91">
        <f ca="1">AA67/Variables!$E$49</f>
        <v>18.122533453885559</v>
      </c>
    </row>
    <row r="68" spans="1:28" x14ac:dyDescent="0.25">
      <c r="A68" s="61">
        <f>'Water runs'!C75</f>
        <v>8187</v>
      </c>
      <c r="B68" s="61" t="str">
        <f>'Water runs'!B75</f>
        <v>Autumn</v>
      </c>
      <c r="C68" s="54">
        <f>'Water runs'!D75/100</f>
        <v>5.6000000000000008E-3</v>
      </c>
      <c r="D68" s="108">
        <f>VLOOKUP(ROW(D68)+4,'Water runs'!$BS$3:$CF$423,MATCH($B$1,Scenarios,0)+1)</f>
        <v>0</v>
      </c>
      <c r="E68" s="54">
        <f>IF(B68=Variables!$D$8,C68-Variables!$E$8,IF(B68=Variables!$D$9,C68-Variables!$E$9,IF(B68=Variables!$D$10,C68-Variables!$E$10,IF(B68=Variables!$D$11,C68-Variables!$E$11,"ELSE"))))</f>
        <v>-0.98904329931972779</v>
      </c>
      <c r="F68" s="108">
        <f>VLOOKUP(ROW(F68)+4,'Water runs'!$CH$3:$CU$423,MATCH($B$1,Scenarios,0)+1)</f>
        <v>0</v>
      </c>
      <c r="G68" s="65">
        <f ca="1">H68/Variables!$E$49</f>
        <v>1.5378814512724521</v>
      </c>
      <c r="H68" s="62">
        <f ca="1">IF((H67+I68)&gt;(1.1*Variables!$E$50),(1.1*Variables!$E$50),IF((H67+I68)&gt;0,H67+I68,0))</f>
        <v>9.5348649978892031</v>
      </c>
      <c r="I68" s="64">
        <f t="shared" ca="1" si="1"/>
        <v>3.0153619183830411</v>
      </c>
      <c r="J68" s="63">
        <f>IF(SUM(E64:E67)&lt;Variables!$B$3,-H67,0)</f>
        <v>0</v>
      </c>
      <c r="K68" s="64">
        <f ca="1">IF(AND(H67&lt;Variables!$B$6*Variables!$E$50,OR(SUM(D65:D68)&gt;Variables!$B$5,SUM(E65:E68)&gt;Variables!$B$4)),Variables!$B$6*Variables!$E$50+Variables!$B$7*$G$1*Variables!$E$50*SUM(D65:D68),0)</f>
        <v>0</v>
      </c>
      <c r="L68" s="64">
        <f>IF(B68="Winter",Variables!$B$8*H67,0)</f>
        <v>0</v>
      </c>
      <c r="M68" s="64">
        <f ca="1">IF(AND(B68="Spring",AND(NOT(H67=0),H67&lt;(Variables!$B$9*Variables!$E$50))),(Variables!$B$10*Variables!$E$50+Variables!$B$11*Variables!$E$50*SUM(E65:E68)+$G$1*SUM(D67:D68)*Variables!$E$50*Variables!$B$12),0)</f>
        <v>0</v>
      </c>
      <c r="N68" s="64">
        <f>IF(AND(B68="Spring",AND(SUM(D65:D68)&gt;Variables!$B$13,SUM(D61:D64)&gt;Variables!$B$13)),-Variables!$B$14*Variables!$E$50,0)</f>
        <v>0</v>
      </c>
      <c r="O68" s="64">
        <f>IF(AND(B68="Summer",SUM(C64:D68)&gt;Variables!$B$15),(Variables!$B$16*Variables!$E$50*SUM(C64:C68)+$G$1*Variables!$B$16*Variables!$E$50*SUM(D64:D68)+$G$1*Variables!$E$50*Variables!$B$17*F68),0)</f>
        <v>0</v>
      </c>
      <c r="P68" s="64">
        <f ca="1">IF(AND(AND(B68="Autumn",SUM(D67:E68)&gt;0),NOT(H67=0)),Variables!$B$18*Variables!$E$50+Variables!$B$19*Variables!$E$50*SUM(E67:E68)+$G$1*Variables!$B$19*Variables!$E$50*SUM(D67:D68),0)</f>
        <v>0</v>
      </c>
      <c r="Q68" s="64">
        <f>IF(AND(B68="Autumn",AND((E68+E67)&lt;Variables!$B$20,(D67+D68)=0)),-Variables!$B$21*Variables!$E$50,0)</f>
        <v>0</v>
      </c>
      <c r="R68" s="64">
        <f ca="1">IF(B68="Autumn",(SUM(F67:F68)*$G$1*Variables!$B$22*Variables!$E$50),0)</f>
        <v>8.1585532605268227E-2</v>
      </c>
      <c r="S68" s="64">
        <f>IF(B68="Spring",($G$1*Variables!$E$50*SUM('Guts (MC)'!F67:F68)*Variables!$B$23),0)</f>
        <v>0</v>
      </c>
      <c r="T68" s="63">
        <f ca="1">IF((H67+SUM(J68:Q68))&lt;(Variables!$B$26*Variables!$E$50),$F$1*((Variables!$B$26*Variables!$E$50)-H67-SUM(J68:Q68)),0)</f>
        <v>0</v>
      </c>
      <c r="U68" s="64">
        <f ca="1">IF(AND(AND(B68="Autumn",SUM(D65:E68)&gt;Variables!$B$27),SUM(J68:Q68)&lt;Variables!$B$28*H67),$F$1*(Variables!$B$28*H67-SUM(J68:Q68)),0)</f>
        <v>2.9337763857777728</v>
      </c>
      <c r="V68" s="96">
        <f ca="1">IF(AND((J68+K68)=0,(Q68+T68)=0),$H$1*H68*Variables!$I$23*0.25,0)</f>
        <v>116.22025651746469</v>
      </c>
      <c r="W68" s="97">
        <f ca="1">IF(AND((K68+J68)=0,(T68+Q68)=0),$I$1*H68*Variables!$Q$23*0.25,0)</f>
        <v>37.377938657036864</v>
      </c>
      <c r="X68" s="95">
        <f ca="1">IF(AND(NOT(K68=0),(H68-H67)&gt;0),(H68-H67)*(Variables!$M$5*$H$1+Variables!$U$5*$I$1),0)+IF(AND(NOT((J68+N68+Q68)=0),(H67-H68)&gt;0),(H67-H68)*(Variables!$M$4*$H$1+Variables!$U$4*$I$1),0)</f>
        <v>0</v>
      </c>
      <c r="Y68" s="95">
        <f ca="1">IF(SUM(T68,U67:U68)&gt;0,H68*Variables!$Y$11*0.25*(1-$J$1),0)</f>
        <v>-82.783880975155384</v>
      </c>
      <c r="Z68" s="95">
        <f ca="1">IF(T68=0,H68*$J$1*Variables!$Y$5*0.25,0)</f>
        <v>10.72945807308839</v>
      </c>
      <c r="AA68" s="95">
        <f t="shared" ca="1" si="0"/>
        <v>81.543772272434552</v>
      </c>
      <c r="AB68" s="91">
        <f ca="1">AA68/Variables!$E$49</f>
        <v>13.152221334263636</v>
      </c>
    </row>
    <row r="69" spans="1:28" x14ac:dyDescent="0.25">
      <c r="A69" s="61">
        <f>'Water runs'!C76</f>
        <v>8279</v>
      </c>
      <c r="B69" s="61" t="str">
        <f>'Water runs'!B76</f>
        <v>Winter</v>
      </c>
      <c r="C69" s="54">
        <f>'Water runs'!D76/100</f>
        <v>0.18820000000000001</v>
      </c>
      <c r="D69" s="108">
        <f>VLOOKUP(ROW(D69)+4,'Water runs'!$BS$3:$CF$423,MATCH($B$1,Scenarios,0)+1)</f>
        <v>0</v>
      </c>
      <c r="E69" s="54">
        <f>IF(B69=Variables!$D$8,C69-Variables!$E$8,IF(B69=Variables!$D$9,C69-Variables!$E$9,IF(B69=Variables!$D$10,C69-Variables!$E$10,IF(B69=Variables!$D$11,C69-Variables!$E$11,"ELSE"))))</f>
        <v>-0.3835676256613757</v>
      </c>
      <c r="F69" s="108">
        <f>VLOOKUP(ROW(F69)+4,'Water runs'!$CH$3:$CU$423,MATCH($B$1,Scenarios,0)+1)</f>
        <v>0</v>
      </c>
      <c r="G69" s="65">
        <f ca="1">H69/Variables!$E$49</f>
        <v>0.77210069318431018</v>
      </c>
      <c r="H69" s="62">
        <f ca="1">IF((H68+I69)&gt;(1.1*Variables!$E$50),(1.1*Variables!$E$50),IF((H68+I69)&gt;0,H68+I69,0))</f>
        <v>4.7870242977427235</v>
      </c>
      <c r="I69" s="64">
        <f t="shared" ca="1" si="1"/>
        <v>-4.7478407001464795</v>
      </c>
      <c r="J69" s="63">
        <f>IF(SUM(E65:E68)&lt;Variables!$B$3,-H68,0)</f>
        <v>0</v>
      </c>
      <c r="K69" s="64">
        <f ca="1">IF(AND(H68&lt;Variables!$B$6*Variables!$E$50,OR(SUM(D66:D69)&gt;Variables!$B$5,SUM(E66:E69)&gt;Variables!$B$4)),Variables!$B$6*Variables!$E$50+Variables!$B$7*$G$1*Variables!$E$50*SUM(D66:D69),0)</f>
        <v>0</v>
      </c>
      <c r="L69" s="64">
        <f ca="1">IF(B69="Winter",Variables!$B$8*H68,0)</f>
        <v>-4.7478407001464795</v>
      </c>
      <c r="M69" s="64">
        <f ca="1">IF(AND(B69="Spring",AND(NOT(H68=0),H68&lt;(Variables!$B$9*Variables!$E$50))),(Variables!$B$10*Variables!$E$50+Variables!$B$11*Variables!$E$50*SUM(E66:E69)+$G$1*SUM(D68:D69)*Variables!$E$50*Variables!$B$12),0)</f>
        <v>0</v>
      </c>
      <c r="N69" s="64">
        <f>IF(AND(B69="Spring",AND(SUM(D66:D69)&gt;Variables!$B$13,SUM(D62:D65)&gt;Variables!$B$13)),-Variables!$B$14*Variables!$E$50,0)</f>
        <v>0</v>
      </c>
      <c r="O69" s="64">
        <f>IF(AND(B69="Summer",SUM(C65:D69)&gt;Variables!$B$15),(Variables!$B$16*Variables!$E$50*SUM(C65:C69)+$G$1*Variables!$B$16*Variables!$E$50*SUM(D65:D69)+$G$1*Variables!$E$50*Variables!$B$17*F69),0)</f>
        <v>0</v>
      </c>
      <c r="P69" s="64">
        <f ca="1">IF(AND(AND(B69="Autumn",SUM(D68:E69)&gt;0),NOT(H68=0)),Variables!$B$18*Variables!$E$50+Variables!$B$19*Variables!$E$50*SUM(E68:E69)+$G$1*Variables!$B$19*Variables!$E$50*SUM(D68:D69),0)</f>
        <v>0</v>
      </c>
      <c r="Q69" s="64">
        <f>IF(AND(B69="Autumn",AND((E69+E68)&lt;Variables!$B$20,(D68+D69)=0)),-Variables!$B$21*Variables!$E$50,0)</f>
        <v>0</v>
      </c>
      <c r="R69" s="64">
        <f>IF(B69="Autumn",(SUM(F68:F69)*$G$1*Variables!$B$22*Variables!$E$50),0)</f>
        <v>0</v>
      </c>
      <c r="S69" s="64">
        <f>IF(B69="Spring",($G$1*Variables!$E$50*SUM('Guts (MC)'!F68:F69)*Variables!$B$23),0)</f>
        <v>0</v>
      </c>
      <c r="T69" s="63">
        <f ca="1">IF((H68+SUM(J69:Q69))&lt;(Variables!$B$26*Variables!$E$50),$F$1*((Variables!$B$26*Variables!$E$50)-H68-SUM(J69:Q69)),0)</f>
        <v>0</v>
      </c>
      <c r="U69" s="64">
        <f ca="1">IF(AND(AND(B69="Autumn",SUM(D66:E69)&gt;Variables!$B$27),SUM(J69:Q69)&lt;Variables!$B$28*H68),$F$1*(Variables!$B$28*H68-SUM(J69:Q69)),0)</f>
        <v>0</v>
      </c>
      <c r="V69" s="96">
        <f ca="1">IF(AND((J69+K69)=0,(Q69+T69)=0),$H$1*H69*Variables!$I$23*0.25,0)</f>
        <v>58.348932256739701</v>
      </c>
      <c r="W69" s="97">
        <f ca="1">IF(AND((K69+J69)=0,(T69+Q69)=0),$I$1*H69*Variables!$Q$23*0.25,0)</f>
        <v>18.765771784957966</v>
      </c>
      <c r="X69" s="95">
        <f ca="1">IF(AND(NOT(K69=0),(H69-H68)&gt;0),(H69-H68)*(Variables!$M$5*$H$1+Variables!$U$5*$I$1),0)+IF(AND(NOT((J69+N69+Q69)=0),(H68-H69)&gt;0),(H68-H69)*(Variables!$M$4*$H$1+Variables!$U$4*$I$1),0)</f>
        <v>0</v>
      </c>
      <c r="Y69" s="95">
        <f ca="1">IF(SUM(T69,U68:U69)&gt;0,H69*Variables!$Y$11*0.25*(1-$J$1),0)</f>
        <v>-41.56204097040068</v>
      </c>
      <c r="Z69" s="95">
        <f ca="1">IF(T69=0,H69*$J$1*Variables!$Y$5*0.25,0)</f>
        <v>5.3867754298415695</v>
      </c>
      <c r="AA69" s="95">
        <f t="shared" ca="1" si="0"/>
        <v>40.939438501138554</v>
      </c>
      <c r="AB69" s="91">
        <f ca="1">AA69/Variables!$E$49</f>
        <v>6.6031352421191212</v>
      </c>
    </row>
    <row r="70" spans="1:28" x14ac:dyDescent="0.25">
      <c r="A70" s="61">
        <f>'Water runs'!C77</f>
        <v>8370</v>
      </c>
      <c r="B70" s="61" t="str">
        <f>'Water runs'!B77</f>
        <v>Spring</v>
      </c>
      <c r="C70" s="54">
        <f>'Water runs'!D77/100</f>
        <v>0.45439999999999997</v>
      </c>
      <c r="D70" s="108">
        <f>VLOOKUP(ROW(D70)+4,'Water runs'!$BS$3:$CF$423,MATCH($B$1,Scenarios,0)+1)</f>
        <v>0</v>
      </c>
      <c r="E70" s="54">
        <f>IF(B70=Variables!$D$8,C70-Variables!$E$8,IF(B70=Variables!$D$9,C70-Variables!$E$9,IF(B70=Variables!$D$10,C70-Variables!$E$10,IF(B70=Variables!$D$11,C70-Variables!$E$11,"ELSE"))))</f>
        <v>-0.30958220899470917</v>
      </c>
      <c r="F70" s="108">
        <f>VLOOKUP(ROW(F70)+4,'Water runs'!$CH$3:$CU$423,MATCH($B$1,Scenarios,0)+1)</f>
        <v>0</v>
      </c>
      <c r="G70" s="65">
        <f ca="1">H70/Variables!$E$49</f>
        <v>0.77210069318431018</v>
      </c>
      <c r="H70" s="62">
        <f ca="1">IF((H69+I70)&gt;(1.1*Variables!$E$50),(1.1*Variables!$E$50),IF((H69+I70)&gt;0,H69+I70,0))</f>
        <v>4.7870242977427235</v>
      </c>
      <c r="I70" s="64">
        <f t="shared" ca="1" si="1"/>
        <v>0</v>
      </c>
      <c r="J70" s="63">
        <f>IF(SUM(E66:E69)&lt;Variables!$B$3,-H69,0)</f>
        <v>0</v>
      </c>
      <c r="K70" s="64">
        <f ca="1">IF(AND(H69&lt;Variables!$B$6*Variables!$E$50,OR(SUM(D67:D70)&gt;Variables!$B$5,SUM(E67:E70)&gt;Variables!$B$4)),Variables!$B$6*Variables!$E$50+Variables!$B$7*$G$1*Variables!$E$50*SUM(D67:D70),0)</f>
        <v>0</v>
      </c>
      <c r="L70" s="64">
        <f>IF(B70="Winter",Variables!$B$8*H69,0)</f>
        <v>0</v>
      </c>
      <c r="M70" s="64">
        <f ca="1">IF(AND(B70="Spring",AND(NOT(H69=0),H69&lt;(Variables!$B$9*Variables!$E$50))),(Variables!$B$10*Variables!$E$50+Variables!$B$11*Variables!$E$50*SUM(E67:E70)+$G$1*SUM(D69:D70)*Variables!$E$50*Variables!$B$12),0)</f>
        <v>0</v>
      </c>
      <c r="N70" s="64">
        <f>IF(AND(B70="Spring",AND(SUM(D67:D70)&gt;Variables!$B$13,SUM(D63:D66)&gt;Variables!$B$13)),-Variables!$B$14*Variables!$E$50,0)</f>
        <v>0</v>
      </c>
      <c r="O70" s="64">
        <f>IF(AND(B70="Summer",SUM(C66:D70)&gt;Variables!$B$15),(Variables!$B$16*Variables!$E$50*SUM(C66:C70)+$G$1*Variables!$B$16*Variables!$E$50*SUM(D66:D70)+$G$1*Variables!$E$50*Variables!$B$17*F70),0)</f>
        <v>0</v>
      </c>
      <c r="P70" s="64">
        <f ca="1">IF(AND(AND(B70="Autumn",SUM(D69:E70)&gt;0),NOT(H69=0)),Variables!$B$18*Variables!$E$50+Variables!$B$19*Variables!$E$50*SUM(E69:E70)+$G$1*Variables!$B$19*Variables!$E$50*SUM(D69:D70),0)</f>
        <v>0</v>
      </c>
      <c r="Q70" s="64">
        <f>IF(AND(B70="Autumn",AND((E70+E69)&lt;Variables!$B$20,(D69+D70)=0)),-Variables!$B$21*Variables!$E$50,0)</f>
        <v>0</v>
      </c>
      <c r="R70" s="64">
        <f>IF(B70="Autumn",(SUM(F69:F70)*$G$1*Variables!$B$22*Variables!$E$50),0)</f>
        <v>0</v>
      </c>
      <c r="S70" s="64">
        <f ca="1">IF(B70="Spring",($G$1*Variables!$E$50*SUM('Guts (MC)'!F69:F70)*Variables!$B$23),0)</f>
        <v>0</v>
      </c>
      <c r="T70" s="63">
        <f ca="1">IF((H69+SUM(J70:Q70))&lt;(Variables!$B$26*Variables!$E$50),$F$1*((Variables!$B$26*Variables!$E$50)-H69-SUM(J70:Q70)),0)</f>
        <v>0</v>
      </c>
      <c r="U70" s="64">
        <f ca="1">IF(AND(AND(B70="Autumn",SUM(D67:E70)&gt;Variables!$B$27),SUM(J70:Q70)&lt;Variables!$B$28*H69),$F$1*(Variables!$B$28*H69-SUM(J70:Q70)),0)</f>
        <v>0</v>
      </c>
      <c r="V70" s="96">
        <f ca="1">IF(AND((J70+K70)=0,(Q70+T70)=0),$H$1*H70*Variables!$I$23*0.25,0)</f>
        <v>58.348932256739701</v>
      </c>
      <c r="W70" s="97">
        <f ca="1">IF(AND((K70+J70)=0,(T70+Q70)=0),$I$1*H70*Variables!$Q$23*0.25,0)</f>
        <v>18.765771784957966</v>
      </c>
      <c r="X70" s="95">
        <f ca="1">IF(AND(NOT(K70=0),(H70-H69)&gt;0),(H70-H69)*(Variables!$M$5*$H$1+Variables!$U$5*$I$1),0)+IF(AND(NOT((J70+N70+Q70)=0),(H69-H70)&gt;0),(H69-H70)*(Variables!$M$4*$H$1+Variables!$U$4*$I$1),0)</f>
        <v>0</v>
      </c>
      <c r="Y70" s="95">
        <f ca="1">IF(SUM(T70,U69:U70)&gt;0,H70*Variables!$Y$11*0.25*(1-$J$1),0)</f>
        <v>0</v>
      </c>
      <c r="Z70" s="95">
        <f ca="1">IF(T70=0,H70*$J$1*Variables!$Y$5*0.25,0)</f>
        <v>5.3867754298415695</v>
      </c>
      <c r="AA70" s="95">
        <f t="shared" ca="1" si="0"/>
        <v>82.501479471539227</v>
      </c>
      <c r="AB70" s="91">
        <f ca="1">AA70/Variables!$E$49</f>
        <v>13.306690237345036</v>
      </c>
    </row>
    <row r="71" spans="1:28" x14ac:dyDescent="0.25">
      <c r="A71" s="61">
        <f>'Water runs'!C78</f>
        <v>8460</v>
      </c>
      <c r="B71" s="61" t="str">
        <f>'Water runs'!B78</f>
        <v>Summer</v>
      </c>
      <c r="C71" s="54">
        <f>'Water runs'!D78/100</f>
        <v>0.86719999999999997</v>
      </c>
      <c r="D71" s="108">
        <f>VLOOKUP(ROW(D71)+4,'Water runs'!$BS$3:$CF$423,MATCH($B$1,Scenarios,0)+1)</f>
        <v>4.0958360715445093E-3</v>
      </c>
      <c r="E71" s="54">
        <f>IF(B71=Variables!$D$8,C71-Variables!$E$8,IF(B71=Variables!$D$9,C71-Variables!$E$9,IF(B71=Variables!$D$10,C71-Variables!$E$10,IF(B71=Variables!$D$11,C71-Variables!$E$11,"ELSE"))))</f>
        <v>-0.39117013605442175</v>
      </c>
      <c r="F71" s="108">
        <f>VLOOKUP(ROW(F71)+4,'Water runs'!$CH$3:$CU$423,MATCH($B$1,Scenarios,0)+1)</f>
        <v>0</v>
      </c>
      <c r="G71" s="65">
        <f ca="1">H71/Variables!$E$49</f>
        <v>0.77210069318431018</v>
      </c>
      <c r="H71" s="62">
        <f ca="1">IF((H70+I71)&gt;(1.1*Variables!$E$50),(1.1*Variables!$E$50),IF((H70+I71)&gt;0,H70+I71,0))</f>
        <v>4.7870242977427235</v>
      </c>
      <c r="I71" s="64">
        <f t="shared" ca="1" si="1"/>
        <v>0</v>
      </c>
      <c r="J71" s="63">
        <f>IF(SUM(E67:E70)&lt;Variables!$B$3,-H70,0)</f>
        <v>0</v>
      </c>
      <c r="K71" s="64">
        <f ca="1">IF(AND(H70&lt;Variables!$B$6*Variables!$E$50,OR(SUM(D68:D71)&gt;Variables!$B$5,SUM(E68:E71)&gt;Variables!$B$4)),Variables!$B$6*Variables!$E$50+Variables!$B$7*$G$1*Variables!$E$50*SUM(D68:D71),0)</f>
        <v>0</v>
      </c>
      <c r="L71" s="64">
        <f>IF(B71="Winter",Variables!$B$8*H70,0)</f>
        <v>0</v>
      </c>
      <c r="M71" s="64">
        <f ca="1">IF(AND(B71="Spring",AND(NOT(H70=0),H70&lt;(Variables!$B$9*Variables!$E$50))),(Variables!$B$10*Variables!$E$50+Variables!$B$11*Variables!$E$50*SUM(E68:E71)+$G$1*SUM(D70:D71)*Variables!$E$50*Variables!$B$12),0)</f>
        <v>0</v>
      </c>
      <c r="N71" s="64">
        <f>IF(AND(B71="Spring",AND(SUM(D68:D71)&gt;Variables!$B$13,SUM(D64:D67)&gt;Variables!$B$13)),-Variables!$B$14*Variables!$E$50,0)</f>
        <v>0</v>
      </c>
      <c r="O71" s="64">
        <f>IF(AND(B71="Summer",SUM(C67:D71)&gt;Variables!$B$15),(Variables!$B$16*Variables!$E$50*SUM(C67:C71)+$G$1*Variables!$B$16*Variables!$E$50*SUM(D67:D71)+$G$1*Variables!$E$50*Variables!$B$17*F71),0)</f>
        <v>0</v>
      </c>
      <c r="P71" s="64">
        <f ca="1">IF(AND(AND(B71="Autumn",SUM(D70:E71)&gt;0),NOT(H70=0)),Variables!$B$18*Variables!$E$50+Variables!$B$19*Variables!$E$50*SUM(E70:E71)+$G$1*Variables!$B$19*Variables!$E$50*SUM(D70:D71),0)</f>
        <v>0</v>
      </c>
      <c r="Q71" s="64">
        <f>IF(AND(B71="Autumn",AND((E71+E70)&lt;Variables!$B$20,(D70+D71)=0)),-Variables!$B$21*Variables!$E$50,0)</f>
        <v>0</v>
      </c>
      <c r="R71" s="64">
        <f>IF(B71="Autumn",(SUM(F70:F71)*$G$1*Variables!$B$22*Variables!$E$50),0)</f>
        <v>0</v>
      </c>
      <c r="S71" s="64">
        <f>IF(B71="Spring",($G$1*Variables!$E$50*SUM('Guts (MC)'!F70:F71)*Variables!$B$23),0)</f>
        <v>0</v>
      </c>
      <c r="T71" s="63">
        <f ca="1">IF((H70+SUM(J71:Q71))&lt;(Variables!$B$26*Variables!$E$50),$F$1*((Variables!$B$26*Variables!$E$50)-H70-SUM(J71:Q71)),0)</f>
        <v>0</v>
      </c>
      <c r="U71" s="64">
        <f ca="1">IF(AND(AND(B71="Autumn",SUM(D68:E71)&gt;Variables!$B$27),SUM(J71:Q71)&lt;Variables!$B$28*H70),$F$1*(Variables!$B$28*H70-SUM(J71:Q71)),0)</f>
        <v>0</v>
      </c>
      <c r="V71" s="96">
        <f ca="1">IF(AND((J71+K71)=0,(Q71+T71)=0),$H$1*H71*Variables!$I$23*0.25,0)</f>
        <v>58.348932256739701</v>
      </c>
      <c r="W71" s="97">
        <f ca="1">IF(AND((K71+J71)=0,(T71+Q71)=0),$I$1*H71*Variables!$Q$23*0.25,0)</f>
        <v>18.765771784957966</v>
      </c>
      <c r="X71" s="95">
        <f ca="1">IF(AND(NOT(K71=0),(H71-H70)&gt;0),(H71-H70)*(Variables!$M$5*$H$1+Variables!$U$5*$I$1),0)+IF(AND(NOT((J71+N71+Q71)=0),(H70-H71)&gt;0),(H70-H71)*(Variables!$M$4*$H$1+Variables!$U$4*$I$1),0)</f>
        <v>0</v>
      </c>
      <c r="Y71" s="95">
        <f ca="1">IF(SUM(T71,U70:U71)&gt;0,H71*Variables!$Y$11*0.25*(1-$J$1),0)</f>
        <v>0</v>
      </c>
      <c r="Z71" s="95">
        <f ca="1">IF(T71=0,H71*$J$1*Variables!$Y$5*0.25,0)</f>
        <v>5.3867754298415695</v>
      </c>
      <c r="AA71" s="95">
        <f t="shared" ca="1" si="0"/>
        <v>82.501479471539227</v>
      </c>
      <c r="AB71" s="91">
        <f ca="1">AA71/Variables!$E$49</f>
        <v>13.306690237345036</v>
      </c>
    </row>
    <row r="72" spans="1:28" x14ac:dyDescent="0.25">
      <c r="A72" s="61">
        <f>'Water runs'!C79</f>
        <v>8552</v>
      </c>
      <c r="B72" s="61" t="str">
        <f>'Water runs'!B79</f>
        <v>Autumn</v>
      </c>
      <c r="C72" s="54">
        <f>'Water runs'!D79/100</f>
        <v>0</v>
      </c>
      <c r="D72" s="108">
        <f>VLOOKUP(ROW(D72)+4,'Water runs'!$BS$3:$CF$423,MATCH($B$1,Scenarios,0)+1)</f>
        <v>0</v>
      </c>
      <c r="E72" s="54">
        <f>IF(B72=Variables!$D$8,C72-Variables!$E$8,IF(B72=Variables!$D$9,C72-Variables!$E$9,IF(B72=Variables!$D$10,C72-Variables!$E$10,IF(B72=Variables!$D$11,C72-Variables!$E$11,"ELSE"))))</f>
        <v>-0.99464329931972784</v>
      </c>
      <c r="F72" s="108">
        <f>VLOOKUP(ROW(F72)+4,'Water runs'!$CH$3:$CU$423,MATCH($B$1,Scenarios,0)+1)</f>
        <v>0</v>
      </c>
      <c r="G72" s="65">
        <f ca="1">H72/Variables!$E$49</f>
        <v>0.16100000000000003</v>
      </c>
      <c r="H72" s="62">
        <f ca="1">IF((H71+I72)&gt;(1.1*Variables!$E$50),(1.1*Variables!$E$50),IF((H71+I72)&gt;0,H71+I72,0))</f>
        <v>0.9982000000000002</v>
      </c>
      <c r="I72" s="64">
        <f t="shared" ca="1" si="1"/>
        <v>-3.7888242977427233</v>
      </c>
      <c r="J72" s="63">
        <f ca="1">IF(SUM(E68:E71)&lt;Variables!$B$3,-H71,0)</f>
        <v>-4.7870242977427235</v>
      </c>
      <c r="K72" s="64">
        <f ca="1">IF(AND(H71&lt;Variables!$B$6*Variables!$E$50,OR(SUM(D69:D72)&gt;Variables!$B$5,SUM(E69:E72)&gt;Variables!$B$4)),Variables!$B$6*Variables!$E$50+Variables!$B$7*$G$1*Variables!$E$50*SUM(D69:D72),0)</f>
        <v>0</v>
      </c>
      <c r="L72" s="64">
        <f>IF(B72="Winter",Variables!$B$8*H71,0)</f>
        <v>0</v>
      </c>
      <c r="M72" s="64">
        <f ca="1">IF(AND(B72="Spring",AND(NOT(H71=0),H71&lt;(Variables!$B$9*Variables!$E$50))),(Variables!$B$10*Variables!$E$50+Variables!$B$11*Variables!$E$50*SUM(E69:E72)+$G$1*SUM(D71:D72)*Variables!$E$50*Variables!$B$12),0)</f>
        <v>0</v>
      </c>
      <c r="N72" s="64">
        <f>IF(AND(B72="Spring",AND(SUM(D69:D72)&gt;Variables!$B$13,SUM(D65:D68)&gt;Variables!$B$13)),-Variables!$B$14*Variables!$E$50,0)</f>
        <v>0</v>
      </c>
      <c r="O72" s="64">
        <f>IF(AND(B72="Summer",SUM(C68:D72)&gt;Variables!$B$15),(Variables!$B$16*Variables!$E$50*SUM(C68:C72)+$G$1*Variables!$B$16*Variables!$E$50*SUM(D68:D72)+$G$1*Variables!$E$50*Variables!$B$17*F72),0)</f>
        <v>0</v>
      </c>
      <c r="P72" s="64">
        <f ca="1">IF(AND(AND(B72="Autumn",SUM(D71:E72)&gt;0),NOT(H71=0)),Variables!$B$18*Variables!$E$50+Variables!$B$19*Variables!$E$50*SUM(E71:E72)+$G$1*Variables!$B$19*Variables!$E$50*SUM(D71:D72),0)</f>
        <v>0</v>
      </c>
      <c r="Q72" s="64">
        <f>IF(AND(B72="Autumn",AND((E72+E71)&lt;Variables!$B$20,(D71+D72)=0)),-Variables!$B$21*Variables!$E$50,0)</f>
        <v>0</v>
      </c>
      <c r="R72" s="64">
        <f ca="1">IF(B72="Autumn",(SUM(F71:F72)*$G$1*Variables!$B$22*Variables!$E$50),0)</f>
        <v>0</v>
      </c>
      <c r="S72" s="64">
        <f>IF(B72="Spring",($G$1*Variables!$E$50*SUM('Guts (MC)'!F71:F72)*Variables!$B$23),0)</f>
        <v>0</v>
      </c>
      <c r="T72" s="63">
        <f ca="1">IF((H71+SUM(J72:Q72))&lt;(Variables!$B$26*Variables!$E$50),$F$1*((Variables!$B$26*Variables!$E$50)-H71-SUM(J72:Q72)),0)</f>
        <v>0.9982000000000002</v>
      </c>
      <c r="U72" s="64">
        <f ca="1">IF(AND(AND(B72="Autumn",SUM(D69:E72)&gt;Variables!$B$27),SUM(J72:Q72)&lt;Variables!$B$28*H71),$F$1*(Variables!$B$28*H71-SUM(J72:Q72)),0)</f>
        <v>0</v>
      </c>
      <c r="V72" s="96">
        <f ca="1">IF(AND((J72+K72)=0,(Q72+T72)=0),$H$1*H72*Variables!$I$23*0.25,0)</f>
        <v>0</v>
      </c>
      <c r="W72" s="97">
        <f ca="1">IF(AND((K72+J72)=0,(T72+Q72)=0),$I$1*H72*Variables!$Q$23*0.25,0)</f>
        <v>0</v>
      </c>
      <c r="X72" s="95">
        <f ca="1">IF(AND(NOT(K72=0),(H72-H71)&gt;0),(H72-H71)*(Variables!$M$5*$H$1+Variables!$U$5*$I$1),0)+IF(AND(NOT((J72+N72+Q72)=0),(H71-H72)&gt;0),(H71-H72)*(Variables!$M$4*$H$1+Variables!$U$4*$I$1),0)</f>
        <v>216.55872426034026</v>
      </c>
      <c r="Y72" s="95">
        <f ca="1">IF(SUM(T72,U71:U72)&gt;0,H72*Variables!$Y$11*0.25*(1-$J$1),0)</f>
        <v>-8.6666009437672749</v>
      </c>
      <c r="Z72" s="95">
        <f ca="1">IF(T72=0,H72*$J$1*Variables!$Y$5*0.25,0)</f>
        <v>0</v>
      </c>
      <c r="AA72" s="95">
        <f t="shared" ca="1" si="0"/>
        <v>207.89212331657299</v>
      </c>
      <c r="AB72" s="91">
        <f ca="1">AA72/Variables!$E$49</f>
        <v>33.530987631705322</v>
      </c>
    </row>
    <row r="73" spans="1:28" x14ac:dyDescent="0.25">
      <c r="A73" s="61">
        <f>'Water runs'!C80</f>
        <v>8644</v>
      </c>
      <c r="B73" s="61" t="str">
        <f>'Water runs'!B80</f>
        <v>Winter</v>
      </c>
      <c r="C73" s="54">
        <f>'Water runs'!D80/100</f>
        <v>0.50700000000000001</v>
      </c>
      <c r="D73" s="108">
        <f>VLOOKUP(ROW(D73)+4,'Water runs'!$BS$3:$CF$423,MATCH($B$1,Scenarios,0)+1)</f>
        <v>0</v>
      </c>
      <c r="E73" s="54">
        <f>IF(B73=Variables!$D$8,C73-Variables!$E$8,IF(B73=Variables!$D$9,C73-Variables!$E$9,IF(B73=Variables!$D$10,C73-Variables!$E$10,IF(B73=Variables!$D$11,C73-Variables!$E$11,"ELSE"))))</f>
        <v>-6.4767625661375727E-2</v>
      </c>
      <c r="F73" s="108">
        <f>VLOOKUP(ROW(F73)+4,'Water runs'!$CH$3:$CU$423,MATCH($B$1,Scenarios,0)+1)</f>
        <v>0</v>
      </c>
      <c r="G73" s="65">
        <f ca="1">H73/Variables!$E$49</f>
        <v>0.16100000000000003</v>
      </c>
      <c r="H73" s="62">
        <f ca="1">IF((H72+I73)&gt;(1.1*Variables!$E$50),(1.1*Variables!$E$50),IF((H72+I73)&gt;0,H72+I73,0))</f>
        <v>0.9982000000000002</v>
      </c>
      <c r="I73" s="64">
        <f t="shared" ca="1" si="1"/>
        <v>0</v>
      </c>
      <c r="J73" s="63">
        <f ca="1">IF(SUM(E69:E72)&lt;Variables!$B$3,-H72,0)</f>
        <v>-0.9982000000000002</v>
      </c>
      <c r="K73" s="64">
        <f ca="1">IF(AND(H72&lt;Variables!$B$6*Variables!$E$50,OR(SUM(D70:D73)&gt;Variables!$B$5,SUM(E70:E73)&gt;Variables!$B$4)),Variables!$B$6*Variables!$E$50+Variables!$B$7*$G$1*Variables!$E$50*SUM(D70:D73),0)</f>
        <v>0</v>
      </c>
      <c r="L73" s="64">
        <f ca="1">IF(B73="Winter",Variables!$B$8*H72,0)</f>
        <v>-0.49704894489176155</v>
      </c>
      <c r="M73" s="64">
        <f ca="1">IF(AND(B73="Spring",AND(NOT(H72=0),H72&lt;(Variables!$B$9*Variables!$E$50))),(Variables!$B$10*Variables!$E$50+Variables!$B$11*Variables!$E$50*SUM(E70:E73)+$G$1*SUM(D72:D73)*Variables!$E$50*Variables!$B$12),0)</f>
        <v>0</v>
      </c>
      <c r="N73" s="64">
        <f>IF(AND(B73="Spring",AND(SUM(D70:D73)&gt;Variables!$B$13,SUM(D66:D69)&gt;Variables!$B$13)),-Variables!$B$14*Variables!$E$50,0)</f>
        <v>0</v>
      </c>
      <c r="O73" s="64">
        <f>IF(AND(B73="Summer",SUM(C69:D73)&gt;Variables!$B$15),(Variables!$B$16*Variables!$E$50*SUM(C69:C73)+$G$1*Variables!$B$16*Variables!$E$50*SUM(D69:D73)+$G$1*Variables!$E$50*Variables!$B$17*F73),0)</f>
        <v>0</v>
      </c>
      <c r="P73" s="64">
        <f ca="1">IF(AND(AND(B73="Autumn",SUM(D72:E73)&gt;0),NOT(H72=0)),Variables!$B$18*Variables!$E$50+Variables!$B$19*Variables!$E$50*SUM(E72:E73)+$G$1*Variables!$B$19*Variables!$E$50*SUM(D72:D73),0)</f>
        <v>0</v>
      </c>
      <c r="Q73" s="64">
        <f>IF(AND(B73="Autumn",AND((E73+E72)&lt;Variables!$B$20,(D72+D73)=0)),-Variables!$B$21*Variables!$E$50,0)</f>
        <v>0</v>
      </c>
      <c r="R73" s="64">
        <f>IF(B73="Autumn",(SUM(F72:F73)*$G$1*Variables!$B$22*Variables!$E$50),0)</f>
        <v>0</v>
      </c>
      <c r="S73" s="64">
        <f>IF(B73="Spring",($G$1*Variables!$E$50*SUM('Guts (MC)'!F72:F73)*Variables!$B$23),0)</f>
        <v>0</v>
      </c>
      <c r="T73" s="63">
        <f ca="1">IF((H72+SUM(J73:Q73))&lt;(Variables!$B$26*Variables!$E$50),$F$1*((Variables!$B$26*Variables!$E$50)-H72-SUM(J73:Q73)),0)</f>
        <v>1.4952489448917619</v>
      </c>
      <c r="U73" s="64">
        <f ca="1">IF(AND(AND(B73="Autumn",SUM(D70:E73)&gt;Variables!$B$27),SUM(J73:Q73)&lt;Variables!$B$28*H72),$F$1*(Variables!$B$28*H72-SUM(J73:Q73)),0)</f>
        <v>0</v>
      </c>
      <c r="V73" s="96">
        <f ca="1">IF(AND((J73+K73)=0,(Q73+T73)=0),$H$1*H73*Variables!$I$23*0.25,0)</f>
        <v>0</v>
      </c>
      <c r="W73" s="97">
        <f ca="1">IF(AND((K73+J73)=0,(T73+Q73)=0),$I$1*H73*Variables!$Q$23*0.25,0)</f>
        <v>0</v>
      </c>
      <c r="X73" s="95">
        <f ca="1">IF(AND(NOT(K73=0),(H73-H72)&gt;0),(H73-H72)*(Variables!$M$5*$H$1+Variables!$U$5*$I$1),0)+IF(AND(NOT((J73+N73+Q73)=0),(H72-H73)&gt;0),(H72-H73)*(Variables!$M$4*$H$1+Variables!$U$4*$I$1),0)</f>
        <v>0</v>
      </c>
      <c r="Y73" s="95">
        <f ca="1">IF(SUM(T73,U72:U73)&gt;0,H73*Variables!$Y$11*0.25*(1-$J$1),0)</f>
        <v>-8.6666009437672749</v>
      </c>
      <c r="Z73" s="95">
        <f ca="1">IF(T73=0,H73*$J$1*Variables!$Y$5*0.25,0)</f>
        <v>0</v>
      </c>
      <c r="AA73" s="95">
        <f t="shared" ca="1" si="0"/>
        <v>-8.6666009437672749</v>
      </c>
      <c r="AB73" s="91">
        <f ca="1">AA73/Variables!$E$49</f>
        <v>-1.3978388618979476</v>
      </c>
    </row>
    <row r="74" spans="1:28" x14ac:dyDescent="0.25">
      <c r="A74" s="61">
        <f>'Water runs'!C81</f>
        <v>8735</v>
      </c>
      <c r="B74" s="61" t="str">
        <f>'Water runs'!B81</f>
        <v>Spring</v>
      </c>
      <c r="C74" s="54">
        <f>'Water runs'!D81/100</f>
        <v>0.59219999999999995</v>
      </c>
      <c r="D74" s="108">
        <f>VLOOKUP(ROW(D74)+4,'Water runs'!$BS$3:$CF$423,MATCH($B$1,Scenarios,0)+1)</f>
        <v>0</v>
      </c>
      <c r="E74" s="54">
        <f>IF(B74=Variables!$D$8,C74-Variables!$E$8,IF(B74=Variables!$D$9,C74-Variables!$E$9,IF(B74=Variables!$D$10,C74-Variables!$E$10,IF(B74=Variables!$D$11,C74-Variables!$E$11,"ELSE"))))</f>
        <v>-0.1717822089947092</v>
      </c>
      <c r="F74" s="108">
        <f>VLOOKUP(ROW(F74)+4,'Water runs'!$CH$3:$CU$423,MATCH($B$1,Scenarios,0)+1)</f>
        <v>0</v>
      </c>
      <c r="G74" s="65">
        <f ca="1">H74/Variables!$E$49</f>
        <v>0.16100000000000003</v>
      </c>
      <c r="H74" s="62">
        <f ca="1">IF((H73+I74)&gt;(1.1*Variables!$E$50),(1.1*Variables!$E$50),IF((H73+I74)&gt;0,H73+I74,0))</f>
        <v>0.9982000000000002</v>
      </c>
      <c r="I74" s="64">
        <f t="shared" ca="1" si="1"/>
        <v>0</v>
      </c>
      <c r="J74" s="63">
        <f ca="1">IF(SUM(E70:E73)&lt;Variables!$B$3,-H73,0)</f>
        <v>-0.9982000000000002</v>
      </c>
      <c r="K74" s="64">
        <f ca="1">IF(AND(H73&lt;Variables!$B$6*Variables!$E$50,OR(SUM(D71:D74)&gt;Variables!$B$5,SUM(E71:E74)&gt;Variables!$B$4)),Variables!$B$6*Variables!$E$50+Variables!$B$7*$G$1*Variables!$E$50*SUM(D71:D74),0)</f>
        <v>0</v>
      </c>
      <c r="L74" s="64">
        <f>IF(B74="Winter",Variables!$B$8*H73,0)</f>
        <v>0</v>
      </c>
      <c r="M74" s="64">
        <f ca="1">IF(AND(B74="Spring",AND(NOT(H73=0),H73&lt;(Variables!$B$9*Variables!$E$50))),(Variables!$B$10*Variables!$E$50+Variables!$B$11*Variables!$E$50*SUM(E71:E74)+$G$1*SUM(D73:D74)*Variables!$E$50*Variables!$B$12),0)</f>
        <v>-1.1049294640567069</v>
      </c>
      <c r="N74" s="64">
        <f>IF(AND(B74="Spring",AND(SUM(D71:D74)&gt;Variables!$B$13,SUM(D67:D70)&gt;Variables!$B$13)),-Variables!$B$14*Variables!$E$50,0)</f>
        <v>0</v>
      </c>
      <c r="O74" s="64">
        <f>IF(AND(B74="Summer",SUM(C70:D74)&gt;Variables!$B$15),(Variables!$B$16*Variables!$E$50*SUM(C70:C74)+$G$1*Variables!$B$16*Variables!$E$50*SUM(D70:D74)+$G$1*Variables!$E$50*Variables!$B$17*F74),0)</f>
        <v>0</v>
      </c>
      <c r="P74" s="64">
        <f ca="1">IF(AND(AND(B74="Autumn",SUM(D73:E74)&gt;0),NOT(H73=0)),Variables!$B$18*Variables!$E$50+Variables!$B$19*Variables!$E$50*SUM(E73:E74)+$G$1*Variables!$B$19*Variables!$E$50*SUM(D73:D74),0)</f>
        <v>0</v>
      </c>
      <c r="Q74" s="64">
        <f>IF(AND(B74="Autumn",AND((E74+E73)&lt;Variables!$B$20,(D73+D74)=0)),-Variables!$B$21*Variables!$E$50,0)</f>
        <v>0</v>
      </c>
      <c r="R74" s="64">
        <f>IF(B74="Autumn",(SUM(F73:F74)*$G$1*Variables!$B$22*Variables!$E$50),0)</f>
        <v>0</v>
      </c>
      <c r="S74" s="64">
        <f ca="1">IF(B74="Spring",($G$1*Variables!$E$50*SUM('Guts (MC)'!F73:F74)*Variables!$B$23),0)</f>
        <v>0</v>
      </c>
      <c r="T74" s="63">
        <f ca="1">IF((H73+SUM(J74:Q74))&lt;(Variables!$B$26*Variables!$E$50),$F$1*((Variables!$B$26*Variables!$E$50)-H73-SUM(J74:Q74)),0)</f>
        <v>2.1031294640567069</v>
      </c>
      <c r="U74" s="64">
        <f ca="1">IF(AND(AND(B74="Autumn",SUM(D71:E74)&gt;Variables!$B$27),SUM(J74:Q74)&lt;Variables!$B$28*H73),$F$1*(Variables!$B$28*H73-SUM(J74:Q74)),0)</f>
        <v>0</v>
      </c>
      <c r="V74" s="96">
        <f ca="1">IF(AND((J74+K74)=0,(Q74+T74)=0),$H$1*H74*Variables!$I$23*0.25,0)</f>
        <v>0</v>
      </c>
      <c r="W74" s="97">
        <f ca="1">IF(AND((K74+J74)=0,(T74+Q74)=0),$I$1*H74*Variables!$Q$23*0.25,0)</f>
        <v>0</v>
      </c>
      <c r="X74" s="95">
        <f ca="1">IF(AND(NOT(K74=0),(H74-H73)&gt;0),(H74-H73)*(Variables!$M$5*$H$1+Variables!$U$5*$I$1),0)+IF(AND(NOT((J74+N74+Q74)=0),(H73-H74)&gt;0),(H73-H74)*(Variables!$M$4*$H$1+Variables!$U$4*$I$1),0)</f>
        <v>0</v>
      </c>
      <c r="Y74" s="95">
        <f ca="1">IF(SUM(T74,U73:U74)&gt;0,H74*Variables!$Y$11*0.25*(1-$J$1),0)</f>
        <v>-8.6666009437672749</v>
      </c>
      <c r="Z74" s="95">
        <f ca="1">IF(T74=0,H74*$J$1*Variables!$Y$5*0.25,0)</f>
        <v>0</v>
      </c>
      <c r="AA74" s="95">
        <f t="shared" ca="1" si="0"/>
        <v>-8.6666009437672749</v>
      </c>
      <c r="AB74" s="91">
        <f ca="1">AA74/Variables!$E$49</f>
        <v>-1.3978388618979476</v>
      </c>
    </row>
    <row r="75" spans="1:28" x14ac:dyDescent="0.25">
      <c r="A75" s="61">
        <f>'Water runs'!C82</f>
        <v>8825</v>
      </c>
      <c r="B75" s="61" t="str">
        <f>'Water runs'!B82</f>
        <v>Summer</v>
      </c>
      <c r="C75" s="54">
        <f>'Water runs'!D82/100</f>
        <v>1.587</v>
      </c>
      <c r="D75" s="108">
        <f>VLOOKUP(ROW(D75)+4,'Water runs'!$BS$3:$CF$423,MATCH($B$1,Scenarios,0)+1)</f>
        <v>4.7065297429116623E-2</v>
      </c>
      <c r="E75" s="54">
        <f>IF(B75=Variables!$D$8,C75-Variables!$E$8,IF(B75=Variables!$D$9,C75-Variables!$E$9,IF(B75=Variables!$D$10,C75-Variables!$E$10,IF(B75=Variables!$D$11,C75-Variables!$E$11,"ELSE"))))</f>
        <v>0.32862986394557825</v>
      </c>
      <c r="F75" s="108">
        <f>VLOOKUP(ROW(F75)+4,'Water runs'!$CH$3:$CU$423,MATCH($B$1,Scenarios,0)+1)</f>
        <v>0</v>
      </c>
      <c r="G75" s="65">
        <f ca="1">H75/Variables!$E$49</f>
        <v>0.16100000000000003</v>
      </c>
      <c r="H75" s="62">
        <f ca="1">IF((H74+I75)&gt;(1.1*Variables!$E$50),(1.1*Variables!$E$50),IF((H74+I75)&gt;0,H74+I75,0))</f>
        <v>0.9982000000000002</v>
      </c>
      <c r="I75" s="64">
        <f t="shared" ca="1" si="1"/>
        <v>0</v>
      </c>
      <c r="J75" s="63">
        <f>IF(SUM(E71:E74)&lt;Variables!$B$3,-H74,0)</f>
        <v>0</v>
      </c>
      <c r="K75" s="64">
        <f ca="1">IF(AND(H74&lt;Variables!$B$6*Variables!$E$50,OR(SUM(D72:D75)&gt;Variables!$B$5,SUM(E72:E75)&gt;Variables!$B$4)),Variables!$B$6*Variables!$E$50+Variables!$B$7*$G$1*Variables!$E$50*SUM(D72:D75),0)</f>
        <v>0</v>
      </c>
      <c r="L75" s="64">
        <f>IF(B75="Winter",Variables!$B$8*H74,0)</f>
        <v>0</v>
      </c>
      <c r="M75" s="64">
        <f ca="1">IF(AND(B75="Spring",AND(NOT(H74=0),H74&lt;(Variables!$B$9*Variables!$E$50))),(Variables!$B$10*Variables!$E$50+Variables!$B$11*Variables!$E$50*SUM(E72:E75)+$G$1*SUM(D74:D75)*Variables!$E$50*Variables!$B$12),0)</f>
        <v>0</v>
      </c>
      <c r="N75" s="64">
        <f>IF(AND(B75="Spring",AND(SUM(D72:D75)&gt;Variables!$B$13,SUM(D68:D71)&gt;Variables!$B$13)),-Variables!$B$14*Variables!$E$50,0)</f>
        <v>0</v>
      </c>
      <c r="O75" s="64">
        <f>IF(AND(B75="Summer",SUM(C71:D75)&gt;Variables!$B$15),(Variables!$B$16*Variables!$E$50*SUM(C71:C75)+$G$1*Variables!$B$16*Variables!$E$50*SUM(D71:D75)+$G$1*Variables!$E$50*Variables!$B$17*F75),0)</f>
        <v>0</v>
      </c>
      <c r="P75" s="64">
        <f ca="1">IF(AND(AND(B75="Autumn",SUM(D74:E75)&gt;0),NOT(H74=0)),Variables!$B$18*Variables!$E$50+Variables!$B$19*Variables!$E$50*SUM(E74:E75)+$G$1*Variables!$B$19*Variables!$E$50*SUM(D74:D75),0)</f>
        <v>0</v>
      </c>
      <c r="Q75" s="64">
        <f>IF(AND(B75="Autumn",AND((E75+E74)&lt;Variables!$B$20,(D74+D75)=0)),-Variables!$B$21*Variables!$E$50,0)</f>
        <v>0</v>
      </c>
      <c r="R75" s="64">
        <f>IF(B75="Autumn",(SUM(F74:F75)*$G$1*Variables!$B$22*Variables!$E$50),0)</f>
        <v>0</v>
      </c>
      <c r="S75" s="64">
        <f>IF(B75="Spring",($G$1*Variables!$E$50*SUM('Guts (MC)'!F74:F75)*Variables!$B$23),0)</f>
        <v>0</v>
      </c>
      <c r="T75" s="63">
        <f ca="1">IF((H74+SUM(J75:Q75))&lt;(Variables!$B$26*Variables!$E$50),$F$1*((Variables!$B$26*Variables!$E$50)-H74-SUM(J75:Q75)),0)</f>
        <v>0</v>
      </c>
      <c r="U75" s="64">
        <f ca="1">IF(AND(AND(B75="Autumn",SUM(D72:E75)&gt;Variables!$B$27),SUM(J75:Q75)&lt;Variables!$B$28*H74),$F$1*(Variables!$B$28*H74-SUM(J75:Q75)),0)</f>
        <v>0</v>
      </c>
      <c r="V75" s="96">
        <f ca="1">IF(AND((J75+K75)=0,(Q75+T75)=0),$H$1*H75*Variables!$I$23*0.25,0)</f>
        <v>12.167037507234285</v>
      </c>
      <c r="W75" s="97">
        <f ca="1">IF(AND((K75+J75)=0,(T75+Q75)=0),$I$1*H75*Variables!$Q$23*0.25,0)</f>
        <v>3.9130767321523607</v>
      </c>
      <c r="X75" s="95">
        <f ca="1">IF(AND(NOT(K75=0),(H75-H74)&gt;0),(H75-H74)*(Variables!$M$5*$H$1+Variables!$U$5*$I$1),0)+IF(AND(NOT((J75+N75+Q75)=0),(H74-H75)&gt;0),(H74-H75)*(Variables!$M$4*$H$1+Variables!$U$4*$I$1),0)</f>
        <v>0</v>
      </c>
      <c r="Y75" s="95">
        <f ca="1">IF(SUM(T75,U74:U75)&gt;0,H75*Variables!$Y$11*0.25*(1-$J$1),0)</f>
        <v>0</v>
      </c>
      <c r="Z75" s="95">
        <f ca="1">IF(T75=0,H75*$J$1*Variables!$Y$5*0.25,0)</f>
        <v>1.1232613205250215</v>
      </c>
      <c r="AA75" s="95">
        <f t="shared" ca="1" si="0"/>
        <v>17.203375559911667</v>
      </c>
      <c r="AB75" s="91">
        <f ca="1">AA75/Variables!$E$49</f>
        <v>2.7747379935341399</v>
      </c>
    </row>
    <row r="76" spans="1:28" x14ac:dyDescent="0.25">
      <c r="A76" s="61">
        <f>'Water runs'!C83</f>
        <v>8918</v>
      </c>
      <c r="B76" s="61" t="str">
        <f>'Water runs'!B83</f>
        <v>Autumn</v>
      </c>
      <c r="C76" s="54">
        <f>'Water runs'!D83/100</f>
        <v>0.62740000000000007</v>
      </c>
      <c r="D76" s="108">
        <f>VLOOKUP(ROW(D76)+4,'Water runs'!$BS$3:$CF$423,MATCH($B$1,Scenarios,0)+1)</f>
        <v>0.10353763687756831</v>
      </c>
      <c r="E76" s="54">
        <f>IF(B76=Variables!$D$8,C76-Variables!$E$8,IF(B76=Variables!$D$9,C76-Variables!$E$9,IF(B76=Variables!$D$10,C76-Variables!$E$10,IF(B76=Variables!$D$11,C76-Variables!$E$11,"ELSE"))))</f>
        <v>-0.36724329931972777</v>
      </c>
      <c r="F76" s="108">
        <f>VLOOKUP(ROW(F76)+4,'Water runs'!$CH$3:$CU$423,MATCH($B$1,Scenarios,0)+1)</f>
        <v>0</v>
      </c>
      <c r="G76" s="65">
        <f ca="1">H76/Variables!$E$49</f>
        <v>0.43408829070947419</v>
      </c>
      <c r="H76" s="62">
        <f ca="1">IF((H75+I76)&gt;(1.1*Variables!$E$50),(1.1*Variables!$E$50),IF((H75+I76)&gt;0,H75+I76,0))</f>
        <v>2.69134740239874</v>
      </c>
      <c r="I76" s="64">
        <f t="shared" ca="1" si="1"/>
        <v>1.6931474023987398</v>
      </c>
      <c r="J76" s="63">
        <f>IF(SUM(E72:E75)&lt;Variables!$B$3,-H75,0)</f>
        <v>0</v>
      </c>
      <c r="K76" s="64">
        <f ca="1">IF(AND(H75&lt;Variables!$B$6*Variables!$E$50,OR(SUM(D73:D76)&gt;Variables!$B$5,SUM(E73:E76)&gt;Variables!$B$4)),Variables!$B$6*Variables!$E$50+Variables!$B$7*$G$1*Variables!$E$50*SUM(D73:D76),0)</f>
        <v>1.1493383460822977</v>
      </c>
      <c r="L76" s="64">
        <f>IF(B76="Winter",Variables!$B$8*H75,0)</f>
        <v>0</v>
      </c>
      <c r="M76" s="64">
        <f ca="1">IF(AND(B76="Spring",AND(NOT(H75=0),H75&lt;(Variables!$B$9*Variables!$E$50))),(Variables!$B$10*Variables!$E$50+Variables!$B$11*Variables!$E$50*SUM(E73:E76)+$G$1*SUM(D75:D76)*Variables!$E$50*Variables!$B$12),0)</f>
        <v>0</v>
      </c>
      <c r="N76" s="64">
        <f>IF(AND(B76="Spring",AND(SUM(D73:D76)&gt;Variables!$B$13,SUM(D69:D72)&gt;Variables!$B$13)),-Variables!$B$14*Variables!$E$50,0)</f>
        <v>0</v>
      </c>
      <c r="O76" s="64">
        <f>IF(AND(B76="Summer",SUM(C72:D76)&gt;Variables!$B$15),(Variables!$B$16*Variables!$E$50*SUM(C72:C76)+$G$1*Variables!$B$16*Variables!$E$50*SUM(D72:D76)+$G$1*Variables!$E$50*Variables!$B$17*F76),0)</f>
        <v>0</v>
      </c>
      <c r="P76" s="64">
        <f ca="1">IF(AND(AND(B76="Autumn",SUM(D75:E76)&gt;0),NOT(H75=0)),Variables!$B$18*Variables!$E$50+Variables!$B$19*Variables!$E$50*SUM(E75:E76)+$G$1*Variables!$B$19*Variables!$E$50*SUM(D75:D76),0)</f>
        <v>0.54380905631644227</v>
      </c>
      <c r="Q76" s="64">
        <f>IF(AND(B76="Autumn",AND((E76+E75)&lt;Variables!$B$20,(D75+D76)=0)),-Variables!$B$21*Variables!$E$50,0)</f>
        <v>0</v>
      </c>
      <c r="R76" s="64">
        <f ca="1">IF(B76="Autumn",(SUM(F75:F76)*$G$1*Variables!$B$22*Variables!$E$50),0)</f>
        <v>0</v>
      </c>
      <c r="S76" s="64">
        <f>IF(B76="Spring",($G$1*Variables!$E$50*SUM('Guts (MC)'!F75:F76)*Variables!$B$23),0)</f>
        <v>0</v>
      </c>
      <c r="T76" s="63">
        <f ca="1">IF((H75+SUM(J76:Q76))&lt;(Variables!$B$26*Variables!$E$50),$F$1*((Variables!$B$26*Variables!$E$50)-H75-SUM(J76:Q76)),0)</f>
        <v>0</v>
      </c>
      <c r="U76" s="64">
        <f ca="1">IF(AND(AND(B76="Autumn",SUM(D73:E76)&gt;Variables!$B$27),SUM(J76:Q76)&lt;Variables!$B$28*H75),$F$1*(Variables!$B$28*H75-SUM(J76:Q76)),0)</f>
        <v>0</v>
      </c>
      <c r="V76" s="96">
        <f ca="1">IF(AND((J76+K76)=0,(Q76+T76)=0),$H$1*H76*Variables!$I$23*0.25,0)</f>
        <v>0</v>
      </c>
      <c r="W76" s="97">
        <f ca="1">IF(AND((K76+J76)=0,(T76+Q76)=0),$I$1*H76*Variables!$Q$23*0.25,0)</f>
        <v>0</v>
      </c>
      <c r="X76" s="95">
        <f ca="1">IF(AND(NOT(K76=0),(H76-H75)&gt;0),(H76-H75)*(Variables!$M$5*$H$1+Variables!$U$5*$I$1),0)+IF(AND(NOT((J76+N76+Q76)=0),(H75-H76)&gt;0),(H75-H76)*(Variables!$M$4*$H$1+Variables!$U$4*$I$1),0)</f>
        <v>-193.55125106573533</v>
      </c>
      <c r="Y76" s="95">
        <f ca="1">IF(SUM(T76,U75:U76)&gt;0,H76*Variables!$Y$11*0.25*(1-$J$1),0)</f>
        <v>0</v>
      </c>
      <c r="Z76" s="95">
        <f ca="1">IF(T76=0,H76*$J$1*Variables!$Y$5*0.25,0)</f>
        <v>3.0285378052594614</v>
      </c>
      <c r="AA76" s="95">
        <f t="shared" ca="1" si="0"/>
        <v>-190.52271326047585</v>
      </c>
      <c r="AB76" s="91">
        <f ca="1">AA76/Variables!$E$49</f>
        <v>-30.729469880721911</v>
      </c>
    </row>
    <row r="77" spans="1:28" x14ac:dyDescent="0.25">
      <c r="A77" s="61">
        <f>'Water runs'!C84</f>
        <v>9010</v>
      </c>
      <c r="B77" s="61" t="str">
        <f>'Water runs'!B84</f>
        <v>Winter</v>
      </c>
      <c r="C77" s="54">
        <f>'Water runs'!D84/100</f>
        <v>0.54679999999999995</v>
      </c>
      <c r="D77" s="108">
        <f>VLOOKUP(ROW(D77)+4,'Water runs'!$BS$3:$CF$423,MATCH($B$1,Scenarios,0)+1)</f>
        <v>0</v>
      </c>
      <c r="E77" s="54">
        <f>IF(B77=Variables!$D$8,C77-Variables!$E$8,IF(B77=Variables!$D$9,C77-Variables!$E$9,IF(B77=Variables!$D$10,C77-Variables!$E$10,IF(B77=Variables!$D$11,C77-Variables!$E$11,"ELSE"))))</f>
        <v>-2.4967625661375781E-2</v>
      </c>
      <c r="F77" s="108">
        <f>VLOOKUP(ROW(F77)+4,'Water runs'!$CH$3:$CU$423,MATCH($B$1,Scenarios,0)+1)</f>
        <v>0</v>
      </c>
      <c r="G77" s="65">
        <f ca="1">H77/Variables!$E$49</f>
        <v>0.21793608986093446</v>
      </c>
      <c r="H77" s="62">
        <f ca="1">IF((H76+I77)&gt;(1.1*Variables!$E$50),(1.1*Variables!$E$50),IF((H76+I77)&gt;0,H76+I77,0))</f>
        <v>1.3512037571377937</v>
      </c>
      <c r="I77" s="64">
        <f t="shared" ca="1" si="1"/>
        <v>-1.3401436452609463</v>
      </c>
      <c r="J77" s="63">
        <f>IF(SUM(E73:E76)&lt;Variables!$B$3,-H76,0)</f>
        <v>0</v>
      </c>
      <c r="K77" s="64">
        <f ca="1">IF(AND(H76&lt;Variables!$B$6*Variables!$E$50,OR(SUM(D74:D77)&gt;Variables!$B$5,SUM(E74:E77)&gt;Variables!$B$4)),Variables!$B$6*Variables!$E$50+Variables!$B$7*$G$1*Variables!$E$50*SUM(D74:D77),0)</f>
        <v>0</v>
      </c>
      <c r="L77" s="64">
        <f ca="1">IF(B77="Winter",Variables!$B$8*H76,0)</f>
        <v>-1.3401436452609463</v>
      </c>
      <c r="M77" s="64">
        <f ca="1">IF(AND(B77="Spring",AND(NOT(H76=0),H76&lt;(Variables!$B$9*Variables!$E$50))),(Variables!$B$10*Variables!$E$50+Variables!$B$11*Variables!$E$50*SUM(E74:E77)+$G$1*SUM(D76:D77)*Variables!$E$50*Variables!$B$12),0)</f>
        <v>0</v>
      </c>
      <c r="N77" s="64">
        <f>IF(AND(B77="Spring",AND(SUM(D74:D77)&gt;Variables!$B$13,SUM(D70:D73)&gt;Variables!$B$13)),-Variables!$B$14*Variables!$E$50,0)</f>
        <v>0</v>
      </c>
      <c r="O77" s="64">
        <f>IF(AND(B77="Summer",SUM(C73:D77)&gt;Variables!$B$15),(Variables!$B$16*Variables!$E$50*SUM(C73:C77)+$G$1*Variables!$B$16*Variables!$E$50*SUM(D73:D77)+$G$1*Variables!$E$50*Variables!$B$17*F77),0)</f>
        <v>0</v>
      </c>
      <c r="P77" s="64">
        <f ca="1">IF(AND(AND(B77="Autumn",SUM(D76:E77)&gt;0),NOT(H76=0)),Variables!$B$18*Variables!$E$50+Variables!$B$19*Variables!$E$50*SUM(E76:E77)+$G$1*Variables!$B$19*Variables!$E$50*SUM(D76:D77),0)</f>
        <v>0</v>
      </c>
      <c r="Q77" s="64">
        <f>IF(AND(B77="Autumn",AND((E77+E76)&lt;Variables!$B$20,(D76+D77)=0)),-Variables!$B$21*Variables!$E$50,0)</f>
        <v>0</v>
      </c>
      <c r="R77" s="64">
        <f>IF(B77="Autumn",(SUM(F76:F77)*$G$1*Variables!$B$22*Variables!$E$50),0)</f>
        <v>0</v>
      </c>
      <c r="S77" s="64">
        <f>IF(B77="Spring",($G$1*Variables!$E$50*SUM('Guts (MC)'!F76:F77)*Variables!$B$23),0)</f>
        <v>0</v>
      </c>
      <c r="T77" s="63">
        <f ca="1">IF((H76+SUM(J77:Q77))&lt;(Variables!$B$26*Variables!$E$50),$F$1*((Variables!$B$26*Variables!$E$50)-H76-SUM(J77:Q77)),0)</f>
        <v>0</v>
      </c>
      <c r="U77" s="64">
        <f ca="1">IF(AND(AND(B77="Autumn",SUM(D74:E77)&gt;Variables!$B$27),SUM(J77:Q77)&lt;Variables!$B$28*H76),$F$1*(Variables!$B$28*H76-SUM(J77:Q77)),0)</f>
        <v>0</v>
      </c>
      <c r="V77" s="96">
        <f ca="1">IF(AND((J77+K77)=0,(Q77+T77)=0),$H$1*H77*Variables!$I$23*0.25,0)</f>
        <v>16.469792419366279</v>
      </c>
      <c r="W77" s="97">
        <f ca="1">IF(AND((K77+J77)=0,(T77+Q77)=0),$I$1*H77*Variables!$Q$23*0.25,0)</f>
        <v>5.2968983995719778</v>
      </c>
      <c r="X77" s="95">
        <f ca="1">IF(AND(NOT(K77=0),(H77-H76)&gt;0),(H77-H76)*(Variables!$M$5*$H$1+Variables!$U$5*$I$1),0)+IF(AND(NOT((J77+N77+Q77)=0),(H76-H77)&gt;0),(H76-H77)*(Variables!$M$4*$H$1+Variables!$U$4*$I$1),0)</f>
        <v>0</v>
      </c>
      <c r="Y77" s="95">
        <f ca="1">IF(SUM(T77,U76:U77)&gt;0,H77*Variables!$Y$11*0.25*(1-$J$1),0)</f>
        <v>0</v>
      </c>
      <c r="Z77" s="95">
        <f ca="1">IF(T77=0,H77*$J$1*Variables!$Y$5*0.25,0)</f>
        <v>1.5204918017841798</v>
      </c>
      <c r="AA77" s="95">
        <f t="shared" ca="1" si="0"/>
        <v>23.287182620722437</v>
      </c>
      <c r="AB77" s="91">
        <f ca="1">AA77/Variables!$E$49</f>
        <v>3.7559971968907155</v>
      </c>
    </row>
    <row r="78" spans="1:28" x14ac:dyDescent="0.25">
      <c r="A78" s="61">
        <f>'Water runs'!C85</f>
        <v>9101</v>
      </c>
      <c r="B78" s="61" t="str">
        <f>'Water runs'!B85</f>
        <v>Spring</v>
      </c>
      <c r="C78" s="54">
        <f>'Water runs'!D85/100</f>
        <v>1.7996000000000001</v>
      </c>
      <c r="D78" s="108">
        <f>VLOOKUP(ROW(D78)+4,'Water runs'!$BS$3:$CF$423,MATCH($B$1,Scenarios,0)+1)</f>
        <v>7.1456622776110659E-2</v>
      </c>
      <c r="E78" s="54">
        <f>IF(B78=Variables!$D$8,C78-Variables!$E$8,IF(B78=Variables!$D$9,C78-Variables!$E$9,IF(B78=Variables!$D$10,C78-Variables!$E$10,IF(B78=Variables!$D$11,C78-Variables!$E$11,"ELSE"))))</f>
        <v>1.0356177910052908</v>
      </c>
      <c r="F78" s="108">
        <f>VLOOKUP(ROW(F78)+4,'Water runs'!$CH$3:$CU$423,MATCH($B$1,Scenarios,0)+1)</f>
        <v>0</v>
      </c>
      <c r="G78" s="65">
        <f ca="1">H78/Variables!$E$49</f>
        <v>0.329297647446327</v>
      </c>
      <c r="H78" s="62">
        <f ca="1">IF((H77+I78)&gt;(1.1*Variables!$E$50),(1.1*Variables!$E$50),IF((H77+I78)&gt;0,H77+I78,0))</f>
        <v>2.0416454141672276</v>
      </c>
      <c r="I78" s="64">
        <f t="shared" ca="1" si="1"/>
        <v>0.69044165702943361</v>
      </c>
      <c r="J78" s="63">
        <f>IF(SUM(E74:E77)&lt;Variables!$B$3,-H77,0)</f>
        <v>0</v>
      </c>
      <c r="K78" s="64">
        <f ca="1">IF(AND(H77&lt;Variables!$B$6*Variables!$E$50,OR(SUM(D75:D78)&gt;Variables!$B$5,SUM(E75:E78)&gt;Variables!$B$4)),Variables!$B$6*Variables!$E$50+Variables!$B$7*$G$1*Variables!$E$50*SUM(D75:D78),0)</f>
        <v>0</v>
      </c>
      <c r="L78" s="64">
        <f>IF(B78="Winter",Variables!$B$8*H77,0)</f>
        <v>0</v>
      </c>
      <c r="M78" s="64">
        <f ca="1">IF(AND(B78="Spring",AND(NOT(H77=0),H77&lt;(Variables!$B$9*Variables!$E$50))),(Variables!$B$10*Variables!$E$50+Variables!$B$11*Variables!$E$50*SUM(E75:E78)+$G$1*SUM(D77:D78)*Variables!$E$50*Variables!$B$12),0)</f>
        <v>0.69044165702943361</v>
      </c>
      <c r="N78" s="64">
        <f>IF(AND(B78="Spring",AND(SUM(D75:D78)&gt;Variables!$B$13,SUM(D71:D74)&gt;Variables!$B$13)),-Variables!$B$14*Variables!$E$50,0)</f>
        <v>0</v>
      </c>
      <c r="O78" s="64">
        <f>IF(AND(B78="Summer",SUM(C74:D78)&gt;Variables!$B$15),(Variables!$B$16*Variables!$E$50*SUM(C74:C78)+$G$1*Variables!$B$16*Variables!$E$50*SUM(D74:D78)+$G$1*Variables!$E$50*Variables!$B$17*F78),0)</f>
        <v>0</v>
      </c>
      <c r="P78" s="64">
        <f ca="1">IF(AND(AND(B78="Autumn",SUM(D77:E78)&gt;0),NOT(H77=0)),Variables!$B$18*Variables!$E$50+Variables!$B$19*Variables!$E$50*SUM(E77:E78)+$G$1*Variables!$B$19*Variables!$E$50*SUM(D77:D78),0)</f>
        <v>0</v>
      </c>
      <c r="Q78" s="64">
        <f>IF(AND(B78="Autumn",AND((E78+E77)&lt;Variables!$B$20,(D77+D78)=0)),-Variables!$B$21*Variables!$E$50,0)</f>
        <v>0</v>
      </c>
      <c r="R78" s="64">
        <f>IF(B78="Autumn",(SUM(F77:F78)*$G$1*Variables!$B$22*Variables!$E$50),0)</f>
        <v>0</v>
      </c>
      <c r="S78" s="64">
        <f ca="1">IF(B78="Spring",($G$1*Variables!$E$50*SUM('Guts (MC)'!F77:F78)*Variables!$B$23),0)</f>
        <v>0</v>
      </c>
      <c r="T78" s="63">
        <f ca="1">IF((H77+SUM(J78:Q78))&lt;(Variables!$B$26*Variables!$E$50),$F$1*((Variables!$B$26*Variables!$E$50)-H77-SUM(J78:Q78)),0)</f>
        <v>0</v>
      </c>
      <c r="U78" s="64">
        <f ca="1">IF(AND(AND(B78="Autumn",SUM(D75:E78)&gt;Variables!$B$27),SUM(J78:Q78)&lt;Variables!$B$28*H77),$F$1*(Variables!$B$28*H77-SUM(J78:Q78)),0)</f>
        <v>0</v>
      </c>
      <c r="V78" s="96">
        <f ca="1">IF(AND((J78+K78)=0,(Q78+T78)=0),$H$1*H78*Variables!$I$23*0.25,0)</f>
        <v>24.885570357288646</v>
      </c>
      <c r="W78" s="97">
        <f ca="1">IF(AND((K78+J78)=0,(T78+Q78)=0),$I$1*H78*Variables!$Q$23*0.25,0)</f>
        <v>8.0035215041908891</v>
      </c>
      <c r="X78" s="95">
        <f ca="1">IF(AND(NOT(K78=0),(H78-H77)&gt;0),(H78-H77)*(Variables!$M$5*$H$1+Variables!$U$5*$I$1),0)+IF(AND(NOT((J78+N78+Q78)=0),(H77-H78)&gt;0),(H77-H78)*(Variables!$M$4*$H$1+Variables!$U$4*$I$1),0)</f>
        <v>0</v>
      </c>
      <c r="Y78" s="95">
        <f ca="1">IF(SUM(T78,U77:U78)&gt;0,H78*Variables!$Y$11*0.25*(1-$J$1),0)</f>
        <v>0</v>
      </c>
      <c r="Z78" s="95">
        <f ca="1">IF(T78=0,H78*$J$1*Variables!$Y$5*0.25,0)</f>
        <v>2.2974367100394049</v>
      </c>
      <c r="AA78" s="95">
        <f t="shared" ca="1" si="0"/>
        <v>35.186528571518942</v>
      </c>
      <c r="AB78" s="91">
        <f ca="1">AA78/Variables!$E$49</f>
        <v>5.6752465437933779</v>
      </c>
    </row>
    <row r="79" spans="1:28" x14ac:dyDescent="0.25">
      <c r="A79" s="61">
        <f>'Water runs'!C86</f>
        <v>9191</v>
      </c>
      <c r="B79" s="61" t="str">
        <f>'Water runs'!B86</f>
        <v>Summer</v>
      </c>
      <c r="C79" s="54">
        <f>'Water runs'!D86/100</f>
        <v>1.0715999999999999</v>
      </c>
      <c r="D79" s="108">
        <f>VLOOKUP(ROW(D79)+4,'Water runs'!$BS$3:$CF$423,MATCH($B$1,Scenarios,0)+1)</f>
        <v>5.1469132772230974E-2</v>
      </c>
      <c r="E79" s="54">
        <f>IF(B79=Variables!$D$8,C79-Variables!$E$8,IF(B79=Variables!$D$9,C79-Variables!$E$9,IF(B79=Variables!$D$10,C79-Variables!$E$10,IF(B79=Variables!$D$11,C79-Variables!$E$11,"ELSE"))))</f>
        <v>-0.18677013605442183</v>
      </c>
      <c r="F79" s="108">
        <f>VLOOKUP(ROW(F79)+4,'Water runs'!$CH$3:$CU$423,MATCH($B$1,Scenarios,0)+1)</f>
        <v>0.10101742689965874</v>
      </c>
      <c r="G79" s="65">
        <f ca="1">H79/Variables!$E$49</f>
        <v>0.329297647446327</v>
      </c>
      <c r="H79" s="62">
        <f ca="1">IF((H78+I79)&gt;(1.1*Variables!$E$50),(1.1*Variables!$E$50),IF((H78+I79)&gt;0,H78+I79,0))</f>
        <v>2.0416454141672276</v>
      </c>
      <c r="I79" s="64">
        <f t="shared" ca="1" si="1"/>
        <v>0</v>
      </c>
      <c r="J79" s="63">
        <f>IF(SUM(E75:E78)&lt;Variables!$B$3,-H78,0)</f>
        <v>0</v>
      </c>
      <c r="K79" s="64">
        <f ca="1">IF(AND(H78&lt;Variables!$B$6*Variables!$E$50,OR(SUM(D76:D79)&gt;Variables!$B$5,SUM(E76:E79)&gt;Variables!$B$4)),Variables!$B$6*Variables!$E$50+Variables!$B$7*$G$1*Variables!$E$50*SUM(D76:D79),0)</f>
        <v>0</v>
      </c>
      <c r="L79" s="64">
        <f>IF(B79="Winter",Variables!$B$8*H78,0)</f>
        <v>0</v>
      </c>
      <c r="M79" s="64">
        <f ca="1">IF(AND(B79="Spring",AND(NOT(H78=0),H78&lt;(Variables!$B$9*Variables!$E$50))),(Variables!$B$10*Variables!$E$50+Variables!$B$11*Variables!$E$50*SUM(E76:E79)+$G$1*SUM(D78:D79)*Variables!$E$50*Variables!$B$12),0)</f>
        <v>0</v>
      </c>
      <c r="N79" s="64">
        <f>IF(AND(B79="Spring",AND(SUM(D76:D79)&gt;Variables!$B$13,SUM(D72:D75)&gt;Variables!$B$13)),-Variables!$B$14*Variables!$E$50,0)</f>
        <v>0</v>
      </c>
      <c r="O79" s="64">
        <f>IF(AND(B79="Summer",SUM(C75:D79)&gt;Variables!$B$15),(Variables!$B$16*Variables!$E$50*SUM(C75:C79)+$G$1*Variables!$B$16*Variables!$E$50*SUM(D75:D79)+$G$1*Variables!$E$50*Variables!$B$17*F79),0)</f>
        <v>0</v>
      </c>
      <c r="P79" s="64">
        <f ca="1">IF(AND(AND(B79="Autumn",SUM(D78:E79)&gt;0),NOT(H78=0)),Variables!$B$18*Variables!$E$50+Variables!$B$19*Variables!$E$50*SUM(E78:E79)+$G$1*Variables!$B$19*Variables!$E$50*SUM(D78:D79),0)</f>
        <v>0</v>
      </c>
      <c r="Q79" s="64">
        <f>IF(AND(B79="Autumn",AND((E79+E78)&lt;Variables!$B$20,(D78+D79)=0)),-Variables!$B$21*Variables!$E$50,0)</f>
        <v>0</v>
      </c>
      <c r="R79" s="64">
        <f>IF(B79="Autumn",(SUM(F78:F79)*$G$1*Variables!$B$22*Variables!$E$50),0)</f>
        <v>0</v>
      </c>
      <c r="S79" s="64">
        <f>IF(B79="Spring",($G$1*Variables!$E$50*SUM('Guts (MC)'!F78:F79)*Variables!$B$23),0)</f>
        <v>0</v>
      </c>
      <c r="T79" s="63">
        <f ca="1">IF((H78+SUM(J79:Q79))&lt;(Variables!$B$26*Variables!$E$50),$F$1*((Variables!$B$26*Variables!$E$50)-H78-SUM(J79:Q79)),0)</f>
        <v>0</v>
      </c>
      <c r="U79" s="64">
        <f ca="1">IF(AND(AND(B79="Autumn",SUM(D76:E79)&gt;Variables!$B$27),SUM(J79:Q79)&lt;Variables!$B$28*H78),$F$1*(Variables!$B$28*H78-SUM(J79:Q79)),0)</f>
        <v>0</v>
      </c>
      <c r="V79" s="96">
        <f ca="1">IF(AND((J79+K79)=0,(Q79+T79)=0),$H$1*H79*Variables!$I$23*0.25,0)</f>
        <v>24.885570357288646</v>
      </c>
      <c r="W79" s="97">
        <f ca="1">IF(AND((K79+J79)=0,(T79+Q79)=0),$I$1*H79*Variables!$Q$23*0.25,0)</f>
        <v>8.0035215041908891</v>
      </c>
      <c r="X79" s="95">
        <f ca="1">IF(AND(NOT(K79=0),(H79-H78)&gt;0),(H79-H78)*(Variables!$M$5*$H$1+Variables!$U$5*$I$1),0)+IF(AND(NOT((J79+N79+Q79)=0),(H78-H79)&gt;0),(H78-H79)*(Variables!$M$4*$H$1+Variables!$U$4*$I$1),0)</f>
        <v>0</v>
      </c>
      <c r="Y79" s="95">
        <f ca="1">IF(SUM(T79,U78:U79)&gt;0,H79*Variables!$Y$11*0.25*(1-$J$1),0)</f>
        <v>0</v>
      </c>
      <c r="Z79" s="95">
        <f ca="1">IF(T79=0,H79*$J$1*Variables!$Y$5*0.25,0)</f>
        <v>2.2974367100394049</v>
      </c>
      <c r="AA79" s="95">
        <f t="shared" ca="1" si="0"/>
        <v>35.186528571518942</v>
      </c>
      <c r="AB79" s="91">
        <f ca="1">AA79/Variables!$E$49</f>
        <v>5.6752465437933779</v>
      </c>
    </row>
    <row r="80" spans="1:28" x14ac:dyDescent="0.25">
      <c r="A80" s="61">
        <f>'Water runs'!C87</f>
        <v>9283</v>
      </c>
      <c r="B80" s="61" t="str">
        <f>'Water runs'!B87</f>
        <v>Autumn</v>
      </c>
      <c r="C80" s="54">
        <f>'Water runs'!D87/100</f>
        <v>0.1946</v>
      </c>
      <c r="D80" s="108">
        <f>VLOOKUP(ROW(D80)+4,'Water runs'!$BS$3:$CF$423,MATCH($B$1,Scenarios,0)+1)</f>
        <v>0</v>
      </c>
      <c r="E80" s="54">
        <f>IF(B80=Variables!$D$8,C80-Variables!$E$8,IF(B80=Variables!$D$9,C80-Variables!$E$9,IF(B80=Variables!$D$10,C80-Variables!$E$10,IF(B80=Variables!$D$11,C80-Variables!$E$11,"ELSE"))))</f>
        <v>-0.80004329931972784</v>
      </c>
      <c r="F80" s="108">
        <f>VLOOKUP(ROW(F80)+4,'Water runs'!$CH$3:$CU$423,MATCH($B$1,Scenarios,0)+1)</f>
        <v>0</v>
      </c>
      <c r="G80" s="65">
        <f ca="1">H80/Variables!$E$49</f>
        <v>0.3317642993524107</v>
      </c>
      <c r="H80" s="62">
        <f ca="1">IF((H79+I80)&gt;(1.1*Variables!$E$50),(1.1*Variables!$E$50),IF((H79+I80)&gt;0,H79+I80,0))</f>
        <v>2.0569386559849465</v>
      </c>
      <c r="I80" s="64">
        <f t="shared" ca="1" si="1"/>
        <v>1.5293241817719138E-2</v>
      </c>
      <c r="J80" s="63">
        <f>IF(SUM(E76:E79)&lt;Variables!$B$3,-H79,0)</f>
        <v>0</v>
      </c>
      <c r="K80" s="64">
        <f ca="1">IF(AND(H79&lt;Variables!$B$6*Variables!$E$50,OR(SUM(D77:D80)&gt;Variables!$B$5,SUM(E77:E80)&gt;Variables!$B$4)),Variables!$B$6*Variables!$E$50+Variables!$B$7*$G$1*Variables!$E$50*SUM(D77:D80),0)</f>
        <v>0</v>
      </c>
      <c r="L80" s="64">
        <f>IF(B80="Winter",Variables!$B$8*H79,0)</f>
        <v>0</v>
      </c>
      <c r="M80" s="64">
        <f ca="1">IF(AND(B80="Spring",AND(NOT(H79=0),H79&lt;(Variables!$B$9*Variables!$E$50))),(Variables!$B$10*Variables!$E$50+Variables!$B$11*Variables!$E$50*SUM(E77:E80)+$G$1*SUM(D79:D80)*Variables!$E$50*Variables!$B$12),0)</f>
        <v>0</v>
      </c>
      <c r="N80" s="64">
        <f>IF(AND(B80="Spring",AND(SUM(D77:D80)&gt;Variables!$B$13,SUM(D73:D76)&gt;Variables!$B$13)),-Variables!$B$14*Variables!$E$50,0)</f>
        <v>0</v>
      </c>
      <c r="O80" s="64">
        <f>IF(AND(B80="Summer",SUM(C76:D80)&gt;Variables!$B$15),(Variables!$B$16*Variables!$E$50*SUM(C76:C80)+$G$1*Variables!$B$16*Variables!$E$50*SUM(D76:D80)+$G$1*Variables!$E$50*Variables!$B$17*F80),0)</f>
        <v>0</v>
      </c>
      <c r="P80" s="64">
        <f ca="1">IF(AND(AND(B80="Autumn",SUM(D79:E80)&gt;0),NOT(H79=0)),Variables!$B$18*Variables!$E$50+Variables!$B$19*Variables!$E$50*SUM(E79:E80)+$G$1*Variables!$B$19*Variables!$E$50*SUM(D79:D80),0)</f>
        <v>0</v>
      </c>
      <c r="Q80" s="64">
        <f>IF(AND(B80="Autumn",AND((E80+E79)&lt;Variables!$B$20,(D79+D80)=0)),-Variables!$B$21*Variables!$E$50,0)</f>
        <v>0</v>
      </c>
      <c r="R80" s="64">
        <f ca="1">IF(B80="Autumn",(SUM(F79:F80)*$G$1*Variables!$B$22*Variables!$E$50),0)</f>
        <v>1.5293241817719138E-2</v>
      </c>
      <c r="S80" s="64">
        <f>IF(B80="Spring",($G$1*Variables!$E$50*SUM('Guts (MC)'!F79:F80)*Variables!$B$23),0)</f>
        <v>0</v>
      </c>
      <c r="T80" s="63">
        <f ca="1">IF((H79+SUM(J80:Q80))&lt;(Variables!$B$26*Variables!$E$50),$F$1*((Variables!$B$26*Variables!$E$50)-H79-SUM(J80:Q80)),0)</f>
        <v>0</v>
      </c>
      <c r="U80" s="64">
        <f ca="1">IF(AND(AND(B80="Autumn",SUM(D77:E80)&gt;Variables!$B$27),SUM(J80:Q80)&lt;Variables!$B$28*H79),$F$1*(Variables!$B$28*H79-SUM(J80:Q80)),0)</f>
        <v>0</v>
      </c>
      <c r="V80" s="96">
        <f ca="1">IF(AND((J80+K80)=0,(Q80+T80)=0),$H$1*H80*Variables!$I$23*0.25,0)</f>
        <v>25.07197934026139</v>
      </c>
      <c r="W80" s="97">
        <f ca="1">IF(AND((K80+J80)=0,(T80+Q80)=0),$I$1*H80*Variables!$Q$23*0.25,0)</f>
        <v>8.0634730456816683</v>
      </c>
      <c r="X80" s="95">
        <f ca="1">IF(AND(NOT(K80=0),(H80-H79)&gt;0),(H80-H79)*(Variables!$M$5*$H$1+Variables!$U$5*$I$1),0)+IF(AND(NOT((J80+N80+Q80)=0),(H79-H80)&gt;0),(H79-H80)*(Variables!$M$4*$H$1+Variables!$U$4*$I$1),0)</f>
        <v>0</v>
      </c>
      <c r="Y80" s="95">
        <f ca="1">IF(SUM(T80,U79:U80)&gt;0,H80*Variables!$Y$11*0.25*(1-$J$1),0)</f>
        <v>0</v>
      </c>
      <c r="Z80" s="95">
        <f ca="1">IF(T80=0,H80*$J$1*Variables!$Y$5*0.25,0)</f>
        <v>2.3146459937493624</v>
      </c>
      <c r="AA80" s="95">
        <f t="shared" ref="AA80:AA143" ca="1" si="2">SUM(V80:Z80)</f>
        <v>35.45009837969242</v>
      </c>
      <c r="AB80" s="91">
        <f ca="1">AA80/Variables!$E$49</f>
        <v>5.7177578031761964</v>
      </c>
    </row>
    <row r="81" spans="1:28" x14ac:dyDescent="0.25">
      <c r="A81" s="61">
        <f>'Water runs'!C88</f>
        <v>9375</v>
      </c>
      <c r="B81" s="61" t="str">
        <f>'Water runs'!B88</f>
        <v>Winter</v>
      </c>
      <c r="C81" s="54">
        <f>'Water runs'!D88/100</f>
        <v>0.54959999999999998</v>
      </c>
      <c r="D81" s="108">
        <f>VLOOKUP(ROW(D81)+4,'Water runs'!$BS$3:$CF$423,MATCH($B$1,Scenarios,0)+1)</f>
        <v>0</v>
      </c>
      <c r="E81" s="54">
        <f>IF(B81=Variables!$D$8,C81-Variables!$E$8,IF(B81=Variables!$D$9,C81-Variables!$E$9,IF(B81=Variables!$D$10,C81-Variables!$E$10,IF(B81=Variables!$D$11,C81-Variables!$E$11,"ELSE"))))</f>
        <v>-2.2167625661375756E-2</v>
      </c>
      <c r="F81" s="108">
        <f>VLOOKUP(ROW(F81)+4,'Water runs'!$CH$3:$CU$423,MATCH($B$1,Scenarios,0)+1)</f>
        <v>0</v>
      </c>
      <c r="G81" s="65">
        <f ca="1">H81/Variables!$E$49</f>
        <v>0.16656384358616125</v>
      </c>
      <c r="H81" s="62">
        <f ca="1">IF((H80+I81)&gt;(1.1*Variables!$E$50),(1.1*Variables!$E$50),IF((H80+I81)&gt;0,H80+I81,0))</f>
        <v>1.0326958302341998</v>
      </c>
      <c r="I81" s="64">
        <f t="shared" ca="1" si="1"/>
        <v>-1.0242428257507468</v>
      </c>
      <c r="J81" s="63">
        <f>IF(SUM(E77:E80)&lt;Variables!$B$3,-H80,0)</f>
        <v>0</v>
      </c>
      <c r="K81" s="64">
        <f ca="1">IF(AND(H80&lt;Variables!$B$6*Variables!$E$50,OR(SUM(D78:D81)&gt;Variables!$B$5,SUM(E78:E81)&gt;Variables!$B$4)),Variables!$B$6*Variables!$E$50+Variables!$B$7*$G$1*Variables!$E$50*SUM(D78:D81),0)</f>
        <v>0</v>
      </c>
      <c r="L81" s="64">
        <f ca="1">IF(B81="Winter",Variables!$B$8*H80,0)</f>
        <v>-1.0242428257507468</v>
      </c>
      <c r="M81" s="64">
        <f ca="1">IF(AND(B81="Spring",AND(NOT(H80=0),H80&lt;(Variables!$B$9*Variables!$E$50))),(Variables!$B$10*Variables!$E$50+Variables!$B$11*Variables!$E$50*SUM(E78:E81)+$G$1*SUM(D80:D81)*Variables!$E$50*Variables!$B$12),0)</f>
        <v>0</v>
      </c>
      <c r="N81" s="64">
        <f>IF(AND(B81="Spring",AND(SUM(D78:D81)&gt;Variables!$B$13,SUM(D74:D77)&gt;Variables!$B$13)),-Variables!$B$14*Variables!$E$50,0)</f>
        <v>0</v>
      </c>
      <c r="O81" s="64">
        <f>IF(AND(B81="Summer",SUM(C77:D81)&gt;Variables!$B$15),(Variables!$B$16*Variables!$E$50*SUM(C77:C81)+$G$1*Variables!$B$16*Variables!$E$50*SUM(D77:D81)+$G$1*Variables!$E$50*Variables!$B$17*F81),0)</f>
        <v>0</v>
      </c>
      <c r="P81" s="64">
        <f ca="1">IF(AND(AND(B81="Autumn",SUM(D80:E81)&gt;0),NOT(H80=0)),Variables!$B$18*Variables!$E$50+Variables!$B$19*Variables!$E$50*SUM(E80:E81)+$G$1*Variables!$B$19*Variables!$E$50*SUM(D80:D81),0)</f>
        <v>0</v>
      </c>
      <c r="Q81" s="64">
        <f>IF(AND(B81="Autumn",AND((E81+E80)&lt;Variables!$B$20,(D80+D81)=0)),-Variables!$B$21*Variables!$E$50,0)</f>
        <v>0</v>
      </c>
      <c r="R81" s="64">
        <f>IF(B81="Autumn",(SUM(F80:F81)*$G$1*Variables!$B$22*Variables!$E$50),0)</f>
        <v>0</v>
      </c>
      <c r="S81" s="64">
        <f>IF(B81="Spring",($G$1*Variables!$E$50*SUM('Guts (MC)'!F80:F81)*Variables!$B$23),0)</f>
        <v>0</v>
      </c>
      <c r="T81" s="63">
        <f ca="1">IF((H80+SUM(J81:Q81))&lt;(Variables!$B$26*Variables!$E$50),$F$1*((Variables!$B$26*Variables!$E$50)-H80-SUM(J81:Q81)),0)</f>
        <v>0</v>
      </c>
      <c r="U81" s="64">
        <f ca="1">IF(AND(AND(B81="Autumn",SUM(D78:E81)&gt;Variables!$B$27),SUM(J81:Q81)&lt;Variables!$B$28*H80),$F$1*(Variables!$B$28*H80-SUM(J81:Q81)),0)</f>
        <v>0</v>
      </c>
      <c r="V81" s="96">
        <f ca="1">IF(AND((J81+K81)=0,(Q81+T81)=0),$H$1*H81*Variables!$I$23*0.25,0)</f>
        <v>12.587506411564771</v>
      </c>
      <c r="W81" s="97">
        <f ca="1">IF(AND((K81+J81)=0,(T81+Q81)=0),$I$1*H81*Variables!$Q$23*0.25,0)</f>
        <v>4.0483049736327494</v>
      </c>
      <c r="X81" s="95">
        <f ca="1">IF(AND(NOT(K81=0),(H81-H80)&gt;0),(H81-H80)*(Variables!$M$5*$H$1+Variables!$U$5*$I$1),0)+IF(AND(NOT((J81+N81+Q81)=0),(H80-H81)&gt;0),(H80-H81)*(Variables!$M$4*$H$1+Variables!$U$4*$I$1),0)</f>
        <v>0</v>
      </c>
      <c r="Y81" s="95">
        <f ca="1">IF(SUM(T81,U80:U81)&gt;0,H81*Variables!$Y$11*0.25*(1-$J$1),0)</f>
        <v>0</v>
      </c>
      <c r="Z81" s="95">
        <f ca="1">IF(T81=0,H81*$J$1*Variables!$Y$5*0.25,0)</f>
        <v>1.162079024213134</v>
      </c>
      <c r="AA81" s="95">
        <f t="shared" ca="1" si="2"/>
        <v>17.797890409410655</v>
      </c>
      <c r="AB81" s="91">
        <f ca="1">AA81/Variables!$E$49</f>
        <v>2.8706274853888152</v>
      </c>
    </row>
    <row r="82" spans="1:28" x14ac:dyDescent="0.25">
      <c r="A82" s="61">
        <f>'Water runs'!C89</f>
        <v>9466</v>
      </c>
      <c r="B82" s="61" t="str">
        <f>'Water runs'!B89</f>
        <v>Spring</v>
      </c>
      <c r="C82" s="54">
        <f>'Water runs'!D89/100</f>
        <v>0.96819999999999995</v>
      </c>
      <c r="D82" s="108">
        <f>VLOOKUP(ROW(D82)+4,'Water runs'!$BS$3:$CF$423,MATCH($B$1,Scenarios,0)+1)</f>
        <v>0</v>
      </c>
      <c r="E82" s="54">
        <f>IF(B82=Variables!$D$8,C82-Variables!$E$8,IF(B82=Variables!$D$9,C82-Variables!$E$9,IF(B82=Variables!$D$10,C82-Variables!$E$10,IF(B82=Variables!$D$11,C82-Variables!$E$11,"ELSE"))))</f>
        <v>0.20421779100529081</v>
      </c>
      <c r="F82" s="108">
        <f>VLOOKUP(ROW(F82)+4,'Water runs'!$CH$3:$CU$423,MATCH($B$1,Scenarios,0)+1)</f>
        <v>0</v>
      </c>
      <c r="G82" s="65">
        <f ca="1">H82/Variables!$E$49</f>
        <v>0.161</v>
      </c>
      <c r="H82" s="62">
        <f ca="1">IF((H81+I82)&gt;(1.1*Variables!$E$50),(1.1*Variables!$E$50),IF((H81+I82)&gt;0,H81+I82,0))</f>
        <v>0.99820000000000009</v>
      </c>
      <c r="I82" s="64">
        <f t="shared" ref="I82:I121" ca="1" si="3">SUM(J82:U82)</f>
        <v>-3.4495830234199665E-2</v>
      </c>
      <c r="J82" s="63">
        <f>IF(SUM(E78:E81)&lt;Variables!$B$3,-H81,0)</f>
        <v>0</v>
      </c>
      <c r="K82" s="64">
        <f ca="1">IF(AND(H81&lt;Variables!$B$6*Variables!$E$50,OR(SUM(D79:D82)&gt;Variables!$B$5,SUM(E79:E82)&gt;Variables!$B$4)),Variables!$B$6*Variables!$E$50+Variables!$B$7*$G$1*Variables!$E$50*SUM(D79:D82),0)</f>
        <v>0</v>
      </c>
      <c r="L82" s="64">
        <f>IF(B82="Winter",Variables!$B$8*H81,0)</f>
        <v>0</v>
      </c>
      <c r="M82" s="64">
        <f ca="1">IF(AND(B82="Spring",AND(NOT(H81=0),H81&lt;(Variables!$B$9*Variables!$E$50))),(Variables!$B$10*Variables!$E$50+Variables!$B$11*Variables!$E$50*SUM(E79:E82)+$G$1*SUM(D81:D82)*Variables!$E$50*Variables!$B$12),0)</f>
        <v>-0.54809342955012708</v>
      </c>
      <c r="N82" s="64">
        <f>IF(AND(B82="Spring",AND(SUM(D79:D82)&gt;Variables!$B$13,SUM(D75:D78)&gt;Variables!$B$13)),-Variables!$B$14*Variables!$E$50,0)</f>
        <v>0</v>
      </c>
      <c r="O82" s="64">
        <f>IF(AND(B82="Summer",SUM(C78:D82)&gt;Variables!$B$15),(Variables!$B$16*Variables!$E$50*SUM(C78:C82)+$G$1*Variables!$B$16*Variables!$E$50*SUM(D78:D82)+$G$1*Variables!$E$50*Variables!$B$17*F82),0)</f>
        <v>0</v>
      </c>
      <c r="P82" s="64">
        <f ca="1">IF(AND(AND(B82="Autumn",SUM(D81:E82)&gt;0),NOT(H81=0)),Variables!$B$18*Variables!$E$50+Variables!$B$19*Variables!$E$50*SUM(E81:E82)+$G$1*Variables!$B$19*Variables!$E$50*SUM(D81:D82),0)</f>
        <v>0</v>
      </c>
      <c r="Q82" s="64">
        <f>IF(AND(B82="Autumn",AND((E82+E81)&lt;Variables!$B$20,(D81+D82)=0)),-Variables!$B$21*Variables!$E$50,0)</f>
        <v>0</v>
      </c>
      <c r="R82" s="64">
        <f>IF(B82="Autumn",(SUM(F81:F82)*$G$1*Variables!$B$22*Variables!$E$50),0)</f>
        <v>0</v>
      </c>
      <c r="S82" s="64">
        <f ca="1">IF(B82="Spring",($G$1*Variables!$E$50*SUM('Guts (MC)'!F81:F82)*Variables!$B$23),0)</f>
        <v>0</v>
      </c>
      <c r="T82" s="63">
        <f ca="1">IF((H81+SUM(J82:Q82))&lt;(Variables!$B$26*Variables!$E$50),$F$1*((Variables!$B$26*Variables!$E$50)-H81-SUM(J82:Q82)),0)</f>
        <v>0.51359759931592741</v>
      </c>
      <c r="U82" s="64">
        <f ca="1">IF(AND(AND(B82="Autumn",SUM(D79:E82)&gt;Variables!$B$27),SUM(J82:Q82)&lt;Variables!$B$28*H81),$F$1*(Variables!$B$28*H81-SUM(J82:Q82)),0)</f>
        <v>0</v>
      </c>
      <c r="V82" s="96">
        <f ca="1">IF(AND((J82+K82)=0,(Q82+T82)=0),$H$1*H82*Variables!$I$23*0.25,0)</f>
        <v>0</v>
      </c>
      <c r="W82" s="97">
        <f ca="1">IF(AND((K82+J82)=0,(T82+Q82)=0),$I$1*H82*Variables!$Q$23*0.25,0)</f>
        <v>0</v>
      </c>
      <c r="X82" s="95">
        <f ca="1">IF(AND(NOT(K82=0),(H82-H81)&gt;0),(H82-H81)*(Variables!$M$5*$H$1+Variables!$U$5*$I$1),0)+IF(AND(NOT((J82+N82+Q82)=0),(H81-H82)&gt;0),(H81-H82)*(Variables!$M$4*$H$1+Variables!$U$4*$I$1),0)</f>
        <v>0</v>
      </c>
      <c r="Y82" s="95">
        <f ca="1">IF(SUM(T82,U81:U82)&gt;0,H82*Variables!$Y$11*0.25*(1-$J$1),0)</f>
        <v>-8.6666009437672749</v>
      </c>
      <c r="Z82" s="95">
        <f ca="1">IF(T82=0,H82*$J$1*Variables!$Y$5*0.25,0)</f>
        <v>0</v>
      </c>
      <c r="AA82" s="95">
        <f t="shared" ca="1" si="2"/>
        <v>-8.6666009437672749</v>
      </c>
      <c r="AB82" s="91">
        <f ca="1">AA82/Variables!$E$49</f>
        <v>-1.3978388618979476</v>
      </c>
    </row>
    <row r="83" spans="1:28" x14ac:dyDescent="0.25">
      <c r="A83" s="61">
        <f>'Water runs'!C90</f>
        <v>9556</v>
      </c>
      <c r="B83" s="61" t="str">
        <f>'Water runs'!B90</f>
        <v>Summer</v>
      </c>
      <c r="C83" s="54">
        <f>'Water runs'!D90/100</f>
        <v>1.7841999999999998</v>
      </c>
      <c r="D83" s="108">
        <f>VLOOKUP(ROW(D83)+4,'Water runs'!$BS$3:$CF$423,MATCH($B$1,Scenarios,0)+1)</f>
        <v>4.8303628690646798E-2</v>
      </c>
      <c r="E83" s="54">
        <f>IF(B83=Variables!$D$8,C83-Variables!$E$8,IF(B83=Variables!$D$9,C83-Variables!$E$9,IF(B83=Variables!$D$10,C83-Variables!$E$10,IF(B83=Variables!$D$11,C83-Variables!$E$11,"ELSE"))))</f>
        <v>0.52582986394557807</v>
      </c>
      <c r="F83" s="108">
        <f>VLOOKUP(ROW(F83)+4,'Water runs'!$CH$3:$CU$423,MATCH($B$1,Scenarios,0)+1)</f>
        <v>0</v>
      </c>
      <c r="G83" s="65">
        <f ca="1">H83/Variables!$E$49</f>
        <v>0.34544170100571586</v>
      </c>
      <c r="H83" s="62">
        <f ca="1">IF((H82+I83)&gt;(1.1*Variables!$E$50),(1.1*Variables!$E$50),IF((H82+I83)&gt;0,H82+I83,0))</f>
        <v>2.1417385462354384</v>
      </c>
      <c r="I83" s="64">
        <f t="shared" ca="1" si="3"/>
        <v>1.1435385462354384</v>
      </c>
      <c r="J83" s="63">
        <f>IF(SUM(E79:E82)&lt;Variables!$B$3,-H82,0)</f>
        <v>0</v>
      </c>
      <c r="K83" s="64">
        <f ca="1">IF(AND(H82&lt;Variables!$B$6*Variables!$E$50,OR(SUM(D80:D83)&gt;Variables!$B$5,SUM(E80:E83)&gt;Variables!$B$4)),Variables!$B$6*Variables!$E$50+Variables!$B$7*$G$1*Variables!$E$50*SUM(D80:D83),0)</f>
        <v>1.1435385462354384</v>
      </c>
      <c r="L83" s="64">
        <f>IF(B83="Winter",Variables!$B$8*H82,0)</f>
        <v>0</v>
      </c>
      <c r="M83" s="64">
        <f ca="1">IF(AND(B83="Spring",AND(NOT(H82=0),H82&lt;(Variables!$B$9*Variables!$E$50))),(Variables!$B$10*Variables!$E$50+Variables!$B$11*Variables!$E$50*SUM(E80:E83)+$G$1*SUM(D82:D83)*Variables!$E$50*Variables!$B$12),0)</f>
        <v>0</v>
      </c>
      <c r="N83" s="64">
        <f>IF(AND(B83="Spring",AND(SUM(D80:D83)&gt;Variables!$B$13,SUM(D76:D79)&gt;Variables!$B$13)),-Variables!$B$14*Variables!$E$50,0)</f>
        <v>0</v>
      </c>
      <c r="O83" s="64">
        <f>IF(AND(B83="Summer",SUM(C79:D83)&gt;Variables!$B$15),(Variables!$B$16*Variables!$E$50*SUM(C79:C83)+$G$1*Variables!$B$16*Variables!$E$50*SUM(D79:D83)+$G$1*Variables!$E$50*Variables!$B$17*F83),0)</f>
        <v>0</v>
      </c>
      <c r="P83" s="64">
        <f ca="1">IF(AND(AND(B83="Autumn",SUM(D82:E83)&gt;0),NOT(H82=0)),Variables!$B$18*Variables!$E$50+Variables!$B$19*Variables!$E$50*SUM(E82:E83)+$G$1*Variables!$B$19*Variables!$E$50*SUM(D82:D83),0)</f>
        <v>0</v>
      </c>
      <c r="Q83" s="64">
        <f>IF(AND(B83="Autumn",AND((E83+E82)&lt;Variables!$B$20,(D82+D83)=0)),-Variables!$B$21*Variables!$E$50,0)</f>
        <v>0</v>
      </c>
      <c r="R83" s="64">
        <f>IF(B83="Autumn",(SUM(F82:F83)*$G$1*Variables!$B$22*Variables!$E$50),0)</f>
        <v>0</v>
      </c>
      <c r="S83" s="64">
        <f>IF(B83="Spring",($G$1*Variables!$E$50*SUM('Guts (MC)'!F82:F83)*Variables!$B$23),0)</f>
        <v>0</v>
      </c>
      <c r="T83" s="63">
        <f ca="1">IF((H82+SUM(J83:Q83))&lt;(Variables!$B$26*Variables!$E$50),$F$1*((Variables!$B$26*Variables!$E$50)-H82-SUM(J83:Q83)),0)</f>
        <v>0</v>
      </c>
      <c r="U83" s="64">
        <f ca="1">IF(AND(AND(B83="Autumn",SUM(D80:E83)&gt;Variables!$B$27),SUM(J83:Q83)&lt;Variables!$B$28*H82),$F$1*(Variables!$B$28*H82-SUM(J83:Q83)),0)</f>
        <v>0</v>
      </c>
      <c r="V83" s="96">
        <f ca="1">IF(AND((J83+K83)=0,(Q83+T83)=0),$H$1*H83*Variables!$I$23*0.25,0)</f>
        <v>0</v>
      </c>
      <c r="W83" s="97">
        <f ca="1">IF(AND((K83+J83)=0,(T83+Q83)=0),$I$1*H83*Variables!$Q$23*0.25,0)</f>
        <v>0</v>
      </c>
      <c r="X83" s="95">
        <f ca="1">IF(AND(NOT(K83=0),(H83-H82)&gt;0),(H83-H82)*(Variables!$M$5*$H$1+Variables!$U$5*$I$1),0)+IF(AND(NOT((J83+N83+Q83)=0),(H82-H83)&gt;0),(H82-H83)*(Variables!$M$4*$H$1+Variables!$U$4*$I$1),0)</f>
        <v>-130.72300495053815</v>
      </c>
      <c r="Y83" s="95">
        <f ca="1">IF(SUM(T83,U82:U83)&gt;0,H83*Variables!$Y$11*0.25*(1-$J$1),0)</f>
        <v>0</v>
      </c>
      <c r="Z83" s="95">
        <f ca="1">IF(T83=0,H83*$J$1*Variables!$Y$5*0.25,0)</f>
        <v>2.4100701940129809</v>
      </c>
      <c r="AA83" s="95">
        <f t="shared" ca="1" si="2"/>
        <v>-128.31293475652518</v>
      </c>
      <c r="AB83" s="91">
        <f ca="1">AA83/Variables!$E$49</f>
        <v>-20.695634638149222</v>
      </c>
    </row>
    <row r="84" spans="1:28" x14ac:dyDescent="0.25">
      <c r="A84" s="61">
        <f>'Water runs'!C91</f>
        <v>9648</v>
      </c>
      <c r="B84" s="61" t="str">
        <f>'Water runs'!B91</f>
        <v>Autumn</v>
      </c>
      <c r="C84" s="54">
        <f>'Water runs'!D91/100</f>
        <v>2.1347999999999998</v>
      </c>
      <c r="D84" s="108">
        <f>VLOOKUP(ROW(D84)+4,'Water runs'!$BS$3:$CF$423,MATCH($B$1,Scenarios,0)+1)</f>
        <v>7.9177190634921891E-3</v>
      </c>
      <c r="E84" s="54">
        <f>IF(B84=Variables!$D$8,C84-Variables!$E$8,IF(B84=Variables!$D$9,C84-Variables!$E$9,IF(B84=Variables!$D$10,C84-Variables!$E$10,IF(B84=Variables!$D$11,C84-Variables!$E$11,"ELSE"))))</f>
        <v>1.140156700680272</v>
      </c>
      <c r="F84" s="108">
        <f>VLOOKUP(ROW(F84)+4,'Water runs'!$CH$3:$CU$423,MATCH($B$1,Scenarios,0)+1)</f>
        <v>0</v>
      </c>
      <c r="G84" s="65">
        <f ca="1">H84/Variables!$E$49</f>
        <v>1.0079059168481252</v>
      </c>
      <c r="H84" s="62">
        <f ca="1">IF((H83+I84)&gt;(1.1*Variables!$E$50),(1.1*Variables!$E$50),IF((H83+I84)&gt;0,H83+I84,0))</f>
        <v>6.2490166844583763</v>
      </c>
      <c r="I84" s="64">
        <f t="shared" ca="1" si="3"/>
        <v>4.107278138222938</v>
      </c>
      <c r="J84" s="63">
        <f>IF(SUM(E80:E83)&lt;Variables!$B$3,-H83,0)</f>
        <v>0</v>
      </c>
      <c r="K84" s="64">
        <f ca="1">IF(AND(H83&lt;Variables!$B$6*Variables!$E$50,OR(SUM(D81:D84)&gt;Variables!$B$5,SUM(E81:E84)&gt;Variables!$B$4)),Variables!$B$6*Variables!$E$50+Variables!$B$7*$G$1*Variables!$E$50*SUM(D81:D84),0)</f>
        <v>0</v>
      </c>
      <c r="L84" s="64">
        <f>IF(B84="Winter",Variables!$B$8*H83,0)</f>
        <v>0</v>
      </c>
      <c r="M84" s="64">
        <f ca="1">IF(AND(B84="Spring",AND(NOT(H83=0),H83&lt;(Variables!$B$9*Variables!$E$50))),(Variables!$B$10*Variables!$E$50+Variables!$B$11*Variables!$E$50*SUM(E81:E84)+$G$1*SUM(D83:D84)*Variables!$E$50*Variables!$B$12),0)</f>
        <v>0</v>
      </c>
      <c r="N84" s="64">
        <f>IF(AND(B84="Spring",AND(SUM(D81:D84)&gt;Variables!$B$13,SUM(D77:D80)&gt;Variables!$B$13)),-Variables!$B$14*Variables!$E$50,0)</f>
        <v>0</v>
      </c>
      <c r="O84" s="64">
        <f>IF(AND(B84="Summer",SUM(C80:D84)&gt;Variables!$B$15),(Variables!$B$16*Variables!$E$50*SUM(C80:C84)+$G$1*Variables!$B$16*Variables!$E$50*SUM(D80:D84)+$G$1*Variables!$E$50*Variables!$B$17*F84),0)</f>
        <v>0</v>
      </c>
      <c r="P84" s="64">
        <f ca="1">IF(AND(AND(B84="Autumn",SUM(D83:E84)&gt;0),NOT(H83=0)),Variables!$B$18*Variables!$E$50+Variables!$B$19*Variables!$E$50*SUM(E83:E84)+$G$1*Variables!$B$19*Variables!$E$50*SUM(D83:D84),0)</f>
        <v>4.107278138222938</v>
      </c>
      <c r="Q84" s="64">
        <f>IF(AND(B84="Autumn",AND((E84+E83)&lt;Variables!$B$20,(D83+D84)=0)),-Variables!$B$21*Variables!$E$50,0)</f>
        <v>0</v>
      </c>
      <c r="R84" s="64">
        <f ca="1">IF(B84="Autumn",(SUM(F83:F84)*$G$1*Variables!$B$22*Variables!$E$50),0)</f>
        <v>0</v>
      </c>
      <c r="S84" s="64">
        <f>IF(B84="Spring",($G$1*Variables!$E$50*SUM('Guts (MC)'!F83:F84)*Variables!$B$23),0)</f>
        <v>0</v>
      </c>
      <c r="T84" s="63">
        <f ca="1">IF((H83+SUM(J84:Q84))&lt;(Variables!$B$26*Variables!$E$50),$F$1*((Variables!$B$26*Variables!$E$50)-H83-SUM(J84:Q84)),0)</f>
        <v>0</v>
      </c>
      <c r="U84" s="64">
        <f ca="1">IF(AND(AND(B84="Autumn",SUM(D81:E84)&gt;Variables!$B$27),SUM(J84:Q84)&lt;Variables!$B$28*H83),$F$1*(Variables!$B$28*H83-SUM(J84:Q84)),0)</f>
        <v>0</v>
      </c>
      <c r="V84" s="96">
        <f ca="1">IF(AND((J84+K84)=0,(Q84+T84)=0),$H$1*H84*Variables!$I$23*0.25,0)</f>
        <v>76.169124807791903</v>
      </c>
      <c r="W84" s="97">
        <f ca="1">IF(AND((K84+J84)=0,(T84+Q84)=0),$I$1*H84*Variables!$Q$23*0.25,0)</f>
        <v>24.496976344205528</v>
      </c>
      <c r="X84" s="95">
        <f ca="1">IF(AND(NOT(K84=0),(H84-H83)&gt;0),(H84-H83)*(Variables!$M$5*$H$1+Variables!$U$5*$I$1),0)+IF(AND(NOT((J84+N84+Q84)=0),(H83-H84)&gt;0),(H83-H84)*(Variables!$M$4*$H$1+Variables!$U$4*$I$1),0)</f>
        <v>0</v>
      </c>
      <c r="Y84" s="95">
        <f ca="1">IF(SUM(T84,U83:U84)&gt;0,H84*Variables!$Y$11*0.25*(1-$J$1),0)</f>
        <v>0</v>
      </c>
      <c r="Z84" s="95">
        <f ca="1">IF(T84=0,H84*$J$1*Variables!$Y$5*0.25,0)</f>
        <v>7.0319362181602942</v>
      </c>
      <c r="AA84" s="95">
        <f t="shared" ca="1" si="2"/>
        <v>107.69803737015772</v>
      </c>
      <c r="AB84" s="91">
        <f ca="1">AA84/Variables!$E$49</f>
        <v>17.370651188735117</v>
      </c>
    </row>
    <row r="85" spans="1:28" x14ac:dyDescent="0.25">
      <c r="A85" s="61">
        <f>'Water runs'!C92</f>
        <v>9740</v>
      </c>
      <c r="B85" s="61" t="str">
        <f>'Water runs'!B92</f>
        <v>Winter</v>
      </c>
      <c r="C85" s="54">
        <f>'Water runs'!D92/100</f>
        <v>0.18640000000000001</v>
      </c>
      <c r="D85" s="108">
        <f>VLOOKUP(ROW(D85)+4,'Water runs'!$BS$3:$CF$423,MATCH($B$1,Scenarios,0)+1)</f>
        <v>1.9366740829301894E-3</v>
      </c>
      <c r="E85" s="54">
        <f>IF(B85=Variables!$D$8,C85-Variables!$E$8,IF(B85=Variables!$D$9,C85-Variables!$E$9,IF(B85=Variables!$D$10,C85-Variables!$E$10,IF(B85=Variables!$D$11,C85-Variables!$E$11,"ELSE"))))</f>
        <v>-0.38536762566137572</v>
      </c>
      <c r="F85" s="108">
        <f>VLOOKUP(ROW(F85)+4,'Water runs'!$CH$3:$CU$423,MATCH($B$1,Scenarios,0)+1)</f>
        <v>0</v>
      </c>
      <c r="G85" s="65">
        <f ca="1">H85/Variables!$E$49</f>
        <v>0.50602395680051537</v>
      </c>
      <c r="H85" s="62">
        <f ca="1">IF((H84+I85)&gt;(1.1*Variables!$E$50),(1.1*Variables!$E$50),IF((H84+I85)&gt;0,H84+I85,0))</f>
        <v>3.1373485321631955</v>
      </c>
      <c r="I85" s="64">
        <f t="shared" ca="1" si="3"/>
        <v>-3.1116681522951808</v>
      </c>
      <c r="J85" s="63">
        <f>IF(SUM(E81:E84)&lt;Variables!$B$3,-H84,0)</f>
        <v>0</v>
      </c>
      <c r="K85" s="64">
        <f ca="1">IF(AND(H84&lt;Variables!$B$6*Variables!$E$50,OR(SUM(D82:D85)&gt;Variables!$B$5,SUM(E82:E85)&gt;Variables!$B$4)),Variables!$B$6*Variables!$E$50+Variables!$B$7*$G$1*Variables!$E$50*SUM(D82:D85),0)</f>
        <v>0</v>
      </c>
      <c r="L85" s="64">
        <f ca="1">IF(B85="Winter",Variables!$B$8*H84,0)</f>
        <v>-3.1116681522951808</v>
      </c>
      <c r="M85" s="64">
        <f ca="1">IF(AND(B85="Spring",AND(NOT(H84=0),H84&lt;(Variables!$B$9*Variables!$E$50))),(Variables!$B$10*Variables!$E$50+Variables!$B$11*Variables!$E$50*SUM(E82:E85)+$G$1*SUM(D84:D85)*Variables!$E$50*Variables!$B$12),0)</f>
        <v>0</v>
      </c>
      <c r="N85" s="64">
        <f>IF(AND(B85="Spring",AND(SUM(D82:D85)&gt;Variables!$B$13,SUM(D78:D81)&gt;Variables!$B$13)),-Variables!$B$14*Variables!$E$50,0)</f>
        <v>0</v>
      </c>
      <c r="O85" s="64">
        <f>IF(AND(B85="Summer",SUM(C81:D85)&gt;Variables!$B$15),(Variables!$B$16*Variables!$E$50*SUM(C81:C85)+$G$1*Variables!$B$16*Variables!$E$50*SUM(D81:D85)+$G$1*Variables!$E$50*Variables!$B$17*F85),0)</f>
        <v>0</v>
      </c>
      <c r="P85" s="64">
        <f ca="1">IF(AND(AND(B85="Autumn",SUM(D84:E85)&gt;0),NOT(H84=0)),Variables!$B$18*Variables!$E$50+Variables!$B$19*Variables!$E$50*SUM(E84:E85)+$G$1*Variables!$B$19*Variables!$E$50*SUM(D84:D85),0)</f>
        <v>0</v>
      </c>
      <c r="Q85" s="64">
        <f>IF(AND(B85="Autumn",AND((E85+E84)&lt;Variables!$B$20,(D84+D85)=0)),-Variables!$B$21*Variables!$E$50,0)</f>
        <v>0</v>
      </c>
      <c r="R85" s="64">
        <f>IF(B85="Autumn",(SUM(F84:F85)*$G$1*Variables!$B$22*Variables!$E$50),0)</f>
        <v>0</v>
      </c>
      <c r="S85" s="64">
        <f>IF(B85="Spring",($G$1*Variables!$E$50*SUM('Guts (MC)'!F84:F85)*Variables!$B$23),0)</f>
        <v>0</v>
      </c>
      <c r="T85" s="63">
        <f ca="1">IF((H84+SUM(J85:Q85))&lt;(Variables!$B$26*Variables!$E$50),$F$1*((Variables!$B$26*Variables!$E$50)-H84-SUM(J85:Q85)),0)</f>
        <v>0</v>
      </c>
      <c r="U85" s="64">
        <f ca="1">IF(AND(AND(B85="Autumn",SUM(D82:E85)&gt;Variables!$B$27),SUM(J85:Q85)&lt;Variables!$B$28*H84),$F$1*(Variables!$B$28*H84-SUM(J85:Q85)),0)</f>
        <v>0</v>
      </c>
      <c r="V85" s="96">
        <f ca="1">IF(AND((J85+K85)=0,(Q85+T85)=0),$H$1*H85*Variables!$I$23*0.25,0)</f>
        <v>38.241071192242053</v>
      </c>
      <c r="W85" s="97">
        <f ca="1">IF(AND((K85+J85)=0,(T85+Q85)=0),$I$1*H85*Variables!$Q$23*0.25,0)</f>
        <v>12.298823424023402</v>
      </c>
      <c r="X85" s="95">
        <f ca="1">IF(AND(NOT(K85=0),(H85-H84)&gt;0),(H85-H84)*(Variables!$M$5*$H$1+Variables!$U$5*$I$1),0)+IF(AND(NOT((J85+N85+Q85)=0),(H84-H85)&gt;0),(H84-H85)*(Variables!$M$4*$H$1+Variables!$U$4*$I$1),0)</f>
        <v>0</v>
      </c>
      <c r="Y85" s="95">
        <f ca="1">IF(SUM(T85,U84:U85)&gt;0,H85*Variables!$Y$11*0.25*(1-$J$1),0)</f>
        <v>0</v>
      </c>
      <c r="Z85" s="95">
        <f ca="1">IF(T85=0,H85*$J$1*Variables!$Y$5*0.25,0)</f>
        <v>3.5304170057952997</v>
      </c>
      <c r="AA85" s="95">
        <f t="shared" ca="1" si="2"/>
        <v>54.070311622060757</v>
      </c>
      <c r="AB85" s="91">
        <f ca="1">AA85/Variables!$E$49</f>
        <v>8.7210180035581857</v>
      </c>
    </row>
    <row r="86" spans="1:28" x14ac:dyDescent="0.25">
      <c r="A86" s="61">
        <f>'Water runs'!C93</f>
        <v>9831</v>
      </c>
      <c r="B86" s="61" t="str">
        <f>'Water runs'!B93</f>
        <v>Spring</v>
      </c>
      <c r="C86" s="54">
        <f>'Water runs'!D93/100</f>
        <v>0.22825714285714302</v>
      </c>
      <c r="D86" s="108">
        <f>VLOOKUP(ROW(D86)+4,'Water runs'!$BS$3:$CF$423,MATCH($B$1,Scenarios,0)+1)</f>
        <v>0</v>
      </c>
      <c r="E86" s="54">
        <f>IF(B86=Variables!$D$8,C86-Variables!$E$8,IF(B86=Variables!$D$9,C86-Variables!$E$9,IF(B86=Variables!$D$10,C86-Variables!$E$10,IF(B86=Variables!$D$11,C86-Variables!$E$11,"ELSE"))))</f>
        <v>-0.5357250661375661</v>
      </c>
      <c r="F86" s="108">
        <f>VLOOKUP(ROW(F86)+4,'Water runs'!$CH$3:$CU$423,MATCH($B$1,Scenarios,0)+1)</f>
        <v>0</v>
      </c>
      <c r="G86" s="65">
        <f ca="1">H86/Variables!$E$49</f>
        <v>0.50602395680051537</v>
      </c>
      <c r="H86" s="62">
        <f ca="1">IF((H85+I86)&gt;(1.1*Variables!$E$50),(1.1*Variables!$E$50),IF((H85+I86)&gt;0,H85+I86,0))</f>
        <v>3.1373485321631955</v>
      </c>
      <c r="I86" s="64">
        <f t="shared" ca="1" si="3"/>
        <v>0</v>
      </c>
      <c r="J86" s="63">
        <f>IF(SUM(E82:E85)&lt;Variables!$B$3,-H85,0)</f>
        <v>0</v>
      </c>
      <c r="K86" s="64">
        <f ca="1">IF(AND(H85&lt;Variables!$B$6*Variables!$E$50,OR(SUM(D83:D86)&gt;Variables!$B$5,SUM(E83:E86)&gt;Variables!$B$4)),Variables!$B$6*Variables!$E$50+Variables!$B$7*$G$1*Variables!$E$50*SUM(D83:D86),0)</f>
        <v>0</v>
      </c>
      <c r="L86" s="64">
        <f>IF(B86="Winter",Variables!$B$8*H85,0)</f>
        <v>0</v>
      </c>
      <c r="M86" s="64">
        <f ca="1">IF(AND(B86="Spring",AND(NOT(H85=0),H85&lt;(Variables!$B$9*Variables!$E$50))),(Variables!$B$10*Variables!$E$50+Variables!$B$11*Variables!$E$50*SUM(E83:E86)+$G$1*SUM(D85:D86)*Variables!$E$50*Variables!$B$12),0)</f>
        <v>0</v>
      </c>
      <c r="N86" s="64">
        <f>IF(AND(B86="Spring",AND(SUM(D83:D86)&gt;Variables!$B$13,SUM(D79:D82)&gt;Variables!$B$13)),-Variables!$B$14*Variables!$E$50,0)</f>
        <v>0</v>
      </c>
      <c r="O86" s="64">
        <f>IF(AND(B86="Summer",SUM(C82:D86)&gt;Variables!$B$15),(Variables!$B$16*Variables!$E$50*SUM(C82:C86)+$G$1*Variables!$B$16*Variables!$E$50*SUM(D82:D86)+$G$1*Variables!$E$50*Variables!$B$17*F86),0)</f>
        <v>0</v>
      </c>
      <c r="P86" s="64">
        <f ca="1">IF(AND(AND(B86="Autumn",SUM(D85:E86)&gt;0),NOT(H85=0)),Variables!$B$18*Variables!$E$50+Variables!$B$19*Variables!$E$50*SUM(E85:E86)+$G$1*Variables!$B$19*Variables!$E$50*SUM(D85:D86),0)</f>
        <v>0</v>
      </c>
      <c r="Q86" s="64">
        <f>IF(AND(B86="Autumn",AND((E86+E85)&lt;Variables!$B$20,(D85+D86)=0)),-Variables!$B$21*Variables!$E$50,0)</f>
        <v>0</v>
      </c>
      <c r="R86" s="64">
        <f>IF(B86="Autumn",(SUM(F85:F86)*$G$1*Variables!$B$22*Variables!$E$50),0)</f>
        <v>0</v>
      </c>
      <c r="S86" s="64">
        <f ca="1">IF(B86="Spring",($G$1*Variables!$E$50*SUM('Guts (MC)'!F85:F86)*Variables!$B$23),0)</f>
        <v>0</v>
      </c>
      <c r="T86" s="63">
        <f ca="1">IF((H85+SUM(J86:Q86))&lt;(Variables!$B$26*Variables!$E$50),$F$1*((Variables!$B$26*Variables!$E$50)-H85-SUM(J86:Q86)),0)</f>
        <v>0</v>
      </c>
      <c r="U86" s="64">
        <f ca="1">IF(AND(AND(B86="Autumn",SUM(D83:E86)&gt;Variables!$B$27),SUM(J86:Q86)&lt;Variables!$B$28*H85),$F$1*(Variables!$B$28*H85-SUM(J86:Q86)),0)</f>
        <v>0</v>
      </c>
      <c r="V86" s="96">
        <f ca="1">IF(AND((J86+K86)=0,(Q86+T86)=0),$H$1*H86*Variables!$I$23*0.25,0)</f>
        <v>38.241071192242053</v>
      </c>
      <c r="W86" s="97">
        <f ca="1">IF(AND((K86+J86)=0,(T86+Q86)=0),$I$1*H86*Variables!$Q$23*0.25,0)</f>
        <v>12.298823424023402</v>
      </c>
      <c r="X86" s="95">
        <f ca="1">IF(AND(NOT(K86=0),(H86-H85)&gt;0),(H86-H85)*(Variables!$M$5*$H$1+Variables!$U$5*$I$1),0)+IF(AND(NOT((J86+N86+Q86)=0),(H85-H86)&gt;0),(H85-H86)*(Variables!$M$4*$H$1+Variables!$U$4*$I$1),0)</f>
        <v>0</v>
      </c>
      <c r="Y86" s="95">
        <f ca="1">IF(SUM(T86,U85:U86)&gt;0,H86*Variables!$Y$11*0.25*(1-$J$1),0)</f>
        <v>0</v>
      </c>
      <c r="Z86" s="95">
        <f ca="1">IF(T86=0,H86*$J$1*Variables!$Y$5*0.25,0)</f>
        <v>3.5304170057952997</v>
      </c>
      <c r="AA86" s="95">
        <f t="shared" ca="1" si="2"/>
        <v>54.070311622060757</v>
      </c>
      <c r="AB86" s="91">
        <f ca="1">AA86/Variables!$E$49</f>
        <v>8.7210180035581857</v>
      </c>
    </row>
    <row r="87" spans="1:28" x14ac:dyDescent="0.25">
      <c r="A87" s="61">
        <f>'Water runs'!C94</f>
        <v>9921</v>
      </c>
      <c r="B87" s="61" t="str">
        <f>'Water runs'!B94</f>
        <v>Summer</v>
      </c>
      <c r="C87" s="54">
        <f>'Water runs'!D94/100</f>
        <v>1.0381428571428599</v>
      </c>
      <c r="D87" s="108">
        <f>VLOOKUP(ROW(D87)+4,'Water runs'!$BS$3:$CF$423,MATCH($B$1,Scenarios,0)+1)</f>
        <v>0.17510194063294246</v>
      </c>
      <c r="E87" s="54">
        <f>IF(B87=Variables!$D$8,C87-Variables!$E$8,IF(B87=Variables!$D$9,C87-Variables!$E$9,IF(B87=Variables!$D$10,C87-Variables!$E$10,IF(B87=Variables!$D$11,C87-Variables!$E$11,"ELSE"))))</f>
        <v>-0.2202272789115618</v>
      </c>
      <c r="F87" s="108">
        <f>VLOOKUP(ROW(F87)+4,'Water runs'!$CH$3:$CU$423,MATCH($B$1,Scenarios,0)+1)</f>
        <v>0.1641248149233169</v>
      </c>
      <c r="G87" s="65">
        <f ca="1">H87/Variables!$E$49</f>
        <v>0.50602395680051537</v>
      </c>
      <c r="H87" s="62">
        <f ca="1">IF((H86+I87)&gt;(1.1*Variables!$E$50),(1.1*Variables!$E$50),IF((H86+I87)&gt;0,H86+I87,0))</f>
        <v>3.1373485321631955</v>
      </c>
      <c r="I87" s="64">
        <f t="shared" ca="1" si="3"/>
        <v>0</v>
      </c>
      <c r="J87" s="63">
        <f>IF(SUM(E83:E86)&lt;Variables!$B$3,-H86,0)</f>
        <v>0</v>
      </c>
      <c r="K87" s="64">
        <f ca="1">IF(AND(H86&lt;Variables!$B$6*Variables!$E$50,OR(SUM(D84:D87)&gt;Variables!$B$5,SUM(E84:E87)&gt;Variables!$B$4)),Variables!$B$6*Variables!$E$50+Variables!$B$7*$G$1*Variables!$E$50*SUM(D84:D87),0)</f>
        <v>0</v>
      </c>
      <c r="L87" s="64">
        <f>IF(B87="Winter",Variables!$B$8*H86,0)</f>
        <v>0</v>
      </c>
      <c r="M87" s="64">
        <f ca="1">IF(AND(B87="Spring",AND(NOT(H86=0),H86&lt;(Variables!$B$9*Variables!$E$50))),(Variables!$B$10*Variables!$E$50+Variables!$B$11*Variables!$E$50*SUM(E84:E87)+$G$1*SUM(D86:D87)*Variables!$E$50*Variables!$B$12),0)</f>
        <v>0</v>
      </c>
      <c r="N87" s="64">
        <f>IF(AND(B87="Spring",AND(SUM(D84:D87)&gt;Variables!$B$13,SUM(D80:D83)&gt;Variables!$B$13)),-Variables!$B$14*Variables!$E$50,0)</f>
        <v>0</v>
      </c>
      <c r="O87" s="64">
        <f>IF(AND(B87="Summer",SUM(C83:D87)&gt;Variables!$B$15),(Variables!$B$16*Variables!$E$50*SUM(C83:C87)+$G$1*Variables!$B$16*Variables!$E$50*SUM(D83:D87)+$G$1*Variables!$E$50*Variables!$B$17*F87),0)</f>
        <v>0</v>
      </c>
      <c r="P87" s="64">
        <f ca="1">IF(AND(AND(B87="Autumn",SUM(D86:E87)&gt;0),NOT(H86=0)),Variables!$B$18*Variables!$E$50+Variables!$B$19*Variables!$E$50*SUM(E86:E87)+$G$1*Variables!$B$19*Variables!$E$50*SUM(D86:D87),0)</f>
        <v>0</v>
      </c>
      <c r="Q87" s="64">
        <f>IF(AND(B87="Autumn",AND((E87+E86)&lt;Variables!$B$20,(D86+D87)=0)),-Variables!$B$21*Variables!$E$50,0)</f>
        <v>0</v>
      </c>
      <c r="R87" s="64">
        <f>IF(B87="Autumn",(SUM(F86:F87)*$G$1*Variables!$B$22*Variables!$E$50),0)</f>
        <v>0</v>
      </c>
      <c r="S87" s="64">
        <f>IF(B87="Spring",($G$1*Variables!$E$50*SUM('Guts (MC)'!F86:F87)*Variables!$B$23),0)</f>
        <v>0</v>
      </c>
      <c r="T87" s="63">
        <f ca="1">IF((H86+SUM(J87:Q87))&lt;(Variables!$B$26*Variables!$E$50),$F$1*((Variables!$B$26*Variables!$E$50)-H86-SUM(J87:Q87)),0)</f>
        <v>0</v>
      </c>
      <c r="U87" s="64">
        <f ca="1">IF(AND(AND(B87="Autumn",SUM(D84:E87)&gt;Variables!$B$27),SUM(J87:Q87)&lt;Variables!$B$28*H86),$F$1*(Variables!$B$28*H86-SUM(J87:Q87)),0)</f>
        <v>0</v>
      </c>
      <c r="V87" s="96">
        <f ca="1">IF(AND((J87+K87)=0,(Q87+T87)=0),$H$1*H87*Variables!$I$23*0.25,0)</f>
        <v>38.241071192242053</v>
      </c>
      <c r="W87" s="97">
        <f ca="1">IF(AND((K87+J87)=0,(T87+Q87)=0),$I$1*H87*Variables!$Q$23*0.25,0)</f>
        <v>12.298823424023402</v>
      </c>
      <c r="X87" s="95">
        <f ca="1">IF(AND(NOT(K87=0),(H87-H86)&gt;0),(H87-H86)*(Variables!$M$5*$H$1+Variables!$U$5*$I$1),0)+IF(AND(NOT((J87+N87+Q87)=0),(H86-H87)&gt;0),(H86-H87)*(Variables!$M$4*$H$1+Variables!$U$4*$I$1),0)</f>
        <v>0</v>
      </c>
      <c r="Y87" s="95">
        <f ca="1">IF(SUM(T87,U86:U87)&gt;0,H87*Variables!$Y$11*0.25*(1-$J$1),0)</f>
        <v>0</v>
      </c>
      <c r="Z87" s="95">
        <f ca="1">IF(T87=0,H87*$J$1*Variables!$Y$5*0.25,0)</f>
        <v>3.5304170057952997</v>
      </c>
      <c r="AA87" s="95">
        <f t="shared" ca="1" si="2"/>
        <v>54.070311622060757</v>
      </c>
      <c r="AB87" s="91">
        <f ca="1">AA87/Variables!$E$49</f>
        <v>8.7210180035581857</v>
      </c>
    </row>
    <row r="88" spans="1:28" x14ac:dyDescent="0.25">
      <c r="A88" s="61">
        <f>'Water runs'!C95</f>
        <v>10013</v>
      </c>
      <c r="B88" s="61" t="str">
        <f>'Water runs'!B95</f>
        <v>Autumn</v>
      </c>
      <c r="C88" s="54">
        <f>'Water runs'!D95/100</f>
        <v>0.36159999999999998</v>
      </c>
      <c r="D88" s="108">
        <f>VLOOKUP(ROW(D88)+4,'Water runs'!$BS$3:$CF$423,MATCH($B$1,Scenarios,0)+1)</f>
        <v>4.2470645056572106E-3</v>
      </c>
      <c r="E88" s="54">
        <f>IF(B88=Variables!$D$8,C88-Variables!$E$8,IF(B88=Variables!$D$9,C88-Variables!$E$9,IF(B88=Variables!$D$10,C88-Variables!$E$10,IF(B88=Variables!$D$11,C88-Variables!$E$11,"ELSE"))))</f>
        <v>-0.63304329931972791</v>
      </c>
      <c r="F88" s="108">
        <f>VLOOKUP(ROW(F88)+4,'Water runs'!$CH$3:$CU$423,MATCH($B$1,Scenarios,0)+1)</f>
        <v>0</v>
      </c>
      <c r="G88" s="65">
        <f ca="1">H88/Variables!$E$49</f>
        <v>0.5100315701400272</v>
      </c>
      <c r="H88" s="62">
        <f ca="1">IF((H87+I88)&gt;(1.1*Variables!$E$50),(1.1*Variables!$E$50),IF((H87+I88)&gt;0,H87+I88,0))</f>
        <v>3.1621957348681691</v>
      </c>
      <c r="I88" s="64">
        <f t="shared" ca="1" si="3"/>
        <v>2.4847202704973707E-2</v>
      </c>
      <c r="J88" s="63">
        <f>IF(SUM(E84:E87)&lt;Variables!$B$3,-H87,0)</f>
        <v>0</v>
      </c>
      <c r="K88" s="64">
        <f ca="1">IF(AND(H87&lt;Variables!$B$6*Variables!$E$50,OR(SUM(D85:D88)&gt;Variables!$B$5,SUM(E85:E88)&gt;Variables!$B$4)),Variables!$B$6*Variables!$E$50+Variables!$B$7*$G$1*Variables!$E$50*SUM(D85:D88),0)</f>
        <v>0</v>
      </c>
      <c r="L88" s="64">
        <f>IF(B88="Winter",Variables!$B$8*H87,0)</f>
        <v>0</v>
      </c>
      <c r="M88" s="64">
        <f ca="1">IF(AND(B88="Spring",AND(NOT(H87=0),H87&lt;(Variables!$B$9*Variables!$E$50))),(Variables!$B$10*Variables!$E$50+Variables!$B$11*Variables!$E$50*SUM(E85:E88)+$G$1*SUM(D87:D88)*Variables!$E$50*Variables!$B$12),0)</f>
        <v>0</v>
      </c>
      <c r="N88" s="64">
        <f>IF(AND(B88="Spring",AND(SUM(D85:D88)&gt;Variables!$B$13,SUM(D81:D84)&gt;Variables!$B$13)),-Variables!$B$14*Variables!$E$50,0)</f>
        <v>0</v>
      </c>
      <c r="O88" s="64">
        <f>IF(AND(B88="Summer",SUM(C84:D88)&gt;Variables!$B$15),(Variables!$B$16*Variables!$E$50*SUM(C84:C88)+$G$1*Variables!$B$16*Variables!$E$50*SUM(D84:D88)+$G$1*Variables!$E$50*Variables!$B$17*F88),0)</f>
        <v>0</v>
      </c>
      <c r="P88" s="64">
        <f ca="1">IF(AND(AND(B88="Autumn",SUM(D87:E88)&gt;0),NOT(H87=0)),Variables!$B$18*Variables!$E$50+Variables!$B$19*Variables!$E$50*SUM(E87:E88)+$G$1*Variables!$B$19*Variables!$E$50*SUM(D87:D88),0)</f>
        <v>0</v>
      </c>
      <c r="Q88" s="64">
        <f>IF(AND(B88="Autumn",AND((E88+E87)&lt;Variables!$B$20,(D87+D88)=0)),-Variables!$B$21*Variables!$E$50,0)</f>
        <v>0</v>
      </c>
      <c r="R88" s="64">
        <f ca="1">IF(B88="Autumn",(SUM(F87:F88)*$G$1*Variables!$B$22*Variables!$E$50),0)</f>
        <v>2.4847202704973707E-2</v>
      </c>
      <c r="S88" s="64">
        <f>IF(B88="Spring",($G$1*Variables!$E$50*SUM('Guts (MC)'!F87:F88)*Variables!$B$23),0)</f>
        <v>0</v>
      </c>
      <c r="T88" s="63">
        <f ca="1">IF((H87+SUM(J88:Q88))&lt;(Variables!$B$26*Variables!$E$50),$F$1*((Variables!$B$26*Variables!$E$50)-H87-SUM(J88:Q88)),0)</f>
        <v>0</v>
      </c>
      <c r="U88" s="64">
        <f ca="1">IF(AND(AND(B88="Autumn",SUM(D85:E88)&gt;Variables!$B$27),SUM(J88:Q88)&lt;Variables!$B$28*H87),$F$1*(Variables!$B$28*H87-SUM(J88:Q88)),0)</f>
        <v>0</v>
      </c>
      <c r="V88" s="96">
        <f ca="1">IF(AND((J88+K88)=0,(Q88+T88)=0),$H$1*H88*Variables!$I$23*0.25,0)</f>
        <v>38.543933191101267</v>
      </c>
      <c r="W88" s="97">
        <f ca="1">IF(AND((K88+J88)=0,(T88+Q88)=0),$I$1*H88*Variables!$Q$23*0.25,0)</f>
        <v>12.396227762596739</v>
      </c>
      <c r="X88" s="95">
        <f ca="1">IF(AND(NOT(K88=0),(H88-H87)&gt;0),(H88-H87)*(Variables!$M$5*$H$1+Variables!$U$5*$I$1),0)+IF(AND(NOT((J88+N88+Q88)=0),(H87-H88)&gt;0),(H87-H88)*(Variables!$M$4*$H$1+Variables!$U$4*$I$1),0)</f>
        <v>0</v>
      </c>
      <c r="Y88" s="95">
        <f ca="1">IF(SUM(T88,U87:U88)&gt;0,H88*Variables!$Y$11*0.25*(1-$J$1),0)</f>
        <v>0</v>
      </c>
      <c r="Z88" s="95">
        <f ca="1">IF(T88=0,H88*$J$1*Variables!$Y$5*0.25,0)</f>
        <v>3.5583772359312862</v>
      </c>
      <c r="AA88" s="95">
        <f t="shared" ca="1" si="2"/>
        <v>54.498538189629294</v>
      </c>
      <c r="AB88" s="91">
        <f ca="1">AA88/Variables!$E$49</f>
        <v>8.7900868047789178</v>
      </c>
    </row>
    <row r="89" spans="1:28" x14ac:dyDescent="0.25">
      <c r="A89" s="61">
        <f>'Water runs'!C96</f>
        <v>10105</v>
      </c>
      <c r="B89" s="61" t="str">
        <f>'Water runs'!B96</f>
        <v>Winter</v>
      </c>
      <c r="C89" s="54">
        <f>'Water runs'!D96/100</f>
        <v>0</v>
      </c>
      <c r="D89" s="108">
        <f>VLOOKUP(ROW(D89)+4,'Water runs'!$BS$3:$CF$423,MATCH($B$1,Scenarios,0)+1)</f>
        <v>0</v>
      </c>
      <c r="E89" s="54">
        <f>IF(B89=Variables!$D$8,C89-Variables!$E$8,IF(B89=Variables!$D$9,C89-Variables!$E$9,IF(B89=Variables!$D$10,C89-Variables!$E$10,IF(B89=Variables!$D$11,C89-Variables!$E$11,"ELSE"))))</f>
        <v>-0.57176762566137573</v>
      </c>
      <c r="F89" s="108">
        <f>VLOOKUP(ROW(F89)+4,'Water runs'!$CH$3:$CU$423,MATCH($B$1,Scenarios,0)+1)</f>
        <v>0</v>
      </c>
      <c r="G89" s="65">
        <f ca="1">H89/Variables!$E$49</f>
        <v>0.16100000000000003</v>
      </c>
      <c r="H89" s="62">
        <f ca="1">IF((H88+I89)&gt;(1.1*Variables!$E$50),(1.1*Variables!$E$50),IF((H88+I89)&gt;0,H88+I89,0))</f>
        <v>0.9982000000000002</v>
      </c>
      <c r="I89" s="64">
        <f t="shared" ca="1" si="3"/>
        <v>-2.1639957348681689</v>
      </c>
      <c r="J89" s="63">
        <f ca="1">IF(SUM(E85:E88)&lt;Variables!$B$3,-H88,0)</f>
        <v>-3.1621957348681691</v>
      </c>
      <c r="K89" s="64">
        <f ca="1">IF(AND(H88&lt;Variables!$B$6*Variables!$E$50,OR(SUM(D86:D89)&gt;Variables!$B$5,SUM(E86:E89)&gt;Variables!$B$4)),Variables!$B$6*Variables!$E$50+Variables!$B$7*$G$1*Variables!$E$50*SUM(D86:D89),0)</f>
        <v>0</v>
      </c>
      <c r="L89" s="64">
        <f ca="1">IF(B89="Winter",Variables!$B$8*H88,0)</f>
        <v>-1.5746003341589376</v>
      </c>
      <c r="M89" s="64">
        <f ca="1">IF(AND(B89="Spring",AND(NOT(H88=0),H88&lt;(Variables!$B$9*Variables!$E$50))),(Variables!$B$10*Variables!$E$50+Variables!$B$11*Variables!$E$50*SUM(E86:E89)+$G$1*SUM(D88:D89)*Variables!$E$50*Variables!$B$12),0)</f>
        <v>0</v>
      </c>
      <c r="N89" s="64">
        <f>IF(AND(B89="Spring",AND(SUM(D86:D89)&gt;Variables!$B$13,SUM(D82:D85)&gt;Variables!$B$13)),-Variables!$B$14*Variables!$E$50,0)</f>
        <v>0</v>
      </c>
      <c r="O89" s="64">
        <f>IF(AND(B89="Summer",SUM(C85:D89)&gt;Variables!$B$15),(Variables!$B$16*Variables!$E$50*SUM(C85:C89)+$G$1*Variables!$B$16*Variables!$E$50*SUM(D85:D89)+$G$1*Variables!$E$50*Variables!$B$17*F89),0)</f>
        <v>0</v>
      </c>
      <c r="P89" s="64">
        <f ca="1">IF(AND(AND(B89="Autumn",SUM(D88:E89)&gt;0),NOT(H88=0)),Variables!$B$18*Variables!$E$50+Variables!$B$19*Variables!$E$50*SUM(E88:E89)+$G$1*Variables!$B$19*Variables!$E$50*SUM(D88:D89),0)</f>
        <v>0</v>
      </c>
      <c r="Q89" s="64">
        <f>IF(AND(B89="Autumn",AND((E89+E88)&lt;Variables!$B$20,(D88+D89)=0)),-Variables!$B$21*Variables!$E$50,0)</f>
        <v>0</v>
      </c>
      <c r="R89" s="64">
        <f>IF(B89="Autumn",(SUM(F88:F89)*$G$1*Variables!$B$22*Variables!$E$50),0)</f>
        <v>0</v>
      </c>
      <c r="S89" s="64">
        <f>IF(B89="Spring",($G$1*Variables!$E$50*SUM('Guts (MC)'!F88:F89)*Variables!$B$23),0)</f>
        <v>0</v>
      </c>
      <c r="T89" s="63">
        <f ca="1">IF((H88+SUM(J89:Q89))&lt;(Variables!$B$26*Variables!$E$50),$F$1*((Variables!$B$26*Variables!$E$50)-H88-SUM(J89:Q89)),0)</f>
        <v>2.5728003341589378</v>
      </c>
      <c r="U89" s="64">
        <f ca="1">IF(AND(AND(B89="Autumn",SUM(D86:E89)&gt;Variables!$B$27),SUM(J89:Q89)&lt;Variables!$B$28*H88),$F$1*(Variables!$B$28*H88-SUM(J89:Q89)),0)</f>
        <v>0</v>
      </c>
      <c r="V89" s="96">
        <f ca="1">IF(AND((J89+K89)=0,(Q89+T89)=0),$H$1*H89*Variables!$I$23*0.25,0)</f>
        <v>0</v>
      </c>
      <c r="W89" s="97">
        <f ca="1">IF(AND((K89+J89)=0,(T89+Q89)=0),$I$1*H89*Variables!$Q$23*0.25,0)</f>
        <v>0</v>
      </c>
      <c r="X89" s="95">
        <f ca="1">IF(AND(NOT(K89=0),(H89-H88)&gt;0),(H89-H88)*(Variables!$M$5*$H$1+Variables!$U$5*$I$1),0)+IF(AND(NOT((J89+N89+Q89)=0),(H88-H89)&gt;0),(H88-H89)*(Variables!$M$4*$H$1+Variables!$U$4*$I$1),0)</f>
        <v>123.68801475620452</v>
      </c>
      <c r="Y89" s="95">
        <f ca="1">IF(SUM(T89,U88:U89)&gt;0,H89*Variables!$Y$11*0.25*(1-$J$1),0)</f>
        <v>-8.6666009437672749</v>
      </c>
      <c r="Z89" s="95">
        <f ca="1">IF(T89=0,H89*$J$1*Variables!$Y$5*0.25,0)</f>
        <v>0</v>
      </c>
      <c r="AA89" s="95">
        <f t="shared" ca="1" si="2"/>
        <v>115.02141381243725</v>
      </c>
      <c r="AB89" s="91">
        <f ca="1">AA89/Variables!$E$49</f>
        <v>18.551840937489878</v>
      </c>
    </row>
    <row r="90" spans="1:28" x14ac:dyDescent="0.25">
      <c r="A90" s="61">
        <f>'Water runs'!C97</f>
        <v>10196</v>
      </c>
      <c r="B90" s="61" t="str">
        <f>'Water runs'!B97</f>
        <v>Spring</v>
      </c>
      <c r="C90" s="54">
        <f>'Water runs'!D97/100</f>
        <v>0.42334285714285697</v>
      </c>
      <c r="D90" s="108">
        <f>VLOOKUP(ROW(D90)+4,'Water runs'!$BS$3:$CF$423,MATCH($B$1,Scenarios,0)+1)</f>
        <v>0</v>
      </c>
      <c r="E90" s="54">
        <f>IF(B90=Variables!$D$8,C90-Variables!$E$8,IF(B90=Variables!$D$9,C90-Variables!$E$9,IF(B90=Variables!$D$10,C90-Variables!$E$10,IF(B90=Variables!$D$11,C90-Variables!$E$11,"ELSE"))))</f>
        <v>-0.34063935185185218</v>
      </c>
      <c r="F90" s="108">
        <f>VLOOKUP(ROW(F90)+4,'Water runs'!$CH$3:$CU$423,MATCH($B$1,Scenarios,0)+1)</f>
        <v>0</v>
      </c>
      <c r="G90" s="65">
        <f ca="1">H90/Variables!$E$49</f>
        <v>0.161</v>
      </c>
      <c r="H90" s="62">
        <f ca="1">IF((H89+I90)&gt;(1.1*Variables!$E$50),(1.1*Variables!$E$50),IF((H89+I90)&gt;0,H89+I90,0))</f>
        <v>0.99819999999999998</v>
      </c>
      <c r="I90" s="64">
        <f t="shared" ca="1" si="3"/>
        <v>-2.2204460492503131E-16</v>
      </c>
      <c r="J90" s="63">
        <f ca="1">IF(SUM(E86:E89)&lt;Variables!$B$3,-H89,0)</f>
        <v>-0.9982000000000002</v>
      </c>
      <c r="K90" s="64">
        <f ca="1">IF(AND(H89&lt;Variables!$B$6*Variables!$E$50,OR(SUM(D87:D90)&gt;Variables!$B$5,SUM(E87:E90)&gt;Variables!$B$4)),Variables!$B$6*Variables!$E$50+Variables!$B$7*$G$1*Variables!$E$50*SUM(D87:D90),0)</f>
        <v>1.150968087909036</v>
      </c>
      <c r="L90" s="64">
        <f>IF(B90="Winter",Variables!$B$8*H89,0)</f>
        <v>0</v>
      </c>
      <c r="M90" s="64">
        <f ca="1">IF(AND(B90="Spring",AND(NOT(H89=0),H89&lt;(Variables!$B$9*Variables!$E$50))),(Variables!$B$10*Variables!$E$50+Variables!$B$11*Variables!$E$50*SUM(E87:E90)+$G$1*SUM(D89:D90)*Variables!$E$50*Variables!$B$12),0)</f>
        <v>-1.2025353331189432</v>
      </c>
      <c r="N90" s="64">
        <f>IF(AND(B90="Spring",AND(SUM(D87:D90)&gt;Variables!$B$13,SUM(D83:D86)&gt;Variables!$B$13)),-Variables!$B$14*Variables!$E$50,0)</f>
        <v>0</v>
      </c>
      <c r="O90" s="64">
        <f>IF(AND(B90="Summer",SUM(C86:D90)&gt;Variables!$B$15),(Variables!$B$16*Variables!$E$50*SUM(C86:C90)+$G$1*Variables!$B$16*Variables!$E$50*SUM(D86:D90)+$G$1*Variables!$E$50*Variables!$B$17*F90),0)</f>
        <v>0</v>
      </c>
      <c r="P90" s="64">
        <f ca="1">IF(AND(AND(B90="Autumn",SUM(D89:E90)&gt;0),NOT(H89=0)),Variables!$B$18*Variables!$E$50+Variables!$B$19*Variables!$E$50*SUM(E89:E90)+$G$1*Variables!$B$19*Variables!$E$50*SUM(D89:D90),0)</f>
        <v>0</v>
      </c>
      <c r="Q90" s="64">
        <f>IF(AND(B90="Autumn",AND((E90+E89)&lt;Variables!$B$20,(D89+D90)=0)),-Variables!$B$21*Variables!$E$50,0)</f>
        <v>0</v>
      </c>
      <c r="R90" s="64">
        <f>IF(B90="Autumn",(SUM(F89:F90)*$G$1*Variables!$B$22*Variables!$E$50),0)</f>
        <v>0</v>
      </c>
      <c r="S90" s="64">
        <f ca="1">IF(B90="Spring",($G$1*Variables!$E$50*SUM('Guts (MC)'!F89:F90)*Variables!$B$23),0)</f>
        <v>0</v>
      </c>
      <c r="T90" s="63">
        <f ca="1">IF((H89+SUM(J90:Q90))&lt;(Variables!$B$26*Variables!$E$50),$F$1*((Variables!$B$26*Variables!$E$50)-H89-SUM(J90:Q90)),0)</f>
        <v>1.0497672452099072</v>
      </c>
      <c r="U90" s="64">
        <f ca="1">IF(AND(AND(B90="Autumn",SUM(D87:E90)&gt;Variables!$B$27),SUM(J90:Q90)&lt;Variables!$B$28*H89),$F$1*(Variables!$B$28*H89-SUM(J90:Q90)),0)</f>
        <v>0</v>
      </c>
      <c r="V90" s="96">
        <f ca="1">IF(AND((J90+K90)=0,(Q90+T90)=0),$H$1*H90*Variables!$I$23*0.25,0)</f>
        <v>0</v>
      </c>
      <c r="W90" s="97">
        <f ca="1">IF(AND((K90+J90)=0,(T90+Q90)=0),$I$1*H90*Variables!$Q$23*0.25,0)</f>
        <v>0</v>
      </c>
      <c r="X90" s="95">
        <f ca="1">IF(AND(NOT(K90=0),(H90-H89)&gt;0),(H90-H89)*(Variables!$M$5*$H$1+Variables!$U$5*$I$1),0)+IF(AND(NOT((J90+N90+Q90)=0),(H89-H90)&gt;0),(H89-H90)*(Variables!$M$4*$H$1+Variables!$U$4*$I$1),0)</f>
        <v>1.2691455869332388E-14</v>
      </c>
      <c r="Y90" s="95">
        <f ca="1">IF(SUM(T90,U89:U90)&gt;0,H90*Variables!$Y$11*0.25*(1-$J$1),0)</f>
        <v>-8.6666009437672731</v>
      </c>
      <c r="Z90" s="95">
        <f ca="1">IF(T90=0,H90*$J$1*Variables!$Y$5*0.25,0)</f>
        <v>0</v>
      </c>
      <c r="AA90" s="95">
        <f t="shared" ca="1" si="2"/>
        <v>-8.6666009437672606</v>
      </c>
      <c r="AB90" s="91">
        <f ca="1">AA90/Variables!$E$49</f>
        <v>-1.3978388618979452</v>
      </c>
    </row>
    <row r="91" spans="1:28" x14ac:dyDescent="0.25">
      <c r="A91" s="61">
        <f>'Water runs'!C98</f>
        <v>10286</v>
      </c>
      <c r="B91" s="61" t="str">
        <f>'Water runs'!B98</f>
        <v>Summer</v>
      </c>
      <c r="C91" s="54">
        <f>'Water runs'!D98/100</f>
        <v>2.3475999999999999</v>
      </c>
      <c r="D91" s="108">
        <f>VLOOKUP(ROW(D91)+4,'Water runs'!$BS$3:$CF$423,MATCH($B$1,Scenarios,0)+1)</f>
        <v>1.3217840204593861E-2</v>
      </c>
      <c r="E91" s="54">
        <f>IF(B91=Variables!$D$8,C91-Variables!$E$8,IF(B91=Variables!$D$9,C91-Variables!$E$9,IF(B91=Variables!$D$10,C91-Variables!$E$10,IF(B91=Variables!$D$11,C91-Variables!$E$11,"ELSE"))))</f>
        <v>1.0892298639455782</v>
      </c>
      <c r="F91" s="108">
        <f>VLOOKUP(ROW(F91)+4,'Water runs'!$CH$3:$CU$423,MATCH($B$1,Scenarios,0)+1)</f>
        <v>0</v>
      </c>
      <c r="G91" s="65">
        <f ca="1">H91/Variables!$E$49</f>
        <v>0.18415970365341816</v>
      </c>
      <c r="H91" s="62">
        <f ca="1">IF((H90+I91)&gt;(1.1*Variables!$E$50),(1.1*Variables!$E$50),IF((H90+I91)&gt;0,H90+I91,0))</f>
        <v>1.1417901626511926</v>
      </c>
      <c r="I91" s="64">
        <f t="shared" ca="1" si="3"/>
        <v>0.14359016265119262</v>
      </c>
      <c r="J91" s="63">
        <f ca="1">IF(SUM(E87:E90)&lt;Variables!$B$3,-H90,0)</f>
        <v>-0.99819999999999998</v>
      </c>
      <c r="K91" s="64">
        <f ca="1">IF(AND(H90&lt;Variables!$B$6*Variables!$E$50,OR(SUM(D88:D91)&gt;Variables!$B$5,SUM(E88:E91)&gt;Variables!$B$4)),Variables!$B$6*Variables!$E$50+Variables!$B$7*$G$1*Variables!$E$50*SUM(D88:D91),0)</f>
        <v>1.1417901626511926</v>
      </c>
      <c r="L91" s="64">
        <f>IF(B91="Winter",Variables!$B$8*H90,0)</f>
        <v>0</v>
      </c>
      <c r="M91" s="64">
        <f ca="1">IF(AND(B91="Spring",AND(NOT(H90=0),H90&lt;(Variables!$B$9*Variables!$E$50))),(Variables!$B$10*Variables!$E$50+Variables!$B$11*Variables!$E$50*SUM(E88:E91)+$G$1*SUM(D90:D91)*Variables!$E$50*Variables!$B$12),0)</f>
        <v>0</v>
      </c>
      <c r="N91" s="64">
        <f>IF(AND(B91="Spring",AND(SUM(D88:D91)&gt;Variables!$B$13,SUM(D84:D87)&gt;Variables!$B$13)),-Variables!$B$14*Variables!$E$50,0)</f>
        <v>0</v>
      </c>
      <c r="O91" s="64">
        <f>IF(AND(B91="Summer",SUM(C87:D91)&gt;Variables!$B$15),(Variables!$B$16*Variables!$E$50*SUM(C87:C91)+$G$1*Variables!$B$16*Variables!$E$50*SUM(D87:D91)+$G$1*Variables!$E$50*Variables!$B$17*F91),0)</f>
        <v>0</v>
      </c>
      <c r="P91" s="64">
        <f ca="1">IF(AND(AND(B91="Autumn",SUM(D90:E91)&gt;0),NOT(H90=0)),Variables!$B$18*Variables!$E$50+Variables!$B$19*Variables!$E$50*SUM(E90:E91)+$G$1*Variables!$B$19*Variables!$E$50*SUM(D90:D91),0)</f>
        <v>0</v>
      </c>
      <c r="Q91" s="64">
        <f>IF(AND(B91="Autumn",AND((E91+E90)&lt;Variables!$B$20,(D90+D91)=0)),-Variables!$B$21*Variables!$E$50,0)</f>
        <v>0</v>
      </c>
      <c r="R91" s="64">
        <f>IF(B91="Autumn",(SUM(F90:F91)*$G$1*Variables!$B$22*Variables!$E$50),0)</f>
        <v>0</v>
      </c>
      <c r="S91" s="64">
        <f>IF(B91="Spring",($G$1*Variables!$E$50*SUM('Guts (MC)'!F90:F91)*Variables!$B$23),0)</f>
        <v>0</v>
      </c>
      <c r="T91" s="63">
        <f ca="1">IF((H90+SUM(J91:Q91))&lt;(Variables!$B$26*Variables!$E$50),$F$1*((Variables!$B$26*Variables!$E$50)-H90-SUM(J91:Q91)),0)</f>
        <v>0</v>
      </c>
      <c r="U91" s="64">
        <f ca="1">IF(AND(AND(B91="Autumn",SUM(D88:E91)&gt;Variables!$B$27),SUM(J91:Q91)&lt;Variables!$B$28*H90),$F$1*(Variables!$B$28*H90-SUM(J91:Q91)),0)</f>
        <v>0</v>
      </c>
      <c r="V91" s="96">
        <f ca="1">IF(AND((J91+K91)=0,(Q91+T91)=0),$H$1*H91*Variables!$I$23*0.25,0)</f>
        <v>0</v>
      </c>
      <c r="W91" s="97">
        <f ca="1">IF(AND((K91+J91)=0,(T91+Q91)=0),$I$1*H91*Variables!$Q$23*0.25,0)</f>
        <v>0</v>
      </c>
      <c r="X91" s="95">
        <f ca="1">IF(AND(NOT(K91=0),(H91-H90)&gt;0),(H91-H90)*(Variables!$M$5*$H$1+Variables!$U$5*$I$1),0)+IF(AND(NOT((J91+N91+Q91)=0),(H90-H91)&gt;0),(H90-H91)*(Variables!$M$4*$H$1+Variables!$U$4*$I$1),0)</f>
        <v>-16.414433606014928</v>
      </c>
      <c r="Y91" s="95">
        <f ca="1">IF(SUM(T91,U90:U91)&gt;0,H91*Variables!$Y$11*0.25*(1-$J$1),0)</f>
        <v>0</v>
      </c>
      <c r="Z91" s="95">
        <f ca="1">IF(T91=0,H91*$J$1*Variables!$Y$5*0.25,0)</f>
        <v>1.2848414404548762</v>
      </c>
      <c r="AA91" s="95">
        <f t="shared" ca="1" si="2"/>
        <v>-15.129592165560052</v>
      </c>
      <c r="AB91" s="91">
        <f ca="1">AA91/Variables!$E$49</f>
        <v>-2.4402568008967824</v>
      </c>
    </row>
    <row r="92" spans="1:28" x14ac:dyDescent="0.25">
      <c r="A92" s="61">
        <f>'Water runs'!C99</f>
        <v>10379</v>
      </c>
      <c r="B92" s="61" t="str">
        <f>'Water runs'!B99</f>
        <v>Autumn</v>
      </c>
      <c r="C92" s="54">
        <f>'Water runs'!D99/100</f>
        <v>0.70079999999999998</v>
      </c>
      <c r="D92" s="108">
        <f>VLOOKUP(ROW(D92)+4,'Water runs'!$BS$3:$CF$423,MATCH($B$1,Scenarios,0)+1)</f>
        <v>0.19930244895050633</v>
      </c>
      <c r="E92" s="54">
        <f>IF(B92=Variables!$D$8,C92-Variables!$E$8,IF(B92=Variables!$D$9,C92-Variables!$E$9,IF(B92=Variables!$D$10,C92-Variables!$E$10,IF(B92=Variables!$D$11,C92-Variables!$E$11,"ELSE"))))</f>
        <v>-0.29384329931972786</v>
      </c>
      <c r="F92" s="108">
        <f>VLOOKUP(ROW(F92)+4,'Water runs'!$CH$3:$CU$423,MATCH($B$1,Scenarios,0)+1)</f>
        <v>0.27095701470320432</v>
      </c>
      <c r="G92" s="65">
        <f ca="1">H92/Variables!$E$49</f>
        <v>0.59000907945955805</v>
      </c>
      <c r="H92" s="62">
        <f ca="1">IF((H91+I92)&gt;(1.1*Variables!$E$50),(1.1*Variables!$E$50),IF((H91+I92)&gt;0,H91+I92,0))</f>
        <v>3.6580562926492597</v>
      </c>
      <c r="I92" s="64">
        <f t="shared" ca="1" si="3"/>
        <v>2.5162661299980669</v>
      </c>
      <c r="J92" s="63">
        <f>IF(SUM(E88:E91)&lt;Variables!$B$3,-H91,0)</f>
        <v>0</v>
      </c>
      <c r="K92" s="64">
        <f ca="1">IF(AND(H91&lt;Variables!$B$6*Variables!$E$50,OR(SUM(D89:D92)&gt;Variables!$B$5,SUM(E89:E92)&gt;Variables!$B$4)),Variables!$B$6*Variables!$E$50+Variables!$B$7*$G$1*Variables!$E$50*SUM(D89:D92),0)</f>
        <v>0</v>
      </c>
      <c r="L92" s="64">
        <f>IF(B92="Winter",Variables!$B$8*H91,0)</f>
        <v>0</v>
      </c>
      <c r="M92" s="64">
        <f ca="1">IF(AND(B92="Spring",AND(NOT(H91=0),H91&lt;(Variables!$B$9*Variables!$E$50))),(Variables!$B$10*Variables!$E$50+Variables!$B$11*Variables!$E$50*SUM(E89:E92)+$G$1*SUM(D91:D92)*Variables!$E$50*Variables!$B$12),0)</f>
        <v>0</v>
      </c>
      <c r="N92" s="64">
        <f>IF(AND(B92="Spring",AND(SUM(D89:D92)&gt;Variables!$B$13,SUM(D85:D88)&gt;Variables!$B$13)),-Variables!$B$14*Variables!$E$50,0)</f>
        <v>0</v>
      </c>
      <c r="O92" s="64">
        <f>IF(AND(B92="Summer",SUM(C88:D92)&gt;Variables!$B$15),(Variables!$B$16*Variables!$E$50*SUM(C88:C92)+$G$1*Variables!$B$16*Variables!$E$50*SUM(D88:D92)+$G$1*Variables!$E$50*Variables!$B$17*F92),0)</f>
        <v>0</v>
      </c>
      <c r="P92" s="64">
        <f ca="1">IF(AND(AND(B92="Autumn",SUM(D91:E92)&gt;0),NOT(H91=0)),Variables!$B$18*Variables!$E$50+Variables!$B$19*Variables!$E$50*SUM(E91:E92)+$G$1*Variables!$B$19*Variables!$E$50*SUM(D91:D92),0)</f>
        <v>2.4752453747161147</v>
      </c>
      <c r="Q92" s="64">
        <f>IF(AND(B92="Autumn",AND((E92+E91)&lt;Variables!$B$20,(D91+D92)=0)),-Variables!$B$21*Variables!$E$50,0)</f>
        <v>0</v>
      </c>
      <c r="R92" s="64">
        <f ca="1">IF(B92="Autumn",(SUM(F91:F92)*$G$1*Variables!$B$22*Variables!$E$50),0)</f>
        <v>4.1020755281952072E-2</v>
      </c>
      <c r="S92" s="64">
        <f>IF(B92="Spring",($G$1*Variables!$E$50*SUM('Guts (MC)'!F91:F92)*Variables!$B$23),0)</f>
        <v>0</v>
      </c>
      <c r="T92" s="63">
        <f ca="1">IF((H91+SUM(J92:Q92))&lt;(Variables!$B$26*Variables!$E$50),$F$1*((Variables!$B$26*Variables!$E$50)-H91-SUM(J92:Q92)),0)</f>
        <v>0</v>
      </c>
      <c r="U92" s="64">
        <f ca="1">IF(AND(AND(B92="Autumn",SUM(D89:E92)&gt;Variables!$B$27),SUM(J92:Q92)&lt;Variables!$B$28*H91),$F$1*(Variables!$B$28*H91-SUM(J92:Q92)),0)</f>
        <v>0</v>
      </c>
      <c r="V92" s="96">
        <f ca="1">IF(AND((J92+K92)=0,(Q92+T92)=0),$H$1*H92*Variables!$I$23*0.25,0)</f>
        <v>44.587966455858471</v>
      </c>
      <c r="W92" s="97">
        <f ca="1">IF(AND((K92+J92)=0,(T92+Q92)=0),$I$1*H92*Variables!$Q$23*0.25,0)</f>
        <v>14.340067084421301</v>
      </c>
      <c r="X92" s="95">
        <f ca="1">IF(AND(NOT(K92=0),(H92-H91)&gt;0),(H92-H91)*(Variables!$M$5*$H$1+Variables!$U$5*$I$1),0)+IF(AND(NOT((J92+N92+Q92)=0),(H91-H92)&gt;0),(H91-H92)*(Variables!$M$4*$H$1+Variables!$U$4*$I$1),0)</f>
        <v>0</v>
      </c>
      <c r="Y92" s="95">
        <f ca="1">IF(SUM(T92,U91:U92)&gt;0,H92*Variables!$Y$11*0.25*(1-$J$1),0)</f>
        <v>0</v>
      </c>
      <c r="Z92" s="95">
        <f ca="1">IF(T92=0,H92*$J$1*Variables!$Y$5*0.25,0)</f>
        <v>4.1163625945061817</v>
      </c>
      <c r="AA92" s="95">
        <f t="shared" ca="1" si="2"/>
        <v>63.044396134785956</v>
      </c>
      <c r="AB92" s="91">
        <f ca="1">AA92/Variables!$E$49</f>
        <v>10.168450989481606</v>
      </c>
    </row>
    <row r="93" spans="1:28" x14ac:dyDescent="0.25">
      <c r="A93" s="61">
        <f>'Water runs'!C100</f>
        <v>10471</v>
      </c>
      <c r="B93" s="61" t="str">
        <f>'Water runs'!B100</f>
        <v>Winter</v>
      </c>
      <c r="C93" s="54">
        <f>'Water runs'!D100/100</f>
        <v>0.34537142857142905</v>
      </c>
      <c r="D93" s="108">
        <f>VLOOKUP(ROW(D93)+4,'Water runs'!$BS$3:$CF$423,MATCH($B$1,Scenarios,0)+1)</f>
        <v>0</v>
      </c>
      <c r="E93" s="54">
        <f>IF(B93=Variables!$D$8,C93-Variables!$E$8,IF(B93=Variables!$D$9,C93-Variables!$E$9,IF(B93=Variables!$D$10,C93-Variables!$E$10,IF(B93=Variables!$D$11,C93-Variables!$E$11,"ELSE"))))</f>
        <v>-0.22639619708994668</v>
      </c>
      <c r="F93" s="108">
        <f>VLOOKUP(ROW(F93)+4,'Water runs'!$CH$3:$CU$423,MATCH($B$1,Scenarios,0)+1)</f>
        <v>0</v>
      </c>
      <c r="G93" s="65">
        <f ca="1">H93/Variables!$E$49</f>
        <v>0.29621686304808459</v>
      </c>
      <c r="H93" s="62">
        <f ca="1">IF((H92+I93)&gt;(1.1*Variables!$E$50),(1.1*Variables!$E$50),IF((H92+I93)&gt;0,H92+I93,0))</f>
        <v>1.8365445508981246</v>
      </c>
      <c r="I93" s="64">
        <f t="shared" ca="1" si="3"/>
        <v>-1.8215117417511351</v>
      </c>
      <c r="J93" s="63">
        <f>IF(SUM(E89:E92)&lt;Variables!$B$3,-H92,0)</f>
        <v>0</v>
      </c>
      <c r="K93" s="64">
        <f ca="1">IF(AND(H92&lt;Variables!$B$6*Variables!$E$50,OR(SUM(D90:D93)&gt;Variables!$B$5,SUM(E90:E93)&gt;Variables!$B$4)),Variables!$B$6*Variables!$E$50+Variables!$B$7*$G$1*Variables!$E$50*SUM(D90:D93),0)</f>
        <v>0</v>
      </c>
      <c r="L93" s="64">
        <f ca="1">IF(B93="Winter",Variables!$B$8*H92,0)</f>
        <v>-1.8215117417511351</v>
      </c>
      <c r="M93" s="64">
        <f ca="1">IF(AND(B93="Spring",AND(NOT(H92=0),H92&lt;(Variables!$B$9*Variables!$E$50))),(Variables!$B$10*Variables!$E$50+Variables!$B$11*Variables!$E$50*SUM(E90:E93)+$G$1*SUM(D92:D93)*Variables!$E$50*Variables!$B$12),0)</f>
        <v>0</v>
      </c>
      <c r="N93" s="64">
        <f>IF(AND(B93="Spring",AND(SUM(D90:D93)&gt;Variables!$B$13,SUM(D86:D89)&gt;Variables!$B$13)),-Variables!$B$14*Variables!$E$50,0)</f>
        <v>0</v>
      </c>
      <c r="O93" s="64">
        <f>IF(AND(B93="Summer",SUM(C89:D93)&gt;Variables!$B$15),(Variables!$B$16*Variables!$E$50*SUM(C89:C93)+$G$1*Variables!$B$16*Variables!$E$50*SUM(D89:D93)+$G$1*Variables!$E$50*Variables!$B$17*F93),0)</f>
        <v>0</v>
      </c>
      <c r="P93" s="64">
        <f ca="1">IF(AND(AND(B93="Autumn",SUM(D92:E93)&gt;0),NOT(H92=0)),Variables!$B$18*Variables!$E$50+Variables!$B$19*Variables!$E$50*SUM(E92:E93)+$G$1*Variables!$B$19*Variables!$E$50*SUM(D92:D93),0)</f>
        <v>0</v>
      </c>
      <c r="Q93" s="64">
        <f>IF(AND(B93="Autumn",AND((E93+E92)&lt;Variables!$B$20,(D92+D93)=0)),-Variables!$B$21*Variables!$E$50,0)</f>
        <v>0</v>
      </c>
      <c r="R93" s="64">
        <f>IF(B93="Autumn",(SUM(F92:F93)*$G$1*Variables!$B$22*Variables!$E$50),0)</f>
        <v>0</v>
      </c>
      <c r="S93" s="64">
        <f>IF(B93="Spring",($G$1*Variables!$E$50*SUM('Guts (MC)'!F92:F93)*Variables!$B$23),0)</f>
        <v>0</v>
      </c>
      <c r="T93" s="63">
        <f ca="1">IF((H92+SUM(J93:Q93))&lt;(Variables!$B$26*Variables!$E$50),$F$1*((Variables!$B$26*Variables!$E$50)-H92-SUM(J93:Q93)),0)</f>
        <v>0</v>
      </c>
      <c r="U93" s="64">
        <f ca="1">IF(AND(AND(B93="Autumn",SUM(D90:E93)&gt;Variables!$B$27),SUM(J93:Q93)&lt;Variables!$B$28*H92),$F$1*(Variables!$B$28*H92-SUM(J93:Q93)),0)</f>
        <v>0</v>
      </c>
      <c r="V93" s="96">
        <f ca="1">IF(AND((J93+K93)=0,(Q93+T93)=0),$H$1*H93*Variables!$I$23*0.25,0)</f>
        <v>22.385600515411966</v>
      </c>
      <c r="W93" s="97">
        <f ca="1">IF(AND((K93+J93)=0,(T93+Q93)=0),$I$1*H93*Variables!$Q$23*0.25,0)</f>
        <v>7.199498847606348</v>
      </c>
      <c r="X93" s="95">
        <f ca="1">IF(AND(NOT(K93=0),(H93-H92)&gt;0),(H93-H92)*(Variables!$M$5*$H$1+Variables!$U$5*$I$1),0)+IF(AND(NOT((J93+N93+Q93)=0),(H92-H93)&gt;0),(H92-H93)*(Variables!$M$4*$H$1+Variables!$U$4*$I$1),0)</f>
        <v>0</v>
      </c>
      <c r="Y93" s="95">
        <f ca="1">IF(SUM(T93,U92:U93)&gt;0,H93*Variables!$Y$11*0.25*(1-$J$1),0)</f>
        <v>0</v>
      </c>
      <c r="Z93" s="95">
        <f ca="1">IF(T93=0,H93*$J$1*Variables!$Y$5*0.25,0)</f>
        <v>2.0666394083799431</v>
      </c>
      <c r="AA93" s="95">
        <f t="shared" ca="1" si="2"/>
        <v>31.651738771398257</v>
      </c>
      <c r="AB93" s="91">
        <f ca="1">AA93/Variables!$E$49</f>
        <v>5.1051191566771381</v>
      </c>
    </row>
    <row r="94" spans="1:28" x14ac:dyDescent="0.25">
      <c r="A94" s="61">
        <f>'Water runs'!C101</f>
        <v>10562</v>
      </c>
      <c r="B94" s="61" t="str">
        <f>'Water runs'!B101</f>
        <v>Spring</v>
      </c>
      <c r="C94" s="54">
        <f>'Water runs'!D101/100</f>
        <v>8.5285714285714298E-2</v>
      </c>
      <c r="D94" s="108">
        <f>VLOOKUP(ROW(D94)+4,'Water runs'!$BS$3:$CF$423,MATCH($B$1,Scenarios,0)+1)</f>
        <v>0</v>
      </c>
      <c r="E94" s="54">
        <f>IF(B94=Variables!$D$8,C94-Variables!$E$8,IF(B94=Variables!$D$9,C94-Variables!$E$9,IF(B94=Variables!$D$10,C94-Variables!$E$10,IF(B94=Variables!$D$11,C94-Variables!$E$11,"ELSE"))))</f>
        <v>-0.67869649470899485</v>
      </c>
      <c r="F94" s="108">
        <f>VLOOKUP(ROW(F94)+4,'Water runs'!$CH$3:$CU$423,MATCH($B$1,Scenarios,0)+1)</f>
        <v>0</v>
      </c>
      <c r="G94" s="65">
        <f ca="1">H94/Variables!$E$49</f>
        <v>0.28416579208978443</v>
      </c>
      <c r="H94" s="62">
        <f ca="1">IF((H93+I94)&gt;(1.1*Variables!$E$50),(1.1*Variables!$E$50),IF((H93+I94)&gt;0,H93+I94,0))</f>
        <v>1.7618279109566635</v>
      </c>
      <c r="I94" s="64">
        <f t="shared" ca="1" si="3"/>
        <v>-7.4716639941461216E-2</v>
      </c>
      <c r="J94" s="63">
        <f>IF(SUM(E90:E93)&lt;Variables!$B$3,-H93,0)</f>
        <v>0</v>
      </c>
      <c r="K94" s="64">
        <f ca="1">IF(AND(H93&lt;Variables!$B$6*Variables!$E$50,OR(SUM(D91:D94)&gt;Variables!$B$5,SUM(E91:E94)&gt;Variables!$B$4)),Variables!$B$6*Variables!$E$50+Variables!$B$7*$G$1*Variables!$E$50*SUM(D91:D94),0)</f>
        <v>0</v>
      </c>
      <c r="L94" s="64">
        <f>IF(B94="Winter",Variables!$B$8*H93,0)</f>
        <v>0</v>
      </c>
      <c r="M94" s="64">
        <f ca="1">IF(AND(B94="Spring",AND(NOT(H93=0),H93&lt;(Variables!$B$9*Variables!$E$50))),(Variables!$B$10*Variables!$E$50+Variables!$B$11*Variables!$E$50*SUM(E91:E94)+$G$1*SUM(D93:D94)*Variables!$E$50*Variables!$B$12),0)</f>
        <v>-7.4716639941461216E-2</v>
      </c>
      <c r="N94" s="64">
        <f>IF(AND(B94="Spring",AND(SUM(D91:D94)&gt;Variables!$B$13,SUM(D87:D90)&gt;Variables!$B$13)),-Variables!$B$14*Variables!$E$50,0)</f>
        <v>0</v>
      </c>
      <c r="O94" s="64">
        <f>IF(AND(B94="Summer",SUM(C90:D94)&gt;Variables!$B$15),(Variables!$B$16*Variables!$E$50*SUM(C90:C94)+$G$1*Variables!$B$16*Variables!$E$50*SUM(D90:D94)+$G$1*Variables!$E$50*Variables!$B$17*F94),0)</f>
        <v>0</v>
      </c>
      <c r="P94" s="64">
        <f ca="1">IF(AND(AND(B94="Autumn",SUM(D93:E94)&gt;0),NOT(H93=0)),Variables!$B$18*Variables!$E$50+Variables!$B$19*Variables!$E$50*SUM(E93:E94)+$G$1*Variables!$B$19*Variables!$E$50*SUM(D93:D94),0)</f>
        <v>0</v>
      </c>
      <c r="Q94" s="64">
        <f>IF(AND(B94="Autumn",AND((E94+E93)&lt;Variables!$B$20,(D93+D94)=0)),-Variables!$B$21*Variables!$E$50,0)</f>
        <v>0</v>
      </c>
      <c r="R94" s="64">
        <f>IF(B94="Autumn",(SUM(F93:F94)*$G$1*Variables!$B$22*Variables!$E$50),0)</f>
        <v>0</v>
      </c>
      <c r="S94" s="64">
        <f ca="1">IF(B94="Spring",($G$1*Variables!$E$50*SUM('Guts (MC)'!F93:F94)*Variables!$B$23),0)</f>
        <v>0</v>
      </c>
      <c r="T94" s="63">
        <f ca="1">IF((H93+SUM(J94:Q94))&lt;(Variables!$B$26*Variables!$E$50),$F$1*((Variables!$B$26*Variables!$E$50)-H93-SUM(J94:Q94)),0)</f>
        <v>0</v>
      </c>
      <c r="U94" s="64">
        <f ca="1">IF(AND(AND(B94="Autumn",SUM(D91:E94)&gt;Variables!$B$27),SUM(J94:Q94)&lt;Variables!$B$28*H93),$F$1*(Variables!$B$28*H93-SUM(J94:Q94)),0)</f>
        <v>0</v>
      </c>
      <c r="V94" s="96">
        <f ca="1">IF(AND((J94+K94)=0,(Q94+T94)=0),$H$1*H94*Variables!$I$23*0.25,0)</f>
        <v>21.474881059809604</v>
      </c>
      <c r="W94" s="97">
        <f ca="1">IF(AND((K94+J94)=0,(T94+Q94)=0),$I$1*H94*Variables!$Q$23*0.25,0)</f>
        <v>6.9065996838520531</v>
      </c>
      <c r="X94" s="95">
        <f ca="1">IF(AND(NOT(K94=0),(H94-H93)&gt;0),(H94-H93)*(Variables!$M$5*$H$1+Variables!$U$5*$I$1),0)+IF(AND(NOT((J94+N94+Q94)=0),(H93-H94)&gt;0),(H93-H94)*(Variables!$M$4*$H$1+Variables!$U$4*$I$1),0)</f>
        <v>0</v>
      </c>
      <c r="Y94" s="95">
        <f ca="1">IF(SUM(T94,U93:U94)&gt;0,H94*Variables!$Y$11*0.25*(1-$J$1),0)</f>
        <v>0</v>
      </c>
      <c r="Z94" s="95">
        <f ca="1">IF(T94=0,H94*$J$1*Variables!$Y$5*0.25,0)</f>
        <v>1.9825617569615519</v>
      </c>
      <c r="AA94" s="95">
        <f t="shared" ca="1" si="2"/>
        <v>30.36404250062321</v>
      </c>
      <c r="AB94" s="91">
        <f ca="1">AA94/Variables!$E$49</f>
        <v>4.8974262097779366</v>
      </c>
    </row>
    <row r="95" spans="1:28" x14ac:dyDescent="0.25">
      <c r="A95" s="61">
        <f>'Water runs'!C102</f>
        <v>10652</v>
      </c>
      <c r="B95" s="61" t="str">
        <f>'Water runs'!B102</f>
        <v>Summer</v>
      </c>
      <c r="C95" s="54">
        <f>'Water runs'!D102/100</f>
        <v>0.279485714285714</v>
      </c>
      <c r="D95" s="108">
        <f>VLOOKUP(ROW(D95)+4,'Water runs'!$BS$3:$CF$423,MATCH($B$1,Scenarios,0)+1)</f>
        <v>0</v>
      </c>
      <c r="E95" s="54">
        <f>IF(B95=Variables!$D$8,C95-Variables!$E$8,IF(B95=Variables!$D$9,C95-Variables!$E$9,IF(B95=Variables!$D$10,C95-Variables!$E$10,IF(B95=Variables!$D$11,C95-Variables!$E$11,"ELSE"))))</f>
        <v>-0.97888442176870771</v>
      </c>
      <c r="F95" s="108">
        <f>VLOOKUP(ROW(F95)+4,'Water runs'!$CH$3:$CU$423,MATCH($B$1,Scenarios,0)+1)</f>
        <v>0</v>
      </c>
      <c r="G95" s="65">
        <f ca="1">H95/Variables!$E$49</f>
        <v>0.28416579208978443</v>
      </c>
      <c r="H95" s="62">
        <f ca="1">IF((H94+I95)&gt;(1.1*Variables!$E$50),(1.1*Variables!$E$50),IF((H94+I95)&gt;0,H94+I95,0))</f>
        <v>1.7618279109566635</v>
      </c>
      <c r="I95" s="64">
        <f t="shared" ca="1" si="3"/>
        <v>0</v>
      </c>
      <c r="J95" s="63">
        <f>IF(SUM(E91:E94)&lt;Variables!$B$3,-H94,0)</f>
        <v>0</v>
      </c>
      <c r="K95" s="64">
        <f ca="1">IF(AND(H94&lt;Variables!$B$6*Variables!$E$50,OR(SUM(D92:D95)&gt;Variables!$B$5,SUM(E92:E95)&gt;Variables!$B$4)),Variables!$B$6*Variables!$E$50+Variables!$B$7*$G$1*Variables!$E$50*SUM(D92:D95),0)</f>
        <v>0</v>
      </c>
      <c r="L95" s="64">
        <f>IF(B95="Winter",Variables!$B$8*H94,0)</f>
        <v>0</v>
      </c>
      <c r="M95" s="64">
        <f ca="1">IF(AND(B95="Spring",AND(NOT(H94=0),H94&lt;(Variables!$B$9*Variables!$E$50))),(Variables!$B$10*Variables!$E$50+Variables!$B$11*Variables!$E$50*SUM(E92:E95)+$G$1*SUM(D94:D95)*Variables!$E$50*Variables!$B$12),0)</f>
        <v>0</v>
      </c>
      <c r="N95" s="64">
        <f>IF(AND(B95="Spring",AND(SUM(D92:D95)&gt;Variables!$B$13,SUM(D88:D91)&gt;Variables!$B$13)),-Variables!$B$14*Variables!$E$50,0)</f>
        <v>0</v>
      </c>
      <c r="O95" s="64">
        <f>IF(AND(B95="Summer",SUM(C91:D95)&gt;Variables!$B$15),(Variables!$B$16*Variables!$E$50*SUM(C91:C95)+$G$1*Variables!$B$16*Variables!$E$50*SUM(D91:D95)+$G$1*Variables!$E$50*Variables!$B$17*F95),0)</f>
        <v>0</v>
      </c>
      <c r="P95" s="64">
        <f ca="1">IF(AND(AND(B95="Autumn",SUM(D94:E95)&gt;0),NOT(H94=0)),Variables!$B$18*Variables!$E$50+Variables!$B$19*Variables!$E$50*SUM(E94:E95)+$G$1*Variables!$B$19*Variables!$E$50*SUM(D94:D95),0)</f>
        <v>0</v>
      </c>
      <c r="Q95" s="64">
        <f>IF(AND(B95="Autumn",AND((E95+E94)&lt;Variables!$B$20,(D94+D95)=0)),-Variables!$B$21*Variables!$E$50,0)</f>
        <v>0</v>
      </c>
      <c r="R95" s="64">
        <f>IF(B95="Autumn",(SUM(F94:F95)*$G$1*Variables!$B$22*Variables!$E$50),0)</f>
        <v>0</v>
      </c>
      <c r="S95" s="64">
        <f>IF(B95="Spring",($G$1*Variables!$E$50*SUM('Guts (MC)'!F94:F95)*Variables!$B$23),0)</f>
        <v>0</v>
      </c>
      <c r="T95" s="63">
        <f ca="1">IF((H94+SUM(J95:Q95))&lt;(Variables!$B$26*Variables!$E$50),$F$1*((Variables!$B$26*Variables!$E$50)-H94-SUM(J95:Q95)),0)</f>
        <v>0</v>
      </c>
      <c r="U95" s="64">
        <f ca="1">IF(AND(AND(B95="Autumn",SUM(D92:E95)&gt;Variables!$B$27),SUM(J95:Q95)&lt;Variables!$B$28*H94),$F$1*(Variables!$B$28*H94-SUM(J95:Q95)),0)</f>
        <v>0</v>
      </c>
      <c r="V95" s="96">
        <f ca="1">IF(AND((J95+K95)=0,(Q95+T95)=0),$H$1*H95*Variables!$I$23*0.25,0)</f>
        <v>21.474881059809604</v>
      </c>
      <c r="W95" s="97">
        <f ca="1">IF(AND((K95+J95)=0,(T95+Q95)=0),$I$1*H95*Variables!$Q$23*0.25,0)</f>
        <v>6.9065996838520531</v>
      </c>
      <c r="X95" s="95">
        <f ca="1">IF(AND(NOT(K95=0),(H95-H94)&gt;0),(H95-H94)*(Variables!$M$5*$H$1+Variables!$U$5*$I$1),0)+IF(AND(NOT((J95+N95+Q95)=0),(H94-H95)&gt;0),(H94-H95)*(Variables!$M$4*$H$1+Variables!$U$4*$I$1),0)</f>
        <v>0</v>
      </c>
      <c r="Y95" s="95">
        <f ca="1">IF(SUM(T95,U94:U95)&gt;0,H95*Variables!$Y$11*0.25*(1-$J$1),0)</f>
        <v>0</v>
      </c>
      <c r="Z95" s="95">
        <f ca="1">IF(T95=0,H95*$J$1*Variables!$Y$5*0.25,0)</f>
        <v>1.9825617569615519</v>
      </c>
      <c r="AA95" s="95">
        <f t="shared" ca="1" si="2"/>
        <v>30.36404250062321</v>
      </c>
      <c r="AB95" s="91">
        <f ca="1">AA95/Variables!$E$49</f>
        <v>4.8974262097779366</v>
      </c>
    </row>
    <row r="96" spans="1:28" x14ac:dyDescent="0.25">
      <c r="A96" s="61">
        <f>'Water runs'!C103</f>
        <v>10744</v>
      </c>
      <c r="B96" s="61" t="str">
        <f>'Water runs'!B103</f>
        <v>Autumn</v>
      </c>
      <c r="C96" s="54">
        <f>'Water runs'!D103/100</f>
        <v>0.65017142857142896</v>
      </c>
      <c r="D96" s="108">
        <f>VLOOKUP(ROW(D96)+4,'Water runs'!$BS$3:$CF$423,MATCH($B$1,Scenarios,0)+1)</f>
        <v>0.27678762302155996</v>
      </c>
      <c r="E96" s="54">
        <f>IF(B96=Variables!$D$8,C96-Variables!$E$8,IF(B96=Variables!$D$9,C96-Variables!$E$9,IF(B96=Variables!$D$10,C96-Variables!$E$10,IF(B96=Variables!$D$11,C96-Variables!$E$11,"ELSE"))))</f>
        <v>-0.34447187074829888</v>
      </c>
      <c r="F96" s="108">
        <f>VLOOKUP(ROW(F96)+4,'Water runs'!$CH$3:$CU$423,MATCH($B$1,Scenarios,0)+1)</f>
        <v>0.27342734305101385</v>
      </c>
      <c r="G96" s="65">
        <f ca="1">H96/Variables!$E$49</f>
        <v>0.16767657153435644</v>
      </c>
      <c r="H96" s="62">
        <f ca="1">IF((H95+I96)&gt;(1.1*Variables!$E$50),(1.1*Variables!$E$50),IF((H95+I96)&gt;0,H95+I96,0))</f>
        <v>1.03959474351301</v>
      </c>
      <c r="I96" s="64">
        <f t="shared" ca="1" si="3"/>
        <v>-0.7222331674436534</v>
      </c>
      <c r="J96" s="63">
        <f ca="1">IF(SUM(E92:E95)&lt;Variables!$B$3,-H95,0)</f>
        <v>-1.7618279109566635</v>
      </c>
      <c r="K96" s="64">
        <f ca="1">IF(AND(H95&lt;Variables!$B$6*Variables!$E$50,OR(SUM(D93:D96)&gt;Variables!$B$5,SUM(E93:E96)&gt;Variables!$B$4)),Variables!$B$6*Variables!$E$50+Variables!$B$7*$G$1*Variables!$E$50*SUM(D93:D96),0)</f>
        <v>0</v>
      </c>
      <c r="L96" s="64">
        <f>IF(B96="Winter",Variables!$B$8*H95,0)</f>
        <v>0</v>
      </c>
      <c r="M96" s="64">
        <f ca="1">IF(AND(B96="Spring",AND(NOT(H95=0),H95&lt;(Variables!$B$9*Variables!$E$50))),(Variables!$B$10*Variables!$E$50+Variables!$B$11*Variables!$E$50*SUM(E93:E96)+$G$1*SUM(D95:D96)*Variables!$E$50*Variables!$B$12),0)</f>
        <v>0</v>
      </c>
      <c r="N96" s="64">
        <f>IF(AND(B96="Spring",AND(SUM(D93:D96)&gt;Variables!$B$13,SUM(D89:D92)&gt;Variables!$B$13)),-Variables!$B$14*Variables!$E$50,0)</f>
        <v>0</v>
      </c>
      <c r="O96" s="64">
        <f>IF(AND(B96="Summer",SUM(C92:D96)&gt;Variables!$B$15),(Variables!$B$16*Variables!$E$50*SUM(C92:C96)+$G$1*Variables!$B$16*Variables!$E$50*SUM(D92:D96)+$G$1*Variables!$E$50*Variables!$B$17*F96),0)</f>
        <v>0</v>
      </c>
      <c r="P96" s="64">
        <f ca="1">IF(AND(AND(B96="Autumn",SUM(D95:E96)&gt;0),NOT(H95=0)),Variables!$B$18*Variables!$E$50+Variables!$B$19*Variables!$E$50*SUM(E95:E96)+$G$1*Variables!$B$19*Variables!$E$50*SUM(D95:D96),0)</f>
        <v>0</v>
      </c>
      <c r="Q96" s="64">
        <f>IF(AND(B96="Autumn",AND((E96+E95)&lt;Variables!$B$20,(D95+D96)=0)),-Variables!$B$21*Variables!$E$50,0)</f>
        <v>0</v>
      </c>
      <c r="R96" s="64">
        <f ca="1">IF(B96="Autumn",(SUM(F95:F96)*$G$1*Variables!$B$22*Variables!$E$50),0)</f>
        <v>4.139474351300991E-2</v>
      </c>
      <c r="S96" s="64">
        <f>IF(B96="Spring",($G$1*Variables!$E$50*SUM('Guts (MC)'!F95:F96)*Variables!$B$23),0)</f>
        <v>0</v>
      </c>
      <c r="T96" s="63">
        <f ca="1">IF((H95+SUM(J96:Q96))&lt;(Variables!$B$26*Variables!$E$50),$F$1*((Variables!$B$26*Variables!$E$50)-H95-SUM(J96:Q96)),0)</f>
        <v>0.99820000000000009</v>
      </c>
      <c r="U96" s="64">
        <f ca="1">IF(AND(AND(B96="Autumn",SUM(D93:E96)&gt;Variables!$B$27),SUM(J96:Q96)&lt;Variables!$B$28*H95),$F$1*(Variables!$B$28*H95-SUM(J96:Q96)),0)</f>
        <v>0</v>
      </c>
      <c r="V96" s="96">
        <f ca="1">IF(AND((J96+K96)=0,(Q96+T96)=0),$H$1*H96*Variables!$I$23*0.25,0)</f>
        <v>0</v>
      </c>
      <c r="W96" s="97">
        <f ca="1">IF(AND((K96+J96)=0,(T96+Q96)=0),$I$1*H96*Variables!$Q$23*0.25,0)</f>
        <v>0</v>
      </c>
      <c r="X96" s="95">
        <f ca="1">IF(AND(NOT(K96=0),(H96-H95)&gt;0),(H96-H95)*(Variables!$M$5*$H$1+Variables!$U$5*$I$1),0)+IF(AND(NOT((J96+N96+Q96)=0),(H95-H96)&gt;0),(H95-H96)*(Variables!$M$4*$H$1+Variables!$U$4*$I$1),0)</f>
        <v>41.280851543652901</v>
      </c>
      <c r="Y96" s="95">
        <f ca="1">IF(SUM(T96,U95:U96)&gt;0,H96*Variables!$Y$11*0.25*(1-$J$1),0)</f>
        <v>-9.0259995845174803</v>
      </c>
      <c r="Z96" s="95">
        <f ca="1">IF(T96=0,H96*$J$1*Variables!$Y$5*0.25,0)</f>
        <v>0</v>
      </c>
      <c r="AA96" s="95">
        <f t="shared" ca="1" si="2"/>
        <v>32.254851959135422</v>
      </c>
      <c r="AB96" s="91">
        <f ca="1">AA96/Variables!$E$49</f>
        <v>5.2023954772799064</v>
      </c>
    </row>
    <row r="97" spans="1:28" x14ac:dyDescent="0.25">
      <c r="A97" s="61">
        <f>'Water runs'!C104</f>
        <v>10836</v>
      </c>
      <c r="B97" s="61" t="str">
        <f>'Water runs'!B104</f>
        <v>Winter</v>
      </c>
      <c r="C97" s="54">
        <f>'Water runs'!D104/100</f>
        <v>0.36280000000000001</v>
      </c>
      <c r="D97" s="108">
        <f>VLOOKUP(ROW(D97)+4,'Water runs'!$BS$3:$CF$423,MATCH($B$1,Scenarios,0)+1)</f>
        <v>0</v>
      </c>
      <c r="E97" s="54">
        <f>IF(B97=Variables!$D$8,C97-Variables!$E$8,IF(B97=Variables!$D$9,C97-Variables!$E$9,IF(B97=Variables!$D$10,C97-Variables!$E$10,IF(B97=Variables!$D$11,C97-Variables!$E$11,"ELSE"))))</f>
        <v>-0.20896762566137572</v>
      </c>
      <c r="F97" s="108">
        <f>VLOOKUP(ROW(F97)+4,'Water runs'!$CH$3:$CU$423,MATCH($B$1,Scenarios,0)+1)</f>
        <v>0</v>
      </c>
      <c r="G97" s="65">
        <f ca="1">H97/Variables!$E$49</f>
        <v>0.161</v>
      </c>
      <c r="H97" s="62">
        <f ca="1">IF((H96+I97)&gt;(1.1*Variables!$E$50),(1.1*Variables!$E$50),IF((H96+I97)&gt;0,H96+I97,0))</f>
        <v>0.99820000000000009</v>
      </c>
      <c r="I97" s="64">
        <f t="shared" ca="1" si="3"/>
        <v>-4.1394743513009868E-2</v>
      </c>
      <c r="J97" s="63">
        <f ca="1">IF(SUM(E93:E96)&lt;Variables!$B$3,-H96,0)</f>
        <v>-1.03959474351301</v>
      </c>
      <c r="K97" s="64">
        <f ca="1">IF(AND(H96&lt;Variables!$B$6*Variables!$E$50,OR(SUM(D94:D97)&gt;Variables!$B$5,SUM(E94:E97)&gt;Variables!$B$4)),Variables!$B$6*Variables!$E$50+Variables!$B$7*$G$1*Variables!$E$50*SUM(D94:D97),0)</f>
        <v>1.1564923138817602</v>
      </c>
      <c r="L97" s="64">
        <f ca="1">IF(B97="Winter",Variables!$B$8*H96,0)</f>
        <v>-0.51766126064732809</v>
      </c>
      <c r="M97" s="64">
        <f ca="1">IF(AND(B97="Spring",AND(NOT(H96=0),H96&lt;(Variables!$B$9*Variables!$E$50))),(Variables!$B$10*Variables!$E$50+Variables!$B$11*Variables!$E$50*SUM(E94:E97)+$G$1*SUM(D96:D97)*Variables!$E$50*Variables!$B$12),0)</f>
        <v>0</v>
      </c>
      <c r="N97" s="64">
        <f>IF(AND(B97="Spring",AND(SUM(D94:D97)&gt;Variables!$B$13,SUM(D90:D93)&gt;Variables!$B$13)),-Variables!$B$14*Variables!$E$50,0)</f>
        <v>0</v>
      </c>
      <c r="O97" s="64">
        <f>IF(AND(B97="Summer",SUM(C93:D97)&gt;Variables!$B$15),(Variables!$B$16*Variables!$E$50*SUM(C93:C97)+$G$1*Variables!$B$16*Variables!$E$50*SUM(D93:D97)+$G$1*Variables!$E$50*Variables!$B$17*F97),0)</f>
        <v>0</v>
      </c>
      <c r="P97" s="64">
        <f ca="1">IF(AND(AND(B97="Autumn",SUM(D96:E97)&gt;0),NOT(H96=0)),Variables!$B$18*Variables!$E$50+Variables!$B$19*Variables!$E$50*SUM(E96:E97)+$G$1*Variables!$B$19*Variables!$E$50*SUM(D96:D97),0)</f>
        <v>0</v>
      </c>
      <c r="Q97" s="64">
        <f>IF(AND(B97="Autumn",AND((E97+E96)&lt;Variables!$B$20,(D96+D97)=0)),-Variables!$B$21*Variables!$E$50,0)</f>
        <v>0</v>
      </c>
      <c r="R97" s="64">
        <f>IF(B97="Autumn",(SUM(F96:F97)*$G$1*Variables!$B$22*Variables!$E$50),0)</f>
        <v>0</v>
      </c>
      <c r="S97" s="64">
        <f>IF(B97="Spring",($G$1*Variables!$E$50*SUM('Guts (MC)'!F96:F97)*Variables!$B$23),0)</f>
        <v>0</v>
      </c>
      <c r="T97" s="63">
        <f ca="1">IF((H96+SUM(J97:Q97))&lt;(Variables!$B$26*Variables!$E$50),$F$1*((Variables!$B$26*Variables!$E$50)-H96-SUM(J97:Q97)),0)</f>
        <v>0.35936894676556796</v>
      </c>
      <c r="U97" s="64">
        <f ca="1">IF(AND(AND(B97="Autumn",SUM(D94:E97)&gt;Variables!$B$27),SUM(J97:Q97)&lt;Variables!$B$28*H96),$F$1*(Variables!$B$28*H96-SUM(J97:Q97)),0)</f>
        <v>0</v>
      </c>
      <c r="V97" s="96">
        <f ca="1">IF(AND((J97+K97)=0,(Q97+T97)=0),$H$1*H97*Variables!$I$23*0.25,0)</f>
        <v>0</v>
      </c>
      <c r="W97" s="97">
        <f ca="1">IF(AND((K97+J97)=0,(T97+Q97)=0),$I$1*H97*Variables!$Q$23*0.25,0)</f>
        <v>0</v>
      </c>
      <c r="X97" s="95">
        <f ca="1">IF(AND(NOT(K97=0),(H97-H96)&gt;0),(H97-H96)*(Variables!$M$5*$H$1+Variables!$U$5*$I$1),0)+IF(AND(NOT((J97+N97+Q97)=0),(H96-H97)&gt;0),(H96-H97)*(Variables!$M$4*$H$1+Variables!$U$4*$I$1),0)</f>
        <v>2.3660091209830316</v>
      </c>
      <c r="Y97" s="95">
        <f ca="1">IF(SUM(T97,U96:U97)&gt;0,H97*Variables!$Y$11*0.25*(1-$J$1),0)</f>
        <v>-8.6666009437672749</v>
      </c>
      <c r="Z97" s="95">
        <f ca="1">IF(T97=0,H97*$J$1*Variables!$Y$5*0.25,0)</f>
        <v>0</v>
      </c>
      <c r="AA97" s="95">
        <f t="shared" ca="1" si="2"/>
        <v>-6.3005918227842432</v>
      </c>
      <c r="AB97" s="91">
        <f ca="1">AA97/Variables!$E$49</f>
        <v>-1.0162244875458457</v>
      </c>
    </row>
    <row r="98" spans="1:28" x14ac:dyDescent="0.25">
      <c r="A98" s="61">
        <f>'Water runs'!C105</f>
        <v>10927</v>
      </c>
      <c r="B98" s="61" t="str">
        <f>'Water runs'!B105</f>
        <v>Spring</v>
      </c>
      <c r="C98" s="54">
        <f>'Water runs'!D105/100</f>
        <v>0.50560000000000005</v>
      </c>
      <c r="D98" s="108">
        <f>VLOOKUP(ROW(D98)+4,'Water runs'!$BS$3:$CF$423,MATCH($B$1,Scenarios,0)+1)</f>
        <v>0</v>
      </c>
      <c r="E98" s="54">
        <f>IF(B98=Variables!$D$8,C98-Variables!$E$8,IF(B98=Variables!$D$9,C98-Variables!$E$9,IF(B98=Variables!$D$10,C98-Variables!$E$10,IF(B98=Variables!$D$11,C98-Variables!$E$11,"ELSE"))))</f>
        <v>-0.25838220899470909</v>
      </c>
      <c r="F98" s="108">
        <f>VLOOKUP(ROW(F98)+4,'Water runs'!$CH$3:$CU$423,MATCH($B$1,Scenarios,0)+1)</f>
        <v>0</v>
      </c>
      <c r="G98" s="65">
        <f ca="1">H98/Variables!$E$49</f>
        <v>0.161</v>
      </c>
      <c r="H98" s="62">
        <f ca="1">IF((H97+I98)&gt;(1.1*Variables!$E$50),(1.1*Variables!$E$50),IF((H97+I98)&gt;0,H97+I98,0))</f>
        <v>0.99820000000000009</v>
      </c>
      <c r="I98" s="64">
        <f t="shared" ca="1" si="3"/>
        <v>0</v>
      </c>
      <c r="J98" s="63">
        <f ca="1">IF(SUM(E94:E97)&lt;Variables!$B$3,-H97,0)</f>
        <v>-0.99820000000000009</v>
      </c>
      <c r="K98" s="64">
        <f ca="1">IF(AND(H97&lt;Variables!$B$6*Variables!$E$50,OR(SUM(D95:D98)&gt;Variables!$B$5,SUM(E95:E98)&gt;Variables!$B$4)),Variables!$B$6*Variables!$E$50+Variables!$B$7*$G$1*Variables!$E$50*SUM(D95:D98),0)</f>
        <v>1.1564923138817602</v>
      </c>
      <c r="L98" s="64">
        <f>IF(B98="Winter",Variables!$B$8*H97,0)</f>
        <v>0</v>
      </c>
      <c r="M98" s="64">
        <f ca="1">IF(AND(B98="Spring",AND(NOT(H97=0),H97&lt;(Variables!$B$9*Variables!$E$50))),(Variables!$B$10*Variables!$E$50+Variables!$B$11*Variables!$E$50*SUM(E95:E98)+$G$1*SUM(D97:D98)*Variables!$E$50*Variables!$B$12),0)</f>
        <v>-1.2195813341752686</v>
      </c>
      <c r="N98" s="64">
        <f>IF(AND(B98="Spring",AND(SUM(D95:D98)&gt;Variables!$B$13,SUM(D91:D94)&gt;Variables!$B$13)),-Variables!$B$14*Variables!$E$50,0)</f>
        <v>0</v>
      </c>
      <c r="O98" s="64">
        <f>IF(AND(B98="Summer",SUM(C94:D98)&gt;Variables!$B$15),(Variables!$B$16*Variables!$E$50*SUM(C94:C98)+$G$1*Variables!$B$16*Variables!$E$50*SUM(D94:D98)+$G$1*Variables!$E$50*Variables!$B$17*F98),0)</f>
        <v>0</v>
      </c>
      <c r="P98" s="64">
        <f ca="1">IF(AND(AND(B98="Autumn",SUM(D97:E98)&gt;0),NOT(H97=0)),Variables!$B$18*Variables!$E$50+Variables!$B$19*Variables!$E$50*SUM(E97:E98)+$G$1*Variables!$B$19*Variables!$E$50*SUM(D97:D98),0)</f>
        <v>0</v>
      </c>
      <c r="Q98" s="64">
        <f>IF(AND(B98="Autumn",AND((E98+E97)&lt;Variables!$B$20,(D97+D98)=0)),-Variables!$B$21*Variables!$E$50,0)</f>
        <v>0</v>
      </c>
      <c r="R98" s="64">
        <f>IF(B98="Autumn",(SUM(F97:F98)*$G$1*Variables!$B$22*Variables!$E$50),0)</f>
        <v>0</v>
      </c>
      <c r="S98" s="64">
        <f ca="1">IF(B98="Spring",($G$1*Variables!$E$50*SUM('Guts (MC)'!F97:F98)*Variables!$B$23),0)</f>
        <v>0</v>
      </c>
      <c r="T98" s="63">
        <f ca="1">IF((H97+SUM(J98:Q98))&lt;(Variables!$B$26*Variables!$E$50),$F$1*((Variables!$B$26*Variables!$E$50)-H97-SUM(J98:Q98)),0)</f>
        <v>1.0612890202935086</v>
      </c>
      <c r="U98" s="64">
        <f ca="1">IF(AND(AND(B98="Autumn",SUM(D95:E98)&gt;Variables!$B$27),SUM(J98:Q98)&lt;Variables!$B$28*H97),$F$1*(Variables!$B$28*H97-SUM(J98:Q98)),0)</f>
        <v>0</v>
      </c>
      <c r="V98" s="96">
        <f ca="1">IF(AND((J98+K98)=0,(Q98+T98)=0),$H$1*H98*Variables!$I$23*0.25,0)</f>
        <v>0</v>
      </c>
      <c r="W98" s="97">
        <f ca="1">IF(AND((K98+J98)=0,(T98+Q98)=0),$I$1*H98*Variables!$Q$23*0.25,0)</f>
        <v>0</v>
      </c>
      <c r="X98" s="95">
        <f ca="1">IF(AND(NOT(K98=0),(H98-H97)&gt;0),(H98-H97)*(Variables!$M$5*$H$1+Variables!$U$5*$I$1),0)+IF(AND(NOT((J98+N98+Q98)=0),(H97-H98)&gt;0),(H97-H98)*(Variables!$M$4*$H$1+Variables!$U$4*$I$1),0)</f>
        <v>0</v>
      </c>
      <c r="Y98" s="95">
        <f ca="1">IF(SUM(T98,U97:U98)&gt;0,H98*Variables!$Y$11*0.25*(1-$J$1),0)</f>
        <v>-8.6666009437672749</v>
      </c>
      <c r="Z98" s="95">
        <f ca="1">IF(T98=0,H98*$J$1*Variables!$Y$5*0.25,0)</f>
        <v>0</v>
      </c>
      <c r="AA98" s="95">
        <f t="shared" ca="1" si="2"/>
        <v>-8.6666009437672749</v>
      </c>
      <c r="AB98" s="91">
        <f ca="1">AA98/Variables!$E$49</f>
        <v>-1.3978388618979476</v>
      </c>
    </row>
    <row r="99" spans="1:28" x14ac:dyDescent="0.25">
      <c r="A99" s="61">
        <f>'Water runs'!C106</f>
        <v>11017</v>
      </c>
      <c r="B99" s="61" t="str">
        <f>'Water runs'!B106</f>
        <v>Summer</v>
      </c>
      <c r="C99" s="54">
        <f>'Water runs'!D106/100</f>
        <v>0.64879999999999993</v>
      </c>
      <c r="D99" s="108">
        <f>VLOOKUP(ROW(D99)+4,'Water runs'!$BS$3:$CF$423,MATCH($B$1,Scenarios,0)+1)</f>
        <v>0</v>
      </c>
      <c r="E99" s="54">
        <f>IF(B99=Variables!$D$8,C99-Variables!$E$8,IF(B99=Variables!$D$9,C99-Variables!$E$9,IF(B99=Variables!$D$10,C99-Variables!$E$10,IF(B99=Variables!$D$11,C99-Variables!$E$11,"ELSE"))))</f>
        <v>-0.60957013605442179</v>
      </c>
      <c r="F99" s="108">
        <f>VLOOKUP(ROW(F99)+4,'Water runs'!$CH$3:$CU$423,MATCH($B$1,Scenarios,0)+1)</f>
        <v>0</v>
      </c>
      <c r="G99" s="65">
        <f ca="1">H99/Variables!$E$49</f>
        <v>0.18653101836802582</v>
      </c>
      <c r="H99" s="62">
        <f ca="1">IF((H98+I99)&gt;(1.1*Variables!$E$50),(1.1*Variables!$E$50),IF((H98+I99)&gt;0,H98+I99,0))</f>
        <v>1.1564923138817602</v>
      </c>
      <c r="I99" s="64">
        <f t="shared" ca="1" si="3"/>
        <v>0.15829231388176013</v>
      </c>
      <c r="J99" s="63">
        <f ca="1">IF(SUM(E95:E98)&lt;Variables!$B$3,-H98,0)</f>
        <v>-0.99820000000000009</v>
      </c>
      <c r="K99" s="64">
        <f ca="1">IF(AND(H98&lt;Variables!$B$6*Variables!$E$50,OR(SUM(D96:D99)&gt;Variables!$B$5,SUM(E96:E99)&gt;Variables!$B$4)),Variables!$B$6*Variables!$E$50+Variables!$B$7*$G$1*Variables!$E$50*SUM(D96:D99),0)</f>
        <v>1.1564923138817602</v>
      </c>
      <c r="L99" s="64">
        <f>IF(B99="Winter",Variables!$B$8*H98,0)</f>
        <v>0</v>
      </c>
      <c r="M99" s="64">
        <f ca="1">IF(AND(B99="Spring",AND(NOT(H98=0),H98&lt;(Variables!$B$9*Variables!$E$50))),(Variables!$B$10*Variables!$E$50+Variables!$B$11*Variables!$E$50*SUM(E96:E99)+$G$1*SUM(D98:D99)*Variables!$E$50*Variables!$B$12),0)</f>
        <v>0</v>
      </c>
      <c r="N99" s="64">
        <f>IF(AND(B99="Spring",AND(SUM(D96:D99)&gt;Variables!$B$13,SUM(D92:D95)&gt;Variables!$B$13)),-Variables!$B$14*Variables!$E$50,0)</f>
        <v>0</v>
      </c>
      <c r="O99" s="64">
        <f>IF(AND(B99="Summer",SUM(C95:D99)&gt;Variables!$B$15),(Variables!$B$16*Variables!$E$50*SUM(C95:C99)+$G$1*Variables!$B$16*Variables!$E$50*SUM(D95:D99)+$G$1*Variables!$E$50*Variables!$B$17*F99),0)</f>
        <v>0</v>
      </c>
      <c r="P99" s="64">
        <f ca="1">IF(AND(AND(B99="Autumn",SUM(D98:E99)&gt;0),NOT(H98=0)),Variables!$B$18*Variables!$E$50+Variables!$B$19*Variables!$E$50*SUM(E98:E99)+$G$1*Variables!$B$19*Variables!$E$50*SUM(D98:D99),0)</f>
        <v>0</v>
      </c>
      <c r="Q99" s="64">
        <f>IF(AND(B99="Autumn",AND((E99+E98)&lt;Variables!$B$20,(D98+D99)=0)),-Variables!$B$21*Variables!$E$50,0)</f>
        <v>0</v>
      </c>
      <c r="R99" s="64">
        <f>IF(B99="Autumn",(SUM(F98:F99)*$G$1*Variables!$B$22*Variables!$E$50),0)</f>
        <v>0</v>
      </c>
      <c r="S99" s="64">
        <f>IF(B99="Spring",($G$1*Variables!$E$50*SUM('Guts (MC)'!F98:F99)*Variables!$B$23),0)</f>
        <v>0</v>
      </c>
      <c r="T99" s="63">
        <f ca="1">IF((H98+SUM(J99:Q99))&lt;(Variables!$B$26*Variables!$E$50),$F$1*((Variables!$B$26*Variables!$E$50)-H98-SUM(J99:Q99)),0)</f>
        <v>0</v>
      </c>
      <c r="U99" s="64">
        <f ca="1">IF(AND(AND(B99="Autumn",SUM(D96:E99)&gt;Variables!$B$27),SUM(J99:Q99)&lt;Variables!$B$28*H98),$F$1*(Variables!$B$28*H98-SUM(J99:Q99)),0)</f>
        <v>0</v>
      </c>
      <c r="V99" s="96">
        <f ca="1">IF(AND((J99+K99)=0,(Q99+T99)=0),$H$1*H99*Variables!$I$23*0.25,0)</f>
        <v>0</v>
      </c>
      <c r="W99" s="97">
        <f ca="1">IF(AND((K99+J99)=0,(T99+Q99)=0),$I$1*H99*Variables!$Q$23*0.25,0)</f>
        <v>0</v>
      </c>
      <c r="X99" s="95">
        <f ca="1">IF(AND(NOT(K99=0),(H99-H98)&gt;0),(H99-H98)*(Variables!$M$5*$H$1+Variables!$U$5*$I$1),0)+IF(AND(NOT((J99+N99+Q99)=0),(H98-H99)&gt;0),(H98-H99)*(Variables!$M$4*$H$1+Variables!$U$4*$I$1),0)</f>
        <v>-18.095102258964157</v>
      </c>
      <c r="Y99" s="95">
        <f ca="1">IF(SUM(T99,U98:U99)&gt;0,H99*Variables!$Y$11*0.25*(1-$J$1),0)</f>
        <v>0</v>
      </c>
      <c r="Z99" s="95">
        <f ca="1">IF(T99=0,H99*$J$1*Variables!$Y$5*0.25,0)</f>
        <v>1.3013855777077372</v>
      </c>
      <c r="AA99" s="95">
        <f t="shared" ca="1" si="2"/>
        <v>-16.79371668125642</v>
      </c>
      <c r="AB99" s="91">
        <f ca="1">AA99/Variables!$E$49</f>
        <v>-2.7086639808478097</v>
      </c>
    </row>
    <row r="100" spans="1:28" x14ac:dyDescent="0.25">
      <c r="A100" s="61">
        <f>'Water runs'!C107</f>
        <v>11109</v>
      </c>
      <c r="B100" s="61" t="str">
        <f>'Water runs'!B107</f>
        <v>Autumn</v>
      </c>
      <c r="C100" s="54">
        <f>'Water runs'!D107/100</f>
        <v>0.45679999999999998</v>
      </c>
      <c r="D100" s="108">
        <f>VLOOKUP(ROW(D100)+4,'Water runs'!$BS$3:$CF$423,MATCH($B$1,Scenarios,0)+1)</f>
        <v>0</v>
      </c>
      <c r="E100" s="54">
        <f>IF(B100=Variables!$D$8,C100-Variables!$E$8,IF(B100=Variables!$D$9,C100-Variables!$E$9,IF(B100=Variables!$D$10,C100-Variables!$E$10,IF(B100=Variables!$D$11,C100-Variables!$E$11,"ELSE"))))</f>
        <v>-0.53784329931972785</v>
      </c>
      <c r="F100" s="108">
        <f>VLOOKUP(ROW(F100)+4,'Water runs'!$CH$3:$CU$423,MATCH($B$1,Scenarios,0)+1)</f>
        <v>0</v>
      </c>
      <c r="G100" s="65">
        <f ca="1">H100/Variables!$E$49</f>
        <v>0.18653101836802582</v>
      </c>
      <c r="H100" s="62">
        <f ca="1">IF((H99+I100)&gt;(1.1*Variables!$E$50),(1.1*Variables!$E$50),IF((H99+I100)&gt;0,H99+I100,0))</f>
        <v>1.1564923138817602</v>
      </c>
      <c r="I100" s="64">
        <f t="shared" ca="1" si="3"/>
        <v>0</v>
      </c>
      <c r="J100" s="63">
        <f>IF(SUM(E96:E99)&lt;Variables!$B$3,-H99,0)</f>
        <v>0</v>
      </c>
      <c r="K100" s="64">
        <f ca="1">IF(AND(H99&lt;Variables!$B$6*Variables!$E$50,OR(SUM(D97:D100)&gt;Variables!$B$5,SUM(E97:E100)&gt;Variables!$B$4)),Variables!$B$6*Variables!$E$50+Variables!$B$7*$G$1*Variables!$E$50*SUM(D97:D100),0)</f>
        <v>0</v>
      </c>
      <c r="L100" s="64">
        <f>IF(B100="Winter",Variables!$B$8*H99,0)</f>
        <v>0</v>
      </c>
      <c r="M100" s="64">
        <f ca="1">IF(AND(B100="Spring",AND(NOT(H99=0),H99&lt;(Variables!$B$9*Variables!$E$50))),(Variables!$B$10*Variables!$E$50+Variables!$B$11*Variables!$E$50*SUM(E97:E100)+$G$1*SUM(D99:D100)*Variables!$E$50*Variables!$B$12),0)</f>
        <v>0</v>
      </c>
      <c r="N100" s="64">
        <f>IF(AND(B100="Spring",AND(SUM(D97:D100)&gt;Variables!$B$13,SUM(D93:D96)&gt;Variables!$B$13)),-Variables!$B$14*Variables!$E$50,0)</f>
        <v>0</v>
      </c>
      <c r="O100" s="64">
        <f>IF(AND(B100="Summer",SUM(C96:D100)&gt;Variables!$B$15),(Variables!$B$16*Variables!$E$50*SUM(C96:C100)+$G$1*Variables!$B$16*Variables!$E$50*SUM(D96:D100)+$G$1*Variables!$E$50*Variables!$B$17*F100),0)</f>
        <v>0</v>
      </c>
      <c r="P100" s="64">
        <f ca="1">IF(AND(AND(B100="Autumn",SUM(D99:E100)&gt;0),NOT(H99=0)),Variables!$B$18*Variables!$E$50+Variables!$B$19*Variables!$E$50*SUM(E99:E100)+$G$1*Variables!$B$19*Variables!$E$50*SUM(D99:D100),0)</f>
        <v>0</v>
      </c>
      <c r="Q100" s="64">
        <f>IF(AND(B100="Autumn",AND((E100+E99)&lt;Variables!$B$20,(D99+D100)=0)),-Variables!$B$21*Variables!$E$50,0)</f>
        <v>0</v>
      </c>
      <c r="R100" s="64">
        <f ca="1">IF(B100="Autumn",(SUM(F99:F100)*$G$1*Variables!$B$22*Variables!$E$50),0)</f>
        <v>0</v>
      </c>
      <c r="S100" s="64">
        <f>IF(B100="Spring",($G$1*Variables!$E$50*SUM('Guts (MC)'!F99:F100)*Variables!$B$23),0)</f>
        <v>0</v>
      </c>
      <c r="T100" s="63">
        <f ca="1">IF((H99+SUM(J100:Q100))&lt;(Variables!$B$26*Variables!$E$50),$F$1*((Variables!$B$26*Variables!$E$50)-H99-SUM(J100:Q100)),0)</f>
        <v>0</v>
      </c>
      <c r="U100" s="64">
        <f ca="1">IF(AND(AND(B100="Autumn",SUM(D97:E100)&gt;Variables!$B$27),SUM(J100:Q100)&lt;Variables!$B$28*H99),$F$1*(Variables!$B$28*H99-SUM(J100:Q100)),0)</f>
        <v>0</v>
      </c>
      <c r="V100" s="96">
        <f ca="1">IF(AND((J100+K100)=0,(Q100+T100)=0),$H$1*H100*Variables!$I$23*0.25,0)</f>
        <v>14.096458986002343</v>
      </c>
      <c r="W100" s="97">
        <f ca="1">IF(AND((K100+J100)=0,(T100+Q100)=0),$I$1*H100*Variables!$Q$23*0.25,0)</f>
        <v>4.5336036509354436</v>
      </c>
      <c r="X100" s="95">
        <f ca="1">IF(AND(NOT(K100=0),(H100-H99)&gt;0),(H100-H99)*(Variables!$M$5*$H$1+Variables!$U$5*$I$1),0)+IF(AND(NOT((J100+N100+Q100)=0),(H99-H100)&gt;0),(H99-H100)*(Variables!$M$4*$H$1+Variables!$U$4*$I$1),0)</f>
        <v>0</v>
      </c>
      <c r="Y100" s="95">
        <f ca="1">IF(SUM(T100,U99:U100)&gt;0,H100*Variables!$Y$11*0.25*(1-$J$1),0)</f>
        <v>0</v>
      </c>
      <c r="Z100" s="95">
        <f ca="1">IF(T100=0,H100*$J$1*Variables!$Y$5*0.25,0)</f>
        <v>1.3013855777077372</v>
      </c>
      <c r="AA100" s="95">
        <f t="shared" ca="1" si="2"/>
        <v>19.931448214645524</v>
      </c>
      <c r="AB100" s="91">
        <f ca="1">AA100/Variables!$E$49</f>
        <v>3.2147497120396005</v>
      </c>
    </row>
    <row r="101" spans="1:28" x14ac:dyDescent="0.25">
      <c r="A101" s="61">
        <f>'Water runs'!C108</f>
        <v>11201</v>
      </c>
      <c r="B101" s="61" t="str">
        <f>'Water runs'!B108</f>
        <v>Winter</v>
      </c>
      <c r="C101" s="54">
        <f>'Water runs'!D108/100</f>
        <v>1.35262857142857</v>
      </c>
      <c r="D101" s="108">
        <f>VLOOKUP(ROW(D101)+4,'Water runs'!$BS$3:$CF$423,MATCH($B$1,Scenarios,0)+1)</f>
        <v>0</v>
      </c>
      <c r="E101" s="54">
        <f>IF(B101=Variables!$D$8,C101-Variables!$E$8,IF(B101=Variables!$D$9,C101-Variables!$E$9,IF(B101=Variables!$D$10,C101-Variables!$E$10,IF(B101=Variables!$D$11,C101-Variables!$E$11,"ELSE"))))</f>
        <v>0.78086094576719423</v>
      </c>
      <c r="F101" s="108">
        <f>VLOOKUP(ROW(F101)+4,'Water runs'!$CH$3:$CU$423,MATCH($B$1,Scenarios,0)+1)</f>
        <v>0</v>
      </c>
      <c r="G101" s="65">
        <f ca="1">H101/Variables!$E$49</f>
        <v>0.161</v>
      </c>
      <c r="H101" s="62">
        <f ca="1">IF((H100+I101)&gt;(1.1*Variables!$E$50),(1.1*Variables!$E$50),IF((H100+I101)&gt;0,H100+I101,0))</f>
        <v>0.99820000000000009</v>
      </c>
      <c r="I101" s="64">
        <f t="shared" ca="1" si="3"/>
        <v>-0.15829231388176013</v>
      </c>
      <c r="J101" s="63">
        <f>IF(SUM(E97:E100)&lt;Variables!$B$3,-H100,0)</f>
        <v>0</v>
      </c>
      <c r="K101" s="64">
        <f ca="1">IF(AND(H100&lt;Variables!$B$6*Variables!$E$50,OR(SUM(D98:D101)&gt;Variables!$B$5,SUM(E98:E101)&gt;Variables!$B$4)),Variables!$B$6*Variables!$E$50+Variables!$B$7*$G$1*Variables!$E$50*SUM(D98:D101),0)</f>
        <v>0</v>
      </c>
      <c r="L101" s="64">
        <f ca="1">IF(B101="Winter",Variables!$B$8*H100,0)</f>
        <v>-0.57586985012057779</v>
      </c>
      <c r="M101" s="64">
        <f ca="1">IF(AND(B101="Spring",AND(NOT(H100=0),H100&lt;(Variables!$B$9*Variables!$E$50))),(Variables!$B$10*Variables!$E$50+Variables!$B$11*Variables!$E$50*SUM(E98:E101)+$G$1*SUM(D100:D101)*Variables!$E$50*Variables!$B$12),0)</f>
        <v>0</v>
      </c>
      <c r="N101" s="64">
        <f>IF(AND(B101="Spring",AND(SUM(D98:D101)&gt;Variables!$B$13,SUM(D94:D97)&gt;Variables!$B$13)),-Variables!$B$14*Variables!$E$50,0)</f>
        <v>0</v>
      </c>
      <c r="O101" s="64">
        <f>IF(AND(B101="Summer",SUM(C97:D101)&gt;Variables!$B$15),(Variables!$B$16*Variables!$E$50*SUM(C97:C101)+$G$1*Variables!$B$16*Variables!$E$50*SUM(D97:D101)+$G$1*Variables!$E$50*Variables!$B$17*F101),0)</f>
        <v>0</v>
      </c>
      <c r="P101" s="64">
        <f ca="1">IF(AND(AND(B101="Autumn",SUM(D100:E101)&gt;0),NOT(H100=0)),Variables!$B$18*Variables!$E$50+Variables!$B$19*Variables!$E$50*SUM(E100:E101)+$G$1*Variables!$B$19*Variables!$E$50*SUM(D100:D101),0)</f>
        <v>0</v>
      </c>
      <c r="Q101" s="64">
        <f>IF(AND(B101="Autumn",AND((E101+E100)&lt;Variables!$B$20,(D100+D101)=0)),-Variables!$B$21*Variables!$E$50,0)</f>
        <v>0</v>
      </c>
      <c r="R101" s="64">
        <f>IF(B101="Autumn",(SUM(F100:F101)*$G$1*Variables!$B$22*Variables!$E$50),0)</f>
        <v>0</v>
      </c>
      <c r="S101" s="64">
        <f>IF(B101="Spring",($G$1*Variables!$E$50*SUM('Guts (MC)'!F100:F101)*Variables!$B$23),0)</f>
        <v>0</v>
      </c>
      <c r="T101" s="63">
        <f ca="1">IF((H100+SUM(J101:Q101))&lt;(Variables!$B$26*Variables!$E$50),$F$1*((Variables!$B$26*Variables!$E$50)-H100-SUM(J101:Q101)),0)</f>
        <v>0.41757753623881766</v>
      </c>
      <c r="U101" s="64">
        <f ca="1">IF(AND(AND(B101="Autumn",SUM(D98:E101)&gt;Variables!$B$27),SUM(J101:Q101)&lt;Variables!$B$28*H100),$F$1*(Variables!$B$28*H100-SUM(J101:Q101)),0)</f>
        <v>0</v>
      </c>
      <c r="V101" s="96">
        <f ca="1">IF(AND((J101+K101)=0,(Q101+T101)=0),$H$1*H101*Variables!$I$23*0.25,0)</f>
        <v>0</v>
      </c>
      <c r="W101" s="97">
        <f ca="1">IF(AND((K101+J101)=0,(T101+Q101)=0),$I$1*H101*Variables!$Q$23*0.25,0)</f>
        <v>0</v>
      </c>
      <c r="X101" s="95">
        <f ca="1">IF(AND(NOT(K101=0),(H101-H100)&gt;0),(H101-H100)*(Variables!$M$5*$H$1+Variables!$U$5*$I$1),0)+IF(AND(NOT((J101+N101+Q101)=0),(H100-H101)&gt;0),(H100-H101)*(Variables!$M$4*$H$1+Variables!$U$4*$I$1),0)</f>
        <v>0</v>
      </c>
      <c r="Y101" s="95">
        <f ca="1">IF(SUM(T101,U100:U101)&gt;0,H101*Variables!$Y$11*0.25*(1-$J$1),0)</f>
        <v>-8.6666009437672749</v>
      </c>
      <c r="Z101" s="95">
        <f ca="1">IF(T101=0,H101*$J$1*Variables!$Y$5*0.25,0)</f>
        <v>0</v>
      </c>
      <c r="AA101" s="95">
        <f t="shared" ca="1" si="2"/>
        <v>-8.6666009437672749</v>
      </c>
      <c r="AB101" s="91">
        <f ca="1">AA101/Variables!$E$49</f>
        <v>-1.3978388618979476</v>
      </c>
    </row>
    <row r="102" spans="1:28" x14ac:dyDescent="0.25">
      <c r="A102" s="61">
        <f>'Water runs'!C109</f>
        <v>11292</v>
      </c>
      <c r="B102" s="61" t="str">
        <f>'Water runs'!B109</f>
        <v>Spring</v>
      </c>
      <c r="C102" s="54">
        <f>'Water runs'!D109/100</f>
        <v>0.13880000000000001</v>
      </c>
      <c r="D102" s="108">
        <f>VLOOKUP(ROW(D102)+4,'Water runs'!$BS$3:$CF$423,MATCH($B$1,Scenarios,0)+1)</f>
        <v>0</v>
      </c>
      <c r="E102" s="54">
        <f>IF(B102=Variables!$D$8,C102-Variables!$E$8,IF(B102=Variables!$D$9,C102-Variables!$E$9,IF(B102=Variables!$D$10,C102-Variables!$E$10,IF(B102=Variables!$D$11,C102-Variables!$E$11,"ELSE"))))</f>
        <v>-0.62518220899470911</v>
      </c>
      <c r="F102" s="108">
        <f>VLOOKUP(ROW(F102)+4,'Water runs'!$CH$3:$CU$423,MATCH($B$1,Scenarios,0)+1)</f>
        <v>0</v>
      </c>
      <c r="G102" s="65">
        <f ca="1">H102/Variables!$E$49</f>
        <v>0.161</v>
      </c>
      <c r="H102" s="62">
        <f ca="1">IF((H101+I102)&gt;(1.1*Variables!$E$50),(1.1*Variables!$E$50),IF((H101+I102)&gt;0,H101+I102,0))</f>
        <v>0.99820000000000009</v>
      </c>
      <c r="I102" s="64">
        <f t="shared" ca="1" si="3"/>
        <v>0</v>
      </c>
      <c r="J102" s="63">
        <f>IF(SUM(E98:E101)&lt;Variables!$B$3,-H101,0)</f>
        <v>0</v>
      </c>
      <c r="K102" s="64">
        <f ca="1">IF(AND(H101&lt;Variables!$B$6*Variables!$E$50,OR(SUM(D99:D102)&gt;Variables!$B$5,SUM(E99:E102)&gt;Variables!$B$4)),Variables!$B$6*Variables!$E$50+Variables!$B$7*$G$1*Variables!$E$50*SUM(D99:D102),0)</f>
        <v>0</v>
      </c>
      <c r="L102" s="64">
        <f>IF(B102="Winter",Variables!$B$8*H101,0)</f>
        <v>0</v>
      </c>
      <c r="M102" s="64">
        <f ca="1">IF(AND(B102="Spring",AND(NOT(H101=0),H101&lt;(Variables!$B$9*Variables!$E$50))),(Variables!$B$10*Variables!$E$50+Variables!$B$11*Variables!$E$50*SUM(E99:E102)+$G$1*SUM(D101:D102)*Variables!$E$50*Variables!$B$12),0)</f>
        <v>-0.67543250593435566</v>
      </c>
      <c r="N102" s="64">
        <f>IF(AND(B102="Spring",AND(SUM(D99:D102)&gt;Variables!$B$13,SUM(D95:D98)&gt;Variables!$B$13)),-Variables!$B$14*Variables!$E$50,0)</f>
        <v>0</v>
      </c>
      <c r="O102" s="64">
        <f>IF(AND(B102="Summer",SUM(C98:D102)&gt;Variables!$B$15),(Variables!$B$16*Variables!$E$50*SUM(C98:C102)+$G$1*Variables!$B$16*Variables!$E$50*SUM(D98:D102)+$G$1*Variables!$E$50*Variables!$B$17*F102),0)</f>
        <v>0</v>
      </c>
      <c r="P102" s="64">
        <f ca="1">IF(AND(AND(B102="Autumn",SUM(D101:E102)&gt;0),NOT(H101=0)),Variables!$B$18*Variables!$E$50+Variables!$B$19*Variables!$E$50*SUM(E101:E102)+$G$1*Variables!$B$19*Variables!$E$50*SUM(D101:D102),0)</f>
        <v>0</v>
      </c>
      <c r="Q102" s="64">
        <f>IF(AND(B102="Autumn",AND((E102+E101)&lt;Variables!$B$20,(D101+D102)=0)),-Variables!$B$21*Variables!$E$50,0)</f>
        <v>0</v>
      </c>
      <c r="R102" s="64">
        <f>IF(B102="Autumn",(SUM(F101:F102)*$G$1*Variables!$B$22*Variables!$E$50),0)</f>
        <v>0</v>
      </c>
      <c r="S102" s="64">
        <f ca="1">IF(B102="Spring",($G$1*Variables!$E$50*SUM('Guts (MC)'!F101:F102)*Variables!$B$23),0)</f>
        <v>0</v>
      </c>
      <c r="T102" s="63">
        <f ca="1">IF((H101+SUM(J102:Q102))&lt;(Variables!$B$26*Variables!$E$50),$F$1*((Variables!$B$26*Variables!$E$50)-H101-SUM(J102:Q102)),0)</f>
        <v>0.67543250593435566</v>
      </c>
      <c r="U102" s="64">
        <f ca="1">IF(AND(AND(B102="Autumn",SUM(D99:E102)&gt;Variables!$B$27),SUM(J102:Q102)&lt;Variables!$B$28*H101),$F$1*(Variables!$B$28*H101-SUM(J102:Q102)),0)</f>
        <v>0</v>
      </c>
      <c r="V102" s="96">
        <f ca="1">IF(AND((J102+K102)=0,(Q102+T102)=0),$H$1*H102*Variables!$I$23*0.25,0)</f>
        <v>0</v>
      </c>
      <c r="W102" s="97">
        <f ca="1">IF(AND((K102+J102)=0,(T102+Q102)=0),$I$1*H102*Variables!$Q$23*0.25,0)</f>
        <v>0</v>
      </c>
      <c r="X102" s="95">
        <f ca="1">IF(AND(NOT(K102=0),(H102-H101)&gt;0),(H102-H101)*(Variables!$M$5*$H$1+Variables!$U$5*$I$1),0)+IF(AND(NOT((J102+N102+Q102)=0),(H101-H102)&gt;0),(H101-H102)*(Variables!$M$4*$H$1+Variables!$U$4*$I$1),0)</f>
        <v>0</v>
      </c>
      <c r="Y102" s="95">
        <f ca="1">IF(SUM(T102,U101:U102)&gt;0,H102*Variables!$Y$11*0.25*(1-$J$1),0)</f>
        <v>-8.6666009437672749</v>
      </c>
      <c r="Z102" s="95">
        <f ca="1">IF(T102=0,H102*$J$1*Variables!$Y$5*0.25,0)</f>
        <v>0</v>
      </c>
      <c r="AA102" s="95">
        <f t="shared" ca="1" si="2"/>
        <v>-8.6666009437672749</v>
      </c>
      <c r="AB102" s="91">
        <f ca="1">AA102/Variables!$E$49</f>
        <v>-1.3978388618979476</v>
      </c>
    </row>
    <row r="103" spans="1:28" x14ac:dyDescent="0.25">
      <c r="A103" s="61">
        <f>'Water runs'!C110</f>
        <v>11382</v>
      </c>
      <c r="B103" s="61" t="str">
        <f>'Water runs'!B110</f>
        <v>Summer</v>
      </c>
      <c r="C103" s="54">
        <f>'Water runs'!D110/100</f>
        <v>0.333057142857143</v>
      </c>
      <c r="D103" s="108">
        <f>VLOOKUP(ROW(D103)+4,'Water runs'!$BS$3:$CF$423,MATCH($B$1,Scenarios,0)+1)</f>
        <v>2.1558365466076531E-2</v>
      </c>
      <c r="E103" s="54">
        <f>IF(B103=Variables!$D$8,C103-Variables!$E$8,IF(B103=Variables!$D$9,C103-Variables!$E$9,IF(B103=Variables!$D$10,C103-Variables!$E$10,IF(B103=Variables!$D$11,C103-Variables!$E$11,"ELSE"))))</f>
        <v>-0.92531299319727878</v>
      </c>
      <c r="F103" s="108">
        <f>VLOOKUP(ROW(F103)+4,'Water runs'!$CH$3:$CU$423,MATCH($B$1,Scenarios,0)+1)</f>
        <v>0</v>
      </c>
      <c r="G103" s="65">
        <f ca="1">H103/Variables!$E$49</f>
        <v>0.161</v>
      </c>
      <c r="H103" s="62">
        <f ca="1">IF((H102+I103)&gt;(1.1*Variables!$E$50),(1.1*Variables!$E$50),IF((H102+I103)&gt;0,H102+I103,0))</f>
        <v>0.99820000000000009</v>
      </c>
      <c r="I103" s="64">
        <f t="shared" ca="1" si="3"/>
        <v>0</v>
      </c>
      <c r="J103" s="63">
        <f>IF(SUM(E99:E102)&lt;Variables!$B$3,-H102,0)</f>
        <v>0</v>
      </c>
      <c r="K103" s="64">
        <f ca="1">IF(AND(H102&lt;Variables!$B$6*Variables!$E$50,OR(SUM(D100:D103)&gt;Variables!$B$5,SUM(E100:E103)&gt;Variables!$B$4)),Variables!$B$6*Variables!$E$50+Variables!$B$7*$G$1*Variables!$E$50*SUM(D100:D103),0)</f>
        <v>0</v>
      </c>
      <c r="L103" s="64">
        <f>IF(B103="Winter",Variables!$B$8*H102,0)</f>
        <v>0</v>
      </c>
      <c r="M103" s="64">
        <f ca="1">IF(AND(B103="Spring",AND(NOT(H102=0),H102&lt;(Variables!$B$9*Variables!$E$50))),(Variables!$B$10*Variables!$E$50+Variables!$B$11*Variables!$E$50*SUM(E100:E103)+$G$1*SUM(D102:D103)*Variables!$E$50*Variables!$B$12),0)</f>
        <v>0</v>
      </c>
      <c r="N103" s="64">
        <f>IF(AND(B103="Spring",AND(SUM(D100:D103)&gt;Variables!$B$13,SUM(D96:D99)&gt;Variables!$B$13)),-Variables!$B$14*Variables!$E$50,0)</f>
        <v>0</v>
      </c>
      <c r="O103" s="64">
        <f>IF(AND(B103="Summer",SUM(C99:D103)&gt;Variables!$B$15),(Variables!$B$16*Variables!$E$50*SUM(C99:C103)+$G$1*Variables!$B$16*Variables!$E$50*SUM(D99:D103)+$G$1*Variables!$E$50*Variables!$B$17*F103),0)</f>
        <v>0</v>
      </c>
      <c r="P103" s="64">
        <f ca="1">IF(AND(AND(B103="Autumn",SUM(D102:E103)&gt;0),NOT(H102=0)),Variables!$B$18*Variables!$E$50+Variables!$B$19*Variables!$E$50*SUM(E102:E103)+$G$1*Variables!$B$19*Variables!$E$50*SUM(D102:D103),0)</f>
        <v>0</v>
      </c>
      <c r="Q103" s="64">
        <f>IF(AND(B103="Autumn",AND((E103+E102)&lt;Variables!$B$20,(D102+D103)=0)),-Variables!$B$21*Variables!$E$50,0)</f>
        <v>0</v>
      </c>
      <c r="R103" s="64">
        <f>IF(B103="Autumn",(SUM(F102:F103)*$G$1*Variables!$B$22*Variables!$E$50),0)</f>
        <v>0</v>
      </c>
      <c r="S103" s="64">
        <f>IF(B103="Spring",($G$1*Variables!$E$50*SUM('Guts (MC)'!F102:F103)*Variables!$B$23),0)</f>
        <v>0</v>
      </c>
      <c r="T103" s="63">
        <f ca="1">IF((H102+SUM(J103:Q103))&lt;(Variables!$B$26*Variables!$E$50),$F$1*((Variables!$B$26*Variables!$E$50)-H102-SUM(J103:Q103)),0)</f>
        <v>0</v>
      </c>
      <c r="U103" s="64">
        <f ca="1">IF(AND(AND(B103="Autumn",SUM(D100:E103)&gt;Variables!$B$27),SUM(J103:Q103)&lt;Variables!$B$28*H102),$F$1*(Variables!$B$28*H102-SUM(J103:Q103)),0)</f>
        <v>0</v>
      </c>
      <c r="V103" s="96">
        <f ca="1">IF(AND((J103+K103)=0,(Q103+T103)=0),$H$1*H103*Variables!$I$23*0.25,0)</f>
        <v>12.167037507234284</v>
      </c>
      <c r="W103" s="97">
        <f ca="1">IF(AND((K103+J103)=0,(T103+Q103)=0),$I$1*H103*Variables!$Q$23*0.25,0)</f>
        <v>3.9130767321523603</v>
      </c>
      <c r="X103" s="95">
        <f ca="1">IF(AND(NOT(K103=0),(H103-H102)&gt;0),(H103-H102)*(Variables!$M$5*$H$1+Variables!$U$5*$I$1),0)+IF(AND(NOT((J103+N103+Q103)=0),(H102-H103)&gt;0),(H102-H103)*(Variables!$M$4*$H$1+Variables!$U$4*$I$1),0)</f>
        <v>0</v>
      </c>
      <c r="Y103" s="95">
        <f ca="1">IF(SUM(T103,U102:U103)&gt;0,H103*Variables!$Y$11*0.25*(1-$J$1),0)</f>
        <v>0</v>
      </c>
      <c r="Z103" s="95">
        <f ca="1">IF(T103=0,H103*$J$1*Variables!$Y$5*0.25,0)</f>
        <v>1.1232613205250213</v>
      </c>
      <c r="AA103" s="95">
        <f t="shared" ca="1" si="2"/>
        <v>17.203375559911667</v>
      </c>
      <c r="AB103" s="91">
        <f ca="1">AA103/Variables!$E$49</f>
        <v>2.7747379935341399</v>
      </c>
    </row>
    <row r="104" spans="1:28" x14ac:dyDescent="0.25">
      <c r="A104" s="61">
        <f>'Water runs'!C111</f>
        <v>11474</v>
      </c>
      <c r="B104" s="61" t="str">
        <f>'Water runs'!B111</f>
        <v>Autumn</v>
      </c>
      <c r="C104" s="54">
        <f>'Water runs'!D111/100</f>
        <v>1.8903999999999999</v>
      </c>
      <c r="D104" s="108">
        <f>VLOOKUP(ROW(D104)+4,'Water runs'!$BS$3:$CF$423,MATCH($B$1,Scenarios,0)+1)</f>
        <v>3.2937711304127505E-3</v>
      </c>
      <c r="E104" s="54">
        <f>IF(B104=Variables!$D$8,C104-Variables!$E$8,IF(B104=Variables!$D$9,C104-Variables!$E$9,IF(B104=Variables!$D$10,C104-Variables!$E$10,IF(B104=Variables!$D$11,C104-Variables!$E$11,"ELSE"))))</f>
        <v>0.89575670068027202</v>
      </c>
      <c r="F104" s="108">
        <f>VLOOKUP(ROW(F104)+4,'Water runs'!$CH$3:$CU$423,MATCH($B$1,Scenarios,0)+1)</f>
        <v>0</v>
      </c>
      <c r="G104" s="65">
        <f ca="1">H104/Variables!$E$49</f>
        <v>0.34522725443256369</v>
      </c>
      <c r="H104" s="62">
        <f ca="1">IF((H103+I104)&gt;(1.1*Variables!$E$50),(1.1*Variables!$E$50),IF((H103+I104)&gt;0,H103+I104,0))</f>
        <v>2.1404089774818948</v>
      </c>
      <c r="I104" s="64">
        <f t="shared" ca="1" si="3"/>
        <v>1.1422089774818946</v>
      </c>
      <c r="J104" s="63">
        <f>IF(SUM(E100:E103)&lt;Variables!$B$3,-H103,0)</f>
        <v>0</v>
      </c>
      <c r="K104" s="64">
        <f ca="1">IF(AND(H103&lt;Variables!$B$6*Variables!$E$50,OR(SUM(D101:D104)&gt;Variables!$B$5,SUM(E101:E104)&gt;Variables!$B$4)),Variables!$B$6*Variables!$E$50+Variables!$B$7*$G$1*Variables!$E$50*SUM(D101:D104),0)</f>
        <v>1.1422089774818946</v>
      </c>
      <c r="L104" s="64">
        <f>IF(B104="Winter",Variables!$B$8*H103,0)</f>
        <v>0</v>
      </c>
      <c r="M104" s="64">
        <f ca="1">IF(AND(B104="Spring",AND(NOT(H103=0),H103&lt;(Variables!$B$9*Variables!$E$50))),(Variables!$B$10*Variables!$E$50+Variables!$B$11*Variables!$E$50*SUM(E101:E104)+$G$1*SUM(D103:D104)*Variables!$E$50*Variables!$B$12),0)</f>
        <v>0</v>
      </c>
      <c r="N104" s="64">
        <f>IF(AND(B104="Spring",AND(SUM(D101:D104)&gt;Variables!$B$13,SUM(D97:D100)&gt;Variables!$B$13)),-Variables!$B$14*Variables!$E$50,0)</f>
        <v>0</v>
      </c>
      <c r="O104" s="64">
        <f>IF(AND(B104="Summer",SUM(C100:D104)&gt;Variables!$B$15),(Variables!$B$16*Variables!$E$50*SUM(C100:C104)+$G$1*Variables!$B$16*Variables!$E$50*SUM(D100:D104)+$G$1*Variables!$E$50*Variables!$B$17*F104),0)</f>
        <v>0</v>
      </c>
      <c r="P104" s="64">
        <f ca="1">IF(AND(AND(B104="Autumn",SUM(D103:E104)&gt;0),NOT(H103=0)),Variables!$B$18*Variables!$E$50+Variables!$B$19*Variables!$E$50*SUM(E103:E104)+$G$1*Variables!$B$19*Variables!$E$50*SUM(D103:D104),0)</f>
        <v>0</v>
      </c>
      <c r="Q104" s="64">
        <f>IF(AND(B104="Autumn",AND((E104+E103)&lt;Variables!$B$20,(D103+D104)=0)),-Variables!$B$21*Variables!$E$50,0)</f>
        <v>0</v>
      </c>
      <c r="R104" s="64">
        <f ca="1">IF(B104="Autumn",(SUM(F103:F104)*$G$1*Variables!$B$22*Variables!$E$50),0)</f>
        <v>0</v>
      </c>
      <c r="S104" s="64">
        <f>IF(B104="Spring",($G$1*Variables!$E$50*SUM('Guts (MC)'!F103:F104)*Variables!$B$23),0)</f>
        <v>0</v>
      </c>
      <c r="T104" s="63">
        <f ca="1">IF((H103+SUM(J104:Q104))&lt;(Variables!$B$26*Variables!$E$50),$F$1*((Variables!$B$26*Variables!$E$50)-H103-SUM(J104:Q104)),0)</f>
        <v>0</v>
      </c>
      <c r="U104" s="64">
        <f ca="1">IF(AND(AND(B104="Autumn",SUM(D101:E104)&gt;Variables!$B$27),SUM(J104:Q104)&lt;Variables!$B$28*H103),$F$1*(Variables!$B$28*H103-SUM(J104:Q104)),0)</f>
        <v>0</v>
      </c>
      <c r="V104" s="96">
        <f ca="1">IF(AND((J104+K104)=0,(Q104+T104)=0),$H$1*H104*Variables!$I$23*0.25,0)</f>
        <v>0</v>
      </c>
      <c r="W104" s="97">
        <f ca="1">IF(AND((K104+J104)=0,(T104+Q104)=0),$I$1*H104*Variables!$Q$23*0.25,0)</f>
        <v>0</v>
      </c>
      <c r="X104" s="95">
        <f ca="1">IF(AND(NOT(K104=0),(H104-H103)&gt;0),(H104-H103)*(Variables!$M$5*$H$1+Variables!$U$5*$I$1),0)+IF(AND(NOT((J104+N104+Q104)=0),(H103-H104)&gt;0),(H103-H104)*(Variables!$M$4*$H$1+Variables!$U$4*$I$1),0)</f>
        <v>-130.57101600069146</v>
      </c>
      <c r="Y104" s="95">
        <f ca="1">IF(SUM(T104,U103:U104)&gt;0,H104*Variables!$Y$11*0.25*(1-$J$1),0)</f>
        <v>0</v>
      </c>
      <c r="Z104" s="95">
        <f ca="1">IF(T104=0,H104*$J$1*Variables!$Y$5*0.25,0)</f>
        <v>2.4085740477959563</v>
      </c>
      <c r="AA104" s="95">
        <f t="shared" ca="1" si="2"/>
        <v>-128.16244195289551</v>
      </c>
      <c r="AB104" s="91">
        <f ca="1">AA104/Variables!$E$49</f>
        <v>-20.671361605305727</v>
      </c>
    </row>
    <row r="105" spans="1:28" x14ac:dyDescent="0.25">
      <c r="A105" s="61">
        <f>'Water runs'!C112</f>
        <v>11566</v>
      </c>
      <c r="B105" s="61" t="str">
        <f>'Water runs'!B112</f>
        <v>Winter</v>
      </c>
      <c r="C105" s="54">
        <f>'Water runs'!D112/100</f>
        <v>0.67359999999999998</v>
      </c>
      <c r="D105" s="108">
        <f>VLOOKUP(ROW(D105)+4,'Water runs'!$BS$3:$CF$423,MATCH($B$1,Scenarios,0)+1)</f>
        <v>0</v>
      </c>
      <c r="E105" s="54">
        <f>IF(B105=Variables!$D$8,C105-Variables!$E$8,IF(B105=Variables!$D$9,C105-Variables!$E$9,IF(B105=Variables!$D$10,C105-Variables!$E$10,IF(B105=Variables!$D$11,C105-Variables!$E$11,"ELSE"))))</f>
        <v>0.10183237433862424</v>
      </c>
      <c r="F105" s="108">
        <f>VLOOKUP(ROW(F105)+4,'Water runs'!$CH$3:$CU$423,MATCH($B$1,Scenarios,0)+1)</f>
        <v>0</v>
      </c>
      <c r="G105" s="65">
        <f ca="1">H105/Variables!$E$49</f>
        <v>0.17332298418252817</v>
      </c>
      <c r="H105" s="62">
        <f ca="1">IF((H104+I105)&gt;(1.1*Variables!$E$50),(1.1*Variables!$E$50),IF((H104+I105)&gt;0,H104+I105,0))</f>
        <v>1.0746025019316747</v>
      </c>
      <c r="I105" s="64">
        <f t="shared" ca="1" si="3"/>
        <v>-1.0658064755502201</v>
      </c>
      <c r="J105" s="63">
        <f>IF(SUM(E101:E104)&lt;Variables!$B$3,-H104,0)</f>
        <v>0</v>
      </c>
      <c r="K105" s="64">
        <f ca="1">IF(AND(H104&lt;Variables!$B$6*Variables!$E$50,OR(SUM(D102:D105)&gt;Variables!$B$5,SUM(E102:E105)&gt;Variables!$B$4)),Variables!$B$6*Variables!$E$50+Variables!$B$7*$G$1*Variables!$E$50*SUM(D102:D105),0)</f>
        <v>0</v>
      </c>
      <c r="L105" s="64">
        <f ca="1">IF(B105="Winter",Variables!$B$8*H104,0)</f>
        <v>-1.0658064755502201</v>
      </c>
      <c r="M105" s="64">
        <f ca="1">IF(AND(B105="Spring",AND(NOT(H104=0),H104&lt;(Variables!$B$9*Variables!$E$50))),(Variables!$B$10*Variables!$E$50+Variables!$B$11*Variables!$E$50*SUM(E102:E105)+$G$1*SUM(D104:D105)*Variables!$E$50*Variables!$B$12),0)</f>
        <v>0</v>
      </c>
      <c r="N105" s="64">
        <f>IF(AND(B105="Spring",AND(SUM(D102:D105)&gt;Variables!$B$13,SUM(D98:D101)&gt;Variables!$B$13)),-Variables!$B$14*Variables!$E$50,0)</f>
        <v>0</v>
      </c>
      <c r="O105" s="64">
        <f>IF(AND(B105="Summer",SUM(C101:D105)&gt;Variables!$B$15),(Variables!$B$16*Variables!$E$50*SUM(C101:C105)+$G$1*Variables!$B$16*Variables!$E$50*SUM(D101:D105)+$G$1*Variables!$E$50*Variables!$B$17*F105),0)</f>
        <v>0</v>
      </c>
      <c r="P105" s="64">
        <f ca="1">IF(AND(AND(B105="Autumn",SUM(D104:E105)&gt;0),NOT(H104=0)),Variables!$B$18*Variables!$E$50+Variables!$B$19*Variables!$E$50*SUM(E104:E105)+$G$1*Variables!$B$19*Variables!$E$50*SUM(D104:D105),0)</f>
        <v>0</v>
      </c>
      <c r="Q105" s="64">
        <f>IF(AND(B105="Autumn",AND((E105+E104)&lt;Variables!$B$20,(D104+D105)=0)),-Variables!$B$21*Variables!$E$50,0)</f>
        <v>0</v>
      </c>
      <c r="R105" s="64">
        <f>IF(B105="Autumn",(SUM(F104:F105)*$G$1*Variables!$B$22*Variables!$E$50),0)</f>
        <v>0</v>
      </c>
      <c r="S105" s="64">
        <f>IF(B105="Spring",($G$1*Variables!$E$50*SUM('Guts (MC)'!F104:F105)*Variables!$B$23),0)</f>
        <v>0</v>
      </c>
      <c r="T105" s="63">
        <f ca="1">IF((H104+SUM(J105:Q105))&lt;(Variables!$B$26*Variables!$E$50),$F$1*((Variables!$B$26*Variables!$E$50)-H104-SUM(J105:Q105)),0)</f>
        <v>0</v>
      </c>
      <c r="U105" s="64">
        <f ca="1">IF(AND(AND(B105="Autumn",SUM(D102:E105)&gt;Variables!$B$27),SUM(J105:Q105)&lt;Variables!$B$28*H104),$F$1*(Variables!$B$28*H104-SUM(J105:Q105)),0)</f>
        <v>0</v>
      </c>
      <c r="V105" s="96">
        <f ca="1">IF(AND((J105+K105)=0,(Q105+T105)=0),$H$1*H105*Variables!$I$23*0.25,0)</f>
        <v>13.098305896985059</v>
      </c>
      <c r="W105" s="97">
        <f ca="1">IF(AND((K105+J105)=0,(T105+Q105)=0),$I$1*H105*Variables!$Q$23*0.25,0)</f>
        <v>4.2125846990798914</v>
      </c>
      <c r="X105" s="95">
        <f ca="1">IF(AND(NOT(K105=0),(H105-H104)&gt;0),(H105-H104)*(Variables!$M$5*$H$1+Variables!$U$5*$I$1),0)+IF(AND(NOT((J105+N105+Q105)=0),(H104-H105)&gt;0),(H104-H105)*(Variables!$M$4*$H$1+Variables!$U$4*$I$1),0)</f>
        <v>0</v>
      </c>
      <c r="Y105" s="95">
        <f ca="1">IF(SUM(T105,U104:U105)&gt;0,H105*Variables!$Y$11*0.25*(1-$J$1),0)</f>
        <v>0</v>
      </c>
      <c r="Z105" s="95">
        <f ca="1">IF(T105=0,H105*$J$1*Variables!$Y$5*0.25,0)</f>
        <v>1.2092360502497141</v>
      </c>
      <c r="AA105" s="95">
        <f t="shared" ca="1" si="2"/>
        <v>18.520126646314665</v>
      </c>
      <c r="AB105" s="91">
        <f ca="1">AA105/Variables!$E$49</f>
        <v>2.9871172010184943</v>
      </c>
    </row>
    <row r="106" spans="1:28" x14ac:dyDescent="0.25">
      <c r="A106" s="61">
        <f>'Water runs'!C113</f>
        <v>11657</v>
      </c>
      <c r="B106" s="61" t="str">
        <f>'Water runs'!B113</f>
        <v>Spring</v>
      </c>
      <c r="C106" s="54">
        <f>'Water runs'!D113/100</f>
        <v>0.76897142857142797</v>
      </c>
      <c r="D106" s="108">
        <f>VLOOKUP(ROW(D106)+4,'Water runs'!$BS$3:$CF$423,MATCH($B$1,Scenarios,0)+1)</f>
        <v>0</v>
      </c>
      <c r="E106" s="54">
        <f>IF(B106=Variables!$D$8,C106-Variables!$E$8,IF(B106=Variables!$D$9,C106-Variables!$E$9,IF(B106=Variables!$D$10,C106-Variables!$E$10,IF(B106=Variables!$D$11,C106-Variables!$E$11,"ELSE"))))</f>
        <v>4.9892195767188285E-3</v>
      </c>
      <c r="F106" s="108">
        <f>VLOOKUP(ROW(F106)+4,'Water runs'!$CH$3:$CU$423,MATCH($B$1,Scenarios,0)+1)</f>
        <v>0</v>
      </c>
      <c r="G106" s="65">
        <f ca="1">H106/Variables!$E$49</f>
        <v>0.36603772836392501</v>
      </c>
      <c r="H106" s="62">
        <f ca="1">IF((H105+I106)&gt;(1.1*Variables!$E$50),(1.1*Variables!$E$50),IF((H105+I106)&gt;0,H105+I106,0))</f>
        <v>2.269433915856335</v>
      </c>
      <c r="I106" s="64">
        <f t="shared" ca="1" si="3"/>
        <v>1.1948314139246605</v>
      </c>
      <c r="J106" s="63">
        <f>IF(SUM(E102:E105)&lt;Variables!$B$3,-H105,0)</f>
        <v>0</v>
      </c>
      <c r="K106" s="64">
        <f ca="1">IF(AND(H105&lt;Variables!$B$6*Variables!$E$50,OR(SUM(D103:D106)&gt;Variables!$B$5,SUM(E103:E106)&gt;Variables!$B$4)),Variables!$B$6*Variables!$E$50+Variables!$B$7*$G$1*Variables!$E$50*SUM(D103:D106),0)</f>
        <v>1.1422089774818946</v>
      </c>
      <c r="L106" s="64">
        <f>IF(B106="Winter",Variables!$B$8*H105,0)</f>
        <v>0</v>
      </c>
      <c r="M106" s="64">
        <f ca="1">IF(AND(B106="Spring",AND(NOT(H105=0),H105&lt;(Variables!$B$9*Variables!$E$50))),(Variables!$B$10*Variables!$E$50+Variables!$B$11*Variables!$E$50*SUM(E103:E106)+$G$1*SUM(D105:D106)*Variables!$E$50*Variables!$B$12),0)</f>
        <v>5.2622436442765784E-2</v>
      </c>
      <c r="N106" s="64">
        <f>IF(AND(B106="Spring",AND(SUM(D103:D106)&gt;Variables!$B$13,SUM(D99:D102)&gt;Variables!$B$13)),-Variables!$B$14*Variables!$E$50,0)</f>
        <v>0</v>
      </c>
      <c r="O106" s="64">
        <f>IF(AND(B106="Summer",SUM(C102:D106)&gt;Variables!$B$15),(Variables!$B$16*Variables!$E$50*SUM(C102:C106)+$G$1*Variables!$B$16*Variables!$E$50*SUM(D102:D106)+$G$1*Variables!$E$50*Variables!$B$17*F106),0)</f>
        <v>0</v>
      </c>
      <c r="P106" s="64">
        <f ca="1">IF(AND(AND(B106="Autumn",SUM(D105:E106)&gt;0),NOT(H105=0)),Variables!$B$18*Variables!$E$50+Variables!$B$19*Variables!$E$50*SUM(E105:E106)+$G$1*Variables!$B$19*Variables!$E$50*SUM(D105:D106),0)</f>
        <v>0</v>
      </c>
      <c r="Q106" s="64">
        <f>IF(AND(B106="Autumn",AND((E106+E105)&lt;Variables!$B$20,(D105+D106)=0)),-Variables!$B$21*Variables!$E$50,0)</f>
        <v>0</v>
      </c>
      <c r="R106" s="64">
        <f>IF(B106="Autumn",(SUM(F105:F106)*$G$1*Variables!$B$22*Variables!$E$50),0)</f>
        <v>0</v>
      </c>
      <c r="S106" s="64">
        <f ca="1">IF(B106="Spring",($G$1*Variables!$E$50*SUM('Guts (MC)'!F105:F106)*Variables!$B$23),0)</f>
        <v>0</v>
      </c>
      <c r="T106" s="63">
        <f ca="1">IF((H105+SUM(J106:Q106))&lt;(Variables!$B$26*Variables!$E$50),$F$1*((Variables!$B$26*Variables!$E$50)-H105-SUM(J106:Q106)),0)</f>
        <v>0</v>
      </c>
      <c r="U106" s="64">
        <f ca="1">IF(AND(AND(B106="Autumn",SUM(D103:E106)&gt;Variables!$B$27),SUM(J106:Q106)&lt;Variables!$B$28*H105),$F$1*(Variables!$B$28*H105-SUM(J106:Q106)),0)</f>
        <v>0</v>
      </c>
      <c r="V106" s="96">
        <f ca="1">IF(AND((J106+K106)=0,(Q106+T106)=0),$H$1*H106*Variables!$I$23*0.25,0)</f>
        <v>0</v>
      </c>
      <c r="W106" s="97">
        <f ca="1">IF(AND((K106+J106)=0,(T106+Q106)=0),$I$1*H106*Variables!$Q$23*0.25,0)</f>
        <v>0</v>
      </c>
      <c r="X106" s="95">
        <f ca="1">IF(AND(NOT(K106=0),(H106-H105)&gt;0),(H106-H105)*(Variables!$M$5*$H$1+Variables!$U$5*$I$1),0)+IF(AND(NOT((J106+N106+Q106)=0),(H105-H106)&gt;0),(H105-H106)*(Variables!$M$4*$H$1+Variables!$U$4*$I$1),0)</f>
        <v>-136.58652202999215</v>
      </c>
      <c r="Y106" s="95">
        <f ca="1">IF(SUM(T106,U105:U106)&gt;0,H106*Variables!$Y$11*0.25*(1-$J$1),0)</f>
        <v>0</v>
      </c>
      <c r="Z106" s="95">
        <f ca="1">IF(T106=0,H106*$J$1*Variables!$Y$5*0.25,0)</f>
        <v>2.5537641125716859</v>
      </c>
      <c r="AA106" s="95">
        <f t="shared" ca="1" si="2"/>
        <v>-134.03275791742047</v>
      </c>
      <c r="AB106" s="91">
        <f ca="1">AA106/Variables!$E$49</f>
        <v>-21.61818676087427</v>
      </c>
    </row>
    <row r="107" spans="1:28" x14ac:dyDescent="0.25">
      <c r="A107" s="61">
        <f>'Water runs'!C114</f>
        <v>11747</v>
      </c>
      <c r="B107" s="61" t="str">
        <f>'Water runs'!B114</f>
        <v>Summer</v>
      </c>
      <c r="C107" s="54">
        <f>'Water runs'!D114/100</f>
        <v>1.5475714285714302</v>
      </c>
      <c r="D107" s="108">
        <f>VLOOKUP(ROW(D107)+4,'Water runs'!$BS$3:$CF$423,MATCH($B$1,Scenarios,0)+1)</f>
        <v>0.35940981322100729</v>
      </c>
      <c r="E107" s="54">
        <f>IF(B107=Variables!$D$8,C107-Variables!$E$8,IF(B107=Variables!$D$9,C107-Variables!$E$9,IF(B107=Variables!$D$10,C107-Variables!$E$10,IF(B107=Variables!$D$11,C107-Variables!$E$11,"ELSE"))))</f>
        <v>0.28920129251700843</v>
      </c>
      <c r="F107" s="108">
        <f>VLOOKUP(ROW(F107)+4,'Water runs'!$CH$3:$CU$423,MATCH($B$1,Scenarios,0)+1)</f>
        <v>0.36052937869658508</v>
      </c>
      <c r="G107" s="65">
        <f ca="1">H107/Variables!$E$49</f>
        <v>0.36603772836392501</v>
      </c>
      <c r="H107" s="62">
        <f ca="1">IF((H106+I107)&gt;(1.1*Variables!$E$50),(1.1*Variables!$E$50),IF((H106+I107)&gt;0,H106+I107,0))</f>
        <v>2.269433915856335</v>
      </c>
      <c r="I107" s="64">
        <f t="shared" ca="1" si="3"/>
        <v>0</v>
      </c>
      <c r="J107" s="63">
        <f>IF(SUM(E103:E106)&lt;Variables!$B$3,-H106,0)</f>
        <v>0</v>
      </c>
      <c r="K107" s="64">
        <f ca="1">IF(AND(H106&lt;Variables!$B$6*Variables!$E$50,OR(SUM(D104:D107)&gt;Variables!$B$5,SUM(E104:E107)&gt;Variables!$B$4)),Variables!$B$6*Variables!$E$50+Variables!$B$7*$G$1*Variables!$E$50*SUM(D104:D107),0)</f>
        <v>0</v>
      </c>
      <c r="L107" s="64">
        <f>IF(B107="Winter",Variables!$B$8*H106,0)</f>
        <v>0</v>
      </c>
      <c r="M107" s="64">
        <f ca="1">IF(AND(B107="Spring",AND(NOT(H106=0),H106&lt;(Variables!$B$9*Variables!$E$50))),(Variables!$B$10*Variables!$E$50+Variables!$B$11*Variables!$E$50*SUM(E104:E107)+$G$1*SUM(D106:D107)*Variables!$E$50*Variables!$B$12),0)</f>
        <v>0</v>
      </c>
      <c r="N107" s="64">
        <f>IF(AND(B107="Spring",AND(SUM(D104:D107)&gt;Variables!$B$13,SUM(D100:D103)&gt;Variables!$B$13)),-Variables!$B$14*Variables!$E$50,0)</f>
        <v>0</v>
      </c>
      <c r="O107" s="64">
        <f>IF(AND(B107="Summer",SUM(C103:D107)&gt;Variables!$B$15),(Variables!$B$16*Variables!$E$50*SUM(C103:C107)+$G$1*Variables!$B$16*Variables!$E$50*SUM(D103:D107)+$G$1*Variables!$E$50*Variables!$B$17*F107),0)</f>
        <v>0</v>
      </c>
      <c r="P107" s="64">
        <f ca="1">IF(AND(AND(B107="Autumn",SUM(D106:E107)&gt;0),NOT(H106=0)),Variables!$B$18*Variables!$E$50+Variables!$B$19*Variables!$E$50*SUM(E106:E107)+$G$1*Variables!$B$19*Variables!$E$50*SUM(D106:D107),0)</f>
        <v>0</v>
      </c>
      <c r="Q107" s="64">
        <f>IF(AND(B107="Autumn",AND((E107+E106)&lt;Variables!$B$20,(D106+D107)=0)),-Variables!$B$21*Variables!$E$50,0)</f>
        <v>0</v>
      </c>
      <c r="R107" s="64">
        <f>IF(B107="Autumn",(SUM(F106:F107)*$G$1*Variables!$B$22*Variables!$E$50),0)</f>
        <v>0</v>
      </c>
      <c r="S107" s="64">
        <f>IF(B107="Spring",($G$1*Variables!$E$50*SUM('Guts (MC)'!F106:F107)*Variables!$B$23),0)</f>
        <v>0</v>
      </c>
      <c r="T107" s="63">
        <f ca="1">IF((H106+SUM(J107:Q107))&lt;(Variables!$B$26*Variables!$E$50),$F$1*((Variables!$B$26*Variables!$E$50)-H106-SUM(J107:Q107)),0)</f>
        <v>0</v>
      </c>
      <c r="U107" s="64">
        <f ca="1">IF(AND(AND(B107="Autumn",SUM(D104:E107)&gt;Variables!$B$27),SUM(J107:Q107)&lt;Variables!$B$28*H106),$F$1*(Variables!$B$28*H106-SUM(J107:Q107)),0)</f>
        <v>0</v>
      </c>
      <c r="V107" s="96">
        <f ca="1">IF(AND((J107+K107)=0,(Q107+T107)=0),$H$1*H107*Variables!$I$23*0.25,0)</f>
        <v>27.662079317184531</v>
      </c>
      <c r="W107" s="97">
        <f ca="1">IF(AND((K107+J107)=0,(T107+Q107)=0),$I$1*H107*Variables!$Q$23*0.25,0)</f>
        <v>8.8964827201911856</v>
      </c>
      <c r="X107" s="95">
        <f ca="1">IF(AND(NOT(K107=0),(H107-H106)&gt;0),(H107-H106)*(Variables!$M$5*$H$1+Variables!$U$5*$I$1),0)+IF(AND(NOT((J107+N107+Q107)=0),(H106-H107)&gt;0),(H106-H107)*(Variables!$M$4*$H$1+Variables!$U$4*$I$1),0)</f>
        <v>0</v>
      </c>
      <c r="Y107" s="95">
        <f ca="1">IF(SUM(T107,U106:U107)&gt;0,H107*Variables!$Y$11*0.25*(1-$J$1),0)</f>
        <v>0</v>
      </c>
      <c r="Z107" s="95">
        <f ca="1">IF(T107=0,H107*$J$1*Variables!$Y$5*0.25,0)</f>
        <v>2.5537641125716859</v>
      </c>
      <c r="AA107" s="95">
        <f t="shared" ca="1" si="2"/>
        <v>39.1123261499474</v>
      </c>
      <c r="AB107" s="91">
        <f ca="1">AA107/Variables!$E$49</f>
        <v>6.3084397016044189</v>
      </c>
    </row>
    <row r="108" spans="1:28" x14ac:dyDescent="0.25">
      <c r="A108" s="61">
        <f>'Water runs'!C115</f>
        <v>11840</v>
      </c>
      <c r="B108" s="61" t="str">
        <f>'Water runs'!B115</f>
        <v>Autumn</v>
      </c>
      <c r="C108" s="54">
        <f>'Water runs'!D115/100</f>
        <v>0.66099999999999992</v>
      </c>
      <c r="D108" s="108">
        <f>VLOOKUP(ROW(D108)+4,'Water runs'!$BS$3:$CF$423,MATCH($B$1,Scenarios,0)+1)</f>
        <v>0</v>
      </c>
      <c r="E108" s="54">
        <f>IF(B108=Variables!$D$8,C108-Variables!$E$8,IF(B108=Variables!$D$9,C108-Variables!$E$9,IF(B108=Variables!$D$10,C108-Variables!$E$10,IF(B108=Variables!$D$11,C108-Variables!$E$11,"ELSE"))))</f>
        <v>-0.33364329931972792</v>
      </c>
      <c r="F108" s="108">
        <f>VLOOKUP(ROW(F108)+4,'Water runs'!$CH$3:$CU$423,MATCH($B$1,Scenarios,0)+1)</f>
        <v>0</v>
      </c>
      <c r="G108" s="65">
        <f ca="1">H108/Variables!$E$49</f>
        <v>0.51905754880751054</v>
      </c>
      <c r="H108" s="62">
        <f ca="1">IF((H107+I108)&gt;(1.1*Variables!$E$50),(1.1*Variables!$E$50),IF((H107+I108)&gt;0,H107+I108,0))</f>
        <v>3.2181568026065657</v>
      </c>
      <c r="I108" s="64">
        <f t="shared" ca="1" si="3"/>
        <v>0.94872288675023086</v>
      </c>
      <c r="J108" s="63">
        <f>IF(SUM(E104:E107)&lt;Variables!$B$3,-H107,0)</f>
        <v>0</v>
      </c>
      <c r="K108" s="64">
        <f ca="1">IF(AND(H107&lt;Variables!$B$6*Variables!$E$50,OR(SUM(D105:D108)&gt;Variables!$B$5,SUM(E105:E108)&gt;Variables!$B$4)),Variables!$B$6*Variables!$E$50+Variables!$B$7*$G$1*Variables!$E$50*SUM(D105:D108),0)</f>
        <v>0</v>
      </c>
      <c r="L108" s="64">
        <f>IF(B108="Winter",Variables!$B$8*H107,0)</f>
        <v>0</v>
      </c>
      <c r="M108" s="64">
        <f ca="1">IF(AND(B108="Spring",AND(NOT(H107=0),H107&lt;(Variables!$B$9*Variables!$E$50))),(Variables!$B$10*Variables!$E$50+Variables!$B$11*Variables!$E$50*SUM(E105:E108)+$G$1*SUM(D107:D108)*Variables!$E$50*Variables!$B$12),0)</f>
        <v>0</v>
      </c>
      <c r="N108" s="64">
        <f>IF(AND(B108="Spring",AND(SUM(D105:D108)&gt;Variables!$B$13,SUM(D101:D104)&gt;Variables!$B$13)),-Variables!$B$14*Variables!$E$50,0)</f>
        <v>0</v>
      </c>
      <c r="O108" s="64">
        <f>IF(AND(B108="Summer",SUM(C104:D108)&gt;Variables!$B$15),(Variables!$B$16*Variables!$E$50*SUM(C104:C108)+$G$1*Variables!$B$16*Variables!$E$50*SUM(D104:D108)+$G$1*Variables!$E$50*Variables!$B$17*F108),0)</f>
        <v>0</v>
      </c>
      <c r="P108" s="64">
        <f ca="1">IF(AND(AND(B108="Autumn",SUM(D107:E108)&gt;0),NOT(H107=0)),Variables!$B$18*Variables!$E$50+Variables!$B$19*Variables!$E$50*SUM(E107:E108)+$G$1*Variables!$B$19*Variables!$E$50*SUM(D107:D108),0)</f>
        <v>0.89414158191977156</v>
      </c>
      <c r="Q108" s="64">
        <f>IF(AND(B108="Autumn",AND((E108+E107)&lt;Variables!$B$20,(D107+D108)=0)),-Variables!$B$21*Variables!$E$50,0)</f>
        <v>0</v>
      </c>
      <c r="R108" s="64">
        <f ca="1">IF(B108="Autumn",(SUM(F107:F108)*$G$1*Variables!$B$22*Variables!$E$50),0)</f>
        <v>5.4581304830459323E-2</v>
      </c>
      <c r="S108" s="64">
        <f>IF(B108="Spring",($G$1*Variables!$E$50*SUM('Guts (MC)'!F107:F108)*Variables!$B$23),0)</f>
        <v>0</v>
      </c>
      <c r="T108" s="63">
        <f ca="1">IF((H107+SUM(J108:Q108))&lt;(Variables!$B$26*Variables!$E$50),$F$1*((Variables!$B$26*Variables!$E$50)-H107-SUM(J108:Q108)),0)</f>
        <v>0</v>
      </c>
      <c r="U108" s="64">
        <f ca="1">IF(AND(AND(B108="Autumn",SUM(D105:E108)&gt;Variables!$B$27),SUM(J108:Q108)&lt;Variables!$B$28*H107),$F$1*(Variables!$B$28*H107-SUM(J108:Q108)),0)</f>
        <v>0</v>
      </c>
      <c r="V108" s="96">
        <f ca="1">IF(AND((J108+K108)=0,(Q108+T108)=0),$H$1*H108*Variables!$I$23*0.25,0)</f>
        <v>39.226041395988013</v>
      </c>
      <c r="W108" s="97">
        <f ca="1">IF(AND((K108+J108)=0,(T108+Q108)=0),$I$1*H108*Variables!$Q$23*0.25,0)</f>
        <v>12.615602589358431</v>
      </c>
      <c r="X108" s="95">
        <f ca="1">IF(AND(NOT(K108=0),(H108-H107)&gt;0),(H108-H107)*(Variables!$M$5*$H$1+Variables!$U$5*$I$1),0)+IF(AND(NOT((J108+N108+Q108)=0),(H107-H108)&gt;0),(H107-H108)*(Variables!$M$4*$H$1+Variables!$U$4*$I$1),0)</f>
        <v>0</v>
      </c>
      <c r="Y108" s="95">
        <f ca="1">IF(SUM(T108,U107:U108)&gt;0,H108*Variables!$Y$11*0.25*(1-$J$1),0)</f>
        <v>0</v>
      </c>
      <c r="Z108" s="95">
        <f ca="1">IF(T108=0,H108*$J$1*Variables!$Y$5*0.25,0)</f>
        <v>3.6213494888323292</v>
      </c>
      <c r="AA108" s="95">
        <f t="shared" ca="1" si="2"/>
        <v>55.462993474178774</v>
      </c>
      <c r="AB108" s="91">
        <f ca="1">AA108/Variables!$E$49</f>
        <v>8.9456441087385112</v>
      </c>
    </row>
    <row r="109" spans="1:28" x14ac:dyDescent="0.25">
      <c r="A109" s="61">
        <f>'Water runs'!C116</f>
        <v>11932</v>
      </c>
      <c r="B109" s="61" t="str">
        <f>'Water runs'!B116</f>
        <v>Winter</v>
      </c>
      <c r="C109" s="54">
        <f>'Water runs'!D116/100</f>
        <v>0.40200000000000002</v>
      </c>
      <c r="D109" s="108">
        <f>VLOOKUP(ROW(D109)+4,'Water runs'!$BS$3:$CF$423,MATCH($B$1,Scenarios,0)+1)</f>
        <v>0</v>
      </c>
      <c r="E109" s="54">
        <f>IF(B109=Variables!$D$8,C109-Variables!$E$8,IF(B109=Variables!$D$9,C109-Variables!$E$9,IF(B109=Variables!$D$10,C109-Variables!$E$10,IF(B109=Variables!$D$11,C109-Variables!$E$11,"ELSE"))))</f>
        <v>-0.16976762566137571</v>
      </c>
      <c r="F109" s="108">
        <f>VLOOKUP(ROW(F109)+4,'Water runs'!$CH$3:$CU$423,MATCH($B$1,Scenarios,0)+1)</f>
        <v>0</v>
      </c>
      <c r="G109" s="65">
        <f ca="1">H109/Variables!$E$49</f>
        <v>0.26059530980442791</v>
      </c>
      <c r="H109" s="62">
        <f ca="1">IF((H108+I109)&gt;(1.1*Variables!$E$50),(1.1*Variables!$E$50),IF((H108+I109)&gt;0,H108+I109,0))</f>
        <v>1.6156909207874532</v>
      </c>
      <c r="I109" s="64">
        <f t="shared" ca="1" si="3"/>
        <v>-1.6024658818191124</v>
      </c>
      <c r="J109" s="63">
        <f>IF(SUM(E105:E108)&lt;Variables!$B$3,-H108,0)</f>
        <v>0</v>
      </c>
      <c r="K109" s="64">
        <f ca="1">IF(AND(H108&lt;Variables!$B$6*Variables!$E$50,OR(SUM(D106:D109)&gt;Variables!$B$5,SUM(E106:E109)&gt;Variables!$B$4)),Variables!$B$6*Variables!$E$50+Variables!$B$7*$G$1*Variables!$E$50*SUM(D106:D109),0)</f>
        <v>0</v>
      </c>
      <c r="L109" s="64">
        <f ca="1">IF(B109="Winter",Variables!$B$8*H108,0)</f>
        <v>-1.6024658818191124</v>
      </c>
      <c r="M109" s="64">
        <f ca="1">IF(AND(B109="Spring",AND(NOT(H108=0),H108&lt;(Variables!$B$9*Variables!$E$50))),(Variables!$B$10*Variables!$E$50+Variables!$B$11*Variables!$E$50*SUM(E106:E109)+$G$1*SUM(D108:D109)*Variables!$E$50*Variables!$B$12),0)</f>
        <v>0</v>
      </c>
      <c r="N109" s="64">
        <f>IF(AND(B109="Spring",AND(SUM(D106:D109)&gt;Variables!$B$13,SUM(D102:D105)&gt;Variables!$B$13)),-Variables!$B$14*Variables!$E$50,0)</f>
        <v>0</v>
      </c>
      <c r="O109" s="64">
        <f>IF(AND(B109="Summer",SUM(C105:D109)&gt;Variables!$B$15),(Variables!$B$16*Variables!$E$50*SUM(C105:C109)+$G$1*Variables!$B$16*Variables!$E$50*SUM(D105:D109)+$G$1*Variables!$E$50*Variables!$B$17*F109),0)</f>
        <v>0</v>
      </c>
      <c r="P109" s="64">
        <f ca="1">IF(AND(AND(B109="Autumn",SUM(D108:E109)&gt;0),NOT(H108=0)),Variables!$B$18*Variables!$E$50+Variables!$B$19*Variables!$E$50*SUM(E108:E109)+$G$1*Variables!$B$19*Variables!$E$50*SUM(D108:D109),0)</f>
        <v>0</v>
      </c>
      <c r="Q109" s="64">
        <f>IF(AND(B109="Autumn",AND((E109+E108)&lt;Variables!$B$20,(D108+D109)=0)),-Variables!$B$21*Variables!$E$50,0)</f>
        <v>0</v>
      </c>
      <c r="R109" s="64">
        <f>IF(B109="Autumn",(SUM(F108:F109)*$G$1*Variables!$B$22*Variables!$E$50),0)</f>
        <v>0</v>
      </c>
      <c r="S109" s="64">
        <f>IF(B109="Spring",($G$1*Variables!$E$50*SUM('Guts (MC)'!F108:F109)*Variables!$B$23),0)</f>
        <v>0</v>
      </c>
      <c r="T109" s="63">
        <f ca="1">IF((H108+SUM(J109:Q109))&lt;(Variables!$B$26*Variables!$E$50),$F$1*((Variables!$B$26*Variables!$E$50)-H108-SUM(J109:Q109)),0)</f>
        <v>0</v>
      </c>
      <c r="U109" s="64">
        <f ca="1">IF(AND(AND(B109="Autumn",SUM(D106:E109)&gt;Variables!$B$27),SUM(J109:Q109)&lt;Variables!$B$28*H108),$F$1*(Variables!$B$28*H108-SUM(J109:Q109)),0)</f>
        <v>0</v>
      </c>
      <c r="V109" s="96">
        <f ca="1">IF(AND((J109+K109)=0,(Q109+T109)=0),$H$1*H109*Variables!$I$23*0.25,0)</f>
        <v>19.693620550309394</v>
      </c>
      <c r="W109" s="97">
        <f ca="1">IF(AND((K109+J109)=0,(T109+Q109)=0),$I$1*H109*Variables!$Q$23*0.25,0)</f>
        <v>6.3337232503338061</v>
      </c>
      <c r="X109" s="95">
        <f ca="1">IF(AND(NOT(K109=0),(H109-H108)&gt;0),(H109-H108)*(Variables!$M$5*$H$1+Variables!$U$5*$I$1),0)+IF(AND(NOT((J109+N109+Q109)=0),(H108-H109)&gt;0),(H108-H109)*(Variables!$M$4*$H$1+Variables!$U$4*$I$1),0)</f>
        <v>0</v>
      </c>
      <c r="Y109" s="95">
        <f ca="1">IF(SUM(T109,U108:U109)&gt;0,H109*Variables!$Y$11*0.25*(1-$J$1),0)</f>
        <v>0</v>
      </c>
      <c r="Z109" s="95">
        <f ca="1">IF(T109=0,H109*$J$1*Variables!$Y$5*0.25,0)</f>
        <v>1.8181157255499922</v>
      </c>
      <c r="AA109" s="95">
        <f t="shared" ca="1" si="2"/>
        <v>27.845459526193196</v>
      </c>
      <c r="AB109" s="91">
        <f ca="1">AA109/Variables!$E$49</f>
        <v>4.4912031493859992</v>
      </c>
    </row>
    <row r="110" spans="1:28" x14ac:dyDescent="0.25">
      <c r="A110" s="61">
        <f>'Water runs'!C117</f>
        <v>12023</v>
      </c>
      <c r="B110" s="61" t="str">
        <f>'Water runs'!B117</f>
        <v>Spring</v>
      </c>
      <c r="C110" s="54">
        <f>'Water runs'!D117/100</f>
        <v>0.64639999999999997</v>
      </c>
      <c r="D110" s="108">
        <f>VLOOKUP(ROW(D110)+4,'Water runs'!$BS$3:$CF$423,MATCH($B$1,Scenarios,0)+1)</f>
        <v>0</v>
      </c>
      <c r="E110" s="54">
        <f>IF(B110=Variables!$D$8,C110-Variables!$E$8,IF(B110=Variables!$D$9,C110-Variables!$E$9,IF(B110=Variables!$D$10,C110-Variables!$E$10,IF(B110=Variables!$D$11,C110-Variables!$E$11,"ELSE"))))</f>
        <v>-0.11758220899470917</v>
      </c>
      <c r="F110" s="108">
        <f>VLOOKUP(ROW(F110)+4,'Water runs'!$CH$3:$CU$423,MATCH($B$1,Scenarios,0)+1)</f>
        <v>0</v>
      </c>
      <c r="G110" s="65">
        <f ca="1">H110/Variables!$E$49</f>
        <v>0.22414842094017604</v>
      </c>
      <c r="H110" s="62">
        <f ca="1">IF((H109+I110)&gt;(1.1*Variables!$E$50),(1.1*Variables!$E$50),IF((H109+I110)&gt;0,H109+I110,0))</f>
        <v>1.3897202098290915</v>
      </c>
      <c r="I110" s="64">
        <f t="shared" ca="1" si="3"/>
        <v>-0.22597071095836166</v>
      </c>
      <c r="J110" s="63">
        <f>IF(SUM(E106:E109)&lt;Variables!$B$3,-H109,0)</f>
        <v>0</v>
      </c>
      <c r="K110" s="64">
        <f ca="1">IF(AND(H109&lt;Variables!$B$6*Variables!$E$50,OR(SUM(D107:D110)&gt;Variables!$B$5,SUM(E107:E110)&gt;Variables!$B$4)),Variables!$B$6*Variables!$E$50+Variables!$B$7*$G$1*Variables!$E$50*SUM(D107:D110),0)</f>
        <v>0</v>
      </c>
      <c r="L110" s="64">
        <f>IF(B110="Winter",Variables!$B$8*H109,0)</f>
        <v>0</v>
      </c>
      <c r="M110" s="64">
        <f ca="1">IF(AND(B110="Spring",AND(NOT(H109=0),H109&lt;(Variables!$B$9*Variables!$E$50))),(Variables!$B$10*Variables!$E$50+Variables!$B$11*Variables!$E$50*SUM(E107:E110)+$G$1*SUM(D109:D110)*Variables!$E$50*Variables!$B$12),0)</f>
        <v>-0.22597071095836166</v>
      </c>
      <c r="N110" s="64">
        <f>IF(AND(B110="Spring",AND(SUM(D107:D110)&gt;Variables!$B$13,SUM(D103:D106)&gt;Variables!$B$13)),-Variables!$B$14*Variables!$E$50,0)</f>
        <v>0</v>
      </c>
      <c r="O110" s="64">
        <f>IF(AND(B110="Summer",SUM(C106:D110)&gt;Variables!$B$15),(Variables!$B$16*Variables!$E$50*SUM(C106:C110)+$G$1*Variables!$B$16*Variables!$E$50*SUM(D106:D110)+$G$1*Variables!$E$50*Variables!$B$17*F110),0)</f>
        <v>0</v>
      </c>
      <c r="P110" s="64">
        <f ca="1">IF(AND(AND(B110="Autumn",SUM(D109:E110)&gt;0),NOT(H109=0)),Variables!$B$18*Variables!$E$50+Variables!$B$19*Variables!$E$50*SUM(E109:E110)+$G$1*Variables!$B$19*Variables!$E$50*SUM(D109:D110),0)</f>
        <v>0</v>
      </c>
      <c r="Q110" s="64">
        <f>IF(AND(B110="Autumn",AND((E110+E109)&lt;Variables!$B$20,(D109+D110)=0)),-Variables!$B$21*Variables!$E$50,0)</f>
        <v>0</v>
      </c>
      <c r="R110" s="64">
        <f>IF(B110="Autumn",(SUM(F109:F110)*$G$1*Variables!$B$22*Variables!$E$50),0)</f>
        <v>0</v>
      </c>
      <c r="S110" s="64">
        <f ca="1">IF(B110="Spring",($G$1*Variables!$E$50*SUM('Guts (MC)'!F109:F110)*Variables!$B$23),0)</f>
        <v>0</v>
      </c>
      <c r="T110" s="63">
        <f ca="1">IF((H109+SUM(J110:Q110))&lt;(Variables!$B$26*Variables!$E$50),$F$1*((Variables!$B$26*Variables!$E$50)-H109-SUM(J110:Q110)),0)</f>
        <v>0</v>
      </c>
      <c r="U110" s="64">
        <f ca="1">IF(AND(AND(B110="Autumn",SUM(D107:E110)&gt;Variables!$B$27),SUM(J110:Q110)&lt;Variables!$B$28*H109),$F$1*(Variables!$B$28*H109-SUM(J110:Q110)),0)</f>
        <v>0</v>
      </c>
      <c r="V110" s="96">
        <f ca="1">IF(AND((J110+K110)=0,(Q110+T110)=0),$H$1*H110*Variables!$I$23*0.25,0)</f>
        <v>16.939268601033913</v>
      </c>
      <c r="W110" s="97">
        <f ca="1">IF(AND((K110+J110)=0,(T110+Q110)=0),$I$1*H110*Variables!$Q$23*0.25,0)</f>
        <v>5.4478880157123948</v>
      </c>
      <c r="X110" s="95">
        <f ca="1">IF(AND(NOT(K110=0),(H110-H109)&gt;0),(H110-H109)*(Variables!$M$5*$H$1+Variables!$U$5*$I$1),0)+IF(AND(NOT((J110+N110+Q110)=0),(H109-H110)&gt;0),(H109-H110)*(Variables!$M$4*$H$1+Variables!$U$4*$I$1),0)</f>
        <v>0</v>
      </c>
      <c r="Y110" s="95">
        <f ca="1">IF(SUM(T110,U109:U110)&gt;0,H110*Variables!$Y$11*0.25*(1-$J$1),0)</f>
        <v>0</v>
      </c>
      <c r="Z110" s="95">
        <f ca="1">IF(T110=0,H110*$J$1*Variables!$Y$5*0.25,0)</f>
        <v>1.5638338589991334</v>
      </c>
      <c r="AA110" s="95">
        <f t="shared" ca="1" si="2"/>
        <v>23.950990475745439</v>
      </c>
      <c r="AB110" s="91">
        <f ca="1">AA110/Variables!$E$49</f>
        <v>3.8630629799589418</v>
      </c>
    </row>
    <row r="111" spans="1:28" x14ac:dyDescent="0.25">
      <c r="A111" s="61">
        <f>'Water runs'!C118</f>
        <v>12113</v>
      </c>
      <c r="B111" s="61" t="str">
        <f>'Water runs'!B118</f>
        <v>Summer</v>
      </c>
      <c r="C111" s="54">
        <f>'Water runs'!D118/100</f>
        <v>0.56640000000000001</v>
      </c>
      <c r="D111" s="108">
        <f>VLOOKUP(ROW(D111)+4,'Water runs'!$BS$3:$CF$423,MATCH($B$1,Scenarios,0)+1)</f>
        <v>1.6373843023301846E-2</v>
      </c>
      <c r="E111" s="54">
        <f>IF(B111=Variables!$D$8,C111-Variables!$E$8,IF(B111=Variables!$D$9,C111-Variables!$E$9,IF(B111=Variables!$D$10,C111-Variables!$E$10,IF(B111=Variables!$D$11,C111-Variables!$E$11,"ELSE"))))</f>
        <v>-0.6919701360544217</v>
      </c>
      <c r="F111" s="108">
        <f>VLOOKUP(ROW(F111)+4,'Water runs'!$CH$3:$CU$423,MATCH($B$1,Scenarios,0)+1)</f>
        <v>0</v>
      </c>
      <c r="G111" s="65">
        <f ca="1">H111/Variables!$E$49</f>
        <v>0.22414842094017604</v>
      </c>
      <c r="H111" s="62">
        <f ca="1">IF((H110+I111)&gt;(1.1*Variables!$E$50),(1.1*Variables!$E$50),IF((H110+I111)&gt;0,H110+I111,0))</f>
        <v>1.3897202098290915</v>
      </c>
      <c r="I111" s="64">
        <f t="shared" ca="1" si="3"/>
        <v>0</v>
      </c>
      <c r="J111" s="63">
        <f>IF(SUM(E107:E110)&lt;Variables!$B$3,-H110,0)</f>
        <v>0</v>
      </c>
      <c r="K111" s="64">
        <f ca="1">IF(AND(H110&lt;Variables!$B$6*Variables!$E$50,OR(SUM(D108:D111)&gt;Variables!$B$5,SUM(E108:E111)&gt;Variables!$B$4)),Variables!$B$6*Variables!$E$50+Variables!$B$7*$G$1*Variables!$E$50*SUM(D108:D111),0)</f>
        <v>0</v>
      </c>
      <c r="L111" s="64">
        <f>IF(B111="Winter",Variables!$B$8*H110,0)</f>
        <v>0</v>
      </c>
      <c r="M111" s="64">
        <f ca="1">IF(AND(B111="Spring",AND(NOT(H110=0),H110&lt;(Variables!$B$9*Variables!$E$50))),(Variables!$B$10*Variables!$E$50+Variables!$B$11*Variables!$E$50*SUM(E108:E111)+$G$1*SUM(D110:D111)*Variables!$E$50*Variables!$B$12),0)</f>
        <v>0</v>
      </c>
      <c r="N111" s="64">
        <f>IF(AND(B111="Spring",AND(SUM(D108:D111)&gt;Variables!$B$13,SUM(D104:D107)&gt;Variables!$B$13)),-Variables!$B$14*Variables!$E$50,0)</f>
        <v>0</v>
      </c>
      <c r="O111" s="64">
        <f>IF(AND(B111="Summer",SUM(C107:D111)&gt;Variables!$B$15),(Variables!$B$16*Variables!$E$50*SUM(C107:C111)+$G$1*Variables!$B$16*Variables!$E$50*SUM(D107:D111)+$G$1*Variables!$E$50*Variables!$B$17*F111),0)</f>
        <v>0</v>
      </c>
      <c r="P111" s="64">
        <f ca="1">IF(AND(AND(B111="Autumn",SUM(D110:E111)&gt;0),NOT(H110=0)),Variables!$B$18*Variables!$E$50+Variables!$B$19*Variables!$E$50*SUM(E110:E111)+$G$1*Variables!$B$19*Variables!$E$50*SUM(D110:D111),0)</f>
        <v>0</v>
      </c>
      <c r="Q111" s="64">
        <f>IF(AND(B111="Autumn",AND((E111+E110)&lt;Variables!$B$20,(D110+D111)=0)),-Variables!$B$21*Variables!$E$50,0)</f>
        <v>0</v>
      </c>
      <c r="R111" s="64">
        <f>IF(B111="Autumn",(SUM(F110:F111)*$G$1*Variables!$B$22*Variables!$E$50),0)</f>
        <v>0</v>
      </c>
      <c r="S111" s="64">
        <f>IF(B111="Spring",($G$1*Variables!$E$50*SUM('Guts (MC)'!F110:F111)*Variables!$B$23),0)</f>
        <v>0</v>
      </c>
      <c r="T111" s="63">
        <f ca="1">IF((H110+SUM(J111:Q111))&lt;(Variables!$B$26*Variables!$E$50),$F$1*((Variables!$B$26*Variables!$E$50)-H110-SUM(J111:Q111)),0)</f>
        <v>0</v>
      </c>
      <c r="U111" s="64">
        <f ca="1">IF(AND(AND(B111="Autumn",SUM(D108:E111)&gt;Variables!$B$27),SUM(J111:Q111)&lt;Variables!$B$28*H110),$F$1*(Variables!$B$28*H110-SUM(J111:Q111)),0)</f>
        <v>0</v>
      </c>
      <c r="V111" s="96">
        <f ca="1">IF(AND((J111+K111)=0,(Q111+T111)=0),$H$1*H111*Variables!$I$23*0.25,0)</f>
        <v>16.939268601033913</v>
      </c>
      <c r="W111" s="97">
        <f ca="1">IF(AND((K111+J111)=0,(T111+Q111)=0),$I$1*H111*Variables!$Q$23*0.25,0)</f>
        <v>5.4478880157123948</v>
      </c>
      <c r="X111" s="95">
        <f ca="1">IF(AND(NOT(K111=0),(H111-H110)&gt;0),(H111-H110)*(Variables!$M$5*$H$1+Variables!$U$5*$I$1),0)+IF(AND(NOT((J111+N111+Q111)=0),(H110-H111)&gt;0),(H110-H111)*(Variables!$M$4*$H$1+Variables!$U$4*$I$1),0)</f>
        <v>0</v>
      </c>
      <c r="Y111" s="95">
        <f ca="1">IF(SUM(T111,U110:U111)&gt;0,H111*Variables!$Y$11*0.25*(1-$J$1),0)</f>
        <v>0</v>
      </c>
      <c r="Z111" s="95">
        <f ca="1">IF(T111=0,H111*$J$1*Variables!$Y$5*0.25,0)</f>
        <v>1.5638338589991334</v>
      </c>
      <c r="AA111" s="95">
        <f t="shared" ca="1" si="2"/>
        <v>23.950990475745439</v>
      </c>
      <c r="AB111" s="91">
        <f ca="1">AA111/Variables!$E$49</f>
        <v>3.8630629799589418</v>
      </c>
    </row>
    <row r="112" spans="1:28" x14ac:dyDescent="0.25">
      <c r="A112" s="61">
        <f>'Water runs'!C119</f>
        <v>12205</v>
      </c>
      <c r="B112" s="61" t="str">
        <f>'Water runs'!B119</f>
        <v>Autumn</v>
      </c>
      <c r="C112" s="54">
        <f>'Water runs'!D119/100</f>
        <v>0.1578</v>
      </c>
      <c r="D112" s="108">
        <f>VLOOKUP(ROW(D112)+4,'Water runs'!$BS$3:$CF$423,MATCH($B$1,Scenarios,0)+1)</f>
        <v>0</v>
      </c>
      <c r="E112" s="54">
        <f>IF(B112=Variables!$D$8,C112-Variables!$E$8,IF(B112=Variables!$D$9,C112-Variables!$E$9,IF(B112=Variables!$D$10,C112-Variables!$E$10,IF(B112=Variables!$D$11,C112-Variables!$E$11,"ELSE"))))</f>
        <v>-0.8368432993197279</v>
      </c>
      <c r="F112" s="108">
        <f>VLOOKUP(ROW(F112)+4,'Water runs'!$CH$3:$CU$423,MATCH($B$1,Scenarios,0)+1)</f>
        <v>0</v>
      </c>
      <c r="G112" s="65">
        <f ca="1">H112/Variables!$E$49</f>
        <v>0.22414842094017604</v>
      </c>
      <c r="H112" s="62">
        <f ca="1">IF((H111+I112)&gt;(1.1*Variables!$E$50),(1.1*Variables!$E$50),IF((H111+I112)&gt;0,H111+I112,0))</f>
        <v>1.3897202098290915</v>
      </c>
      <c r="I112" s="64">
        <f t="shared" ca="1" si="3"/>
        <v>0</v>
      </c>
      <c r="J112" s="63">
        <f>IF(SUM(E108:E111)&lt;Variables!$B$3,-H111,0)</f>
        <v>0</v>
      </c>
      <c r="K112" s="64">
        <f ca="1">IF(AND(H111&lt;Variables!$B$6*Variables!$E$50,OR(SUM(D109:D112)&gt;Variables!$B$5,SUM(E109:E112)&gt;Variables!$B$4)),Variables!$B$6*Variables!$E$50+Variables!$B$7*$G$1*Variables!$E$50*SUM(D109:D112),0)</f>
        <v>0</v>
      </c>
      <c r="L112" s="64">
        <f>IF(B112="Winter",Variables!$B$8*H111,0)</f>
        <v>0</v>
      </c>
      <c r="M112" s="64">
        <f ca="1">IF(AND(B112="Spring",AND(NOT(H111=0),H111&lt;(Variables!$B$9*Variables!$E$50))),(Variables!$B$10*Variables!$E$50+Variables!$B$11*Variables!$E$50*SUM(E109:E112)+$G$1*SUM(D111:D112)*Variables!$E$50*Variables!$B$12),0)</f>
        <v>0</v>
      </c>
      <c r="N112" s="64">
        <f>IF(AND(B112="Spring",AND(SUM(D109:D112)&gt;Variables!$B$13,SUM(D105:D108)&gt;Variables!$B$13)),-Variables!$B$14*Variables!$E$50,0)</f>
        <v>0</v>
      </c>
      <c r="O112" s="64">
        <f>IF(AND(B112="Summer",SUM(C108:D112)&gt;Variables!$B$15),(Variables!$B$16*Variables!$E$50*SUM(C108:C112)+$G$1*Variables!$B$16*Variables!$E$50*SUM(D108:D112)+$G$1*Variables!$E$50*Variables!$B$17*F112),0)</f>
        <v>0</v>
      </c>
      <c r="P112" s="64">
        <f ca="1">IF(AND(AND(B112="Autumn",SUM(D111:E112)&gt;0),NOT(H111=0)),Variables!$B$18*Variables!$E$50+Variables!$B$19*Variables!$E$50*SUM(E111:E112)+$G$1*Variables!$B$19*Variables!$E$50*SUM(D111:D112),0)</f>
        <v>0</v>
      </c>
      <c r="Q112" s="64">
        <f>IF(AND(B112="Autumn",AND((E112+E111)&lt;Variables!$B$20,(D111+D112)=0)),-Variables!$B$21*Variables!$E$50,0)</f>
        <v>0</v>
      </c>
      <c r="R112" s="64">
        <f ca="1">IF(B112="Autumn",(SUM(F111:F112)*$G$1*Variables!$B$22*Variables!$E$50),0)</f>
        <v>0</v>
      </c>
      <c r="S112" s="64">
        <f>IF(B112="Spring",($G$1*Variables!$E$50*SUM('Guts (MC)'!F111:F112)*Variables!$B$23),0)</f>
        <v>0</v>
      </c>
      <c r="T112" s="63">
        <f ca="1">IF((H111+SUM(J112:Q112))&lt;(Variables!$B$26*Variables!$E$50),$F$1*((Variables!$B$26*Variables!$E$50)-H111-SUM(J112:Q112)),0)</f>
        <v>0</v>
      </c>
      <c r="U112" s="64">
        <f ca="1">IF(AND(AND(B112="Autumn",SUM(D109:E112)&gt;Variables!$B$27),SUM(J112:Q112)&lt;Variables!$B$28*H111),$F$1*(Variables!$B$28*H111-SUM(J112:Q112)),0)</f>
        <v>0</v>
      </c>
      <c r="V112" s="96">
        <f ca="1">IF(AND((J112+K112)=0,(Q112+T112)=0),$H$1*H112*Variables!$I$23*0.25,0)</f>
        <v>16.939268601033913</v>
      </c>
      <c r="W112" s="97">
        <f ca="1">IF(AND((K112+J112)=0,(T112+Q112)=0),$I$1*H112*Variables!$Q$23*0.25,0)</f>
        <v>5.4478880157123948</v>
      </c>
      <c r="X112" s="95">
        <f ca="1">IF(AND(NOT(K112=0),(H112-H111)&gt;0),(H112-H111)*(Variables!$M$5*$H$1+Variables!$U$5*$I$1),0)+IF(AND(NOT((J112+N112+Q112)=0),(H111-H112)&gt;0),(H111-H112)*(Variables!$M$4*$H$1+Variables!$U$4*$I$1),0)</f>
        <v>0</v>
      </c>
      <c r="Y112" s="95">
        <f ca="1">IF(SUM(T112,U111:U112)&gt;0,H112*Variables!$Y$11*0.25*(1-$J$1),0)</f>
        <v>0</v>
      </c>
      <c r="Z112" s="95">
        <f ca="1">IF(T112=0,H112*$J$1*Variables!$Y$5*0.25,0)</f>
        <v>1.5638338589991334</v>
      </c>
      <c r="AA112" s="95">
        <f t="shared" ca="1" si="2"/>
        <v>23.950990475745439</v>
      </c>
      <c r="AB112" s="91">
        <f ca="1">AA112/Variables!$E$49</f>
        <v>3.8630629799589418</v>
      </c>
    </row>
    <row r="113" spans="1:28" x14ac:dyDescent="0.25">
      <c r="A113" s="61">
        <f>'Water runs'!C120</f>
        <v>12297</v>
      </c>
      <c r="B113" s="61" t="str">
        <f>'Water runs'!B120</f>
        <v>Winter</v>
      </c>
      <c r="C113" s="54">
        <f>'Water runs'!D120/100</f>
        <v>0.56520000000000004</v>
      </c>
      <c r="D113" s="108">
        <f>VLOOKUP(ROW(D113)+4,'Water runs'!$BS$3:$CF$423,MATCH($B$1,Scenarios,0)+1)</f>
        <v>0</v>
      </c>
      <c r="E113" s="54">
        <f>IF(B113=Variables!$D$8,C113-Variables!$E$8,IF(B113=Variables!$D$9,C113-Variables!$E$9,IF(B113=Variables!$D$10,C113-Variables!$E$10,IF(B113=Variables!$D$11,C113-Variables!$E$11,"ELSE"))))</f>
        <v>-6.5676256613756978E-3</v>
      </c>
      <c r="F113" s="108">
        <f>VLOOKUP(ROW(F113)+4,'Water runs'!$CH$3:$CU$423,MATCH($B$1,Scenarios,0)+1)</f>
        <v>0</v>
      </c>
      <c r="G113" s="65">
        <f ca="1">H113/Variables!$E$49</f>
        <v>0.16100000000000003</v>
      </c>
      <c r="H113" s="62">
        <f ca="1">IF((H112+I113)&gt;(1.1*Variables!$E$50),(1.1*Variables!$E$50),IF((H112+I113)&gt;0,H112+I113,0))</f>
        <v>0.9982000000000002</v>
      </c>
      <c r="I113" s="64">
        <f t="shared" ca="1" si="3"/>
        <v>-0.3915202098290913</v>
      </c>
      <c r="J113" s="63">
        <f ca="1">IF(SUM(E109:E112)&lt;Variables!$B$3,-H112,0)</f>
        <v>-1.3897202098290915</v>
      </c>
      <c r="K113" s="64">
        <f ca="1">IF(AND(H112&lt;Variables!$B$6*Variables!$E$50,OR(SUM(D110:D113)&gt;Variables!$B$5,SUM(E110:E113)&gt;Variables!$B$4)),Variables!$B$6*Variables!$E$50+Variables!$B$7*$G$1*Variables!$E$50*SUM(D110:D113),0)</f>
        <v>0</v>
      </c>
      <c r="L113" s="64">
        <f ca="1">IF(B113="Winter",Variables!$B$8*H112,0)</f>
        <v>-0.69200457222030376</v>
      </c>
      <c r="M113" s="64">
        <f ca="1">IF(AND(B113="Spring",AND(NOT(H112=0),H112&lt;(Variables!$B$9*Variables!$E$50))),(Variables!$B$10*Variables!$E$50+Variables!$B$11*Variables!$E$50*SUM(E110:E113)+$G$1*SUM(D112:D113)*Variables!$E$50*Variables!$B$12),0)</f>
        <v>0</v>
      </c>
      <c r="N113" s="64">
        <f>IF(AND(B113="Spring",AND(SUM(D110:D113)&gt;Variables!$B$13,SUM(D106:D109)&gt;Variables!$B$13)),-Variables!$B$14*Variables!$E$50,0)</f>
        <v>0</v>
      </c>
      <c r="O113" s="64">
        <f>IF(AND(B113="Summer",SUM(C109:D113)&gt;Variables!$B$15),(Variables!$B$16*Variables!$E$50*SUM(C109:C113)+$G$1*Variables!$B$16*Variables!$E$50*SUM(D109:D113)+$G$1*Variables!$E$50*Variables!$B$17*F113),0)</f>
        <v>0</v>
      </c>
      <c r="P113" s="64">
        <f ca="1">IF(AND(AND(B113="Autumn",SUM(D112:E113)&gt;0),NOT(H112=0)),Variables!$B$18*Variables!$E$50+Variables!$B$19*Variables!$E$50*SUM(E112:E113)+$G$1*Variables!$B$19*Variables!$E$50*SUM(D112:D113),0)</f>
        <v>0</v>
      </c>
      <c r="Q113" s="64">
        <f>IF(AND(B113="Autumn",AND((E113+E112)&lt;Variables!$B$20,(D112+D113)=0)),-Variables!$B$21*Variables!$E$50,0)</f>
        <v>0</v>
      </c>
      <c r="R113" s="64">
        <f>IF(B113="Autumn",(SUM(F112:F113)*$G$1*Variables!$B$22*Variables!$E$50),0)</f>
        <v>0</v>
      </c>
      <c r="S113" s="64">
        <f>IF(B113="Spring",($G$1*Variables!$E$50*SUM('Guts (MC)'!F112:F113)*Variables!$B$23),0)</f>
        <v>0</v>
      </c>
      <c r="T113" s="63">
        <f ca="1">IF((H112+SUM(J113:Q113))&lt;(Variables!$B$26*Variables!$E$50),$F$1*((Variables!$B$26*Variables!$E$50)-H112-SUM(J113:Q113)),0)</f>
        <v>1.6902045722203041</v>
      </c>
      <c r="U113" s="64">
        <f ca="1">IF(AND(AND(B113="Autumn",SUM(D110:E113)&gt;Variables!$B$27),SUM(J113:Q113)&lt;Variables!$B$28*H112),$F$1*(Variables!$B$28*H112-SUM(J113:Q113)),0)</f>
        <v>0</v>
      </c>
      <c r="V113" s="96">
        <f ca="1">IF(AND((J113+K113)=0,(Q113+T113)=0),$H$1*H113*Variables!$I$23*0.25,0)</f>
        <v>0</v>
      </c>
      <c r="W113" s="97">
        <f ca="1">IF(AND((K113+J113)=0,(T113+Q113)=0),$I$1*H113*Variables!$Q$23*0.25,0)</f>
        <v>0</v>
      </c>
      <c r="X113" s="95">
        <f ca="1">IF(AND(NOT(K113=0),(H113-H112)&gt;0),(H113-H112)*(Variables!$M$5*$H$1+Variables!$U$5*$I$1),0)+IF(AND(NOT((J113+N113+Q113)=0),(H112-H113)&gt;0),(H112-H113)*(Variables!$M$4*$H$1+Variables!$U$4*$I$1),0)</f>
        <v>22.378213002181855</v>
      </c>
      <c r="Y113" s="95">
        <f ca="1">IF(SUM(T113,U112:U113)&gt;0,H113*Variables!$Y$11*0.25*(1-$J$1),0)</f>
        <v>-8.6666009437672749</v>
      </c>
      <c r="Z113" s="95">
        <f ca="1">IF(T113=0,H113*$J$1*Variables!$Y$5*0.25,0)</f>
        <v>0</v>
      </c>
      <c r="AA113" s="95">
        <f t="shared" ca="1" si="2"/>
        <v>13.71161205841458</v>
      </c>
      <c r="AB113" s="91">
        <f ca="1">AA113/Variables!$E$49</f>
        <v>2.2115503320023517</v>
      </c>
    </row>
    <row r="114" spans="1:28" x14ac:dyDescent="0.25">
      <c r="A114" s="61">
        <f>'Water runs'!C121</f>
        <v>12388</v>
      </c>
      <c r="B114" s="61" t="str">
        <f>'Water runs'!B121</f>
        <v>Spring</v>
      </c>
      <c r="C114" s="54">
        <f>'Water runs'!D121/100</f>
        <v>1.9658000000000002</v>
      </c>
      <c r="D114" s="108">
        <f>VLOOKUP(ROW(D114)+4,'Water runs'!$BS$3:$CF$423,MATCH($B$1,Scenarios,0)+1)</f>
        <v>0.13879761518301809</v>
      </c>
      <c r="E114" s="54">
        <f>IF(B114=Variables!$D$8,C114-Variables!$E$8,IF(B114=Variables!$D$9,C114-Variables!$E$9,IF(B114=Variables!$D$10,C114-Variables!$E$10,IF(B114=Variables!$D$11,C114-Variables!$E$11,"ELSE"))))</f>
        <v>1.2018177910052912</v>
      </c>
      <c r="F114" s="108">
        <f>VLOOKUP(ROW(F114)+4,'Water runs'!$CH$3:$CU$423,MATCH($B$1,Scenarios,0)+1)</f>
        <v>0</v>
      </c>
      <c r="G114" s="65">
        <f ca="1">H114/Variables!$E$49</f>
        <v>0.31868264589784268</v>
      </c>
      <c r="H114" s="62">
        <f ca="1">IF((H113+I114)&gt;(1.1*Variables!$E$50),(1.1*Variables!$E$50),IF((H113+I114)&gt;0,H113+I114,0))</f>
        <v>1.9758324045666247</v>
      </c>
      <c r="I114" s="64">
        <f t="shared" ca="1" si="3"/>
        <v>0.97763240456662448</v>
      </c>
      <c r="J114" s="63">
        <f>IF(SUM(E110:E113)&lt;Variables!$B$3,-H113,0)</f>
        <v>0</v>
      </c>
      <c r="K114" s="64">
        <f ca="1">IF(AND(H113&lt;Variables!$B$6*Variables!$E$50,OR(SUM(D111:D114)&gt;Variables!$B$5,SUM(E111:E114)&gt;Variables!$B$4)),Variables!$B$6*Variables!$E$50+Variables!$B$7*$G$1*Variables!$E$50*SUM(D111:D114),0)</f>
        <v>1.1495973558972121</v>
      </c>
      <c r="L114" s="64">
        <f>IF(B114="Winter",Variables!$B$8*H113,0)</f>
        <v>0</v>
      </c>
      <c r="M114" s="64">
        <f ca="1">IF(AND(B114="Spring",AND(NOT(H113=0),H113&lt;(Variables!$B$9*Variables!$E$50))),(Variables!$B$10*Variables!$E$50+Variables!$B$11*Variables!$E$50*SUM(E111:E114)+$G$1*SUM(D113:D114)*Variables!$E$50*Variables!$B$12),0)</f>
        <v>-0.17196495133058759</v>
      </c>
      <c r="N114" s="64">
        <f>IF(AND(B114="Spring",AND(SUM(D111:D114)&gt;Variables!$B$13,SUM(D107:D110)&gt;Variables!$B$13)),-Variables!$B$14*Variables!$E$50,0)</f>
        <v>0</v>
      </c>
      <c r="O114" s="64">
        <f>IF(AND(B114="Summer",SUM(C110:D114)&gt;Variables!$B$15),(Variables!$B$16*Variables!$E$50*SUM(C110:C114)+$G$1*Variables!$B$16*Variables!$E$50*SUM(D110:D114)+$G$1*Variables!$E$50*Variables!$B$17*F114),0)</f>
        <v>0</v>
      </c>
      <c r="P114" s="64">
        <f ca="1">IF(AND(AND(B114="Autumn",SUM(D113:E114)&gt;0),NOT(H113=0)),Variables!$B$18*Variables!$E$50+Variables!$B$19*Variables!$E$50*SUM(E113:E114)+$G$1*Variables!$B$19*Variables!$E$50*SUM(D113:D114),0)</f>
        <v>0</v>
      </c>
      <c r="Q114" s="64">
        <f>IF(AND(B114="Autumn",AND((E114+E113)&lt;Variables!$B$20,(D113+D114)=0)),-Variables!$B$21*Variables!$E$50,0)</f>
        <v>0</v>
      </c>
      <c r="R114" s="64">
        <f>IF(B114="Autumn",(SUM(F113:F114)*$G$1*Variables!$B$22*Variables!$E$50),0)</f>
        <v>0</v>
      </c>
      <c r="S114" s="64">
        <f ca="1">IF(B114="Spring",($G$1*Variables!$E$50*SUM('Guts (MC)'!F113:F114)*Variables!$B$23),0)</f>
        <v>0</v>
      </c>
      <c r="T114" s="63">
        <f ca="1">IF((H113+SUM(J114:Q114))&lt;(Variables!$B$26*Variables!$E$50),$F$1*((Variables!$B$26*Variables!$E$50)-H113-SUM(J114:Q114)),0)</f>
        <v>0</v>
      </c>
      <c r="U114" s="64">
        <f ca="1">IF(AND(AND(B114="Autumn",SUM(D111:E114)&gt;Variables!$B$27),SUM(J114:Q114)&lt;Variables!$B$28*H113),$F$1*(Variables!$B$28*H113-SUM(J114:Q114)),0)</f>
        <v>0</v>
      </c>
      <c r="V114" s="96">
        <f ca="1">IF(AND((J114+K114)=0,(Q114+T114)=0),$H$1*H114*Variables!$I$23*0.25,0)</f>
        <v>0</v>
      </c>
      <c r="W114" s="97">
        <f ca="1">IF(AND((K114+J114)=0,(T114+Q114)=0),$I$1*H114*Variables!$Q$23*0.25,0)</f>
        <v>0</v>
      </c>
      <c r="X114" s="95">
        <f ca="1">IF(AND(NOT(K114=0),(H114-H113)&gt;0),(H114-H113)*(Variables!$M$5*$H$1+Variables!$U$5*$I$1),0)+IF(AND(NOT((J114+N114+Q114)=0),(H113-H114)&gt;0),(H113-H114)*(Variables!$M$4*$H$1+Variables!$U$4*$I$1),0)</f>
        <v>-111.75753198935664</v>
      </c>
      <c r="Y114" s="95">
        <f ca="1">IF(SUM(T114,U113:U114)&gt;0,H114*Variables!$Y$11*0.25*(1-$J$1),0)</f>
        <v>0</v>
      </c>
      <c r="Z114" s="95">
        <f ca="1">IF(T114=0,H114*$J$1*Variables!$Y$5*0.25,0)</f>
        <v>2.2233781966435933</v>
      </c>
      <c r="AA114" s="95">
        <f t="shared" ca="1" si="2"/>
        <v>-109.53415379271304</v>
      </c>
      <c r="AB114" s="91">
        <f ca="1">AA114/Variables!$E$49</f>
        <v>-17.666798998824685</v>
      </c>
    </row>
    <row r="115" spans="1:28" x14ac:dyDescent="0.25">
      <c r="A115" s="61">
        <f>'Water runs'!C122</f>
        <v>12478</v>
      </c>
      <c r="B115" s="61" t="str">
        <f>'Water runs'!B122</f>
        <v>Summer</v>
      </c>
      <c r="C115" s="54">
        <f>'Water runs'!D122/100</f>
        <v>1.5631999999999999</v>
      </c>
      <c r="D115" s="108">
        <f>VLOOKUP(ROW(D115)+4,'Water runs'!$BS$3:$CF$423,MATCH($B$1,Scenarios,0)+1)</f>
        <v>3.9300390343549832E-2</v>
      </c>
      <c r="E115" s="54">
        <f>IF(B115=Variables!$D$8,C115-Variables!$E$8,IF(B115=Variables!$D$9,C115-Variables!$E$9,IF(B115=Variables!$D$10,C115-Variables!$E$10,IF(B115=Variables!$D$11,C115-Variables!$E$11,"ELSE"))))</f>
        <v>0.30482986394557821</v>
      </c>
      <c r="F115" s="108">
        <f>VLOOKUP(ROW(F115)+4,'Water runs'!$CH$3:$CU$423,MATCH($B$1,Scenarios,0)+1)</f>
        <v>0.15612395980965804</v>
      </c>
      <c r="G115" s="65">
        <f ca="1">H115/Variables!$E$49</f>
        <v>0.31868264589784268</v>
      </c>
      <c r="H115" s="62">
        <f ca="1">IF((H114+I115)&gt;(1.1*Variables!$E$50),(1.1*Variables!$E$50),IF((H114+I115)&gt;0,H114+I115,0))</f>
        <v>1.9758324045666247</v>
      </c>
      <c r="I115" s="64">
        <f t="shared" ca="1" si="3"/>
        <v>0</v>
      </c>
      <c r="J115" s="63">
        <f>IF(SUM(E111:E114)&lt;Variables!$B$3,-H114,0)</f>
        <v>0</v>
      </c>
      <c r="K115" s="64">
        <f ca="1">IF(AND(H114&lt;Variables!$B$6*Variables!$E$50,OR(SUM(D112:D115)&gt;Variables!$B$5,SUM(E112:E115)&gt;Variables!$B$4)),Variables!$B$6*Variables!$E$50+Variables!$B$7*$G$1*Variables!$E$50*SUM(D112:D115),0)</f>
        <v>0</v>
      </c>
      <c r="L115" s="64">
        <f>IF(B115="Winter",Variables!$B$8*H114,0)</f>
        <v>0</v>
      </c>
      <c r="M115" s="64">
        <f ca="1">IF(AND(B115="Spring",AND(NOT(H114=0),H114&lt;(Variables!$B$9*Variables!$E$50))),(Variables!$B$10*Variables!$E$50+Variables!$B$11*Variables!$E$50*SUM(E112:E115)+$G$1*SUM(D114:D115)*Variables!$E$50*Variables!$B$12),0)</f>
        <v>0</v>
      </c>
      <c r="N115" s="64">
        <f>IF(AND(B115="Spring",AND(SUM(D112:D115)&gt;Variables!$B$13,SUM(D108:D111)&gt;Variables!$B$13)),-Variables!$B$14*Variables!$E$50,0)</f>
        <v>0</v>
      </c>
      <c r="O115" s="64">
        <f>IF(AND(B115="Summer",SUM(C111:D115)&gt;Variables!$B$15),(Variables!$B$16*Variables!$E$50*SUM(C111:C115)+$G$1*Variables!$B$16*Variables!$E$50*SUM(D111:D115)+$G$1*Variables!$E$50*Variables!$B$17*F115),0)</f>
        <v>0</v>
      </c>
      <c r="P115" s="64">
        <f ca="1">IF(AND(AND(B115="Autumn",SUM(D114:E115)&gt;0),NOT(H114=0)),Variables!$B$18*Variables!$E$50+Variables!$B$19*Variables!$E$50*SUM(E114:E115)+$G$1*Variables!$B$19*Variables!$E$50*SUM(D114:D115),0)</f>
        <v>0</v>
      </c>
      <c r="Q115" s="64">
        <f>IF(AND(B115="Autumn",AND((E115+E114)&lt;Variables!$B$20,(D114+D115)=0)),-Variables!$B$21*Variables!$E$50,0)</f>
        <v>0</v>
      </c>
      <c r="R115" s="64">
        <f>IF(B115="Autumn",(SUM(F114:F115)*$G$1*Variables!$B$22*Variables!$E$50),0)</f>
        <v>0</v>
      </c>
      <c r="S115" s="64">
        <f>IF(B115="Spring",($G$1*Variables!$E$50*SUM('Guts (MC)'!F114:F115)*Variables!$B$23),0)</f>
        <v>0</v>
      </c>
      <c r="T115" s="63">
        <f ca="1">IF((H114+SUM(J115:Q115))&lt;(Variables!$B$26*Variables!$E$50),$F$1*((Variables!$B$26*Variables!$E$50)-H114-SUM(J115:Q115)),0)</f>
        <v>0</v>
      </c>
      <c r="U115" s="64">
        <f ca="1">IF(AND(AND(B115="Autumn",SUM(D112:E115)&gt;Variables!$B$27),SUM(J115:Q115)&lt;Variables!$B$28*H114),$F$1*(Variables!$B$28*H114-SUM(J115:Q115)),0)</f>
        <v>0</v>
      </c>
      <c r="V115" s="96">
        <f ca="1">IF(AND((J115+K115)=0,(Q115+T115)=0),$H$1*H115*Variables!$I$23*0.25,0)</f>
        <v>24.083377053066542</v>
      </c>
      <c r="W115" s="97">
        <f ca="1">IF(AND((K115+J115)=0,(T115+Q115)=0),$I$1*H115*Variables!$Q$23*0.25,0)</f>
        <v>7.7455257553018511</v>
      </c>
      <c r="X115" s="95">
        <f ca="1">IF(AND(NOT(K115=0),(H115-H114)&gt;0),(H115-H114)*(Variables!$M$5*$H$1+Variables!$U$5*$I$1),0)+IF(AND(NOT((J115+N115+Q115)=0),(H114-H115)&gt;0),(H114-H115)*(Variables!$M$4*$H$1+Variables!$U$4*$I$1),0)</f>
        <v>0</v>
      </c>
      <c r="Y115" s="95">
        <f ca="1">IF(SUM(T115,U114:U115)&gt;0,H115*Variables!$Y$11*0.25*(1-$J$1),0)</f>
        <v>0</v>
      </c>
      <c r="Z115" s="95">
        <f ca="1">IF(T115=0,H115*$J$1*Variables!$Y$5*0.25,0)</f>
        <v>2.2233781966435933</v>
      </c>
      <c r="AA115" s="95">
        <f t="shared" ca="1" si="2"/>
        <v>34.052281005011984</v>
      </c>
      <c r="AB115" s="91">
        <f ca="1">AA115/Variables!$E$49</f>
        <v>5.4923033879051584</v>
      </c>
    </row>
    <row r="116" spans="1:28" x14ac:dyDescent="0.25">
      <c r="A116" s="61">
        <f>'Water runs'!C123</f>
        <v>12570</v>
      </c>
      <c r="B116" s="61" t="str">
        <f>'Water runs'!B123</f>
        <v>Autumn</v>
      </c>
      <c r="C116" s="54">
        <f>'Water runs'!D123/100</f>
        <v>0</v>
      </c>
      <c r="D116" s="108">
        <f>VLOOKUP(ROW(D116)+4,'Water runs'!$BS$3:$CF$423,MATCH($B$1,Scenarios,0)+1)</f>
        <v>0</v>
      </c>
      <c r="E116" s="54">
        <f>IF(B116=Variables!$D$8,C116-Variables!$E$8,IF(B116=Variables!$D$9,C116-Variables!$E$9,IF(B116=Variables!$D$10,C116-Variables!$E$10,IF(B116=Variables!$D$11,C116-Variables!$E$11,"ELSE"))))</f>
        <v>-0.99464329931972784</v>
      </c>
      <c r="F116" s="108">
        <f>VLOOKUP(ROW(F116)+4,'Water runs'!$CH$3:$CU$423,MATCH($B$1,Scenarios,0)+1)</f>
        <v>0</v>
      </c>
      <c r="G116" s="65">
        <f ca="1">H116/Variables!$E$49</f>
        <v>0.32249489369378348</v>
      </c>
      <c r="H116" s="62">
        <f ca="1">IF((H115+I116)&gt;(1.1*Variables!$E$50),(1.1*Variables!$E$50),IF((H115+I116)&gt;0,H115+I116,0))</f>
        <v>1.9994683409014575</v>
      </c>
      <c r="I116" s="64">
        <f t="shared" ca="1" si="3"/>
        <v>2.3635936334832842E-2</v>
      </c>
      <c r="J116" s="63">
        <f>IF(SUM(E112:E115)&lt;Variables!$B$3,-H115,0)</f>
        <v>0</v>
      </c>
      <c r="K116" s="64">
        <f ca="1">IF(AND(H115&lt;Variables!$B$6*Variables!$E$50,OR(SUM(D113:D116)&gt;Variables!$B$5,SUM(E113:E116)&gt;Variables!$B$4)),Variables!$B$6*Variables!$E$50+Variables!$B$7*$G$1*Variables!$E$50*SUM(D113:D116),0)</f>
        <v>0</v>
      </c>
      <c r="L116" s="64">
        <f>IF(B116="Winter",Variables!$B$8*H115,0)</f>
        <v>0</v>
      </c>
      <c r="M116" s="64">
        <f ca="1">IF(AND(B116="Spring",AND(NOT(H115=0),H115&lt;(Variables!$B$9*Variables!$E$50))),(Variables!$B$10*Variables!$E$50+Variables!$B$11*Variables!$E$50*SUM(E113:E116)+$G$1*SUM(D115:D116)*Variables!$E$50*Variables!$B$12),0)</f>
        <v>0</v>
      </c>
      <c r="N116" s="64">
        <f>IF(AND(B116="Spring",AND(SUM(D113:D116)&gt;Variables!$B$13,SUM(D109:D112)&gt;Variables!$B$13)),-Variables!$B$14*Variables!$E$50,0)</f>
        <v>0</v>
      </c>
      <c r="O116" s="64">
        <f>IF(AND(B116="Summer",SUM(C112:D116)&gt;Variables!$B$15),(Variables!$B$16*Variables!$E$50*SUM(C112:C116)+$G$1*Variables!$B$16*Variables!$E$50*SUM(D112:D116)+$G$1*Variables!$E$50*Variables!$B$17*F116),0)</f>
        <v>0</v>
      </c>
      <c r="P116" s="64">
        <f ca="1">IF(AND(AND(B116="Autumn",SUM(D115:E116)&gt;0),NOT(H115=0)),Variables!$B$18*Variables!$E$50+Variables!$B$19*Variables!$E$50*SUM(E115:E116)+$G$1*Variables!$B$19*Variables!$E$50*SUM(D115:D116),0)</f>
        <v>0</v>
      </c>
      <c r="Q116" s="64">
        <f>IF(AND(B116="Autumn",AND((E116+E115)&lt;Variables!$B$20,(D115+D116)=0)),-Variables!$B$21*Variables!$E$50,0)</f>
        <v>0</v>
      </c>
      <c r="R116" s="64">
        <f ca="1">IF(B116="Autumn",(SUM(F115:F116)*$G$1*Variables!$B$22*Variables!$E$50),0)</f>
        <v>2.3635936334832842E-2</v>
      </c>
      <c r="S116" s="64">
        <f>IF(B116="Spring",($G$1*Variables!$E$50*SUM('Guts (MC)'!F115:F116)*Variables!$B$23),0)</f>
        <v>0</v>
      </c>
      <c r="T116" s="63">
        <f ca="1">IF((H115+SUM(J116:Q116))&lt;(Variables!$B$26*Variables!$E$50),$F$1*((Variables!$B$26*Variables!$E$50)-H115-SUM(J116:Q116)),0)</f>
        <v>0</v>
      </c>
      <c r="U116" s="64">
        <f ca="1">IF(AND(AND(B116="Autumn",SUM(D113:E116)&gt;Variables!$B$27),SUM(J116:Q116)&lt;Variables!$B$28*H115),$F$1*(Variables!$B$28*H115-SUM(J116:Q116)),0)</f>
        <v>0</v>
      </c>
      <c r="V116" s="96">
        <f ca="1">IF(AND((J116+K116)=0,(Q116+T116)=0),$H$1*H116*Variables!$I$23*0.25,0)</f>
        <v>24.371474953191278</v>
      </c>
      <c r="W116" s="97">
        <f ca="1">IF(AND((K116+J116)=0,(T116+Q116)=0),$I$1*H116*Variables!$Q$23*0.25,0)</f>
        <v>7.8381817686403288</v>
      </c>
      <c r="X116" s="95">
        <f ca="1">IF(AND(NOT(K116=0),(H116-H115)&gt;0),(H116-H115)*(Variables!$M$5*$H$1+Variables!$U$5*$I$1),0)+IF(AND(NOT((J116+N116+Q116)=0),(H115-H116)&gt;0),(H115-H116)*(Variables!$M$4*$H$1+Variables!$U$4*$I$1),0)</f>
        <v>0</v>
      </c>
      <c r="Y116" s="95">
        <f ca="1">IF(SUM(T116,U115:U116)&gt;0,H116*Variables!$Y$11*0.25*(1-$J$1),0)</f>
        <v>0</v>
      </c>
      <c r="Z116" s="95">
        <f ca="1">IF(T116=0,H116*$J$1*Variables!$Y$5*0.25,0)</f>
        <v>2.2499754046773637</v>
      </c>
      <c r="AA116" s="95">
        <f t="shared" ca="1" si="2"/>
        <v>34.459632126508971</v>
      </c>
      <c r="AB116" s="91">
        <f ca="1">AA116/Variables!$E$49</f>
        <v>5.5580051816949956</v>
      </c>
    </row>
    <row r="117" spans="1:28" x14ac:dyDescent="0.25">
      <c r="A117" s="61">
        <f>'Water runs'!C124</f>
        <v>12662</v>
      </c>
      <c r="B117" s="61" t="str">
        <f>'Water runs'!B124</f>
        <v>Winter</v>
      </c>
      <c r="C117" s="54">
        <f>'Water runs'!D124/100</f>
        <v>0.67390000000000005</v>
      </c>
      <c r="D117" s="108">
        <f>VLOOKUP(ROW(D117)+4,'Water runs'!$BS$3:$CF$423,MATCH($B$1,Scenarios,0)+1)</f>
        <v>0</v>
      </c>
      <c r="E117" s="54">
        <f>IF(B117=Variables!$D$8,C117-Variables!$E$8,IF(B117=Variables!$D$9,C117-Variables!$E$9,IF(B117=Variables!$D$10,C117-Variables!$E$10,IF(B117=Variables!$D$11,C117-Variables!$E$11,"ELSE"))))</f>
        <v>0.10213237433862432</v>
      </c>
      <c r="F117" s="108">
        <f>VLOOKUP(ROW(F117)+4,'Water runs'!$CH$3:$CU$423,MATCH($B$1,Scenarios,0)+1)</f>
        <v>0</v>
      </c>
      <c r="G117" s="65">
        <f ca="1">H117/Variables!$E$49</f>
        <v>0.1619100944115997</v>
      </c>
      <c r="H117" s="62">
        <f ca="1">IF((H116+I117)&gt;(1.1*Variables!$E$50),(1.1*Variables!$E$50),IF((H116+I117)&gt;0,H116+I117,0))</f>
        <v>1.0038425853519182</v>
      </c>
      <c r="I117" s="64">
        <f t="shared" ca="1" si="3"/>
        <v>-0.99562575554953936</v>
      </c>
      <c r="J117" s="63">
        <f>IF(SUM(E113:E116)&lt;Variables!$B$3,-H116,0)</f>
        <v>0</v>
      </c>
      <c r="K117" s="64">
        <f ca="1">IF(AND(H116&lt;Variables!$B$6*Variables!$E$50,OR(SUM(D114:D117)&gt;Variables!$B$5,SUM(E114:E117)&gt;Variables!$B$4)),Variables!$B$6*Variables!$E$50+Variables!$B$7*$G$1*Variables!$E$50*SUM(D114:D117),0)</f>
        <v>0</v>
      </c>
      <c r="L117" s="64">
        <f ca="1">IF(B117="Winter",Variables!$B$8*H116,0)</f>
        <v>-0.99562575554953936</v>
      </c>
      <c r="M117" s="64">
        <f ca="1">IF(AND(B117="Spring",AND(NOT(H116=0),H116&lt;(Variables!$B$9*Variables!$E$50))),(Variables!$B$10*Variables!$E$50+Variables!$B$11*Variables!$E$50*SUM(E114:E117)+$G$1*SUM(D116:D117)*Variables!$E$50*Variables!$B$12),0)</f>
        <v>0</v>
      </c>
      <c r="N117" s="64">
        <f>IF(AND(B117="Spring",AND(SUM(D114:D117)&gt;Variables!$B$13,SUM(D110:D113)&gt;Variables!$B$13)),-Variables!$B$14*Variables!$E$50,0)</f>
        <v>0</v>
      </c>
      <c r="O117" s="64">
        <f>IF(AND(B117="Summer",SUM(C113:D117)&gt;Variables!$B$15),(Variables!$B$16*Variables!$E$50*SUM(C113:C117)+$G$1*Variables!$B$16*Variables!$E$50*SUM(D113:D117)+$G$1*Variables!$E$50*Variables!$B$17*F117),0)</f>
        <v>0</v>
      </c>
      <c r="P117" s="64">
        <f ca="1">IF(AND(AND(B117="Autumn",SUM(D116:E117)&gt;0),NOT(H116=0)),Variables!$B$18*Variables!$E$50+Variables!$B$19*Variables!$E$50*SUM(E116:E117)+$G$1*Variables!$B$19*Variables!$E$50*SUM(D116:D117),0)</f>
        <v>0</v>
      </c>
      <c r="Q117" s="64">
        <f>IF(AND(B117="Autumn",AND((E117+E116)&lt;Variables!$B$20,(D116+D117)=0)),-Variables!$B$21*Variables!$E$50,0)</f>
        <v>0</v>
      </c>
      <c r="R117" s="64">
        <f>IF(B117="Autumn",(SUM(F116:F117)*$G$1*Variables!$B$22*Variables!$E$50),0)</f>
        <v>0</v>
      </c>
      <c r="S117" s="64">
        <f>IF(B117="Spring",($G$1*Variables!$E$50*SUM('Guts (MC)'!F116:F117)*Variables!$B$23),0)</f>
        <v>0</v>
      </c>
      <c r="T117" s="63">
        <f ca="1">IF((H116+SUM(J117:Q117))&lt;(Variables!$B$26*Variables!$E$50),$F$1*((Variables!$B$26*Variables!$E$50)-H116-SUM(J117:Q117)),0)</f>
        <v>0</v>
      </c>
      <c r="U117" s="64">
        <f ca="1">IF(AND(AND(B117="Autumn",SUM(D114:E117)&gt;Variables!$B$27),SUM(J117:Q117)&lt;Variables!$B$28*H116),$F$1*(Variables!$B$28*H116-SUM(J117:Q117)),0)</f>
        <v>0</v>
      </c>
      <c r="V117" s="96">
        <f ca="1">IF(AND((J117+K117)=0,(Q117+T117)=0),$H$1*H117*Variables!$I$23*0.25,0)</f>
        <v>12.235814854073151</v>
      </c>
      <c r="W117" s="97">
        <f ca="1">IF(AND((K117+J117)=0,(T117+Q117)=0),$I$1*H117*Variables!$Q$23*0.25,0)</f>
        <v>3.935196417034923</v>
      </c>
      <c r="X117" s="95">
        <f ca="1">IF(AND(NOT(K117=0),(H117-H116)&gt;0),(H117-H116)*(Variables!$M$5*$H$1+Variables!$U$5*$I$1),0)+IF(AND(NOT((J117+N117+Q117)=0),(H116-H117)&gt;0),(H116-H117)*(Variables!$M$4*$H$1+Variables!$U$4*$I$1),0)</f>
        <v>0</v>
      </c>
      <c r="Y117" s="95">
        <f ca="1">IF(SUM(T117,U116:U117)&gt;0,H117*Variables!$Y$11*0.25*(1-$J$1),0)</f>
        <v>0</v>
      </c>
      <c r="Z117" s="95">
        <f ca="1">IF(T117=0,H117*$J$1*Variables!$Y$5*0.25,0)</f>
        <v>1.129610847547232</v>
      </c>
      <c r="AA117" s="95">
        <f t="shared" ca="1" si="2"/>
        <v>17.300622118655305</v>
      </c>
      <c r="AB117" s="91">
        <f ca="1">AA117/Variables!$E$49</f>
        <v>2.7904229223637587</v>
      </c>
    </row>
    <row r="118" spans="1:28" x14ac:dyDescent="0.25">
      <c r="A118" s="61">
        <f>'Water runs'!C125</f>
        <v>12753</v>
      </c>
      <c r="B118" s="61" t="str">
        <f>'Water runs'!B125</f>
        <v>Spring</v>
      </c>
      <c r="C118" s="54">
        <f>'Water runs'!D125/100</f>
        <v>1.6743999999999999</v>
      </c>
      <c r="D118" s="108">
        <f>VLOOKUP(ROW(D118)+4,'Water runs'!$BS$3:$CF$423,MATCH($B$1,Scenarios,0)+1)</f>
        <v>0</v>
      </c>
      <c r="E118" s="54">
        <f>IF(B118=Variables!$D$8,C118-Variables!$E$8,IF(B118=Variables!$D$9,C118-Variables!$E$9,IF(B118=Variables!$D$10,C118-Variables!$E$10,IF(B118=Variables!$D$11,C118-Variables!$E$11,"ELSE"))))</f>
        <v>0.91041779100529074</v>
      </c>
      <c r="F118" s="108">
        <f>VLOOKUP(ROW(F118)+4,'Water runs'!$CH$3:$CU$423,MATCH($B$1,Scenarios,0)+1)</f>
        <v>0</v>
      </c>
      <c r="G118" s="65">
        <f ca="1">H118/Variables!$E$49</f>
        <v>0.38172166446245592</v>
      </c>
      <c r="H118" s="62">
        <f ca="1">IF((H117+I118)&gt;(1.1*Variables!$E$50),(1.1*Variables!$E$50),IF((H117+I118)&gt;0,H117+I118,0))</f>
        <v>2.3666743196672266</v>
      </c>
      <c r="I118" s="64">
        <f t="shared" ca="1" si="3"/>
        <v>1.3628317343153082</v>
      </c>
      <c r="J118" s="63">
        <f>IF(SUM(E114:E117)&lt;Variables!$B$3,-H117,0)</f>
        <v>0</v>
      </c>
      <c r="K118" s="64">
        <f ca="1">IF(AND(H117&lt;Variables!$B$6*Variables!$E$50,OR(SUM(D115:D118)&gt;Variables!$B$5,SUM(E115:E118)&gt;Variables!$B$4)),Variables!$B$6*Variables!$E$50+Variables!$B$7*$G$1*Variables!$E$50*SUM(D115:D118),0)</f>
        <v>1.1430281128549546</v>
      </c>
      <c r="L118" s="64">
        <f>IF(B118="Winter",Variables!$B$8*H117,0)</f>
        <v>0</v>
      </c>
      <c r="M118" s="64">
        <f ca="1">IF(AND(B118="Spring",AND(NOT(H117=0),H117&lt;(Variables!$B$9*Variables!$E$50))),(Variables!$B$10*Variables!$E$50+Variables!$B$11*Variables!$E$50*SUM(E115:E118)+$G$1*SUM(D117:D118)*Variables!$E$50*Variables!$B$12),0)</f>
        <v>0.21980362146035359</v>
      </c>
      <c r="N118" s="64">
        <f>IF(AND(B118="Spring",AND(SUM(D115:D118)&gt;Variables!$B$13,SUM(D111:D114)&gt;Variables!$B$13)),-Variables!$B$14*Variables!$E$50,0)</f>
        <v>0</v>
      </c>
      <c r="O118" s="64">
        <f>IF(AND(B118="Summer",SUM(C114:D118)&gt;Variables!$B$15),(Variables!$B$16*Variables!$E$50*SUM(C114:C118)+$G$1*Variables!$B$16*Variables!$E$50*SUM(D114:D118)+$G$1*Variables!$E$50*Variables!$B$17*F118),0)</f>
        <v>0</v>
      </c>
      <c r="P118" s="64">
        <f ca="1">IF(AND(AND(B118="Autumn",SUM(D117:E118)&gt;0),NOT(H117=0)),Variables!$B$18*Variables!$E$50+Variables!$B$19*Variables!$E$50*SUM(E117:E118)+$G$1*Variables!$B$19*Variables!$E$50*SUM(D117:D118),0)</f>
        <v>0</v>
      </c>
      <c r="Q118" s="64">
        <f>IF(AND(B118="Autumn",AND((E118+E117)&lt;Variables!$B$20,(D117+D118)=0)),-Variables!$B$21*Variables!$E$50,0)</f>
        <v>0</v>
      </c>
      <c r="R118" s="64">
        <f>IF(B118="Autumn",(SUM(F117:F118)*$G$1*Variables!$B$22*Variables!$E$50),0)</f>
        <v>0</v>
      </c>
      <c r="S118" s="64">
        <f ca="1">IF(B118="Spring",($G$1*Variables!$E$50*SUM('Guts (MC)'!F117:F118)*Variables!$B$23),0)</f>
        <v>0</v>
      </c>
      <c r="T118" s="63">
        <f ca="1">IF((H117+SUM(J118:Q118))&lt;(Variables!$B$26*Variables!$E$50),$F$1*((Variables!$B$26*Variables!$E$50)-H117-SUM(J118:Q118)),0)</f>
        <v>0</v>
      </c>
      <c r="U118" s="64">
        <f ca="1">IF(AND(AND(B118="Autumn",SUM(D115:E118)&gt;Variables!$B$27),SUM(J118:Q118)&lt;Variables!$B$28*H117),$F$1*(Variables!$B$28*H117-SUM(J118:Q118)),0)</f>
        <v>0</v>
      </c>
      <c r="V118" s="96">
        <f ca="1">IF(AND((J118+K118)=0,(Q118+T118)=0),$H$1*H118*Variables!$I$23*0.25,0)</f>
        <v>0</v>
      </c>
      <c r="W118" s="97">
        <f ca="1">IF(AND((K118+J118)=0,(T118+Q118)=0),$I$1*H118*Variables!$Q$23*0.25,0)</f>
        <v>0</v>
      </c>
      <c r="X118" s="95">
        <f ca="1">IF(AND(NOT(K118=0),(H118-H117)&gt;0),(H118-H117)*(Variables!$M$5*$H$1+Variables!$U$5*$I$1),0)+IF(AND(NOT((J118+N118+Q118)=0),(H117-H118)&gt;0),(H117-H118)*(Variables!$M$4*$H$1+Variables!$U$4*$I$1),0)</f>
        <v>-155.79138992571512</v>
      </c>
      <c r="Y118" s="95">
        <f ca="1">IF(SUM(T118,U117:U118)&gt;0,H118*Variables!$Y$11*0.25*(1-$J$1),0)</f>
        <v>0</v>
      </c>
      <c r="Z118" s="95">
        <f ca="1">IF(T118=0,H118*$J$1*Variables!$Y$5*0.25,0)</f>
        <v>2.663187458988244</v>
      </c>
      <c r="AA118" s="95">
        <f t="shared" ca="1" si="2"/>
        <v>-153.12820246672689</v>
      </c>
      <c r="AB118" s="91">
        <f ca="1">AA118/Variables!$E$49</f>
        <v>-24.698097172052723</v>
      </c>
    </row>
    <row r="119" spans="1:28" x14ac:dyDescent="0.25">
      <c r="A119" s="61">
        <f>'Water runs'!C126</f>
        <v>12843</v>
      </c>
      <c r="B119" s="61" t="str">
        <f>'Water runs'!B126</f>
        <v>Summer</v>
      </c>
      <c r="C119" s="54">
        <f>'Water runs'!D126/100</f>
        <v>0.32122857142857097</v>
      </c>
      <c r="D119" s="108">
        <f>VLOOKUP(ROW(D119)+4,'Water runs'!$BS$3:$CF$423,MATCH($B$1,Scenarios,0)+1)</f>
        <v>0.12680781320517184</v>
      </c>
      <c r="E119" s="54">
        <f>IF(B119=Variables!$D$8,C119-Variables!$E$8,IF(B119=Variables!$D$9,C119-Variables!$E$9,IF(B119=Variables!$D$10,C119-Variables!$E$10,IF(B119=Variables!$D$11,C119-Variables!$E$11,"ELSE"))))</f>
        <v>-0.93714156462585074</v>
      </c>
      <c r="F119" s="108">
        <f>VLOOKUP(ROW(F119)+4,'Water runs'!$CH$3:$CU$423,MATCH($B$1,Scenarios,0)+1)</f>
        <v>0</v>
      </c>
      <c r="G119" s="65">
        <f ca="1">H119/Variables!$E$49</f>
        <v>0.38172166446245592</v>
      </c>
      <c r="H119" s="62">
        <f ca="1">IF((H118+I119)&gt;(1.1*Variables!$E$50),(1.1*Variables!$E$50),IF((H118+I119)&gt;0,H118+I119,0))</f>
        <v>2.3666743196672266</v>
      </c>
      <c r="I119" s="64">
        <f t="shared" ca="1" si="3"/>
        <v>0</v>
      </c>
      <c r="J119" s="63">
        <f>IF(SUM(E115:E118)&lt;Variables!$B$3,-H118,0)</f>
        <v>0</v>
      </c>
      <c r="K119" s="64">
        <f ca="1">IF(AND(H118&lt;Variables!$B$6*Variables!$E$50,OR(SUM(D116:D119)&gt;Variables!$B$5,SUM(E116:E119)&gt;Variables!$B$4)),Variables!$B$6*Variables!$E$50+Variables!$B$7*$G$1*Variables!$E$50*SUM(D116:D119),0)</f>
        <v>0</v>
      </c>
      <c r="L119" s="64">
        <f>IF(B119="Winter",Variables!$B$8*H118,0)</f>
        <v>0</v>
      </c>
      <c r="M119" s="64">
        <f ca="1">IF(AND(B119="Spring",AND(NOT(H118=0),H118&lt;(Variables!$B$9*Variables!$E$50))),(Variables!$B$10*Variables!$E$50+Variables!$B$11*Variables!$E$50*SUM(E116:E119)+$G$1*SUM(D118:D119)*Variables!$E$50*Variables!$B$12),0)</f>
        <v>0</v>
      </c>
      <c r="N119" s="64">
        <f>IF(AND(B119="Spring",AND(SUM(D116:D119)&gt;Variables!$B$13,SUM(D112:D115)&gt;Variables!$B$13)),-Variables!$B$14*Variables!$E$50,0)</f>
        <v>0</v>
      </c>
      <c r="O119" s="64">
        <f>IF(AND(B119="Summer",SUM(C115:D119)&gt;Variables!$B$15),(Variables!$B$16*Variables!$E$50*SUM(C115:C119)+$G$1*Variables!$B$16*Variables!$E$50*SUM(D115:D119)+$G$1*Variables!$E$50*Variables!$B$17*F119),0)</f>
        <v>0</v>
      </c>
      <c r="P119" s="64">
        <f ca="1">IF(AND(AND(B119="Autumn",SUM(D118:E119)&gt;0),NOT(H118=0)),Variables!$B$18*Variables!$E$50+Variables!$B$19*Variables!$E$50*SUM(E118:E119)+$G$1*Variables!$B$19*Variables!$E$50*SUM(D118:D119),0)</f>
        <v>0</v>
      </c>
      <c r="Q119" s="64">
        <f>IF(AND(B119="Autumn",AND((E119+E118)&lt;Variables!$B$20,(D118+D119)=0)),-Variables!$B$21*Variables!$E$50,0)</f>
        <v>0</v>
      </c>
      <c r="R119" s="64">
        <f>IF(B119="Autumn",(SUM(F118:F119)*$G$1*Variables!$B$22*Variables!$E$50),0)</f>
        <v>0</v>
      </c>
      <c r="S119" s="64">
        <f>IF(B119="Spring",($G$1*Variables!$E$50*SUM('Guts (MC)'!F118:F119)*Variables!$B$23),0)</f>
        <v>0</v>
      </c>
      <c r="T119" s="63">
        <f ca="1">IF((H118+SUM(J119:Q119))&lt;(Variables!$B$26*Variables!$E$50),$F$1*((Variables!$B$26*Variables!$E$50)-H118-SUM(J119:Q119)),0)</f>
        <v>0</v>
      </c>
      <c r="U119" s="64">
        <f ca="1">IF(AND(AND(B119="Autumn",SUM(D116:E119)&gt;Variables!$B$27),SUM(J119:Q119)&lt;Variables!$B$28*H118),$F$1*(Variables!$B$28*H118-SUM(J119:Q119)),0)</f>
        <v>0</v>
      </c>
      <c r="V119" s="96">
        <f ca="1">IF(AND((J119+K119)=0,(Q119+T119)=0),$H$1*H119*Variables!$I$23*0.25,0)</f>
        <v>28.847340427568948</v>
      </c>
      <c r="W119" s="97">
        <f ca="1">IF(AND((K119+J119)=0,(T119+Q119)=0),$I$1*H119*Variables!$Q$23*0.25,0)</f>
        <v>9.2776780333323394</v>
      </c>
      <c r="X119" s="95">
        <f ca="1">IF(AND(NOT(K119=0),(H119-H118)&gt;0),(H119-H118)*(Variables!$M$5*$H$1+Variables!$U$5*$I$1),0)+IF(AND(NOT((J119+N119+Q119)=0),(H118-H119)&gt;0),(H118-H119)*(Variables!$M$4*$H$1+Variables!$U$4*$I$1),0)</f>
        <v>0</v>
      </c>
      <c r="Y119" s="95">
        <f ca="1">IF(SUM(T119,U118:U119)&gt;0,H119*Variables!$Y$11*0.25*(1-$J$1),0)</f>
        <v>0</v>
      </c>
      <c r="Z119" s="95">
        <f ca="1">IF(T119=0,H119*$J$1*Variables!$Y$5*0.25,0)</f>
        <v>2.663187458988244</v>
      </c>
      <c r="AA119" s="95">
        <f t="shared" ca="1" si="2"/>
        <v>40.788205919889535</v>
      </c>
      <c r="AB119" s="91">
        <f ca="1">AA119/Variables!$E$49</f>
        <v>6.5787428903047633</v>
      </c>
    </row>
    <row r="120" spans="1:28" x14ac:dyDescent="0.25">
      <c r="A120" s="61">
        <f>'Water runs'!C127</f>
        <v>12935</v>
      </c>
      <c r="B120" s="61" t="str">
        <f>'Water runs'!B127</f>
        <v>Autumn</v>
      </c>
      <c r="C120" s="54">
        <f>'Water runs'!D127/100</f>
        <v>0</v>
      </c>
      <c r="D120" s="108">
        <f>VLOOKUP(ROW(D120)+4,'Water runs'!$BS$3:$CF$423,MATCH($B$1,Scenarios,0)+1)</f>
        <v>0</v>
      </c>
      <c r="E120" s="54">
        <f>IF(B120=Variables!$D$8,C120-Variables!$E$8,IF(B120=Variables!$D$9,C120-Variables!$E$9,IF(B120=Variables!$D$10,C120-Variables!$E$10,IF(B120=Variables!$D$11,C120-Variables!$E$11,"ELSE"))))</f>
        <v>-0.99464329931972784</v>
      </c>
      <c r="F120" s="108">
        <f>VLOOKUP(ROW(F120)+4,'Water runs'!$CH$3:$CU$423,MATCH($B$1,Scenarios,0)+1)</f>
        <v>0</v>
      </c>
      <c r="G120" s="65">
        <f ca="1">H120/Variables!$E$49</f>
        <v>0.38172166446245592</v>
      </c>
      <c r="H120" s="62">
        <f ca="1">IF((H119+I120)&gt;(1.1*Variables!$E$50),(1.1*Variables!$E$50),IF((H119+I120)&gt;0,H119+I120,0))</f>
        <v>2.3666743196672266</v>
      </c>
      <c r="I120" s="64">
        <f t="shared" ca="1" si="3"/>
        <v>0</v>
      </c>
      <c r="J120" s="63">
        <f>IF(SUM(E116:E119)&lt;Variables!$B$3,-H119,0)</f>
        <v>0</v>
      </c>
      <c r="K120" s="64">
        <f ca="1">IF(AND(H119&lt;Variables!$B$6*Variables!$E$50,OR(SUM(D117:D120)&gt;Variables!$B$5,SUM(E117:E120)&gt;Variables!$B$4)),Variables!$B$6*Variables!$E$50+Variables!$B$7*$G$1*Variables!$E$50*SUM(D117:D120),0)</f>
        <v>0</v>
      </c>
      <c r="L120" s="64">
        <f>IF(B120="Winter",Variables!$B$8*H119,0)</f>
        <v>0</v>
      </c>
      <c r="M120" s="64">
        <f ca="1">IF(AND(B120="Spring",AND(NOT(H119=0),H119&lt;(Variables!$B$9*Variables!$E$50))),(Variables!$B$10*Variables!$E$50+Variables!$B$11*Variables!$E$50*SUM(E117:E120)+$G$1*SUM(D119:D120)*Variables!$E$50*Variables!$B$12),0)</f>
        <v>0</v>
      </c>
      <c r="N120" s="64">
        <f>IF(AND(B120="Spring",AND(SUM(D117:D120)&gt;Variables!$B$13,SUM(D113:D116)&gt;Variables!$B$13)),-Variables!$B$14*Variables!$E$50,0)</f>
        <v>0</v>
      </c>
      <c r="O120" s="64">
        <f>IF(AND(B120="Summer",SUM(C116:D120)&gt;Variables!$B$15),(Variables!$B$16*Variables!$E$50*SUM(C116:C120)+$G$1*Variables!$B$16*Variables!$E$50*SUM(D116:D120)+$G$1*Variables!$E$50*Variables!$B$17*F120),0)</f>
        <v>0</v>
      </c>
      <c r="P120" s="64">
        <f ca="1">IF(AND(AND(B120="Autumn",SUM(D119:E120)&gt;0),NOT(H119=0)),Variables!$B$18*Variables!$E$50+Variables!$B$19*Variables!$E$50*SUM(E119:E120)+$G$1*Variables!$B$19*Variables!$E$50*SUM(D119:D120),0)</f>
        <v>0</v>
      </c>
      <c r="Q120" s="64">
        <f>IF(AND(B120="Autumn",AND((E120+E119)&lt;Variables!$B$20,(D119+D120)=0)),-Variables!$B$21*Variables!$E$50,0)</f>
        <v>0</v>
      </c>
      <c r="R120" s="64">
        <f ca="1">IF(B120="Autumn",(SUM(F119:F120)*$G$1*Variables!$B$22*Variables!$E$50),0)</f>
        <v>0</v>
      </c>
      <c r="S120" s="64">
        <f>IF(B120="Spring",($G$1*Variables!$E$50*SUM('Guts (MC)'!F119:F120)*Variables!$B$23),0)</f>
        <v>0</v>
      </c>
      <c r="T120" s="63">
        <f ca="1">IF((H119+SUM(J120:Q120))&lt;(Variables!$B$26*Variables!$E$50),$F$1*((Variables!$B$26*Variables!$E$50)-H119-SUM(J120:Q120)),0)</f>
        <v>0</v>
      </c>
      <c r="U120" s="64">
        <f ca="1">IF(AND(AND(B120="Autumn",SUM(D117:E120)&gt;Variables!$B$27),SUM(J120:Q120)&lt;Variables!$B$28*H119),$F$1*(Variables!$B$28*H119-SUM(J120:Q120)),0)</f>
        <v>0</v>
      </c>
      <c r="V120" s="96">
        <f ca="1">IF(AND((J120+K120)=0,(Q120+T120)=0),$H$1*H120*Variables!$I$23*0.25,0)</f>
        <v>28.847340427568948</v>
      </c>
      <c r="W120" s="97">
        <f ca="1">IF(AND((K120+J120)=0,(T120+Q120)=0),$I$1*H120*Variables!$Q$23*0.25,0)</f>
        <v>9.2776780333323394</v>
      </c>
      <c r="X120" s="95">
        <f ca="1">IF(AND(NOT(K120=0),(H120-H119)&gt;0),(H120-H119)*(Variables!$M$5*$H$1+Variables!$U$5*$I$1),0)+IF(AND(NOT((J120+N120+Q120)=0),(H119-H120)&gt;0),(H119-H120)*(Variables!$M$4*$H$1+Variables!$U$4*$I$1),0)</f>
        <v>0</v>
      </c>
      <c r="Y120" s="95">
        <f ca="1">IF(SUM(T120,U119:U120)&gt;0,H120*Variables!$Y$11*0.25*(1-$J$1),0)</f>
        <v>0</v>
      </c>
      <c r="Z120" s="95">
        <f ca="1">IF(T120=0,H120*$J$1*Variables!$Y$5*0.25,0)</f>
        <v>2.663187458988244</v>
      </c>
      <c r="AA120" s="95">
        <f t="shared" ca="1" si="2"/>
        <v>40.788205919889535</v>
      </c>
      <c r="AB120" s="91">
        <f ca="1">AA120/Variables!$E$49</f>
        <v>6.5787428903047633</v>
      </c>
    </row>
    <row r="121" spans="1:28" x14ac:dyDescent="0.25">
      <c r="A121" s="61">
        <f>'Water runs'!C128</f>
        <v>13027</v>
      </c>
      <c r="B121" s="61" t="str">
        <f>'Water runs'!B128</f>
        <v>Winter</v>
      </c>
      <c r="C121" s="54">
        <f>'Water runs'!D128/100</f>
        <v>0.28539999999999999</v>
      </c>
      <c r="D121" s="108">
        <f>VLOOKUP(ROW(D121)+4,'Water runs'!$BS$3:$CF$423,MATCH($B$1,Scenarios,0)+1)</f>
        <v>0</v>
      </c>
      <c r="E121" s="54">
        <f>IF(B121=Variables!$D$8,C121-Variables!$E$8,IF(B121=Variables!$D$9,C121-Variables!$E$9,IF(B121=Variables!$D$10,C121-Variables!$E$10,IF(B121=Variables!$D$11,C121-Variables!$E$11,"ELSE"))))</f>
        <v>-0.28636762566137575</v>
      </c>
      <c r="F121" s="108">
        <f>VLOOKUP(ROW(F121)+4,'Water runs'!$CH$3:$CU$423,MATCH($B$1,Scenarios,0)+1)</f>
        <v>0</v>
      </c>
      <c r="G121" s="65">
        <f ca="1">H121/Variables!$E$49</f>
        <v>0.1916451762202292</v>
      </c>
      <c r="H121" s="62">
        <f ca="1">IF((H120+I121)&gt;(1.1*Variables!$E$50),(1.1*Variables!$E$50),IF((H120+I121)&gt;0,H120+I121,0))</f>
        <v>1.188200092565421</v>
      </c>
      <c r="I121" s="64">
        <f t="shared" ca="1" si="3"/>
        <v>-1.1784742271018056</v>
      </c>
      <c r="J121" s="63">
        <f>IF(SUM(E117:E120)&lt;Variables!$B$3,-H120,0)</f>
        <v>0</v>
      </c>
      <c r="K121" s="64">
        <f ca="1">IF(AND(H120&lt;Variables!$B$6*Variables!$E$50,OR(SUM(D118:D121)&gt;Variables!$B$5,SUM(E118:E121)&gt;Variables!$B$4)),Variables!$B$6*Variables!$E$50+Variables!$B$7*$G$1*Variables!$E$50*SUM(D118:D121),0)</f>
        <v>0</v>
      </c>
      <c r="L121" s="64">
        <f ca="1">IF(B121="Winter",Variables!$B$8*H120,0)</f>
        <v>-1.1784742271018056</v>
      </c>
      <c r="M121" s="64">
        <f ca="1">IF(AND(B121="Spring",AND(NOT(H120=0),H120&lt;(Variables!$B$9*Variables!$E$50))),(Variables!$B$10*Variables!$E$50+Variables!$B$11*Variables!$E$50*SUM(E118:E121)+$G$1*SUM(D120:D121)*Variables!$E$50*Variables!$B$12),0)</f>
        <v>0</v>
      </c>
      <c r="N121" s="64">
        <f>IF(AND(B121="Spring",AND(SUM(D118:D121)&gt;Variables!$B$13,SUM(D114:D117)&gt;Variables!$B$13)),-Variables!$B$14*Variables!$E$50,0)</f>
        <v>0</v>
      </c>
      <c r="O121" s="64">
        <f>IF(AND(B121="Summer",SUM(C117:D121)&gt;Variables!$B$15),(Variables!$B$16*Variables!$E$50*SUM(C117:C121)+$G$1*Variables!$B$16*Variables!$E$50*SUM(D117:D121)+$G$1*Variables!$E$50*Variables!$B$17*F121),0)</f>
        <v>0</v>
      </c>
      <c r="P121" s="64">
        <f ca="1">IF(AND(AND(B121="Autumn",SUM(D120:E121)&gt;0),NOT(H120=0)),Variables!$B$18*Variables!$E$50+Variables!$B$19*Variables!$E$50*SUM(E120:E121)+$G$1*Variables!$B$19*Variables!$E$50*SUM(D120:D121),0)</f>
        <v>0</v>
      </c>
      <c r="Q121" s="64">
        <f>IF(AND(B121="Autumn",AND((E121+E120)&lt;Variables!$B$20,(D120+D121)=0)),-Variables!$B$21*Variables!$E$50,0)</f>
        <v>0</v>
      </c>
      <c r="R121" s="64">
        <f>IF(B121="Autumn",(SUM(F120:F121)*$G$1*Variables!$B$22*Variables!$E$50),0)</f>
        <v>0</v>
      </c>
      <c r="S121" s="64">
        <f>IF(B121="Spring",($G$1*Variables!$E$50*SUM('Guts (MC)'!F120:F121)*Variables!$B$23),0)</f>
        <v>0</v>
      </c>
      <c r="T121" s="63">
        <f ca="1">IF((H120+SUM(J121:Q121))&lt;(Variables!$B$26*Variables!$E$50),$F$1*((Variables!$B$26*Variables!$E$50)-H120-SUM(J121:Q121)),0)</f>
        <v>0</v>
      </c>
      <c r="U121" s="64">
        <f ca="1">IF(AND(AND(B121="Autumn",SUM(D118:E121)&gt;Variables!$B$27),SUM(J121:Q121)&lt;Variables!$B$28*H120),$F$1*(Variables!$B$28*H120-SUM(J121:Q121)),0)</f>
        <v>0</v>
      </c>
      <c r="V121" s="96">
        <f ca="1">IF(AND((J121+K121)=0,(Q121+T121)=0),$H$1*H121*Variables!$I$23*0.25,0)</f>
        <v>14.482944392248772</v>
      </c>
      <c r="W121" s="97">
        <f ca="1">IF(AND((K121+J121)=0,(T121+Q121)=0),$I$1*H121*Variables!$Q$23*0.25,0)</f>
        <v>4.6579023596063207</v>
      </c>
      <c r="X121" s="95">
        <f ca="1">IF(AND(NOT(K121=0),(H121-H120)&gt;0),(H121-H120)*(Variables!$M$5*$H$1+Variables!$U$5*$I$1),0)+IF(AND(NOT((J121+N121+Q121)=0),(H120-H121)&gt;0),(H120-H121)*(Variables!$M$4*$H$1+Variables!$U$4*$I$1),0)</f>
        <v>0</v>
      </c>
      <c r="Y121" s="95">
        <f ca="1">IF(SUM(T121,U120:U121)&gt;0,H121*Variables!$Y$11*0.25*(1-$J$1),0)</f>
        <v>0</v>
      </c>
      <c r="Z121" s="95">
        <f ca="1">IF(T121=0,H121*$J$1*Variables!$Y$5*0.25,0)</f>
        <v>1.3370659236856213</v>
      </c>
      <c r="AA121" s="95">
        <f t="shared" ca="1" si="2"/>
        <v>20.477912675540715</v>
      </c>
      <c r="AB121" s="91">
        <f ca="1">AA121/Variables!$E$49</f>
        <v>3.3028891412162444</v>
      </c>
    </row>
    <row r="122" spans="1:28" x14ac:dyDescent="0.25">
      <c r="A122" s="61">
        <f>'Water runs'!C129</f>
        <v>13118</v>
      </c>
      <c r="B122" s="61" t="str">
        <f>'Water runs'!B129</f>
        <v>Spring</v>
      </c>
      <c r="C122" s="54">
        <f>'Water runs'!D129/100</f>
        <v>0.54520000000000002</v>
      </c>
      <c r="D122" s="108">
        <f>VLOOKUP(ROW(D122)+4,'Water runs'!$BS$3:$CF$423,MATCH($B$1,Scenarios,0)+1)</f>
        <v>0</v>
      </c>
      <c r="E122" s="54">
        <f>IF(B122=Variables!$D$8,C122-Variables!$E$8,IF(B122=Variables!$D$9,C122-Variables!$E$9,IF(B122=Variables!$D$10,C122-Variables!$E$10,IF(B122=Variables!$D$11,C122-Variables!$E$11,"ELSE"))))</f>
        <v>-0.21878220899470913</v>
      </c>
      <c r="F122" s="108">
        <f>VLOOKUP(ROW(F122)+4,'Water runs'!$CH$3:$CU$423,MATCH($B$1,Scenarios,0)+1)</f>
        <v>0</v>
      </c>
      <c r="G122" s="65">
        <f ca="1">H122/Variables!$E$49</f>
        <v>0.16100000000000003</v>
      </c>
      <c r="H122" s="62">
        <f ca="1">IF((H121+I122)&gt;(1.1*Variables!$E$50),(1.1*Variables!$E$50),IF((H121+I122)&gt;0,H121+I122,0))</f>
        <v>0.9982000000000002</v>
      </c>
      <c r="I122" s="64">
        <f ca="1">SUM(J122:U122)</f>
        <v>-0.19000009256542083</v>
      </c>
      <c r="J122" s="63">
        <f>IF(SUM(E118:E121)&lt;Variables!$B$3,-H121,0)</f>
        <v>0</v>
      </c>
      <c r="K122" s="64">
        <f ca="1">IF(AND(H121&lt;Variables!$B$6*Variables!$E$50,OR(SUM(D119:D122)&gt;Variables!$B$5,SUM(E119:E122)&gt;Variables!$B$4)),Variables!$B$6*Variables!$E$50+Variables!$B$7*$G$1*Variables!$E$50*SUM(D119:D122),0)</f>
        <v>0</v>
      </c>
      <c r="L122" s="64">
        <f>IF(B122="Winter",Variables!$B$8*H121,0)</f>
        <v>0</v>
      </c>
      <c r="M122" s="64">
        <f ca="1">IF(AND(B122="Spring",AND(NOT(H121=0),H121&lt;(Variables!$B$9*Variables!$E$50))),(Variables!$B$10*Variables!$E$50+Variables!$B$11*Variables!$E$50*SUM(E119:E122)+$G$1*SUM(D121:D122)*Variables!$E$50*Variables!$B$12),0)</f>
        <v>-1.6597028545998509</v>
      </c>
      <c r="N122" s="64">
        <f>IF(AND(B122="Spring",AND(SUM(D119:D122)&gt;Variables!$B$13,SUM(D115:D118)&gt;Variables!$B$13)),-Variables!$B$14*Variables!$E$50,0)</f>
        <v>0</v>
      </c>
      <c r="O122" s="64">
        <f>IF(AND(B122="Summer",SUM(C118:D122)&gt;Variables!$B$15),(Variables!$B$16*Variables!$E$50*SUM(C118:C122)+$G$1*Variables!$B$16*Variables!$E$50*SUM(D118:D122)+$G$1*Variables!$E$50*Variables!$B$17*F122),0)</f>
        <v>0</v>
      </c>
      <c r="P122" s="64">
        <f ca="1">IF(AND(AND(B122="Autumn",SUM(D121:E122)&gt;0),NOT(H121=0)),Variables!$B$18*Variables!$E$50+Variables!$B$19*Variables!$E$50*SUM(E121:E122)+$G$1*Variables!$B$19*Variables!$E$50*SUM(D121:D122),0)</f>
        <v>0</v>
      </c>
      <c r="Q122" s="64">
        <f>IF(AND(B122="Autumn",AND((E122+E121)&lt;Variables!$B$20,(D121+D122)=0)),-Variables!$B$21*Variables!$E$50,0)</f>
        <v>0</v>
      </c>
      <c r="R122" s="64">
        <f>IF(B122="Autumn",(SUM(F121:F122)*$G$1*Variables!$B$22*Variables!$E$50),0)</f>
        <v>0</v>
      </c>
      <c r="S122" s="64">
        <f ca="1">IF(B122="Spring",($G$1*Variables!$E$50*SUM('Guts (MC)'!F121:F122)*Variables!$B$23),0)</f>
        <v>0</v>
      </c>
      <c r="T122" s="63">
        <f ca="1">IF((H121+SUM(J122:Q122))&lt;(Variables!$B$26*Variables!$E$50),$F$1*((Variables!$B$26*Variables!$E$50)-H121-SUM(J122:Q122)),0)</f>
        <v>1.4697027620344301</v>
      </c>
      <c r="U122" s="64">
        <f ca="1">IF(AND(AND(B122="Autumn",SUM(D119:E122)&gt;Variables!$B$27),SUM(J122:Q122)&lt;Variables!$B$28*H121),$F$1*(Variables!$B$28*H121-SUM(J122:Q122)),0)</f>
        <v>0</v>
      </c>
      <c r="V122" s="96">
        <f ca="1">IF(AND((J122+K122)=0,(Q122+T122)=0),$H$1*H122*Variables!$I$23*0.25,0)</f>
        <v>0</v>
      </c>
      <c r="W122" s="97">
        <f ca="1">IF(AND((K122+J122)=0,(T122+Q122)=0),$I$1*H122*Variables!$Q$23*0.25,0)</f>
        <v>0</v>
      </c>
      <c r="X122" s="95">
        <f ca="1">IF(AND(NOT(K122=0),(H122-H121)&gt;0),(H122-H121)*(Variables!$M$5*$H$1+Variables!$U$5*$I$1),0)+IF(AND(NOT((J122+N122+Q122)=0),(H121-H122)&gt;0),(H121-H122)*(Variables!$M$4*$H$1+Variables!$U$4*$I$1),0)</f>
        <v>0</v>
      </c>
      <c r="Y122" s="95">
        <f ca="1">IF(SUM(T122,U121:U122)&gt;0,H122*Variables!$Y$11*0.25*(1-$J$1),0)</f>
        <v>-8.6666009437672749</v>
      </c>
      <c r="Z122" s="95">
        <f ca="1">IF(T122=0,H122*$J$1*Variables!$Y$5*0.25,0)</f>
        <v>0</v>
      </c>
      <c r="AA122" s="95">
        <f t="shared" ca="1" si="2"/>
        <v>-8.6666009437672749</v>
      </c>
      <c r="AB122" s="91">
        <f ca="1">AA122/Variables!$E$49</f>
        <v>-1.3978388618979476</v>
      </c>
    </row>
    <row r="123" spans="1:28" x14ac:dyDescent="0.25">
      <c r="A123" s="61">
        <f>'Water runs'!C130</f>
        <v>13208</v>
      </c>
      <c r="B123" s="61" t="str">
        <f>'Water runs'!B130</f>
        <v>Summer</v>
      </c>
      <c r="C123" s="54">
        <f>'Water runs'!D130/100</f>
        <v>1.21228571428571</v>
      </c>
      <c r="D123" s="108">
        <f>VLOOKUP(ROW(D123)+4,'Water runs'!$BS$3:$CF$423,MATCH($B$1,Scenarios,0)+1)</f>
        <v>0</v>
      </c>
      <c r="E123" s="54">
        <f>IF(B123=Variables!$D$8,C123-Variables!$E$8,IF(B123=Variables!$D$9,C123-Variables!$E$9,IF(B123=Variables!$D$10,C123-Variables!$E$10,IF(B123=Variables!$D$11,C123-Variables!$E$11,"ELSE"))))</f>
        <v>-4.6084421768711747E-2</v>
      </c>
      <c r="F123" s="108">
        <f>VLOOKUP(ROW(F123)+4,'Water runs'!$CH$3:$CU$423,MATCH($B$1,Scenarios,0)+1)</f>
        <v>0</v>
      </c>
      <c r="G123" s="65">
        <f ca="1">H123/Variables!$E$49</f>
        <v>0.161</v>
      </c>
      <c r="H123" s="62">
        <f ca="1">IF((H122+I123)&gt;(1.1*Variables!$E$50),(1.1*Variables!$E$50),IF((H122+I123)&gt;0,H122+I123,0))</f>
        <v>0.99820000000000009</v>
      </c>
      <c r="I123" s="64">
        <f ca="1">SUM(J123:U123)</f>
        <v>-1.1102230246251565E-16</v>
      </c>
      <c r="J123" s="63">
        <f ca="1">IF(SUM(E119:E122)&lt;Variables!$B$3,-H122,0)</f>
        <v>-0.9982000000000002</v>
      </c>
      <c r="K123" s="64">
        <f ca="1">IF(AND(H122&lt;Variables!$B$6*Variables!$E$50,OR(SUM(D120:D123)&gt;Variables!$B$5,SUM(E120:E123)&gt;Variables!$B$4)),Variables!$B$6*Variables!$E$50+Variables!$B$7*$G$1*Variables!$E$50*SUM(D120:D123),0)</f>
        <v>0</v>
      </c>
      <c r="L123" s="64">
        <f>IF(B123="Winter",Variables!$B$8*H122,0)</f>
        <v>0</v>
      </c>
      <c r="M123" s="64">
        <f ca="1">IF(AND(B123="Spring",AND(NOT(H122=0),H122&lt;(Variables!$B$9*Variables!$E$50))),(Variables!$B$10*Variables!$E$50+Variables!$B$11*Variables!$E$50*SUM(E120:E123)+$G$1*SUM(D122:D123)*Variables!$E$50*Variables!$B$12),0)</f>
        <v>0</v>
      </c>
      <c r="N123" s="64">
        <f>IF(AND(B123="Spring",AND(SUM(D120:D123)&gt;Variables!$B$13,SUM(D116:D119)&gt;Variables!$B$13)),-Variables!$B$14*Variables!$E$50,0)</f>
        <v>0</v>
      </c>
      <c r="O123" s="64">
        <f>IF(AND(B123="Summer",SUM(C119:D123)&gt;Variables!$B$15),(Variables!$B$16*Variables!$E$50*SUM(C119:C123)+$G$1*Variables!$B$16*Variables!$E$50*SUM(D119:D123)+$G$1*Variables!$E$50*Variables!$B$17*F123),0)</f>
        <v>0</v>
      </c>
      <c r="P123" s="64">
        <f ca="1">IF(AND(AND(B123="Autumn",SUM(D122:E123)&gt;0),NOT(H122=0)),Variables!$B$18*Variables!$E$50+Variables!$B$19*Variables!$E$50*SUM(E122:E123)+$G$1*Variables!$B$19*Variables!$E$50*SUM(D122:D123),0)</f>
        <v>0</v>
      </c>
      <c r="Q123" s="64">
        <f>IF(AND(B123="Autumn",AND((E123+E122)&lt;Variables!$B$20,(D122+D123)=0)),-Variables!$B$21*Variables!$E$50,0)</f>
        <v>0</v>
      </c>
      <c r="R123" s="64">
        <f>IF(B123="Autumn",(SUM(F122:F123)*$G$1*Variables!$B$22*Variables!$E$50),0)</f>
        <v>0</v>
      </c>
      <c r="S123" s="64">
        <f>IF(B123="Spring",($G$1*Variables!$E$50*SUM('Guts (MC)'!F122:F123)*Variables!$B$23),0)</f>
        <v>0</v>
      </c>
      <c r="T123" s="63">
        <f ca="1">IF((H122+SUM(J123:Q123))&lt;(Variables!$B$26*Variables!$E$50),$F$1*((Variables!$B$26*Variables!$E$50)-H122-SUM(J123:Q123)),0)</f>
        <v>0.99820000000000009</v>
      </c>
      <c r="U123" s="64">
        <f ca="1">IF(AND(AND(B123="Autumn",SUM(D120:E123)&gt;Variables!$B$27),SUM(J123:Q123)&lt;Variables!$B$28*H122),$F$1*(Variables!$B$28*H122-SUM(J123:Q123)),0)</f>
        <v>0</v>
      </c>
      <c r="V123" s="96">
        <f ca="1">IF(AND((J123+K123)=0,(Q123+T123)=0),$H$1*H123*Variables!$I$23*0.25,0)</f>
        <v>0</v>
      </c>
      <c r="W123" s="97">
        <f ca="1">IF(AND((K123+J123)=0,(T123+Q123)=0),$I$1*H123*Variables!$Q$23*0.25,0)</f>
        <v>0</v>
      </c>
      <c r="X123" s="95">
        <f ca="1">IF(AND(NOT(K123=0),(H123-H122)&gt;0),(H123-H122)*(Variables!$M$5*$H$1+Variables!$U$5*$I$1),0)+IF(AND(NOT((J123+N123+Q123)=0),(H122-H123)&gt;0),(H122-H123)*(Variables!$M$4*$H$1+Variables!$U$4*$I$1),0)</f>
        <v>6.3457279346661938E-15</v>
      </c>
      <c r="Y123" s="95">
        <f ca="1">IF(SUM(T123,U122:U123)&gt;0,H123*Variables!$Y$11*0.25*(1-$J$1),0)</f>
        <v>-8.6666009437672749</v>
      </c>
      <c r="Z123" s="95">
        <f ca="1">IF(T123=0,H123*$J$1*Variables!$Y$5*0.25,0)</f>
        <v>0</v>
      </c>
      <c r="AA123" s="95">
        <f t="shared" ca="1" si="2"/>
        <v>-8.6666009437672678</v>
      </c>
      <c r="AB123" s="91">
        <f ca="1">AA123/Variables!$E$49</f>
        <v>-1.3978388618979463</v>
      </c>
    </row>
    <row r="124" spans="1:28" x14ac:dyDescent="0.25">
      <c r="A124" s="61">
        <f>'Water runs'!C131</f>
        <v>13301</v>
      </c>
      <c r="B124" s="61" t="str">
        <f>'Water runs'!B131</f>
        <v>Autumn</v>
      </c>
      <c r="C124" s="54">
        <f>'Water runs'!D131/100</f>
        <v>0.63285714285714301</v>
      </c>
      <c r="D124" s="108">
        <f>VLOOKUP(ROW(D124)+4,'Water runs'!$BS$3:$CF$423,MATCH($B$1,Scenarios,0)+1)</f>
        <v>0</v>
      </c>
      <c r="E124" s="54">
        <f>IF(B124=Variables!$D$8,C124-Variables!$E$8,IF(B124=Variables!$D$9,C124-Variables!$E$9,IF(B124=Variables!$D$10,C124-Variables!$E$10,IF(B124=Variables!$D$11,C124-Variables!$E$11,"ELSE"))))</f>
        <v>-0.36178615646258483</v>
      </c>
      <c r="F124" s="108">
        <f>VLOOKUP(ROW(F124)+4,'Water runs'!$CH$3:$CU$423,MATCH($B$1,Scenarios,0)+1)</f>
        <v>0</v>
      </c>
      <c r="G124" s="65">
        <f ca="1">H124/Variables!$E$49</f>
        <v>0.161</v>
      </c>
      <c r="H124" s="62">
        <f ca="1">IF((H123+I124)&gt;(1.1*Variables!$E$50),(1.1*Variables!$E$50),IF((H123+I124)&gt;0,H123+I124,0))</f>
        <v>0.99820000000000009</v>
      </c>
      <c r="I124" s="64">
        <f ca="1">SUM(J124:U124)</f>
        <v>0</v>
      </c>
      <c r="J124" s="63">
        <f>IF(SUM(E120:E123)&lt;Variables!$B$3,-H123,0)</f>
        <v>0</v>
      </c>
      <c r="K124" s="64">
        <f ca="1">IF(AND(H123&lt;Variables!$B$6*Variables!$E$50,OR(SUM(D121:D124)&gt;Variables!$B$5,SUM(E121:E124)&gt;Variables!$B$4)),Variables!$B$6*Variables!$E$50+Variables!$B$7*$G$1*Variables!$E$50*SUM(D121:D124),0)</f>
        <v>0</v>
      </c>
      <c r="L124" s="64">
        <f>IF(B124="Winter",Variables!$B$8*H123,0)</f>
        <v>0</v>
      </c>
      <c r="M124" s="64">
        <f ca="1">IF(AND(B124="Spring",AND(NOT(H123=0),H123&lt;(Variables!$B$9*Variables!$E$50))),(Variables!$B$10*Variables!$E$50+Variables!$B$11*Variables!$E$50*SUM(E121:E124)+$G$1*SUM(D123:D124)*Variables!$E$50*Variables!$B$12),0)</f>
        <v>0</v>
      </c>
      <c r="N124" s="64">
        <f>IF(AND(B124="Spring",AND(SUM(D121:D124)&gt;Variables!$B$13,SUM(D117:D120)&gt;Variables!$B$13)),-Variables!$B$14*Variables!$E$50,0)</f>
        <v>0</v>
      </c>
      <c r="O124" s="64">
        <f>IF(AND(B124="Summer",SUM(C120:D124)&gt;Variables!$B$15),(Variables!$B$16*Variables!$E$50*SUM(C120:C124)+$G$1*Variables!$B$16*Variables!$E$50*SUM(D120:D124)+$G$1*Variables!$E$50*Variables!$B$17*F124),0)</f>
        <v>0</v>
      </c>
      <c r="P124" s="64">
        <f ca="1">IF(AND(AND(B124="Autumn",SUM(D123:E124)&gt;0),NOT(H123=0)),Variables!$B$18*Variables!$E$50+Variables!$B$19*Variables!$E$50*SUM(E123:E124)+$G$1*Variables!$B$19*Variables!$E$50*SUM(D123:D124),0)</f>
        <v>0</v>
      </c>
      <c r="Q124" s="64">
        <f>IF(AND(B124="Autumn",AND((E124+E123)&lt;Variables!$B$20,(D123+D124)=0)),-Variables!$B$21*Variables!$E$50,0)</f>
        <v>0</v>
      </c>
      <c r="R124" s="64">
        <f ca="1">IF(B124="Autumn",(SUM(F123:F124)*$G$1*Variables!$B$22*Variables!$E$50),0)</f>
        <v>0</v>
      </c>
      <c r="S124" s="64">
        <f>IF(B124="Spring",($G$1*Variables!$E$50*SUM('Guts (MC)'!F123:F124)*Variables!$B$23),0)</f>
        <v>0</v>
      </c>
      <c r="T124" s="63">
        <f ca="1">IF((H123+SUM(J124:Q124))&lt;(Variables!$B$26*Variables!$E$50),$F$1*((Variables!$B$26*Variables!$E$50)-H123-SUM(J124:Q124)),0)</f>
        <v>0</v>
      </c>
      <c r="U124" s="64">
        <f ca="1">IF(AND(AND(B124="Autumn",SUM(D121:E124)&gt;Variables!$B$27),SUM(J124:Q124)&lt;Variables!$B$28*H123),$F$1*(Variables!$B$28*H123-SUM(J124:Q124)),0)</f>
        <v>0</v>
      </c>
      <c r="V124" s="96">
        <f ca="1">IF(AND((J124+K124)=0,(Q124+T124)=0),$H$1*H124*Variables!$I$23*0.25,0)</f>
        <v>12.167037507234284</v>
      </c>
      <c r="W124" s="97">
        <f ca="1">IF(AND((K124+J124)=0,(T124+Q124)=0),$I$1*H124*Variables!$Q$23*0.25,0)</f>
        <v>3.9130767321523603</v>
      </c>
      <c r="X124" s="95">
        <f ca="1">IF(AND(NOT(K124=0),(H124-H123)&gt;0),(H124-H123)*(Variables!$M$5*$H$1+Variables!$U$5*$I$1),0)+IF(AND(NOT((J124+N124+Q124)=0),(H123-H124)&gt;0),(H123-H124)*(Variables!$M$4*$H$1+Variables!$U$4*$I$1),0)</f>
        <v>0</v>
      </c>
      <c r="Y124" s="95">
        <f ca="1">IF(SUM(T124,U123:U124)&gt;0,H124*Variables!$Y$11*0.25*(1-$J$1),0)</f>
        <v>0</v>
      </c>
      <c r="Z124" s="95">
        <f ca="1">IF(T124=0,H124*$J$1*Variables!$Y$5*0.25,0)</f>
        <v>1.1232613205250213</v>
      </c>
      <c r="AA124" s="95">
        <f t="shared" ca="1" si="2"/>
        <v>17.203375559911667</v>
      </c>
      <c r="AB124" s="91">
        <f ca="1">AA124/Variables!$E$49</f>
        <v>2.7747379935341399</v>
      </c>
    </row>
    <row r="125" spans="1:28" x14ac:dyDescent="0.25">
      <c r="A125" s="61">
        <f>'Water runs'!C132</f>
        <v>13393</v>
      </c>
      <c r="B125" s="61" t="str">
        <f>'Water runs'!B132</f>
        <v>Winter</v>
      </c>
      <c r="C125" s="54">
        <f>'Water runs'!D132/100</f>
        <v>0.78571428571428603</v>
      </c>
      <c r="D125" s="108">
        <f>VLOOKUP(ROW(D125)+4,'Water runs'!$BS$3:$CF$423,MATCH($B$1,Scenarios,0)+1)</f>
        <v>0</v>
      </c>
      <c r="E125" s="54">
        <f>IF(B125=Variables!$D$8,C125-Variables!$E$8,IF(B125=Variables!$D$9,C125-Variables!$E$9,IF(B125=Variables!$D$10,C125-Variables!$E$10,IF(B125=Variables!$D$11,C125-Variables!$E$11,"ELSE"))))</f>
        <v>0.2139466600529103</v>
      </c>
      <c r="F125" s="108">
        <f>VLOOKUP(ROW(F125)+4,'Water runs'!$CH$3:$CU$423,MATCH($B$1,Scenarios,0)+1)</f>
        <v>0</v>
      </c>
      <c r="G125" s="65">
        <f ca="1">H125/Variables!$E$49</f>
        <v>0.26483081534003849</v>
      </c>
      <c r="H125" s="62">
        <f ca="1">IF((H124+I125)&gt;(1.1*Variables!$E$50),(1.1*Variables!$E$50),IF((H124+I125)&gt;0,H124+I125,0))</f>
        <v>1.6419510551082386</v>
      </c>
      <c r="I125" s="64">
        <f t="shared" ref="I125:I188" ca="1" si="4">SUM(J125:U125)</f>
        <v>0.6437510551082386</v>
      </c>
      <c r="J125" s="63">
        <f>IF(SUM(E121:E124)&lt;Variables!$B$3,-H124,0)</f>
        <v>0</v>
      </c>
      <c r="K125" s="64">
        <f ca="1">IF(AND(H124&lt;Variables!$B$6*Variables!$E$50,OR(SUM(D122:D125)&gt;Variables!$B$5,SUM(E122:E125)&gt;Variables!$B$4)),Variables!$B$6*Variables!$E$50+Variables!$B$7*$G$1*Variables!$E$50*SUM(D122:D125),0)</f>
        <v>1.1408</v>
      </c>
      <c r="L125" s="64">
        <f ca="1">IF(B125="Winter",Variables!$B$8*H124,0)</f>
        <v>-0.49704894489176149</v>
      </c>
      <c r="M125" s="64">
        <f ca="1">IF(AND(B125="Spring",AND(NOT(H124=0),H124&lt;(Variables!$B$9*Variables!$E$50))),(Variables!$B$10*Variables!$E$50+Variables!$B$11*Variables!$E$50*SUM(E122:E125)+$G$1*SUM(D124:D125)*Variables!$E$50*Variables!$B$12),0)</f>
        <v>0</v>
      </c>
      <c r="N125" s="64">
        <f>IF(AND(B125="Spring",AND(SUM(D122:D125)&gt;Variables!$B$13,SUM(D118:D121)&gt;Variables!$B$13)),-Variables!$B$14*Variables!$E$50,0)</f>
        <v>0</v>
      </c>
      <c r="O125" s="64">
        <f>IF(AND(B125="Summer",SUM(C121:D125)&gt;Variables!$B$15),(Variables!$B$16*Variables!$E$50*SUM(C121:C125)+$G$1*Variables!$B$16*Variables!$E$50*SUM(D121:D125)+$G$1*Variables!$E$50*Variables!$B$17*F125),0)</f>
        <v>0</v>
      </c>
      <c r="P125" s="64">
        <f ca="1">IF(AND(AND(B125="Autumn",SUM(D124:E125)&gt;0),NOT(H124=0)),Variables!$B$18*Variables!$E$50+Variables!$B$19*Variables!$E$50*SUM(E124:E125)+$G$1*Variables!$B$19*Variables!$E$50*SUM(D124:D125),0)</f>
        <v>0</v>
      </c>
      <c r="Q125" s="64">
        <f>IF(AND(B125="Autumn",AND((E125+E124)&lt;Variables!$B$20,(D124+D125)=0)),-Variables!$B$21*Variables!$E$50,0)</f>
        <v>0</v>
      </c>
      <c r="R125" s="64">
        <f>IF(B125="Autumn",(SUM(F124:F125)*$G$1*Variables!$B$22*Variables!$E$50),0)</f>
        <v>0</v>
      </c>
      <c r="S125" s="64">
        <f>IF(B125="Spring",($G$1*Variables!$E$50*SUM('Guts (MC)'!F124:F125)*Variables!$B$23),0)</f>
        <v>0</v>
      </c>
      <c r="T125" s="63">
        <f ca="1">IF((H124+SUM(J125:Q125))&lt;(Variables!$B$26*Variables!$E$50),$F$1*((Variables!$B$26*Variables!$E$50)-H124-SUM(J125:Q125)),0)</f>
        <v>0</v>
      </c>
      <c r="U125" s="64">
        <f ca="1">IF(AND(AND(B125="Autumn",SUM(D122:E125)&gt;Variables!$B$27),SUM(J125:Q125)&lt;Variables!$B$28*H124),$F$1*(Variables!$B$28*H124-SUM(J125:Q125)),0)</f>
        <v>0</v>
      </c>
      <c r="V125" s="96">
        <f ca="1">IF(AND((J125+K125)=0,(Q125+T125)=0),$H$1*H125*Variables!$I$23*0.25,0)</f>
        <v>0</v>
      </c>
      <c r="W125" s="97">
        <f ca="1">IF(AND((K125+J125)=0,(T125+Q125)=0),$I$1*H125*Variables!$Q$23*0.25,0)</f>
        <v>0</v>
      </c>
      <c r="X125" s="95">
        <f ca="1">IF(AND(NOT(K125=0),(H125-H124)&gt;0),(H125-H124)*(Variables!$M$5*$H$1+Variables!$U$5*$I$1),0)+IF(AND(NOT((J125+N125+Q125)=0),(H124-H125)&gt;0),(H124-H125)*(Variables!$M$4*$H$1+Variables!$U$4*$I$1),0)</f>
        <v>-73.590061866180861</v>
      </c>
      <c r="Y125" s="95">
        <f ca="1">IF(SUM(T125,U124:U125)&gt;0,H125*Variables!$Y$11*0.25*(1-$J$1),0)</f>
        <v>0</v>
      </c>
      <c r="Z125" s="95">
        <f ca="1">IF(T125=0,H125*$J$1*Variables!$Y$5*0.25,0)</f>
        <v>1.8476659090345944</v>
      </c>
      <c r="AA125" s="95">
        <f t="shared" ca="1" si="2"/>
        <v>-71.742395957146272</v>
      </c>
      <c r="AB125" s="91">
        <f ca="1">AA125/Variables!$E$49</f>
        <v>-11.571354186636496</v>
      </c>
    </row>
    <row r="126" spans="1:28" x14ac:dyDescent="0.25">
      <c r="A126" s="61">
        <f>'Water runs'!C133</f>
        <v>13484</v>
      </c>
      <c r="B126" s="61" t="str">
        <f>'Water runs'!B133</f>
        <v>Spring</v>
      </c>
      <c r="C126" s="54">
        <f>'Water runs'!D133/100</f>
        <v>0</v>
      </c>
      <c r="D126" s="108">
        <f>VLOOKUP(ROW(D126)+4,'Water runs'!$BS$3:$CF$423,MATCH($B$1,Scenarios,0)+1)</f>
        <v>0</v>
      </c>
      <c r="E126" s="54">
        <f>IF(B126=Variables!$D$8,C126-Variables!$E$8,IF(B126=Variables!$D$9,C126-Variables!$E$9,IF(B126=Variables!$D$10,C126-Variables!$E$10,IF(B126=Variables!$D$11,C126-Variables!$E$11,"ELSE"))))</f>
        <v>-0.76398220899470914</v>
      </c>
      <c r="F126" s="108">
        <f>VLOOKUP(ROW(F126)+4,'Water runs'!$CH$3:$CU$423,MATCH($B$1,Scenarios,0)+1)</f>
        <v>0</v>
      </c>
      <c r="G126" s="65">
        <f ca="1">H126/Variables!$E$49</f>
        <v>0.161</v>
      </c>
      <c r="H126" s="62">
        <f ca="1">IF((H125+I126)&gt;(1.1*Variables!$E$50),(1.1*Variables!$E$50),IF((H125+I126)&gt;0,H125+I126,0))</f>
        <v>0.99820000000000009</v>
      </c>
      <c r="I126" s="64">
        <f t="shared" ca="1" si="4"/>
        <v>-0.64375105510823849</v>
      </c>
      <c r="J126" s="63">
        <f>IF(SUM(E122:E125)&lt;Variables!$B$3,-H125,0)</f>
        <v>0</v>
      </c>
      <c r="K126" s="64">
        <f ca="1">IF(AND(H125&lt;Variables!$B$6*Variables!$E$50,OR(SUM(D123:D126)&gt;Variables!$B$5,SUM(E123:E126)&gt;Variables!$B$4)),Variables!$B$6*Variables!$E$50+Variables!$B$7*$G$1*Variables!$E$50*SUM(D123:D126),0)</f>
        <v>0</v>
      </c>
      <c r="L126" s="64">
        <f>IF(B126="Winter",Variables!$B$8*H125,0)</f>
        <v>0</v>
      </c>
      <c r="M126" s="64">
        <f ca="1">IF(AND(B126="Spring",AND(NOT(H125=0),H125&lt;(Variables!$B$9*Variables!$E$50))),(Variables!$B$10*Variables!$E$50+Variables!$B$11*Variables!$E$50*SUM(E123:E126)+$G$1*SUM(D125:D126)*Variables!$E$50*Variables!$B$12),0)</f>
        <v>-0.65239316204087838</v>
      </c>
      <c r="N126" s="64">
        <f>IF(AND(B126="Spring",AND(SUM(D123:D126)&gt;Variables!$B$13,SUM(D119:D122)&gt;Variables!$B$13)),-Variables!$B$14*Variables!$E$50,0)</f>
        <v>0</v>
      </c>
      <c r="O126" s="64">
        <f>IF(AND(B126="Summer",SUM(C122:D126)&gt;Variables!$B$15),(Variables!$B$16*Variables!$E$50*SUM(C122:C126)+$G$1*Variables!$B$16*Variables!$E$50*SUM(D122:D126)+$G$1*Variables!$E$50*Variables!$B$17*F126),0)</f>
        <v>0</v>
      </c>
      <c r="P126" s="64">
        <f ca="1">IF(AND(AND(B126="Autumn",SUM(D125:E126)&gt;0),NOT(H125=0)),Variables!$B$18*Variables!$E$50+Variables!$B$19*Variables!$E$50*SUM(E125:E126)+$G$1*Variables!$B$19*Variables!$E$50*SUM(D125:D126),0)</f>
        <v>0</v>
      </c>
      <c r="Q126" s="64">
        <f>IF(AND(B126="Autumn",AND((E126+E125)&lt;Variables!$B$20,(D125+D126)=0)),-Variables!$B$21*Variables!$E$50,0)</f>
        <v>0</v>
      </c>
      <c r="R126" s="64">
        <f>IF(B126="Autumn",(SUM(F125:F126)*$G$1*Variables!$B$22*Variables!$E$50),0)</f>
        <v>0</v>
      </c>
      <c r="S126" s="64">
        <f ca="1">IF(B126="Spring",($G$1*Variables!$E$50*SUM('Guts (MC)'!F125:F126)*Variables!$B$23),0)</f>
        <v>0</v>
      </c>
      <c r="T126" s="63">
        <f ca="1">IF((H125+SUM(J126:Q126))&lt;(Variables!$B$26*Variables!$E$50),$F$1*((Variables!$B$26*Variables!$E$50)-H125-SUM(J126:Q126)),0)</f>
        <v>8.6421069326398925E-3</v>
      </c>
      <c r="U126" s="64">
        <f ca="1">IF(AND(AND(B126="Autumn",SUM(D123:E126)&gt;Variables!$B$27),SUM(J126:Q126)&lt;Variables!$B$28*H125),$F$1*(Variables!$B$28*H125-SUM(J126:Q126)),0)</f>
        <v>0</v>
      </c>
      <c r="V126" s="96">
        <f ca="1">IF(AND((J126+K126)=0,(Q126+T126)=0),$H$1*H126*Variables!$I$23*0.25,0)</f>
        <v>0</v>
      </c>
      <c r="W126" s="97">
        <f ca="1">IF(AND((K126+J126)=0,(T126+Q126)=0),$I$1*H126*Variables!$Q$23*0.25,0)</f>
        <v>0</v>
      </c>
      <c r="X126" s="95">
        <f ca="1">IF(AND(NOT(K126=0),(H126-H125)&gt;0),(H126-H125)*(Variables!$M$5*$H$1+Variables!$U$5*$I$1),0)+IF(AND(NOT((J126+N126+Q126)=0),(H125-H126)&gt;0),(H125-H126)*(Variables!$M$4*$H$1+Variables!$U$4*$I$1),0)</f>
        <v>0</v>
      </c>
      <c r="Y126" s="95">
        <f ca="1">IF(SUM(T126,U125:U126)&gt;0,H126*Variables!$Y$11*0.25*(1-$J$1),0)</f>
        <v>-8.6666009437672749</v>
      </c>
      <c r="Z126" s="95">
        <f ca="1">IF(T126=0,H126*$J$1*Variables!$Y$5*0.25,0)</f>
        <v>0</v>
      </c>
      <c r="AA126" s="95">
        <f t="shared" ca="1" si="2"/>
        <v>-8.6666009437672749</v>
      </c>
      <c r="AB126" s="91">
        <f ca="1">AA126/Variables!$E$49</f>
        <v>-1.3978388618979476</v>
      </c>
    </row>
    <row r="127" spans="1:28" x14ac:dyDescent="0.25">
      <c r="A127" s="61">
        <f>'Water runs'!C134</f>
        <v>13574</v>
      </c>
      <c r="B127" s="61" t="str">
        <f>'Water runs'!B134</f>
        <v>Summer</v>
      </c>
      <c r="C127" s="54">
        <f>'Water runs'!D134/100</f>
        <v>1.6675476190476202</v>
      </c>
      <c r="D127" s="108">
        <f>VLOOKUP(ROW(D127)+4,'Water runs'!$BS$3:$CF$423,MATCH($B$1,Scenarios,0)+1)</f>
        <v>2.4194965914219432E-2</v>
      </c>
      <c r="E127" s="54">
        <f>IF(B127=Variables!$D$8,C127-Variables!$E$8,IF(B127=Variables!$D$9,C127-Variables!$E$9,IF(B127=Variables!$D$10,C127-Variables!$E$10,IF(B127=Variables!$D$11,C127-Variables!$E$11,"ELSE"))))</f>
        <v>0.40917748299319845</v>
      </c>
      <c r="F127" s="108">
        <f>VLOOKUP(ROW(F127)+4,'Water runs'!$CH$3:$CU$423,MATCH($B$1,Scenarios,0)+1)</f>
        <v>0</v>
      </c>
      <c r="G127" s="65">
        <f ca="1">H127/Variables!$E$49</f>
        <v>0.161</v>
      </c>
      <c r="H127" s="62">
        <f ca="1">IF((H126+I127)&gt;(1.1*Variables!$E$50),(1.1*Variables!$E$50),IF((H126+I127)&gt;0,H126+I127,0))</f>
        <v>0.99820000000000009</v>
      </c>
      <c r="I127" s="64">
        <f t="shared" ca="1" si="4"/>
        <v>0</v>
      </c>
      <c r="J127" s="63">
        <f>IF(SUM(E123:E126)&lt;Variables!$B$3,-H126,0)</f>
        <v>0</v>
      </c>
      <c r="K127" s="64">
        <f ca="1">IF(AND(H126&lt;Variables!$B$6*Variables!$E$50,OR(SUM(D124:D127)&gt;Variables!$B$5,SUM(E124:E127)&gt;Variables!$B$4)),Variables!$B$6*Variables!$E$50+Variables!$B$7*$G$1*Variables!$E$50*SUM(D124:D127),0)</f>
        <v>0</v>
      </c>
      <c r="L127" s="64">
        <f>IF(B127="Winter",Variables!$B$8*H126,0)</f>
        <v>0</v>
      </c>
      <c r="M127" s="64">
        <f ca="1">IF(AND(B127="Spring",AND(NOT(H126=0),H126&lt;(Variables!$B$9*Variables!$E$50))),(Variables!$B$10*Variables!$E$50+Variables!$B$11*Variables!$E$50*SUM(E124:E127)+$G$1*SUM(D126:D127)*Variables!$E$50*Variables!$B$12),0)</f>
        <v>0</v>
      </c>
      <c r="N127" s="64">
        <f>IF(AND(B127="Spring",AND(SUM(D124:D127)&gt;Variables!$B$13,SUM(D120:D123)&gt;Variables!$B$13)),-Variables!$B$14*Variables!$E$50,0)</f>
        <v>0</v>
      </c>
      <c r="O127" s="64">
        <f>IF(AND(B127="Summer",SUM(C123:D127)&gt;Variables!$B$15),(Variables!$B$16*Variables!$E$50*SUM(C123:C127)+$G$1*Variables!$B$16*Variables!$E$50*SUM(D123:D127)+$G$1*Variables!$E$50*Variables!$B$17*F127),0)</f>
        <v>0</v>
      </c>
      <c r="P127" s="64">
        <f ca="1">IF(AND(AND(B127="Autumn",SUM(D126:E127)&gt;0),NOT(H126=0)),Variables!$B$18*Variables!$E$50+Variables!$B$19*Variables!$E$50*SUM(E126:E127)+$G$1*Variables!$B$19*Variables!$E$50*SUM(D126:D127),0)</f>
        <v>0</v>
      </c>
      <c r="Q127" s="64">
        <f>IF(AND(B127="Autumn",AND((E127+E126)&lt;Variables!$B$20,(D126+D127)=0)),-Variables!$B$21*Variables!$E$50,0)</f>
        <v>0</v>
      </c>
      <c r="R127" s="64">
        <f>IF(B127="Autumn",(SUM(F126:F127)*$G$1*Variables!$B$22*Variables!$E$50),0)</f>
        <v>0</v>
      </c>
      <c r="S127" s="64">
        <f>IF(B127="Spring",($G$1*Variables!$E$50*SUM('Guts (MC)'!F126:F127)*Variables!$B$23),0)</f>
        <v>0</v>
      </c>
      <c r="T127" s="63">
        <f ca="1">IF((H126+SUM(J127:Q127))&lt;(Variables!$B$26*Variables!$E$50),$F$1*((Variables!$B$26*Variables!$E$50)-H126-SUM(J127:Q127)),0)</f>
        <v>0</v>
      </c>
      <c r="U127" s="64">
        <f ca="1">IF(AND(AND(B127="Autumn",SUM(D124:E127)&gt;Variables!$B$27),SUM(J127:Q127)&lt;Variables!$B$28*H126),$F$1*(Variables!$B$28*H126-SUM(J127:Q127)),0)</f>
        <v>0</v>
      </c>
      <c r="V127" s="96">
        <f ca="1">IF(AND((J127+K127)=0,(Q127+T127)=0),$H$1*H127*Variables!$I$23*0.25,0)</f>
        <v>12.167037507234284</v>
      </c>
      <c r="W127" s="97">
        <f ca="1">IF(AND((K127+J127)=0,(T127+Q127)=0),$I$1*H127*Variables!$Q$23*0.25,0)</f>
        <v>3.9130767321523603</v>
      </c>
      <c r="X127" s="95">
        <f ca="1">IF(AND(NOT(K127=0),(H127-H126)&gt;0),(H127-H126)*(Variables!$M$5*$H$1+Variables!$U$5*$I$1),0)+IF(AND(NOT((J127+N127+Q127)=0),(H126-H127)&gt;0),(H126-H127)*(Variables!$M$4*$H$1+Variables!$U$4*$I$1),0)</f>
        <v>0</v>
      </c>
      <c r="Y127" s="95">
        <f ca="1">IF(SUM(T127,U126:U127)&gt;0,H127*Variables!$Y$11*0.25*(1-$J$1),0)</f>
        <v>0</v>
      </c>
      <c r="Z127" s="95">
        <f ca="1">IF(T127=0,H127*$J$1*Variables!$Y$5*0.25,0)</f>
        <v>1.1232613205250213</v>
      </c>
      <c r="AA127" s="95">
        <f t="shared" ca="1" si="2"/>
        <v>17.203375559911667</v>
      </c>
      <c r="AB127" s="91">
        <f ca="1">AA127/Variables!$E$49</f>
        <v>2.7747379935341399</v>
      </c>
    </row>
    <row r="128" spans="1:28" x14ac:dyDescent="0.25">
      <c r="A128" s="61">
        <f>'Water runs'!C135</f>
        <v>13666</v>
      </c>
      <c r="B128" s="61" t="str">
        <f>'Water runs'!B135</f>
        <v>Autumn</v>
      </c>
      <c r="C128" s="54">
        <f>'Water runs'!D135/100</f>
        <v>0.60233333333333294</v>
      </c>
      <c r="D128" s="108">
        <f>VLOOKUP(ROW(D128)+4,'Water runs'!$BS$3:$CF$423,MATCH($B$1,Scenarios,0)+1)</f>
        <v>0.26248663884908036</v>
      </c>
      <c r="E128" s="54">
        <f>IF(B128=Variables!$D$8,C128-Variables!$E$8,IF(B128=Variables!$D$9,C128-Variables!$E$9,IF(B128=Variables!$D$10,C128-Variables!$E$10,IF(B128=Variables!$D$11,C128-Variables!$E$11,"ELSE"))))</f>
        <v>-0.39230996598639489</v>
      </c>
      <c r="F128" s="108">
        <f>VLOOKUP(ROW(F128)+4,'Water runs'!$CH$3:$CU$423,MATCH($B$1,Scenarios,0)+1)</f>
        <v>0.24769554786657061</v>
      </c>
      <c r="G128" s="65">
        <f ca="1">H128/Variables!$E$49</f>
        <v>0.49911335267155121</v>
      </c>
      <c r="H128" s="62">
        <f ca="1">IF((H127+I128)&gt;(1.1*Variables!$E$50),(1.1*Variables!$E$50),IF((H127+I128)&gt;0,H127+I128,0))</f>
        <v>3.0945027865636177</v>
      </c>
      <c r="I128" s="64">
        <f t="shared" ca="1" si="4"/>
        <v>2.0963027865636175</v>
      </c>
      <c r="J128" s="63">
        <f>IF(SUM(E124:E127)&lt;Variables!$B$3,-H127,0)</f>
        <v>0</v>
      </c>
      <c r="K128" s="64">
        <f ca="1">IF(AND(H127&lt;Variables!$B$6*Variables!$E$50,OR(SUM(D125:D128)&gt;Variables!$B$5,SUM(E125:E128)&gt;Variables!$B$4)),Variables!$B$6*Variables!$E$50+Variables!$B$7*$G$1*Variables!$E$50*SUM(D125:D128),0)</f>
        <v>1.1570532474427948</v>
      </c>
      <c r="L128" s="64">
        <f>IF(B128="Winter",Variables!$B$8*H127,0)</f>
        <v>0</v>
      </c>
      <c r="M128" s="64">
        <f ca="1">IF(AND(B128="Spring",AND(NOT(H127=0),H127&lt;(Variables!$B$9*Variables!$E$50))),(Variables!$B$10*Variables!$E$50+Variables!$B$11*Variables!$E$50*SUM(E125:E128)+$G$1*SUM(D127:D128)*Variables!$E$50*Variables!$B$12),0)</f>
        <v>0</v>
      </c>
      <c r="N128" s="64">
        <f>IF(AND(B128="Spring",AND(SUM(D125:D128)&gt;Variables!$B$13,SUM(D121:D124)&gt;Variables!$B$13)),-Variables!$B$14*Variables!$E$50,0)</f>
        <v>0</v>
      </c>
      <c r="O128" s="64">
        <f>IF(AND(B128="Summer",SUM(C124:D128)&gt;Variables!$B$15),(Variables!$B$16*Variables!$E$50*SUM(C124:C128)+$G$1*Variables!$B$16*Variables!$E$50*SUM(D124:D128)+$G$1*Variables!$E$50*Variables!$B$17*F128),0)</f>
        <v>0</v>
      </c>
      <c r="P128" s="64">
        <f ca="1">IF(AND(AND(B128="Autumn",SUM(D127:E128)&gt;0),NOT(H127=0)),Variables!$B$18*Variables!$E$50+Variables!$B$19*Variables!$E$50*SUM(E127:E128)+$G$1*Variables!$B$19*Variables!$E$50*SUM(D127:D128),0)</f>
        <v>0.90175038647997552</v>
      </c>
      <c r="Q128" s="64">
        <f>IF(AND(B128="Autumn",AND((E128+E127)&lt;Variables!$B$20,(D127+D128)=0)),-Variables!$B$21*Variables!$E$50,0)</f>
        <v>0</v>
      </c>
      <c r="R128" s="64">
        <f ca="1">IF(B128="Autumn",(SUM(F127:F128)*$G$1*Variables!$B$22*Variables!$E$50),0)</f>
        <v>3.7499152640846835E-2</v>
      </c>
      <c r="S128" s="64">
        <f>IF(B128="Spring",($G$1*Variables!$E$50*SUM('Guts (MC)'!F127:F128)*Variables!$B$23),0)</f>
        <v>0</v>
      </c>
      <c r="T128" s="63">
        <f ca="1">IF((H127+SUM(J128:Q128))&lt;(Variables!$B$26*Variables!$E$50),$F$1*((Variables!$B$26*Variables!$E$50)-H127-SUM(J128:Q128)),0)</f>
        <v>0</v>
      </c>
      <c r="U128" s="64">
        <f ca="1">IF(AND(AND(B128="Autumn",SUM(D125:E128)&gt;Variables!$B$27),SUM(J128:Q128)&lt;Variables!$B$28*H127),$F$1*(Variables!$B$28*H127-SUM(J128:Q128)),0)</f>
        <v>0</v>
      </c>
      <c r="V128" s="96">
        <f ca="1">IF(AND((J128+K128)=0,(Q128+T128)=0),$H$1*H128*Variables!$I$23*0.25,0)</f>
        <v>0</v>
      </c>
      <c r="W128" s="97">
        <f ca="1">IF(AND((K128+J128)=0,(T128+Q128)=0),$I$1*H128*Variables!$Q$23*0.25,0)</f>
        <v>0</v>
      </c>
      <c r="X128" s="95">
        <f ca="1">IF(AND(NOT(K128=0),(H128-H127)&gt;0),(H128-H127)*(Variables!$M$5*$H$1+Variables!$U$5*$I$1),0)+IF(AND(NOT((J128+N128+Q128)=0),(H127-H128)&gt;0),(H127-H128)*(Variables!$M$4*$H$1+Variables!$U$4*$I$1),0)</f>
        <v>-239.63774587915185</v>
      </c>
      <c r="Y128" s="95">
        <f ca="1">IF(SUM(T128,U127:U128)&gt;0,H128*Variables!$Y$11*0.25*(1-$J$1),0)</f>
        <v>0</v>
      </c>
      <c r="Z128" s="95">
        <f ca="1">IF(T128=0,H128*$J$1*Variables!$Y$5*0.25,0)</f>
        <v>3.4822032522578712</v>
      </c>
      <c r="AA128" s="95">
        <f t="shared" ca="1" si="2"/>
        <v>-236.15554262689398</v>
      </c>
      <c r="AB128" s="91">
        <f ca="1">AA128/Variables!$E$49</f>
        <v>-38.089603649499026</v>
      </c>
    </row>
    <row r="129" spans="1:28" x14ac:dyDescent="0.25">
      <c r="A129" s="61">
        <f>'Water runs'!C136</f>
        <v>13758</v>
      </c>
      <c r="B129" s="61" t="str">
        <f>'Water runs'!B136</f>
        <v>Winter</v>
      </c>
      <c r="C129" s="54">
        <f>'Water runs'!D136/100</f>
        <v>0.42841666666666695</v>
      </c>
      <c r="D129" s="108">
        <f>VLOOKUP(ROW(D129)+4,'Water runs'!$BS$3:$CF$423,MATCH($B$1,Scenarios,0)+1)</f>
        <v>0</v>
      </c>
      <c r="E129" s="54">
        <f>IF(B129=Variables!$D$8,C129-Variables!$E$8,IF(B129=Variables!$D$9,C129-Variables!$E$9,IF(B129=Variables!$D$10,C129-Variables!$E$10,IF(B129=Variables!$D$11,C129-Variables!$E$11,"ELSE"))))</f>
        <v>-0.14335095899470879</v>
      </c>
      <c r="F129" s="108">
        <f>VLOOKUP(ROW(F129)+4,'Water runs'!$CH$3:$CU$423,MATCH($B$1,Scenarios,0)+1)</f>
        <v>0</v>
      </c>
      <c r="G129" s="65">
        <f ca="1">H129/Variables!$E$49</f>
        <v>0.25058223132634566</v>
      </c>
      <c r="H129" s="62">
        <f ca="1">IF((H128+I129)&gt;(1.1*Variables!$E$50),(1.1*Variables!$E$50),IF((H128+I129)&gt;0,H128+I129,0))</f>
        <v>1.5536098342233433</v>
      </c>
      <c r="I129" s="64">
        <f t="shared" ca="1" si="4"/>
        <v>-1.5408929523402743</v>
      </c>
      <c r="J129" s="63">
        <f>IF(SUM(E125:E128)&lt;Variables!$B$3,-H128,0)</f>
        <v>0</v>
      </c>
      <c r="K129" s="64">
        <f ca="1">IF(AND(H128&lt;Variables!$B$6*Variables!$E$50,OR(SUM(D126:D129)&gt;Variables!$B$5,SUM(E126:E129)&gt;Variables!$B$4)),Variables!$B$6*Variables!$E$50+Variables!$B$7*$G$1*Variables!$E$50*SUM(D126:D129),0)</f>
        <v>0</v>
      </c>
      <c r="L129" s="64">
        <f ca="1">IF(B129="Winter",Variables!$B$8*H128,0)</f>
        <v>-1.5408929523402743</v>
      </c>
      <c r="M129" s="64">
        <f ca="1">IF(AND(B129="Spring",AND(NOT(H128=0),H128&lt;(Variables!$B$9*Variables!$E$50))),(Variables!$B$10*Variables!$E$50+Variables!$B$11*Variables!$E$50*SUM(E126:E129)+$G$1*SUM(D128:D129)*Variables!$E$50*Variables!$B$12),0)</f>
        <v>0</v>
      </c>
      <c r="N129" s="64">
        <f>IF(AND(B129="Spring",AND(SUM(D126:D129)&gt;Variables!$B$13,SUM(D122:D125)&gt;Variables!$B$13)),-Variables!$B$14*Variables!$E$50,0)</f>
        <v>0</v>
      </c>
      <c r="O129" s="64">
        <f>IF(AND(B129="Summer",SUM(C125:D129)&gt;Variables!$B$15),(Variables!$B$16*Variables!$E$50*SUM(C125:C129)+$G$1*Variables!$B$16*Variables!$E$50*SUM(D125:D129)+$G$1*Variables!$E$50*Variables!$B$17*F129),0)</f>
        <v>0</v>
      </c>
      <c r="P129" s="64">
        <f ca="1">IF(AND(AND(B129="Autumn",SUM(D128:E129)&gt;0),NOT(H128=0)),Variables!$B$18*Variables!$E$50+Variables!$B$19*Variables!$E$50*SUM(E128:E129)+$G$1*Variables!$B$19*Variables!$E$50*SUM(D128:D129),0)</f>
        <v>0</v>
      </c>
      <c r="Q129" s="64">
        <f>IF(AND(B129="Autumn",AND((E129+E128)&lt;Variables!$B$20,(D128+D129)=0)),-Variables!$B$21*Variables!$E$50,0)</f>
        <v>0</v>
      </c>
      <c r="R129" s="64">
        <f>IF(B129="Autumn",(SUM(F128:F129)*$G$1*Variables!$B$22*Variables!$E$50),0)</f>
        <v>0</v>
      </c>
      <c r="S129" s="64">
        <f>IF(B129="Spring",($G$1*Variables!$E$50*SUM('Guts (MC)'!F128:F129)*Variables!$B$23),0)</f>
        <v>0</v>
      </c>
      <c r="T129" s="63">
        <f ca="1">IF((H128+SUM(J129:Q129))&lt;(Variables!$B$26*Variables!$E$50),$F$1*((Variables!$B$26*Variables!$E$50)-H128-SUM(J129:Q129)),0)</f>
        <v>0</v>
      </c>
      <c r="U129" s="64">
        <f ca="1">IF(AND(AND(B129="Autumn",SUM(D126:E129)&gt;Variables!$B$27),SUM(J129:Q129)&lt;Variables!$B$28*H128),$F$1*(Variables!$B$28*H128-SUM(J129:Q129)),0)</f>
        <v>0</v>
      </c>
      <c r="V129" s="96">
        <f ca="1">IF(AND((J129+K129)=0,(Q129+T129)=0),$H$1*H129*Variables!$I$23*0.25,0)</f>
        <v>18.936915572634195</v>
      </c>
      <c r="W129" s="97">
        <f ca="1">IF(AND((K129+J129)=0,(T129+Q129)=0),$I$1*H129*Variables!$Q$23*0.25,0)</f>
        <v>6.0903571359872268</v>
      </c>
      <c r="X129" s="95">
        <f ca="1">IF(AND(NOT(K129=0),(H129-H128)&gt;0),(H129-H128)*(Variables!$M$5*$H$1+Variables!$U$5*$I$1),0)+IF(AND(NOT((J129+N129+Q129)=0),(H128-H129)&gt;0),(H128-H129)*(Variables!$M$4*$H$1+Variables!$U$4*$I$1),0)</f>
        <v>0</v>
      </c>
      <c r="Y129" s="95">
        <f ca="1">IF(SUM(T129,U128:U129)&gt;0,H129*Variables!$Y$11*0.25*(1-$J$1),0)</f>
        <v>0</v>
      </c>
      <c r="Z129" s="95">
        <f ca="1">IF(T129=0,H129*$J$1*Variables!$Y$5*0.25,0)</f>
        <v>1.7482566960232138</v>
      </c>
      <c r="AA129" s="95">
        <f t="shared" ca="1" si="2"/>
        <v>26.775529404644637</v>
      </c>
      <c r="AB129" s="91">
        <f ca="1">AA129/Variables!$E$49</f>
        <v>4.3186337749426835</v>
      </c>
    </row>
    <row r="130" spans="1:28" x14ac:dyDescent="0.25">
      <c r="A130" s="61">
        <f>'Water runs'!C137</f>
        <v>13849</v>
      </c>
      <c r="B130" s="61" t="str">
        <f>'Water runs'!B137</f>
        <v>Spring</v>
      </c>
      <c r="C130" s="54">
        <f>'Water runs'!D137/100</f>
        <v>0.1125</v>
      </c>
      <c r="D130" s="108">
        <f>VLOOKUP(ROW(D130)+4,'Water runs'!$BS$3:$CF$423,MATCH($B$1,Scenarios,0)+1)</f>
        <v>0</v>
      </c>
      <c r="E130" s="54">
        <f>IF(B130=Variables!$D$8,C130-Variables!$E$8,IF(B130=Variables!$D$9,C130-Variables!$E$9,IF(B130=Variables!$D$10,C130-Variables!$E$10,IF(B130=Variables!$D$11,C130-Variables!$E$11,"ELSE"))))</f>
        <v>-0.6514822089947091</v>
      </c>
      <c r="F130" s="108">
        <f>VLOOKUP(ROW(F130)+4,'Water runs'!$CH$3:$CU$423,MATCH($B$1,Scenarios,0)+1)</f>
        <v>0</v>
      </c>
      <c r="G130" s="65">
        <f ca="1">H130/Variables!$E$49</f>
        <v>0.16512374778768632</v>
      </c>
      <c r="H130" s="62">
        <f ca="1">IF((H129+I130)&gt;(1.1*Variables!$E$50),(1.1*Variables!$E$50),IF((H129+I130)&gt;0,H129+I130,0))</f>
        <v>1.0237672362836552</v>
      </c>
      <c r="I130" s="64">
        <f t="shared" ca="1" si="4"/>
        <v>-0.52984259793968813</v>
      </c>
      <c r="J130" s="63">
        <f>IF(SUM(E126:E129)&lt;Variables!$B$3,-H129,0)</f>
        <v>0</v>
      </c>
      <c r="K130" s="64">
        <f ca="1">IF(AND(H129&lt;Variables!$B$6*Variables!$E$50,OR(SUM(D127:D130)&gt;Variables!$B$5,SUM(E127:E130)&gt;Variables!$B$4)),Variables!$B$6*Variables!$E$50+Variables!$B$7*$G$1*Variables!$E$50*SUM(D127:D130),0)</f>
        <v>0</v>
      </c>
      <c r="L130" s="64">
        <f>IF(B130="Winter",Variables!$B$8*H129,0)</f>
        <v>0</v>
      </c>
      <c r="M130" s="64">
        <f ca="1">IF(AND(B130="Spring",AND(NOT(H129=0),H129&lt;(Variables!$B$9*Variables!$E$50))),(Variables!$B$10*Variables!$E$50+Variables!$B$11*Variables!$E$50*SUM(E127:E130)+$G$1*SUM(D129:D130)*Variables!$E$50*Variables!$B$12),0)</f>
        <v>-0.52984259793968813</v>
      </c>
      <c r="N130" s="64">
        <f>IF(AND(B130="Spring",AND(SUM(D127:D130)&gt;Variables!$B$13,SUM(D123:D126)&gt;Variables!$B$13)),-Variables!$B$14*Variables!$E$50,0)</f>
        <v>0</v>
      </c>
      <c r="O130" s="64">
        <f>IF(AND(B130="Summer",SUM(C126:D130)&gt;Variables!$B$15),(Variables!$B$16*Variables!$E$50*SUM(C126:C130)+$G$1*Variables!$B$16*Variables!$E$50*SUM(D126:D130)+$G$1*Variables!$E$50*Variables!$B$17*F130),0)</f>
        <v>0</v>
      </c>
      <c r="P130" s="64">
        <f ca="1">IF(AND(AND(B130="Autumn",SUM(D129:E130)&gt;0),NOT(H129=0)),Variables!$B$18*Variables!$E$50+Variables!$B$19*Variables!$E$50*SUM(E129:E130)+$G$1*Variables!$B$19*Variables!$E$50*SUM(D129:D130),0)</f>
        <v>0</v>
      </c>
      <c r="Q130" s="64">
        <f>IF(AND(B130="Autumn",AND((E130+E129)&lt;Variables!$B$20,(D129+D130)=0)),-Variables!$B$21*Variables!$E$50,0)</f>
        <v>0</v>
      </c>
      <c r="R130" s="64">
        <f>IF(B130="Autumn",(SUM(F129:F130)*$G$1*Variables!$B$22*Variables!$E$50),0)</f>
        <v>0</v>
      </c>
      <c r="S130" s="64">
        <f ca="1">IF(B130="Spring",($G$1*Variables!$E$50*SUM('Guts (MC)'!F129:F130)*Variables!$B$23),0)</f>
        <v>0</v>
      </c>
      <c r="T130" s="63">
        <f ca="1">IF((H129+SUM(J130:Q130))&lt;(Variables!$B$26*Variables!$E$50),$F$1*((Variables!$B$26*Variables!$E$50)-H129-SUM(J130:Q130)),0)</f>
        <v>0</v>
      </c>
      <c r="U130" s="64">
        <f ca="1">IF(AND(AND(B130="Autumn",SUM(D127:E130)&gt;Variables!$B$27),SUM(J130:Q130)&lt;Variables!$B$28*H129),$F$1*(Variables!$B$28*H129-SUM(J130:Q130)),0)</f>
        <v>0</v>
      </c>
      <c r="V130" s="96">
        <f ca="1">IF(AND((J130+K130)=0,(Q130+T130)=0),$H$1*H130*Variables!$I$23*0.25,0)</f>
        <v>12.47867597930356</v>
      </c>
      <c r="W130" s="97">
        <f ca="1">IF(AND((K130+J130)=0,(T130+Q130)=0),$I$1*H130*Variables!$Q$23*0.25,0)</f>
        <v>4.013303698098075</v>
      </c>
      <c r="X130" s="95">
        <f ca="1">IF(AND(NOT(K130=0),(H130-H129)&gt;0),(H130-H129)*(Variables!$M$5*$H$1+Variables!$U$5*$I$1),0)+IF(AND(NOT((J130+N130+Q130)=0),(H129-H130)&gt;0),(H129-H130)*(Variables!$M$4*$H$1+Variables!$U$4*$I$1),0)</f>
        <v>0</v>
      </c>
      <c r="Y130" s="95">
        <f ca="1">IF(SUM(T130,U129:U130)&gt;0,H130*Variables!$Y$11*0.25*(1-$J$1),0)</f>
        <v>0</v>
      </c>
      <c r="Z130" s="95">
        <f ca="1">IF(T130=0,H130*$J$1*Variables!$Y$5*0.25,0)</f>
        <v>1.1520317949691745</v>
      </c>
      <c r="AA130" s="95">
        <f t="shared" ca="1" si="2"/>
        <v>17.64401147237081</v>
      </c>
      <c r="AB130" s="91">
        <f ca="1">AA130/Variables!$E$49</f>
        <v>2.8458083019952918</v>
      </c>
    </row>
    <row r="131" spans="1:28" x14ac:dyDescent="0.25">
      <c r="A131" s="61">
        <f>'Water runs'!C138</f>
        <v>13939</v>
      </c>
      <c r="B131" s="61" t="str">
        <f>'Water runs'!B138</f>
        <v>Summer</v>
      </c>
      <c r="C131" s="54">
        <f>'Water runs'!D138/100</f>
        <v>0.29828571428571399</v>
      </c>
      <c r="D131" s="108">
        <f>VLOOKUP(ROW(D131)+4,'Water runs'!$BS$3:$CF$423,MATCH($B$1,Scenarios,0)+1)</f>
        <v>0</v>
      </c>
      <c r="E131" s="54">
        <f>IF(B131=Variables!$D$8,C131-Variables!$E$8,IF(B131=Variables!$D$9,C131-Variables!$E$9,IF(B131=Variables!$D$10,C131-Variables!$E$10,IF(B131=Variables!$D$11,C131-Variables!$E$11,"ELSE"))))</f>
        <v>-0.96008442176870767</v>
      </c>
      <c r="F131" s="108">
        <f>VLOOKUP(ROW(F131)+4,'Water runs'!$CH$3:$CU$423,MATCH($B$1,Scenarios,0)+1)</f>
        <v>0</v>
      </c>
      <c r="G131" s="65">
        <f ca="1">H131/Variables!$E$49</f>
        <v>0.35152399421863539</v>
      </c>
      <c r="H131" s="62">
        <f ca="1">IF((H130+I131)&gt;(1.1*Variables!$E$50),(1.1*Variables!$E$50),IF((H130+I131)&gt;0,H130+I131,0))</f>
        <v>2.1794487641555396</v>
      </c>
      <c r="I131" s="64">
        <f t="shared" ca="1" si="4"/>
        <v>1.1556815278718846</v>
      </c>
      <c r="J131" s="63">
        <f>IF(SUM(E127:E130)&lt;Variables!$B$3,-H130,0)</f>
        <v>0</v>
      </c>
      <c r="K131" s="64">
        <f ca="1">IF(AND(H130&lt;Variables!$B$6*Variables!$E$50,OR(SUM(D128:D131)&gt;Variables!$B$5,SUM(E128:E131)&gt;Variables!$B$4)),Variables!$B$6*Variables!$E$50+Variables!$B$7*$G$1*Variables!$E$50*SUM(D128:D131),0)</f>
        <v>1.1556815278718846</v>
      </c>
      <c r="L131" s="64">
        <f>IF(B131="Winter",Variables!$B$8*H130,0)</f>
        <v>0</v>
      </c>
      <c r="M131" s="64">
        <f ca="1">IF(AND(B131="Spring",AND(NOT(H130=0),H130&lt;(Variables!$B$9*Variables!$E$50))),(Variables!$B$10*Variables!$E$50+Variables!$B$11*Variables!$E$50*SUM(E128:E131)+$G$1*SUM(D130:D131)*Variables!$E$50*Variables!$B$12),0)</f>
        <v>0</v>
      </c>
      <c r="N131" s="64">
        <f>IF(AND(B131="Spring",AND(SUM(D128:D131)&gt;Variables!$B$13,SUM(D124:D127)&gt;Variables!$B$13)),-Variables!$B$14*Variables!$E$50,0)</f>
        <v>0</v>
      </c>
      <c r="O131" s="64">
        <f>IF(AND(B131="Summer",SUM(C127:D131)&gt;Variables!$B$15),(Variables!$B$16*Variables!$E$50*SUM(C127:C131)+$G$1*Variables!$B$16*Variables!$E$50*SUM(D127:D131)+$G$1*Variables!$E$50*Variables!$B$17*F131),0)</f>
        <v>0</v>
      </c>
      <c r="P131" s="64">
        <f ca="1">IF(AND(AND(B131="Autumn",SUM(D130:E131)&gt;0),NOT(H130=0)),Variables!$B$18*Variables!$E$50+Variables!$B$19*Variables!$E$50*SUM(E130:E131)+$G$1*Variables!$B$19*Variables!$E$50*SUM(D130:D131),0)</f>
        <v>0</v>
      </c>
      <c r="Q131" s="64">
        <f>IF(AND(B131="Autumn",AND((E131+E130)&lt;Variables!$B$20,(D130+D131)=0)),-Variables!$B$21*Variables!$E$50,0)</f>
        <v>0</v>
      </c>
      <c r="R131" s="64">
        <f>IF(B131="Autumn",(SUM(F130:F131)*$G$1*Variables!$B$22*Variables!$E$50),0)</f>
        <v>0</v>
      </c>
      <c r="S131" s="64">
        <f>IF(B131="Spring",($G$1*Variables!$E$50*SUM('Guts (MC)'!F130:F131)*Variables!$B$23),0)</f>
        <v>0</v>
      </c>
      <c r="T131" s="63">
        <f ca="1">IF((H130+SUM(J131:Q131))&lt;(Variables!$B$26*Variables!$E$50),$F$1*((Variables!$B$26*Variables!$E$50)-H130-SUM(J131:Q131)),0)</f>
        <v>0</v>
      </c>
      <c r="U131" s="64">
        <f ca="1">IF(AND(AND(B131="Autumn",SUM(D128:E131)&gt;Variables!$B$27),SUM(J131:Q131)&lt;Variables!$B$28*H130),$F$1*(Variables!$B$28*H130-SUM(J131:Q131)),0)</f>
        <v>0</v>
      </c>
      <c r="V131" s="96">
        <f ca="1">IF(AND((J131+K131)=0,(Q131+T131)=0),$H$1*H131*Variables!$I$23*0.25,0)</f>
        <v>0</v>
      </c>
      <c r="W131" s="97">
        <f ca="1">IF(AND((K131+J131)=0,(T131+Q131)=0),$I$1*H131*Variables!$Q$23*0.25,0)</f>
        <v>0</v>
      </c>
      <c r="X131" s="95">
        <f ca="1">IF(AND(NOT(K131=0),(H131-H130)&gt;0),(H131-H130)*(Variables!$M$5*$H$1+Variables!$U$5*$I$1),0)+IF(AND(NOT((J131+N131+Q131)=0),(H130-H131)&gt;0),(H130-H131)*(Variables!$M$4*$H$1+Variables!$U$4*$I$1),0)</f>
        <v>-132.11112348296638</v>
      </c>
      <c r="Y131" s="95">
        <f ca="1">IF(SUM(T131,U130:U131)&gt;0,H131*Variables!$Y$11*0.25*(1-$J$1),0)</f>
        <v>0</v>
      </c>
      <c r="Z131" s="95">
        <f ca="1">IF(T131=0,H131*$J$1*Variables!$Y$5*0.25,0)</f>
        <v>2.4525050058525113</v>
      </c>
      <c r="AA131" s="95">
        <f t="shared" ca="1" si="2"/>
        <v>-129.65861847711386</v>
      </c>
      <c r="AB131" s="91">
        <f ca="1">AA131/Variables!$E$49</f>
        <v>-20.912680399534494</v>
      </c>
    </row>
    <row r="132" spans="1:28" x14ac:dyDescent="0.25">
      <c r="A132" s="61">
        <f>'Water runs'!C139</f>
        <v>14031</v>
      </c>
      <c r="B132" s="61" t="str">
        <f>'Water runs'!B139</f>
        <v>Autumn</v>
      </c>
      <c r="C132" s="54">
        <f>'Water runs'!D139/100</f>
        <v>0.41542857142857104</v>
      </c>
      <c r="D132" s="108">
        <f>VLOOKUP(ROW(D132)+4,'Water runs'!$BS$3:$CF$423,MATCH($B$1,Scenarios,0)+1)</f>
        <v>0</v>
      </c>
      <c r="E132" s="54">
        <f>IF(B132=Variables!$D$8,C132-Variables!$E$8,IF(B132=Variables!$D$9,C132-Variables!$E$9,IF(B132=Variables!$D$10,C132-Variables!$E$10,IF(B132=Variables!$D$11,C132-Variables!$E$11,"ELSE"))))</f>
        <v>-0.5792147278911568</v>
      </c>
      <c r="F132" s="108">
        <f>VLOOKUP(ROW(F132)+4,'Water runs'!$CH$3:$CU$423,MATCH($B$1,Scenarios,0)+1)</f>
        <v>0</v>
      </c>
      <c r="G132" s="65">
        <f ca="1">H132/Variables!$E$49</f>
        <v>0.16100000000000003</v>
      </c>
      <c r="H132" s="62">
        <f ca="1">IF((H131+I132)&gt;(1.1*Variables!$E$50),(1.1*Variables!$E$50),IF((H131+I132)&gt;0,H131+I132,0))</f>
        <v>0.9982000000000002</v>
      </c>
      <c r="I132" s="64">
        <f t="shared" ca="1" si="4"/>
        <v>-1.1812487641555394</v>
      </c>
      <c r="J132" s="63">
        <f ca="1">IF(SUM(E128:E131)&lt;Variables!$B$3,-H131,0)</f>
        <v>-2.1794487641555396</v>
      </c>
      <c r="K132" s="64">
        <f ca="1">IF(AND(H131&lt;Variables!$B$6*Variables!$E$50,OR(SUM(D129:D132)&gt;Variables!$B$5,SUM(E129:E132)&gt;Variables!$B$4)),Variables!$B$6*Variables!$E$50+Variables!$B$7*$G$1*Variables!$E$50*SUM(D129:D132),0)</f>
        <v>0</v>
      </c>
      <c r="L132" s="64">
        <f>IF(B132="Winter",Variables!$B$8*H131,0)</f>
        <v>0</v>
      </c>
      <c r="M132" s="64">
        <f ca="1">IF(AND(B132="Spring",AND(NOT(H131=0),H131&lt;(Variables!$B$9*Variables!$E$50))),(Variables!$B$10*Variables!$E$50+Variables!$B$11*Variables!$E$50*SUM(E129:E132)+$G$1*SUM(D131:D132)*Variables!$E$50*Variables!$B$12),0)</f>
        <v>0</v>
      </c>
      <c r="N132" s="64">
        <f>IF(AND(B132="Spring",AND(SUM(D129:D132)&gt;Variables!$B$13,SUM(D125:D128)&gt;Variables!$B$13)),-Variables!$B$14*Variables!$E$50,0)</f>
        <v>0</v>
      </c>
      <c r="O132" s="64">
        <f>IF(AND(B132="Summer",SUM(C128:D132)&gt;Variables!$B$15),(Variables!$B$16*Variables!$E$50*SUM(C128:C132)+$G$1*Variables!$B$16*Variables!$E$50*SUM(D128:D132)+$G$1*Variables!$E$50*Variables!$B$17*F132),0)</f>
        <v>0</v>
      </c>
      <c r="P132" s="64">
        <f ca="1">IF(AND(AND(B132="Autumn",SUM(D131:E132)&gt;0),NOT(H131=0)),Variables!$B$18*Variables!$E$50+Variables!$B$19*Variables!$E$50*SUM(E131:E132)+$G$1*Variables!$B$19*Variables!$E$50*SUM(D131:D132),0)</f>
        <v>0</v>
      </c>
      <c r="Q132" s="64">
        <f>IF(AND(B132="Autumn",AND((E132+E131)&lt;Variables!$B$20,(D131+D132)=0)),-Variables!$B$21*Variables!$E$50,0)</f>
        <v>0</v>
      </c>
      <c r="R132" s="64">
        <f ca="1">IF(B132="Autumn",(SUM(F131:F132)*$G$1*Variables!$B$22*Variables!$E$50),0)</f>
        <v>0</v>
      </c>
      <c r="S132" s="64">
        <f>IF(B132="Spring",($G$1*Variables!$E$50*SUM('Guts (MC)'!F131:F132)*Variables!$B$23),0)</f>
        <v>0</v>
      </c>
      <c r="T132" s="63">
        <f ca="1">IF((H131+SUM(J132:Q132))&lt;(Variables!$B$26*Variables!$E$50),$F$1*((Variables!$B$26*Variables!$E$50)-H131-SUM(J132:Q132)),0)</f>
        <v>0.9982000000000002</v>
      </c>
      <c r="U132" s="64">
        <f ca="1">IF(AND(AND(B132="Autumn",SUM(D129:E132)&gt;Variables!$B$27),SUM(J132:Q132)&lt;Variables!$B$28*H131),$F$1*(Variables!$B$28*H131-SUM(J132:Q132)),0)</f>
        <v>0</v>
      </c>
      <c r="V132" s="96">
        <f ca="1">IF(AND((J132+K132)=0,(Q132+T132)=0),$H$1*H132*Variables!$I$23*0.25,0)</f>
        <v>0</v>
      </c>
      <c r="W132" s="97">
        <f ca="1">IF(AND((K132+J132)=0,(T132+Q132)=0),$I$1*H132*Variables!$Q$23*0.25,0)</f>
        <v>0</v>
      </c>
      <c r="X132" s="95">
        <f ca="1">IF(AND(NOT(K132=0),(H132-H131)&gt;0),(H132-H131)*(Variables!$M$5*$H$1+Variables!$U$5*$I$1),0)+IF(AND(NOT((J132+N132+Q132)=0),(H131-H132)&gt;0),(H131-H132)*(Variables!$M$4*$H$1+Variables!$U$4*$I$1),0)</f>
        <v>67.516914297670525</v>
      </c>
      <c r="Y132" s="95">
        <f ca="1">IF(SUM(T132,U131:U132)&gt;0,H132*Variables!$Y$11*0.25*(1-$J$1),0)</f>
        <v>-8.6666009437672749</v>
      </c>
      <c r="Z132" s="95">
        <f ca="1">IF(T132=0,H132*$J$1*Variables!$Y$5*0.25,0)</f>
        <v>0</v>
      </c>
      <c r="AA132" s="95">
        <f t="shared" ca="1" si="2"/>
        <v>58.850313353903246</v>
      </c>
      <c r="AB132" s="91">
        <f ca="1">AA132/Variables!$E$49</f>
        <v>9.4919860248231043</v>
      </c>
    </row>
    <row r="133" spans="1:28" x14ac:dyDescent="0.25">
      <c r="A133" s="61">
        <f>'Water runs'!C140</f>
        <v>14123</v>
      </c>
      <c r="B133" s="61" t="str">
        <f>'Water runs'!B140</f>
        <v>Winter</v>
      </c>
      <c r="C133" s="54">
        <f>'Water runs'!D140/100</f>
        <v>0.875</v>
      </c>
      <c r="D133" s="108">
        <f>VLOOKUP(ROW(D133)+4,'Water runs'!$BS$3:$CF$423,MATCH($B$1,Scenarios,0)+1)</f>
        <v>6.2181806665135911E-2</v>
      </c>
      <c r="E133" s="54">
        <f>IF(B133=Variables!$D$8,C133-Variables!$E$8,IF(B133=Variables!$D$9,C133-Variables!$E$9,IF(B133=Variables!$D$10,C133-Variables!$E$10,IF(B133=Variables!$D$11,C133-Variables!$E$11,"ELSE"))))</f>
        <v>0.30323237433862427</v>
      </c>
      <c r="F133" s="108">
        <f>VLOOKUP(ROW(F133)+4,'Water runs'!$CH$3:$CU$423,MATCH($B$1,Scenarios,0)+1)</f>
        <v>0</v>
      </c>
      <c r="G133" s="65">
        <f ca="1">H133/Variables!$E$49</f>
        <v>0.16100000000000003</v>
      </c>
      <c r="H133" s="62">
        <f ca="1">IF((H132+I133)&gt;(1.1*Variables!$E$50),(1.1*Variables!$E$50),IF((H132+I133)&gt;0,H132+I133,0))</f>
        <v>0.9982000000000002</v>
      </c>
      <c r="I133" s="64">
        <f t="shared" ca="1" si="4"/>
        <v>0</v>
      </c>
      <c r="J133" s="63">
        <f ca="1">IF(SUM(E129:E132)&lt;Variables!$B$3,-H132,0)</f>
        <v>-0.9982000000000002</v>
      </c>
      <c r="K133" s="64">
        <f ca="1">IF(AND(H132&lt;Variables!$B$6*Variables!$E$50,OR(SUM(D130:D133)&gt;Variables!$B$5,SUM(E130:E133)&gt;Variables!$B$4)),Variables!$B$6*Variables!$E$50+Variables!$B$7*$G$1*Variables!$E$50*SUM(D130:D133),0)</f>
        <v>0</v>
      </c>
      <c r="L133" s="64">
        <f ca="1">IF(B133="Winter",Variables!$B$8*H132,0)</f>
        <v>-0.49704894489176155</v>
      </c>
      <c r="M133" s="64">
        <f ca="1">IF(AND(B133="Spring",AND(NOT(H132=0),H132&lt;(Variables!$B$9*Variables!$E$50))),(Variables!$B$10*Variables!$E$50+Variables!$B$11*Variables!$E$50*SUM(E130:E133)+$G$1*SUM(D132:D133)*Variables!$E$50*Variables!$B$12),0)</f>
        <v>0</v>
      </c>
      <c r="N133" s="64">
        <f>IF(AND(B133="Spring",AND(SUM(D130:D133)&gt;Variables!$B$13,SUM(D126:D129)&gt;Variables!$B$13)),-Variables!$B$14*Variables!$E$50,0)</f>
        <v>0</v>
      </c>
      <c r="O133" s="64">
        <f>IF(AND(B133="Summer",SUM(C129:D133)&gt;Variables!$B$15),(Variables!$B$16*Variables!$E$50*SUM(C129:C133)+$G$1*Variables!$B$16*Variables!$E$50*SUM(D129:D133)+$G$1*Variables!$E$50*Variables!$B$17*F133),0)</f>
        <v>0</v>
      </c>
      <c r="P133" s="64">
        <f ca="1">IF(AND(AND(B133="Autumn",SUM(D132:E133)&gt;0),NOT(H132=0)),Variables!$B$18*Variables!$E$50+Variables!$B$19*Variables!$E$50*SUM(E132:E133)+$G$1*Variables!$B$19*Variables!$E$50*SUM(D132:D133),0)</f>
        <v>0</v>
      </c>
      <c r="Q133" s="64">
        <f>IF(AND(B133="Autumn",AND((E133+E132)&lt;Variables!$B$20,(D132+D133)=0)),-Variables!$B$21*Variables!$E$50,0)</f>
        <v>0</v>
      </c>
      <c r="R133" s="64">
        <f>IF(B133="Autumn",(SUM(F132:F133)*$G$1*Variables!$B$22*Variables!$E$50),0)</f>
        <v>0</v>
      </c>
      <c r="S133" s="64">
        <f>IF(B133="Spring",($G$1*Variables!$E$50*SUM('Guts (MC)'!F132:F133)*Variables!$B$23),0)</f>
        <v>0</v>
      </c>
      <c r="T133" s="63">
        <f ca="1">IF((H132+SUM(J133:Q133))&lt;(Variables!$B$26*Variables!$E$50),$F$1*((Variables!$B$26*Variables!$E$50)-H132-SUM(J133:Q133)),0)</f>
        <v>1.4952489448917619</v>
      </c>
      <c r="U133" s="64">
        <f ca="1">IF(AND(AND(B133="Autumn",SUM(D130:E133)&gt;Variables!$B$27),SUM(J133:Q133)&lt;Variables!$B$28*H132),$F$1*(Variables!$B$28*H132-SUM(J133:Q133)),0)</f>
        <v>0</v>
      </c>
      <c r="V133" s="96">
        <f ca="1">IF(AND((J133+K133)=0,(Q133+T133)=0),$H$1*H133*Variables!$I$23*0.25,0)</f>
        <v>0</v>
      </c>
      <c r="W133" s="97">
        <f ca="1">IF(AND((K133+J133)=0,(T133+Q133)=0),$I$1*H133*Variables!$Q$23*0.25,0)</f>
        <v>0</v>
      </c>
      <c r="X133" s="95">
        <f ca="1">IF(AND(NOT(K133=0),(H133-H132)&gt;0),(H133-H132)*(Variables!$M$5*$H$1+Variables!$U$5*$I$1),0)+IF(AND(NOT((J133+N133+Q133)=0),(H132-H133)&gt;0),(H132-H133)*(Variables!$M$4*$H$1+Variables!$U$4*$I$1),0)</f>
        <v>0</v>
      </c>
      <c r="Y133" s="95">
        <f ca="1">IF(SUM(T133,U132:U133)&gt;0,H133*Variables!$Y$11*0.25*(1-$J$1),0)</f>
        <v>-8.6666009437672749</v>
      </c>
      <c r="Z133" s="95">
        <f ca="1">IF(T133=0,H133*$J$1*Variables!$Y$5*0.25,0)</f>
        <v>0</v>
      </c>
      <c r="AA133" s="95">
        <f t="shared" ca="1" si="2"/>
        <v>-8.6666009437672749</v>
      </c>
      <c r="AB133" s="91">
        <f ca="1">AA133/Variables!$E$49</f>
        <v>-1.3978388618979476</v>
      </c>
    </row>
    <row r="134" spans="1:28" x14ac:dyDescent="0.25">
      <c r="A134" s="61">
        <f>'Water runs'!C141</f>
        <v>14214</v>
      </c>
      <c r="B134" s="61" t="str">
        <f>'Water runs'!B141</f>
        <v>Spring</v>
      </c>
      <c r="C134" s="54">
        <f>'Water runs'!D141/100</f>
        <v>0.122142857142857</v>
      </c>
      <c r="D134" s="108">
        <f>VLOOKUP(ROW(D134)+4,'Water runs'!$BS$3:$CF$423,MATCH($B$1,Scenarios,0)+1)</f>
        <v>4.843268751138172E-3</v>
      </c>
      <c r="E134" s="54">
        <f>IF(B134=Variables!$D$8,C134-Variables!$E$8,IF(B134=Variables!$D$9,C134-Variables!$E$9,IF(B134=Variables!$D$10,C134-Variables!$E$10,IF(B134=Variables!$D$11,C134-Variables!$E$11,"ELSE"))))</f>
        <v>-0.64183935185185215</v>
      </c>
      <c r="F134" s="108">
        <f>VLOOKUP(ROW(F134)+4,'Water runs'!$CH$3:$CU$423,MATCH($B$1,Scenarios,0)+1)</f>
        <v>0</v>
      </c>
      <c r="G134" s="65">
        <f ca="1">H134/Variables!$E$49</f>
        <v>0.16100000000000003</v>
      </c>
      <c r="H134" s="62">
        <f ca="1">IF((H133+I134)&gt;(1.1*Variables!$E$50),(1.1*Variables!$E$50),IF((H133+I134)&gt;0,H133+I134,0))</f>
        <v>0.9982000000000002</v>
      </c>
      <c r="I134" s="64">
        <f t="shared" ca="1" si="4"/>
        <v>0</v>
      </c>
      <c r="J134" s="63">
        <f ca="1">IF(SUM(E130:E133)&lt;Variables!$B$3,-H133,0)</f>
        <v>-0.9982000000000002</v>
      </c>
      <c r="K134" s="64">
        <f ca="1">IF(AND(H133&lt;Variables!$B$6*Variables!$E$50,OR(SUM(D131:D134)&gt;Variables!$B$5,SUM(E131:E134)&gt;Variables!$B$4)),Variables!$B$6*Variables!$E$50+Variables!$B$7*$G$1*Variables!$E$50*SUM(D131:D134),0)</f>
        <v>0</v>
      </c>
      <c r="L134" s="64">
        <f>IF(B134="Winter",Variables!$B$8*H133,0)</f>
        <v>0</v>
      </c>
      <c r="M134" s="64">
        <f ca="1">IF(AND(B134="Spring",AND(NOT(H133=0),H133&lt;(Variables!$B$9*Variables!$E$50))),(Variables!$B$10*Variables!$E$50+Variables!$B$11*Variables!$E$50*SUM(E131:E134)+$G$1*SUM(D133:D134)*Variables!$E$50*Variables!$B$12),0)</f>
        <v>-1.2523080526749881</v>
      </c>
      <c r="N134" s="64">
        <f>IF(AND(B134="Spring",AND(SUM(D131:D134)&gt;Variables!$B$13,SUM(D127:D130)&gt;Variables!$B$13)),-Variables!$B$14*Variables!$E$50,0)</f>
        <v>0</v>
      </c>
      <c r="O134" s="64">
        <f>IF(AND(B134="Summer",SUM(C130:D134)&gt;Variables!$B$15),(Variables!$B$16*Variables!$E$50*SUM(C130:C134)+$G$1*Variables!$B$16*Variables!$E$50*SUM(D130:D134)+$G$1*Variables!$E$50*Variables!$B$17*F134),0)</f>
        <v>0</v>
      </c>
      <c r="P134" s="64">
        <f ca="1">IF(AND(AND(B134="Autumn",SUM(D133:E134)&gt;0),NOT(H133=0)),Variables!$B$18*Variables!$E$50+Variables!$B$19*Variables!$E$50*SUM(E133:E134)+$G$1*Variables!$B$19*Variables!$E$50*SUM(D133:D134),0)</f>
        <v>0</v>
      </c>
      <c r="Q134" s="64">
        <f>IF(AND(B134="Autumn",AND((E134+E133)&lt;Variables!$B$20,(D133+D134)=0)),-Variables!$B$21*Variables!$E$50,0)</f>
        <v>0</v>
      </c>
      <c r="R134" s="64">
        <f>IF(B134="Autumn",(SUM(F133:F134)*$G$1*Variables!$B$22*Variables!$E$50),0)</f>
        <v>0</v>
      </c>
      <c r="S134" s="64">
        <f ca="1">IF(B134="Spring",($G$1*Variables!$E$50*SUM('Guts (MC)'!F133:F134)*Variables!$B$23),0)</f>
        <v>0</v>
      </c>
      <c r="T134" s="63">
        <f ca="1">IF((H133+SUM(J134:Q134))&lt;(Variables!$B$26*Variables!$E$50),$F$1*((Variables!$B$26*Variables!$E$50)-H133-SUM(J134:Q134)),0)</f>
        <v>2.2505080526749883</v>
      </c>
      <c r="U134" s="64">
        <f ca="1">IF(AND(AND(B134="Autumn",SUM(D131:E134)&gt;Variables!$B$27),SUM(J134:Q134)&lt;Variables!$B$28*H133),$F$1*(Variables!$B$28*H133-SUM(J134:Q134)),0)</f>
        <v>0</v>
      </c>
      <c r="V134" s="96">
        <f ca="1">IF(AND((J134+K134)=0,(Q134+T134)=0),$H$1*H134*Variables!$I$23*0.25,0)</f>
        <v>0</v>
      </c>
      <c r="W134" s="97">
        <f ca="1">IF(AND((K134+J134)=0,(T134+Q134)=0),$I$1*H134*Variables!$Q$23*0.25,0)</f>
        <v>0</v>
      </c>
      <c r="X134" s="95">
        <f ca="1">IF(AND(NOT(K134=0),(H134-H133)&gt;0),(H134-H133)*(Variables!$M$5*$H$1+Variables!$U$5*$I$1),0)+IF(AND(NOT((J134+N134+Q134)=0),(H133-H134)&gt;0),(H133-H134)*(Variables!$M$4*$H$1+Variables!$U$4*$I$1),0)</f>
        <v>0</v>
      </c>
      <c r="Y134" s="95">
        <f ca="1">IF(SUM(T134,U133:U134)&gt;0,H134*Variables!$Y$11*0.25*(1-$J$1),0)</f>
        <v>-8.6666009437672749</v>
      </c>
      <c r="Z134" s="95">
        <f ca="1">IF(T134=0,H134*$J$1*Variables!$Y$5*0.25,0)</f>
        <v>0</v>
      </c>
      <c r="AA134" s="95">
        <f t="shared" ca="1" si="2"/>
        <v>-8.6666009437672749</v>
      </c>
      <c r="AB134" s="91">
        <f ca="1">AA134/Variables!$E$49</f>
        <v>-1.3978388618979476</v>
      </c>
    </row>
    <row r="135" spans="1:28" x14ac:dyDescent="0.25">
      <c r="A135" s="61">
        <f>'Water runs'!C142</f>
        <v>14304</v>
      </c>
      <c r="B135" s="61" t="str">
        <f>'Water runs'!B142</f>
        <v>Summer</v>
      </c>
      <c r="C135" s="54">
        <f>'Water runs'!D142/100</f>
        <v>0.85549999999999993</v>
      </c>
      <c r="D135" s="108">
        <f>VLOOKUP(ROW(D135)+4,'Water runs'!$BS$3:$CF$423,MATCH($B$1,Scenarios,0)+1)</f>
        <v>6.7987870054394731E-2</v>
      </c>
      <c r="E135" s="54">
        <f>IF(B135=Variables!$D$8,C135-Variables!$E$8,IF(B135=Variables!$D$9,C135-Variables!$E$9,IF(B135=Variables!$D$10,C135-Variables!$E$10,IF(B135=Variables!$D$11,C135-Variables!$E$11,"ELSE"))))</f>
        <v>-0.40287013605442179</v>
      </c>
      <c r="F135" s="108">
        <f>VLOOKUP(ROW(F135)+4,'Water runs'!$CH$3:$CU$423,MATCH($B$1,Scenarios,0)+1)</f>
        <v>0</v>
      </c>
      <c r="G135" s="65">
        <f ca="1">H135/Variables!$E$49</f>
        <v>0.18523459366129574</v>
      </c>
      <c r="H135" s="62">
        <f ca="1">IF((H134+I135)&gt;(1.1*Variables!$E$50),(1.1*Variables!$E$50),IF((H134+I135)&gt;0,H134+I135,0))</f>
        <v>1.1484544807000336</v>
      </c>
      <c r="I135" s="64">
        <f t="shared" ca="1" si="4"/>
        <v>0.15025448070003344</v>
      </c>
      <c r="J135" s="63">
        <f ca="1">IF(SUM(E131:E134)&lt;Variables!$B$3,-H134,0)</f>
        <v>-0.9982000000000002</v>
      </c>
      <c r="K135" s="64">
        <f ca="1">IF(AND(H134&lt;Variables!$B$6*Variables!$E$50,OR(SUM(D132:D135)&gt;Variables!$B$5,SUM(E132:E135)&gt;Variables!$B$4)),Variables!$B$6*Variables!$E$50+Variables!$B$7*$G$1*Variables!$E$50*SUM(D132:D135),0)</f>
        <v>1.1484544807000336</v>
      </c>
      <c r="L135" s="64">
        <f>IF(B135="Winter",Variables!$B$8*H134,0)</f>
        <v>0</v>
      </c>
      <c r="M135" s="64">
        <f ca="1">IF(AND(B135="Spring",AND(NOT(H134=0),H134&lt;(Variables!$B$9*Variables!$E$50))),(Variables!$B$10*Variables!$E$50+Variables!$B$11*Variables!$E$50*SUM(E132:E135)+$G$1*SUM(D134:D135)*Variables!$E$50*Variables!$B$12),0)</f>
        <v>0</v>
      </c>
      <c r="N135" s="64">
        <f>IF(AND(B135="Spring",AND(SUM(D132:D135)&gt;Variables!$B$13,SUM(D128:D131)&gt;Variables!$B$13)),-Variables!$B$14*Variables!$E$50,0)</f>
        <v>0</v>
      </c>
      <c r="O135" s="64">
        <f>IF(AND(B135="Summer",SUM(C131:D135)&gt;Variables!$B$15),(Variables!$B$16*Variables!$E$50*SUM(C131:C135)+$G$1*Variables!$B$16*Variables!$E$50*SUM(D131:D135)+$G$1*Variables!$E$50*Variables!$B$17*F135),0)</f>
        <v>0</v>
      </c>
      <c r="P135" s="64">
        <f ca="1">IF(AND(AND(B135="Autumn",SUM(D134:E135)&gt;0),NOT(H134=0)),Variables!$B$18*Variables!$E$50+Variables!$B$19*Variables!$E$50*SUM(E134:E135)+$G$1*Variables!$B$19*Variables!$E$50*SUM(D134:D135),0)</f>
        <v>0</v>
      </c>
      <c r="Q135" s="64">
        <f>IF(AND(B135="Autumn",AND((E135+E134)&lt;Variables!$B$20,(D134+D135)=0)),-Variables!$B$21*Variables!$E$50,0)</f>
        <v>0</v>
      </c>
      <c r="R135" s="64">
        <f>IF(B135="Autumn",(SUM(F134:F135)*$G$1*Variables!$B$22*Variables!$E$50),0)</f>
        <v>0</v>
      </c>
      <c r="S135" s="64">
        <f>IF(B135="Spring",($G$1*Variables!$E$50*SUM('Guts (MC)'!F134:F135)*Variables!$B$23),0)</f>
        <v>0</v>
      </c>
      <c r="T135" s="63">
        <f ca="1">IF((H134+SUM(J135:Q135))&lt;(Variables!$B$26*Variables!$E$50),$F$1*((Variables!$B$26*Variables!$E$50)-H134-SUM(J135:Q135)),0)</f>
        <v>0</v>
      </c>
      <c r="U135" s="64">
        <f ca="1">IF(AND(AND(B135="Autumn",SUM(D132:E135)&gt;Variables!$B$27),SUM(J135:Q135)&lt;Variables!$B$28*H134),$F$1*(Variables!$B$28*H134-SUM(J135:Q135)),0)</f>
        <v>0</v>
      </c>
      <c r="V135" s="96">
        <f ca="1">IF(AND((J135+K135)=0,(Q135+T135)=0),$H$1*H135*Variables!$I$23*0.25,0)</f>
        <v>0</v>
      </c>
      <c r="W135" s="97">
        <f ca="1">IF(AND((K135+J135)=0,(T135+Q135)=0),$I$1*H135*Variables!$Q$23*0.25,0)</f>
        <v>0</v>
      </c>
      <c r="X135" s="95">
        <f ca="1">IF(AND(NOT(K135=0),(H135-H134)&gt;0),(H135-H134)*(Variables!$M$5*$H$1+Variables!$U$5*$I$1),0)+IF(AND(NOT((J135+N135+Q135)=0),(H134-H135)&gt;0),(H134-H135)*(Variables!$M$4*$H$1+Variables!$U$4*$I$1),0)</f>
        <v>-17.176261603994121</v>
      </c>
      <c r="Y135" s="95">
        <f ca="1">IF(SUM(T135,U134:U135)&gt;0,H135*Variables!$Y$11*0.25*(1-$J$1),0)</f>
        <v>0</v>
      </c>
      <c r="Z135" s="95">
        <f ca="1">IF(T135=0,H135*$J$1*Variables!$Y$5*0.25,0)</f>
        <v>1.2923407098316944</v>
      </c>
      <c r="AA135" s="95">
        <f t="shared" ca="1" si="2"/>
        <v>-15.883920894162426</v>
      </c>
      <c r="AB135" s="91">
        <f ca="1">AA135/Variables!$E$49</f>
        <v>-2.5619227248649072</v>
      </c>
    </row>
    <row r="136" spans="1:28" x14ac:dyDescent="0.25">
      <c r="A136" s="61">
        <f>'Water runs'!C143</f>
        <v>14396</v>
      </c>
      <c r="B136" s="61" t="str">
        <f>'Water runs'!B143</f>
        <v>Autumn</v>
      </c>
      <c r="C136" s="54">
        <f>'Water runs'!D143/100</f>
        <v>1.2301428571428601</v>
      </c>
      <c r="D136" s="108">
        <f>VLOOKUP(ROW(D136)+4,'Water runs'!$BS$3:$CF$423,MATCH($B$1,Scenarios,0)+1)</f>
        <v>7.0415442719261437E-2</v>
      </c>
      <c r="E136" s="54">
        <f>IF(B136=Variables!$D$8,C136-Variables!$E$8,IF(B136=Variables!$D$9,C136-Variables!$E$9,IF(B136=Variables!$D$10,C136-Variables!$E$10,IF(B136=Variables!$D$11,C136-Variables!$E$11,"ELSE"))))</f>
        <v>0.23549955782313226</v>
      </c>
      <c r="F136" s="108">
        <f>VLOOKUP(ROW(F136)+4,'Water runs'!$CH$3:$CU$423,MATCH($B$1,Scenarios,0)+1)</f>
        <v>0</v>
      </c>
      <c r="G136" s="65">
        <f ca="1">H136/Variables!$E$49</f>
        <v>0.18523459366129574</v>
      </c>
      <c r="H136" s="62">
        <f ca="1">IF((H135+I136)&gt;(1.1*Variables!$E$50),(1.1*Variables!$E$50),IF((H135+I136)&gt;0,H135+I136,0))</f>
        <v>1.1484544807000336</v>
      </c>
      <c r="I136" s="64">
        <f t="shared" ca="1" si="4"/>
        <v>0</v>
      </c>
      <c r="J136" s="63">
        <f>IF(SUM(E132:E135)&lt;Variables!$B$3,-H135,0)</f>
        <v>0</v>
      </c>
      <c r="K136" s="64">
        <f ca="1">IF(AND(H135&lt;Variables!$B$6*Variables!$E$50,OR(SUM(D133:D136)&gt;Variables!$B$5,SUM(E133:E136)&gt;Variables!$B$4)),Variables!$B$6*Variables!$E$50+Variables!$B$7*$G$1*Variables!$E$50*SUM(D133:D136),0)</f>
        <v>0</v>
      </c>
      <c r="L136" s="64">
        <f>IF(B136="Winter",Variables!$B$8*H135,0)</f>
        <v>0</v>
      </c>
      <c r="M136" s="64">
        <f ca="1">IF(AND(B136="Spring",AND(NOT(H135=0),H135&lt;(Variables!$B$9*Variables!$E$50))),(Variables!$B$10*Variables!$E$50+Variables!$B$11*Variables!$E$50*SUM(E133:E136)+$G$1*SUM(D135:D136)*Variables!$E$50*Variables!$B$12),0)</f>
        <v>0</v>
      </c>
      <c r="N136" s="64">
        <f>IF(AND(B136="Spring",AND(SUM(D133:D136)&gt;Variables!$B$13,SUM(D129:D132)&gt;Variables!$B$13)),-Variables!$B$14*Variables!$E$50,0)</f>
        <v>0</v>
      </c>
      <c r="O136" s="64">
        <f>IF(AND(B136="Summer",SUM(C132:D136)&gt;Variables!$B$15),(Variables!$B$16*Variables!$E$50*SUM(C132:C136)+$G$1*Variables!$B$16*Variables!$E$50*SUM(D132:D136)+$G$1*Variables!$E$50*Variables!$B$17*F136),0)</f>
        <v>0</v>
      </c>
      <c r="P136" s="64">
        <f ca="1">IF(AND(AND(B136="Autumn",SUM(D135:E136)&gt;0),NOT(H135=0)),Variables!$B$18*Variables!$E$50+Variables!$B$19*Variables!$E$50*SUM(E135:E136)+$G$1*Variables!$B$19*Variables!$E$50*SUM(D135:D136),0)</f>
        <v>0</v>
      </c>
      <c r="Q136" s="64">
        <f>IF(AND(B136="Autumn",AND((E136+E135)&lt;Variables!$B$20,(D135+D136)=0)),-Variables!$B$21*Variables!$E$50,0)</f>
        <v>0</v>
      </c>
      <c r="R136" s="64">
        <f ca="1">IF(B136="Autumn",(SUM(F135:F136)*$G$1*Variables!$B$22*Variables!$E$50),0)</f>
        <v>0</v>
      </c>
      <c r="S136" s="64">
        <f>IF(B136="Spring",($G$1*Variables!$E$50*SUM('Guts (MC)'!F135:F136)*Variables!$B$23),0)</f>
        <v>0</v>
      </c>
      <c r="T136" s="63">
        <f ca="1">IF((H135+SUM(J136:Q136))&lt;(Variables!$B$26*Variables!$E$50),$F$1*((Variables!$B$26*Variables!$E$50)-H135-SUM(J136:Q136)),0)</f>
        <v>0</v>
      </c>
      <c r="U136" s="64">
        <f ca="1">IF(AND(AND(B136="Autumn",SUM(D133:E136)&gt;Variables!$B$27),SUM(J136:Q136)&lt;Variables!$B$28*H135),$F$1*(Variables!$B$28*H135-SUM(J136:Q136)),0)</f>
        <v>0</v>
      </c>
      <c r="V136" s="96">
        <f ca="1">IF(AND((J136+K136)=0,(Q136+T136)=0),$H$1*H136*Variables!$I$23*0.25,0)</f>
        <v>13.998486016858925</v>
      </c>
      <c r="W136" s="97">
        <f ca="1">IF(AND((K136+J136)=0,(T136+Q136)=0),$I$1*H136*Variables!$Q$23*0.25,0)</f>
        <v>4.5020942760603315</v>
      </c>
      <c r="X136" s="95">
        <f ca="1">IF(AND(NOT(K136=0),(H136-H135)&gt;0),(H136-H135)*(Variables!$M$5*$H$1+Variables!$U$5*$I$1),0)+IF(AND(NOT((J136+N136+Q136)=0),(H135-H136)&gt;0),(H135-H136)*(Variables!$M$4*$H$1+Variables!$U$4*$I$1),0)</f>
        <v>0</v>
      </c>
      <c r="Y136" s="95">
        <f ca="1">IF(SUM(T136,U135:U136)&gt;0,H136*Variables!$Y$11*0.25*(1-$J$1),0)</f>
        <v>0</v>
      </c>
      <c r="Z136" s="95">
        <f ca="1">IF(T136=0,H136*$J$1*Variables!$Y$5*0.25,0)</f>
        <v>1.2923407098316944</v>
      </c>
      <c r="AA136" s="95">
        <f t="shared" ca="1" si="2"/>
        <v>19.792921002750951</v>
      </c>
      <c r="AB136" s="91">
        <f ca="1">AA136/Variables!$E$49</f>
        <v>3.1924066133469275</v>
      </c>
    </row>
    <row r="137" spans="1:28" x14ac:dyDescent="0.25">
      <c r="A137" s="61">
        <f>'Water runs'!C144</f>
        <v>14488</v>
      </c>
      <c r="B137" s="61" t="str">
        <f>'Water runs'!B144</f>
        <v>Winter</v>
      </c>
      <c r="C137" s="54">
        <f>'Water runs'!D144/100</f>
        <v>1.1114285714285699</v>
      </c>
      <c r="D137" s="108">
        <f>VLOOKUP(ROW(D137)+4,'Water runs'!$BS$3:$CF$423,MATCH($B$1,Scenarios,0)+1)</f>
        <v>0</v>
      </c>
      <c r="E137" s="54">
        <f>IF(B137=Variables!$D$8,C137-Variables!$E$8,IF(B137=Variables!$D$9,C137-Variables!$E$9,IF(B137=Variables!$D$10,C137-Variables!$E$10,IF(B137=Variables!$D$11,C137-Variables!$E$11,"ELSE"))))</f>
        <v>0.53966094576719414</v>
      </c>
      <c r="F137" s="108">
        <f>VLOOKUP(ROW(F137)+4,'Water runs'!$CH$3:$CU$423,MATCH($B$1,Scenarios,0)+1)</f>
        <v>0</v>
      </c>
      <c r="G137" s="65">
        <f ca="1">H137/Variables!$E$49</f>
        <v>0.161</v>
      </c>
      <c r="H137" s="62">
        <f ca="1">IF((H136+I137)&gt;(1.1*Variables!$E$50),(1.1*Variables!$E$50),IF((H136+I137)&gt;0,H136+I137,0))</f>
        <v>0.99820000000000009</v>
      </c>
      <c r="I137" s="64">
        <f t="shared" ca="1" si="4"/>
        <v>-0.15025448070003355</v>
      </c>
      <c r="J137" s="63">
        <f>IF(SUM(E133:E136)&lt;Variables!$B$3,-H136,0)</f>
        <v>0</v>
      </c>
      <c r="K137" s="64">
        <f ca="1">IF(AND(H136&lt;Variables!$B$6*Variables!$E$50,OR(SUM(D134:D137)&gt;Variables!$B$5,SUM(E134:E137)&gt;Variables!$B$4)),Variables!$B$6*Variables!$E$50+Variables!$B$7*$G$1*Variables!$E$50*SUM(D134:D137),0)</f>
        <v>0</v>
      </c>
      <c r="L137" s="64">
        <f ca="1">IF(B137="Winter",Variables!$B$8*H136,0)</f>
        <v>-0.57186744929690192</v>
      </c>
      <c r="M137" s="64">
        <f ca="1">IF(AND(B137="Spring",AND(NOT(H136=0),H136&lt;(Variables!$B$9*Variables!$E$50))),(Variables!$B$10*Variables!$E$50+Variables!$B$11*Variables!$E$50*SUM(E134:E137)+$G$1*SUM(D136:D137)*Variables!$E$50*Variables!$B$12),0)</f>
        <v>0</v>
      </c>
      <c r="N137" s="64">
        <f>IF(AND(B137="Spring",AND(SUM(D134:D137)&gt;Variables!$B$13,SUM(D130:D133)&gt;Variables!$B$13)),-Variables!$B$14*Variables!$E$50,0)</f>
        <v>0</v>
      </c>
      <c r="O137" s="64">
        <f>IF(AND(B137="Summer",SUM(C133:D137)&gt;Variables!$B$15),(Variables!$B$16*Variables!$E$50*SUM(C133:C137)+$G$1*Variables!$B$16*Variables!$E$50*SUM(D133:D137)+$G$1*Variables!$E$50*Variables!$B$17*F137),0)</f>
        <v>0</v>
      </c>
      <c r="P137" s="64">
        <f ca="1">IF(AND(AND(B137="Autumn",SUM(D136:E137)&gt;0),NOT(H136=0)),Variables!$B$18*Variables!$E$50+Variables!$B$19*Variables!$E$50*SUM(E136:E137)+$G$1*Variables!$B$19*Variables!$E$50*SUM(D136:D137),0)</f>
        <v>0</v>
      </c>
      <c r="Q137" s="64">
        <f>IF(AND(B137="Autumn",AND((E137+E136)&lt;Variables!$B$20,(D136+D137)=0)),-Variables!$B$21*Variables!$E$50,0)</f>
        <v>0</v>
      </c>
      <c r="R137" s="64">
        <f>IF(B137="Autumn",(SUM(F136:F137)*$G$1*Variables!$B$22*Variables!$E$50),0)</f>
        <v>0</v>
      </c>
      <c r="S137" s="64">
        <f>IF(B137="Spring",($G$1*Variables!$E$50*SUM('Guts (MC)'!F136:F137)*Variables!$B$23),0)</f>
        <v>0</v>
      </c>
      <c r="T137" s="63">
        <f ca="1">IF((H136+SUM(J137:Q137))&lt;(Variables!$B$26*Variables!$E$50),$F$1*((Variables!$B$26*Variables!$E$50)-H136-SUM(J137:Q137)),0)</f>
        <v>0.42161296859686836</v>
      </c>
      <c r="U137" s="64">
        <f ca="1">IF(AND(AND(B137="Autumn",SUM(D134:E137)&gt;Variables!$B$27),SUM(J137:Q137)&lt;Variables!$B$28*H136),$F$1*(Variables!$B$28*H136-SUM(J137:Q137)),0)</f>
        <v>0</v>
      </c>
      <c r="V137" s="96">
        <f ca="1">IF(AND((J137+K137)=0,(Q137+T137)=0),$H$1*H137*Variables!$I$23*0.25,0)</f>
        <v>0</v>
      </c>
      <c r="W137" s="97">
        <f ca="1">IF(AND((K137+J137)=0,(T137+Q137)=0),$I$1*H137*Variables!$Q$23*0.25,0)</f>
        <v>0</v>
      </c>
      <c r="X137" s="95">
        <f ca="1">IF(AND(NOT(K137=0),(H137-H136)&gt;0),(H137-H136)*(Variables!$M$5*$H$1+Variables!$U$5*$I$1),0)+IF(AND(NOT((J137+N137+Q137)=0),(H136-H137)&gt;0),(H136-H137)*(Variables!$M$4*$H$1+Variables!$U$4*$I$1),0)</f>
        <v>0</v>
      </c>
      <c r="Y137" s="95">
        <f ca="1">IF(SUM(T137,U136:U137)&gt;0,H137*Variables!$Y$11*0.25*(1-$J$1),0)</f>
        <v>-8.6666009437672749</v>
      </c>
      <c r="Z137" s="95">
        <f ca="1">IF(T137=0,H137*$J$1*Variables!$Y$5*0.25,0)</f>
        <v>0</v>
      </c>
      <c r="AA137" s="95">
        <f t="shared" ca="1" si="2"/>
        <v>-8.6666009437672749</v>
      </c>
      <c r="AB137" s="91">
        <f ca="1">AA137/Variables!$E$49</f>
        <v>-1.3978388618979476</v>
      </c>
    </row>
    <row r="138" spans="1:28" x14ac:dyDescent="0.25">
      <c r="A138" s="61">
        <f>'Water runs'!C145</f>
        <v>14579</v>
      </c>
      <c r="B138" s="61" t="str">
        <f>'Water runs'!B145</f>
        <v>Spring</v>
      </c>
      <c r="C138" s="54">
        <f>'Water runs'!D145/100</f>
        <v>0.35166666666666702</v>
      </c>
      <c r="D138" s="108">
        <f>VLOOKUP(ROW(D138)+4,'Water runs'!$BS$3:$CF$423,MATCH($B$1,Scenarios,0)+1)</f>
        <v>0</v>
      </c>
      <c r="E138" s="54">
        <f>IF(B138=Variables!$D$8,C138-Variables!$E$8,IF(B138=Variables!$D$9,C138-Variables!$E$9,IF(B138=Variables!$D$10,C138-Variables!$E$10,IF(B138=Variables!$D$11,C138-Variables!$E$11,"ELSE"))))</f>
        <v>-0.41231554232804213</v>
      </c>
      <c r="F138" s="108">
        <f>VLOOKUP(ROW(F138)+4,'Water runs'!$CH$3:$CU$423,MATCH($B$1,Scenarios,0)+1)</f>
        <v>0</v>
      </c>
      <c r="G138" s="65">
        <f ca="1">H138/Variables!$E$49</f>
        <v>0.34186888428733553</v>
      </c>
      <c r="H138" s="62">
        <f ca="1">IF((H137+I138)&gt;(1.1*Variables!$E$50),(1.1*Variables!$E$50),IF((H137+I138)&gt;0,H137+I138,0))</f>
        <v>2.1195870825814804</v>
      </c>
      <c r="I138" s="64">
        <f t="shared" ca="1" si="4"/>
        <v>1.1213870825814805</v>
      </c>
      <c r="J138" s="63">
        <f>IF(SUM(E134:E137)&lt;Variables!$B$3,-H137,0)</f>
        <v>0</v>
      </c>
      <c r="K138" s="64">
        <f ca="1">IF(AND(H137&lt;Variables!$B$6*Variables!$E$50,OR(SUM(D135:D138)&gt;Variables!$B$5,SUM(E135:E138)&gt;Variables!$B$4)),Variables!$B$6*Variables!$E$50+Variables!$B$7*$G$1*Variables!$E$50*SUM(D135:D138),0)</f>
        <v>1.1486466956094727</v>
      </c>
      <c r="L138" s="64">
        <f>IF(B138="Winter",Variables!$B$8*H137,0)</f>
        <v>0</v>
      </c>
      <c r="M138" s="64">
        <f ca="1">IF(AND(B138="Spring",AND(NOT(H137=0),H137&lt;(Variables!$B$9*Variables!$E$50))),(Variables!$B$10*Variables!$E$50+Variables!$B$11*Variables!$E$50*SUM(E135:E138)+$G$1*SUM(D137:D138)*Variables!$E$50*Variables!$B$12),0)</f>
        <v>-2.7259613027992395E-2</v>
      </c>
      <c r="N138" s="64">
        <f>IF(AND(B138="Spring",AND(SUM(D135:D138)&gt;Variables!$B$13,SUM(D131:D134)&gt;Variables!$B$13)),-Variables!$B$14*Variables!$E$50,0)</f>
        <v>0</v>
      </c>
      <c r="O138" s="64">
        <f>IF(AND(B138="Summer",SUM(C134:D138)&gt;Variables!$B$15),(Variables!$B$16*Variables!$E$50*SUM(C134:C138)+$G$1*Variables!$B$16*Variables!$E$50*SUM(D134:D138)+$G$1*Variables!$E$50*Variables!$B$17*F138),0)</f>
        <v>0</v>
      </c>
      <c r="P138" s="64">
        <f ca="1">IF(AND(AND(B138="Autumn",SUM(D137:E138)&gt;0),NOT(H137=0)),Variables!$B$18*Variables!$E$50+Variables!$B$19*Variables!$E$50*SUM(E137:E138)+$G$1*Variables!$B$19*Variables!$E$50*SUM(D137:D138),0)</f>
        <v>0</v>
      </c>
      <c r="Q138" s="64">
        <f>IF(AND(B138="Autumn",AND((E138+E137)&lt;Variables!$B$20,(D137+D138)=0)),-Variables!$B$21*Variables!$E$50,0)</f>
        <v>0</v>
      </c>
      <c r="R138" s="64">
        <f>IF(B138="Autumn",(SUM(F137:F138)*$G$1*Variables!$B$22*Variables!$E$50),0)</f>
        <v>0</v>
      </c>
      <c r="S138" s="64">
        <f ca="1">IF(B138="Spring",($G$1*Variables!$E$50*SUM('Guts (MC)'!F137:F138)*Variables!$B$23),0)</f>
        <v>0</v>
      </c>
      <c r="T138" s="63">
        <f ca="1">IF((H137+SUM(J138:Q138))&lt;(Variables!$B$26*Variables!$E$50),$F$1*((Variables!$B$26*Variables!$E$50)-H137-SUM(J138:Q138)),0)</f>
        <v>0</v>
      </c>
      <c r="U138" s="64">
        <f ca="1">IF(AND(AND(B138="Autumn",SUM(D135:E138)&gt;Variables!$B$27),SUM(J138:Q138)&lt;Variables!$B$28*H137),$F$1*(Variables!$B$28*H137-SUM(J138:Q138)),0)</f>
        <v>0</v>
      </c>
      <c r="V138" s="96">
        <f ca="1">IF(AND((J138+K138)=0,(Q138+T138)=0),$H$1*H138*Variables!$I$23*0.25,0)</f>
        <v>0</v>
      </c>
      <c r="W138" s="97">
        <f ca="1">IF(AND((K138+J138)=0,(T138+Q138)=0),$I$1*H138*Variables!$Q$23*0.25,0)</f>
        <v>0</v>
      </c>
      <c r="X138" s="95">
        <f ca="1">IF(AND(NOT(K138=0),(H138-H137)&gt;0),(H138-H137)*(Variables!$M$5*$H$1+Variables!$U$5*$I$1),0)+IF(AND(NOT((J138+N138+Q138)=0),(H137-H138)&gt;0),(H137-H138)*(Variables!$M$4*$H$1+Variables!$U$4*$I$1),0)</f>
        <v>-128.19077208227958</v>
      </c>
      <c r="Y138" s="95">
        <f ca="1">IF(SUM(T138,U137:U138)&gt;0,H138*Variables!$Y$11*0.25*(1-$J$1),0)</f>
        <v>0</v>
      </c>
      <c r="Z138" s="95">
        <f ca="1">IF(T138=0,H138*$J$1*Variables!$Y$5*0.25,0)</f>
        <v>2.3851434435466352</v>
      </c>
      <c r="AA138" s="95">
        <f t="shared" ca="1" si="2"/>
        <v>-125.80562863873294</v>
      </c>
      <c r="AB138" s="91">
        <f ca="1">AA138/Variables!$E$49</f>
        <v>-20.291230425602087</v>
      </c>
    </row>
    <row r="139" spans="1:28" x14ac:dyDescent="0.25">
      <c r="A139" s="61">
        <f>'Water runs'!C146</f>
        <v>14669</v>
      </c>
      <c r="B139" s="61" t="str">
        <f>'Water runs'!B146</f>
        <v>Summer</v>
      </c>
      <c r="C139" s="54">
        <f>'Water runs'!D146/100</f>
        <v>0.32426190476190497</v>
      </c>
      <c r="D139" s="108">
        <f>VLOOKUP(ROW(D139)+4,'Water runs'!$BS$3:$CF$423,MATCH($B$1,Scenarios,0)+1)</f>
        <v>5.449370145448499E-2</v>
      </c>
      <c r="E139" s="54">
        <f>IF(B139=Variables!$D$8,C139-Variables!$E$8,IF(B139=Variables!$D$9,C139-Variables!$E$9,IF(B139=Variables!$D$10,C139-Variables!$E$10,IF(B139=Variables!$D$11,C139-Variables!$E$11,"ELSE"))))</f>
        <v>-0.93410823129251674</v>
      </c>
      <c r="F139" s="108">
        <f>VLOOKUP(ROW(F139)+4,'Water runs'!$CH$3:$CU$423,MATCH($B$1,Scenarios,0)+1)</f>
        <v>0</v>
      </c>
      <c r="G139" s="65">
        <f ca="1">H139/Variables!$E$49</f>
        <v>0.34186888428733553</v>
      </c>
      <c r="H139" s="62">
        <f ca="1">IF((H138+I139)&gt;(1.1*Variables!$E$50),(1.1*Variables!$E$50),IF((H138+I139)&gt;0,H138+I139,0))</f>
        <v>2.1195870825814804</v>
      </c>
      <c r="I139" s="64">
        <f t="shared" ca="1" si="4"/>
        <v>0</v>
      </c>
      <c r="J139" s="63">
        <f>IF(SUM(E135:E138)&lt;Variables!$B$3,-H138,0)</f>
        <v>0</v>
      </c>
      <c r="K139" s="64">
        <f ca="1">IF(AND(H138&lt;Variables!$B$6*Variables!$E$50,OR(SUM(D136:D139)&gt;Variables!$B$5,SUM(E136:E139)&gt;Variables!$B$4)),Variables!$B$6*Variables!$E$50+Variables!$B$7*$G$1*Variables!$E$50*SUM(D136:D139),0)</f>
        <v>0</v>
      </c>
      <c r="L139" s="64">
        <f>IF(B139="Winter",Variables!$B$8*H138,0)</f>
        <v>0</v>
      </c>
      <c r="M139" s="64">
        <f ca="1">IF(AND(B139="Spring",AND(NOT(H138=0),H138&lt;(Variables!$B$9*Variables!$E$50))),(Variables!$B$10*Variables!$E$50+Variables!$B$11*Variables!$E$50*SUM(E136:E139)+$G$1*SUM(D138:D139)*Variables!$E$50*Variables!$B$12),0)</f>
        <v>0</v>
      </c>
      <c r="N139" s="64">
        <f>IF(AND(B139="Spring",AND(SUM(D136:D139)&gt;Variables!$B$13,SUM(D132:D135)&gt;Variables!$B$13)),-Variables!$B$14*Variables!$E$50,0)</f>
        <v>0</v>
      </c>
      <c r="O139" s="64">
        <f>IF(AND(B139="Summer",SUM(C135:D139)&gt;Variables!$B$15),(Variables!$B$16*Variables!$E$50*SUM(C135:C139)+$G$1*Variables!$B$16*Variables!$E$50*SUM(D135:D139)+$G$1*Variables!$E$50*Variables!$B$17*F139),0)</f>
        <v>0</v>
      </c>
      <c r="P139" s="64">
        <f ca="1">IF(AND(AND(B139="Autumn",SUM(D138:E139)&gt;0),NOT(H138=0)),Variables!$B$18*Variables!$E$50+Variables!$B$19*Variables!$E$50*SUM(E138:E139)+$G$1*Variables!$B$19*Variables!$E$50*SUM(D138:D139),0)</f>
        <v>0</v>
      </c>
      <c r="Q139" s="64">
        <f>IF(AND(B139="Autumn",AND((E139+E138)&lt;Variables!$B$20,(D138+D139)=0)),-Variables!$B$21*Variables!$E$50,0)</f>
        <v>0</v>
      </c>
      <c r="R139" s="64">
        <f>IF(B139="Autumn",(SUM(F138:F139)*$G$1*Variables!$B$22*Variables!$E$50),0)</f>
        <v>0</v>
      </c>
      <c r="S139" s="64">
        <f>IF(B139="Spring",($G$1*Variables!$E$50*SUM('Guts (MC)'!F138:F139)*Variables!$B$23),0)</f>
        <v>0</v>
      </c>
      <c r="T139" s="63">
        <f ca="1">IF((H138+SUM(J139:Q139))&lt;(Variables!$B$26*Variables!$E$50),$F$1*((Variables!$B$26*Variables!$E$50)-H138-SUM(J139:Q139)),0)</f>
        <v>0</v>
      </c>
      <c r="U139" s="64">
        <f ca="1">IF(AND(AND(B139="Autumn",SUM(D136:E139)&gt;Variables!$B$27),SUM(J139:Q139)&lt;Variables!$B$28*H138),$F$1*(Variables!$B$28*H138-SUM(J139:Q139)),0)</f>
        <v>0</v>
      </c>
      <c r="V139" s="96">
        <f ca="1">IF(AND((J139+K139)=0,(Q139+T139)=0),$H$1*H139*Variables!$I$23*0.25,0)</f>
        <v>25.835599612921417</v>
      </c>
      <c r="W139" s="97">
        <f ca="1">IF(AND((K139+J139)=0,(T139+Q139)=0),$I$1*H139*Variables!$Q$23*0.25,0)</f>
        <v>8.3090632083954059</v>
      </c>
      <c r="X139" s="95">
        <f ca="1">IF(AND(NOT(K139=0),(H139-H138)&gt;0),(H139-H138)*(Variables!$M$5*$H$1+Variables!$U$5*$I$1),0)+IF(AND(NOT((J139+N139+Q139)=0),(H138-H139)&gt;0),(H138-H139)*(Variables!$M$4*$H$1+Variables!$U$4*$I$1),0)</f>
        <v>0</v>
      </c>
      <c r="Y139" s="95">
        <f ca="1">IF(SUM(T139,U138:U139)&gt;0,H139*Variables!$Y$11*0.25*(1-$J$1),0)</f>
        <v>0</v>
      </c>
      <c r="Z139" s="95">
        <f ca="1">IF(T139=0,H139*$J$1*Variables!$Y$5*0.25,0)</f>
        <v>2.3851434435466352</v>
      </c>
      <c r="AA139" s="95">
        <f t="shared" ca="1" si="2"/>
        <v>36.529806264863453</v>
      </c>
      <c r="AB139" s="91">
        <f ca="1">AA139/Variables!$E$49</f>
        <v>5.8919042362682985</v>
      </c>
    </row>
    <row r="140" spans="1:28" x14ac:dyDescent="0.25">
      <c r="A140" s="61">
        <f>'Water runs'!C147</f>
        <v>14762</v>
      </c>
      <c r="B140" s="61" t="str">
        <f>'Water runs'!B147</f>
        <v>Autumn</v>
      </c>
      <c r="C140" s="54">
        <f>'Water runs'!D147/100</f>
        <v>0.91014285714285703</v>
      </c>
      <c r="D140" s="108">
        <f>VLOOKUP(ROW(D140)+4,'Water runs'!$BS$3:$CF$423,MATCH($B$1,Scenarios,0)+1)</f>
        <v>0.10236898154379687</v>
      </c>
      <c r="E140" s="54">
        <f>IF(B140=Variables!$D$8,C140-Variables!$E$8,IF(B140=Variables!$D$9,C140-Variables!$E$9,IF(B140=Variables!$D$10,C140-Variables!$E$10,IF(B140=Variables!$D$11,C140-Variables!$E$11,"ELSE"))))</f>
        <v>-8.4500442176870805E-2</v>
      </c>
      <c r="F140" s="108">
        <f>VLOOKUP(ROW(F140)+4,'Water runs'!$CH$3:$CU$423,MATCH($B$1,Scenarios,0)+1)</f>
        <v>0</v>
      </c>
      <c r="G140" s="65">
        <f ca="1">H140/Variables!$E$49</f>
        <v>0.34186888428733553</v>
      </c>
      <c r="H140" s="62">
        <f ca="1">IF((H139+I140)&gt;(1.1*Variables!$E$50),(1.1*Variables!$E$50),IF((H139+I140)&gt;0,H139+I140,0))</f>
        <v>2.1195870825814804</v>
      </c>
      <c r="I140" s="64">
        <f t="shared" ca="1" si="4"/>
        <v>0</v>
      </c>
      <c r="J140" s="63">
        <f>IF(SUM(E136:E139)&lt;Variables!$B$3,-H139,0)</f>
        <v>0</v>
      </c>
      <c r="K140" s="64">
        <f ca="1">IF(AND(H139&lt;Variables!$B$6*Variables!$E$50,OR(SUM(D137:D140)&gt;Variables!$B$5,SUM(E137:E140)&gt;Variables!$B$4)),Variables!$B$6*Variables!$E$50+Variables!$B$7*$G$1*Variables!$E$50*SUM(D137:D140),0)</f>
        <v>0</v>
      </c>
      <c r="L140" s="64">
        <f>IF(B140="Winter",Variables!$B$8*H139,0)</f>
        <v>0</v>
      </c>
      <c r="M140" s="64">
        <f ca="1">IF(AND(B140="Spring",AND(NOT(H139=0),H139&lt;(Variables!$B$9*Variables!$E$50))),(Variables!$B$10*Variables!$E$50+Variables!$B$11*Variables!$E$50*SUM(E137:E140)+$G$1*SUM(D139:D140)*Variables!$E$50*Variables!$B$12),0)</f>
        <v>0</v>
      </c>
      <c r="N140" s="64">
        <f>IF(AND(B140="Spring",AND(SUM(D137:D140)&gt;Variables!$B$13,SUM(D133:D136)&gt;Variables!$B$13)),-Variables!$B$14*Variables!$E$50,0)</f>
        <v>0</v>
      </c>
      <c r="O140" s="64">
        <f>IF(AND(B140="Summer",SUM(C136:D140)&gt;Variables!$B$15),(Variables!$B$16*Variables!$E$50*SUM(C136:C140)+$G$1*Variables!$B$16*Variables!$E$50*SUM(D136:D140)+$G$1*Variables!$E$50*Variables!$B$17*F140),0)</f>
        <v>0</v>
      </c>
      <c r="P140" s="64">
        <f ca="1">IF(AND(AND(B140="Autumn",SUM(D139:E140)&gt;0),NOT(H139=0)),Variables!$B$18*Variables!$E$50+Variables!$B$19*Variables!$E$50*SUM(E139:E140)+$G$1*Variables!$B$19*Variables!$E$50*SUM(D139:D140),0)</f>
        <v>0</v>
      </c>
      <c r="Q140" s="64">
        <f>IF(AND(B140="Autumn",AND((E140+E139)&lt;Variables!$B$20,(D139+D140)=0)),-Variables!$B$21*Variables!$E$50,0)</f>
        <v>0</v>
      </c>
      <c r="R140" s="64">
        <f ca="1">IF(B140="Autumn",(SUM(F139:F140)*$G$1*Variables!$B$22*Variables!$E$50),0)</f>
        <v>0</v>
      </c>
      <c r="S140" s="64">
        <f>IF(B140="Spring",($G$1*Variables!$E$50*SUM('Guts (MC)'!F139:F140)*Variables!$B$23),0)</f>
        <v>0</v>
      </c>
      <c r="T140" s="63">
        <f ca="1">IF((H139+SUM(J140:Q140))&lt;(Variables!$B$26*Variables!$E$50),$F$1*((Variables!$B$26*Variables!$E$50)-H139-SUM(J140:Q140)),0)</f>
        <v>0</v>
      </c>
      <c r="U140" s="64">
        <f ca="1">IF(AND(AND(B140="Autumn",SUM(D137:E140)&gt;Variables!$B$27),SUM(J140:Q140)&lt;Variables!$B$28*H139),$F$1*(Variables!$B$28*H139-SUM(J140:Q140)),0)</f>
        <v>0</v>
      </c>
      <c r="V140" s="96">
        <f ca="1">IF(AND((J140+K140)=0,(Q140+T140)=0),$H$1*H140*Variables!$I$23*0.25,0)</f>
        <v>25.835599612921417</v>
      </c>
      <c r="W140" s="97">
        <f ca="1">IF(AND((K140+J140)=0,(T140+Q140)=0),$I$1*H140*Variables!$Q$23*0.25,0)</f>
        <v>8.3090632083954059</v>
      </c>
      <c r="X140" s="95">
        <f ca="1">IF(AND(NOT(K140=0),(H140-H139)&gt;0),(H140-H139)*(Variables!$M$5*$H$1+Variables!$U$5*$I$1),0)+IF(AND(NOT((J140+N140+Q140)=0),(H139-H140)&gt;0),(H139-H140)*(Variables!$M$4*$H$1+Variables!$U$4*$I$1),0)</f>
        <v>0</v>
      </c>
      <c r="Y140" s="95">
        <f ca="1">IF(SUM(T140,U139:U140)&gt;0,H140*Variables!$Y$11*0.25*(1-$J$1),0)</f>
        <v>0</v>
      </c>
      <c r="Z140" s="95">
        <f ca="1">IF(T140=0,H140*$J$1*Variables!$Y$5*0.25,0)</f>
        <v>2.3851434435466352</v>
      </c>
      <c r="AA140" s="95">
        <f t="shared" ca="1" si="2"/>
        <v>36.529806264863453</v>
      </c>
      <c r="AB140" s="91">
        <f ca="1">AA140/Variables!$E$49</f>
        <v>5.8919042362682985</v>
      </c>
    </row>
    <row r="141" spans="1:28" x14ac:dyDescent="0.25">
      <c r="A141" s="61">
        <f>'Water runs'!C148</f>
        <v>14854</v>
      </c>
      <c r="B141" s="61" t="str">
        <f>'Water runs'!B148</f>
        <v>Winter</v>
      </c>
      <c r="C141" s="54">
        <f>'Water runs'!D148/100</f>
        <v>0</v>
      </c>
      <c r="D141" s="108">
        <f>VLOOKUP(ROW(D141)+4,'Water runs'!$BS$3:$CF$423,MATCH($B$1,Scenarios,0)+1)</f>
        <v>0</v>
      </c>
      <c r="E141" s="54">
        <f>IF(B141=Variables!$D$8,C141-Variables!$E$8,IF(B141=Variables!$D$9,C141-Variables!$E$9,IF(B141=Variables!$D$10,C141-Variables!$E$10,IF(B141=Variables!$D$11,C141-Variables!$E$11,"ELSE"))))</f>
        <v>-0.57176762566137573</v>
      </c>
      <c r="F141" s="108">
        <f>VLOOKUP(ROW(F141)+4,'Water runs'!$CH$3:$CU$423,MATCH($B$1,Scenarios,0)+1)</f>
        <v>0</v>
      </c>
      <c r="G141" s="65">
        <f ca="1">H141/Variables!$E$49</f>
        <v>0.17163689848655031</v>
      </c>
      <c r="H141" s="62">
        <f ca="1">IF((H140+I141)&gt;(1.1*Variables!$E$50),(1.1*Variables!$E$50),IF((H140+I141)&gt;0,H140+I141,0))</f>
        <v>1.0641487706166119</v>
      </c>
      <c r="I141" s="64">
        <f t="shared" ca="1" si="4"/>
        <v>-1.0554383119648685</v>
      </c>
      <c r="J141" s="63">
        <f>IF(SUM(E137:E140)&lt;Variables!$B$3,-H140,0)</f>
        <v>0</v>
      </c>
      <c r="K141" s="64">
        <f ca="1">IF(AND(H140&lt;Variables!$B$6*Variables!$E$50,OR(SUM(D138:D141)&gt;Variables!$B$5,SUM(E138:E141)&gt;Variables!$B$4)),Variables!$B$6*Variables!$E$50+Variables!$B$7*$G$1*Variables!$E$50*SUM(D138:D141),0)</f>
        <v>0</v>
      </c>
      <c r="L141" s="64">
        <f ca="1">IF(B141="Winter",Variables!$B$8*H140,0)</f>
        <v>-1.0554383119648685</v>
      </c>
      <c r="M141" s="64">
        <f ca="1">IF(AND(B141="Spring",AND(NOT(H140=0),H140&lt;(Variables!$B$9*Variables!$E$50))),(Variables!$B$10*Variables!$E$50+Variables!$B$11*Variables!$E$50*SUM(E138:E141)+$G$1*SUM(D140:D141)*Variables!$E$50*Variables!$B$12),0)</f>
        <v>0</v>
      </c>
      <c r="N141" s="64">
        <f>IF(AND(B141="Spring",AND(SUM(D138:D141)&gt;Variables!$B$13,SUM(D134:D137)&gt;Variables!$B$13)),-Variables!$B$14*Variables!$E$50,0)</f>
        <v>0</v>
      </c>
      <c r="O141" s="64">
        <f>IF(AND(B141="Summer",SUM(C137:D141)&gt;Variables!$B$15),(Variables!$B$16*Variables!$E$50*SUM(C137:C141)+$G$1*Variables!$B$16*Variables!$E$50*SUM(D137:D141)+$G$1*Variables!$E$50*Variables!$B$17*F141),0)</f>
        <v>0</v>
      </c>
      <c r="P141" s="64">
        <f ca="1">IF(AND(AND(B141="Autumn",SUM(D140:E141)&gt;0),NOT(H140=0)),Variables!$B$18*Variables!$E$50+Variables!$B$19*Variables!$E$50*SUM(E140:E141)+$G$1*Variables!$B$19*Variables!$E$50*SUM(D140:D141),0)</f>
        <v>0</v>
      </c>
      <c r="Q141" s="64">
        <f>IF(AND(B141="Autumn",AND((E141+E140)&lt;Variables!$B$20,(D140+D141)=0)),-Variables!$B$21*Variables!$E$50,0)</f>
        <v>0</v>
      </c>
      <c r="R141" s="64">
        <f>IF(B141="Autumn",(SUM(F140:F141)*$G$1*Variables!$B$22*Variables!$E$50),0)</f>
        <v>0</v>
      </c>
      <c r="S141" s="64">
        <f>IF(B141="Spring",($G$1*Variables!$E$50*SUM('Guts (MC)'!F140:F141)*Variables!$B$23),0)</f>
        <v>0</v>
      </c>
      <c r="T141" s="63">
        <f ca="1">IF((H140+SUM(J141:Q141))&lt;(Variables!$B$26*Variables!$E$50),$F$1*((Variables!$B$26*Variables!$E$50)-H140-SUM(J141:Q141)),0)</f>
        <v>0</v>
      </c>
      <c r="U141" s="64">
        <f ca="1">IF(AND(AND(B141="Autumn",SUM(D138:E141)&gt;Variables!$B$27),SUM(J141:Q141)&lt;Variables!$B$28*H140),$F$1*(Variables!$B$28*H140-SUM(J141:Q141)),0)</f>
        <v>0</v>
      </c>
      <c r="V141" s="96">
        <f ca="1">IF(AND((J141+K141)=0,(Q141+T141)=0),$H$1*H141*Variables!$I$23*0.25,0)</f>
        <v>12.970885599448573</v>
      </c>
      <c r="W141" s="97">
        <f ca="1">IF(AND((K141+J141)=0,(T141+Q141)=0),$I$1*H141*Variables!$Q$23*0.25,0)</f>
        <v>4.1716046822765005</v>
      </c>
      <c r="X141" s="95">
        <f ca="1">IF(AND(NOT(K141=0),(H141-H140)&gt;0),(H141-H140)*(Variables!$M$5*$H$1+Variables!$U$5*$I$1),0)+IF(AND(NOT((J141+N141+Q141)=0),(H140-H141)&gt;0),(H140-H141)*(Variables!$M$4*$H$1+Variables!$U$4*$I$1),0)</f>
        <v>0</v>
      </c>
      <c r="Y141" s="95">
        <f ca="1">IF(SUM(T141,U140:U141)&gt;0,H141*Variables!$Y$11*0.25*(1-$J$1),0)</f>
        <v>0</v>
      </c>
      <c r="Z141" s="95">
        <f ca="1">IF(T141=0,H141*$J$1*Variables!$Y$5*0.25,0)</f>
        <v>1.1974726040051025</v>
      </c>
      <c r="AA141" s="95">
        <f t="shared" ca="1" si="2"/>
        <v>18.339962885730177</v>
      </c>
      <c r="AB141" s="91">
        <f ca="1">AA141/Variables!$E$49</f>
        <v>2.9580585299564799</v>
      </c>
    </row>
    <row r="142" spans="1:28" x14ac:dyDescent="0.25">
      <c r="A142" s="61">
        <f>'Water runs'!C149</f>
        <v>14945</v>
      </c>
      <c r="B142" s="61" t="str">
        <f>'Water runs'!B149</f>
        <v>Spring</v>
      </c>
      <c r="C142" s="54">
        <f>'Water runs'!D149/100</f>
        <v>0.45157142857142901</v>
      </c>
      <c r="D142" s="108">
        <f>VLOOKUP(ROW(D142)+4,'Water runs'!$BS$3:$CF$423,MATCH($B$1,Scenarios,0)+1)</f>
        <v>0</v>
      </c>
      <c r="E142" s="54">
        <f>IF(B142=Variables!$D$8,C142-Variables!$E$8,IF(B142=Variables!$D$9,C142-Variables!$E$9,IF(B142=Variables!$D$10,C142-Variables!$E$10,IF(B142=Variables!$D$11,C142-Variables!$E$11,"ELSE"))))</f>
        <v>-0.31241078042328013</v>
      </c>
      <c r="F142" s="108">
        <f>VLOOKUP(ROW(F142)+4,'Water runs'!$CH$3:$CU$423,MATCH($B$1,Scenarios,0)+1)</f>
        <v>0</v>
      </c>
      <c r="G142" s="65">
        <f ca="1">H142/Variables!$E$49</f>
        <v>0.161</v>
      </c>
      <c r="H142" s="62">
        <f ca="1">IF((H141+I142)&gt;(1.1*Variables!$E$50),(1.1*Variables!$E$50),IF((H141+I142)&gt;0,H141+I142,0))</f>
        <v>0.99819999999999998</v>
      </c>
      <c r="I142" s="64">
        <f t="shared" ca="1" si="4"/>
        <v>-6.5948770616611974E-2</v>
      </c>
      <c r="J142" s="63">
        <f ca="1">IF(SUM(E138:E141)&lt;Variables!$B$3,-H141,0)</f>
        <v>-1.0641487706166119</v>
      </c>
      <c r="K142" s="64">
        <f ca="1">IF(AND(H141&lt;Variables!$B$6*Variables!$E$50,OR(SUM(D139:D142)&gt;Variables!$B$5,SUM(E139:E142)&gt;Variables!$B$4)),Variables!$B$6*Variables!$E$50+Variables!$B$7*$G$1*Variables!$E$50*SUM(D139:D142),0)</f>
        <v>1.1496932389066847</v>
      </c>
      <c r="L142" s="64">
        <f>IF(B142="Winter",Variables!$B$8*H141,0)</f>
        <v>0</v>
      </c>
      <c r="M142" s="64">
        <f ca="1">IF(AND(B142="Spring",AND(NOT(H141=0),H141&lt;(Variables!$B$9*Variables!$E$50))),(Variables!$B$10*Variables!$E$50+Variables!$B$11*Variables!$E$50*SUM(E139:E142)+$G$1*SUM(D141:D142)*Variables!$E$50*Variables!$B$12),0)</f>
        <v>-1.2959153765768467</v>
      </c>
      <c r="N142" s="64">
        <f>IF(AND(B142="Spring",AND(SUM(D139:D142)&gt;Variables!$B$13,SUM(D135:D138)&gt;Variables!$B$13)),-Variables!$B$14*Variables!$E$50,0)</f>
        <v>0</v>
      </c>
      <c r="O142" s="64">
        <f>IF(AND(B142="Summer",SUM(C138:D142)&gt;Variables!$B$15),(Variables!$B$16*Variables!$E$50*SUM(C138:C142)+$G$1*Variables!$B$16*Variables!$E$50*SUM(D138:D142)+$G$1*Variables!$E$50*Variables!$B$17*F142),0)</f>
        <v>0</v>
      </c>
      <c r="P142" s="64">
        <f ca="1">IF(AND(AND(B142="Autumn",SUM(D141:E142)&gt;0),NOT(H141=0)),Variables!$B$18*Variables!$E$50+Variables!$B$19*Variables!$E$50*SUM(E141:E142)+$G$1*Variables!$B$19*Variables!$E$50*SUM(D141:D142),0)</f>
        <v>0</v>
      </c>
      <c r="Q142" s="64">
        <f>IF(AND(B142="Autumn",AND((E142+E141)&lt;Variables!$B$20,(D141+D142)=0)),-Variables!$B$21*Variables!$E$50,0)</f>
        <v>0</v>
      </c>
      <c r="R142" s="64">
        <f>IF(B142="Autumn",(SUM(F141:F142)*$G$1*Variables!$B$22*Variables!$E$50),0)</f>
        <v>0</v>
      </c>
      <c r="S142" s="64">
        <f ca="1">IF(B142="Spring",($G$1*Variables!$E$50*SUM('Guts (MC)'!F141:F142)*Variables!$B$23),0)</f>
        <v>0</v>
      </c>
      <c r="T142" s="63">
        <f ca="1">IF((H141+SUM(J142:Q142))&lt;(Variables!$B$26*Variables!$E$50),$F$1*((Variables!$B$26*Variables!$E$50)-H141-SUM(J142:Q142)),0)</f>
        <v>1.144422137670162</v>
      </c>
      <c r="U142" s="64">
        <f ca="1">IF(AND(AND(B142="Autumn",SUM(D139:E142)&gt;Variables!$B$27),SUM(J142:Q142)&lt;Variables!$B$28*H141),$F$1*(Variables!$B$28*H141-SUM(J142:Q142)),0)</f>
        <v>0</v>
      </c>
      <c r="V142" s="96">
        <f ca="1">IF(AND((J142+K142)=0,(Q142+T142)=0),$H$1*H142*Variables!$I$23*0.25,0)</f>
        <v>0</v>
      </c>
      <c r="W142" s="97">
        <f ca="1">IF(AND((K142+J142)=0,(T142+Q142)=0),$I$1*H142*Variables!$Q$23*0.25,0)</f>
        <v>0</v>
      </c>
      <c r="X142" s="95">
        <f ca="1">IF(AND(NOT(K142=0),(H142-H141)&gt;0),(H142-H141)*(Variables!$M$5*$H$1+Variables!$U$5*$I$1),0)+IF(AND(NOT((J142+N142+Q142)=0),(H141-H142)&gt;0),(H141-H142)*(Variables!$M$4*$H$1+Variables!$U$4*$I$1),0)</f>
        <v>3.7694494410258068</v>
      </c>
      <c r="Y142" s="95">
        <f ca="1">IF(SUM(T142,U141:U142)&gt;0,H142*Variables!$Y$11*0.25*(1-$J$1),0)</f>
        <v>-8.6666009437672731</v>
      </c>
      <c r="Z142" s="95">
        <f ca="1">IF(T142=0,H142*$J$1*Variables!$Y$5*0.25,0)</f>
        <v>0</v>
      </c>
      <c r="AA142" s="95">
        <f t="shared" ca="1" si="2"/>
        <v>-4.8971515027414663</v>
      </c>
      <c r="AB142" s="91">
        <f ca="1">AA142/Variables!$E$49</f>
        <v>-0.78986314560346227</v>
      </c>
    </row>
    <row r="143" spans="1:28" x14ac:dyDescent="0.25">
      <c r="A143" s="61">
        <f>'Water runs'!C150</f>
        <v>15035</v>
      </c>
      <c r="B143" s="61" t="str">
        <f>'Water runs'!B150</f>
        <v>Summer</v>
      </c>
      <c r="C143" s="54">
        <f>'Water runs'!D150/100</f>
        <v>2.1008571428571399</v>
      </c>
      <c r="D143" s="108">
        <f>VLOOKUP(ROW(D143)+4,'Water runs'!$BS$3:$CF$423,MATCH($B$1,Scenarios,0)+1)</f>
        <v>0.29397936642412054</v>
      </c>
      <c r="E143" s="54">
        <f>IF(B143=Variables!$D$8,C143-Variables!$E$8,IF(B143=Variables!$D$9,C143-Variables!$E$9,IF(B143=Variables!$D$10,C143-Variables!$E$10,IF(B143=Variables!$D$11,C143-Variables!$E$11,"ELSE"))))</f>
        <v>0.84248700680271815</v>
      </c>
      <c r="F143" s="108">
        <f>VLOOKUP(ROW(F143)+4,'Water runs'!$CH$3:$CU$423,MATCH($B$1,Scenarios,0)+1)</f>
        <v>0.64328221126058005</v>
      </c>
      <c r="G143" s="65">
        <f ca="1">H143/Variables!$E$49</f>
        <v>0.18762431288614867</v>
      </c>
      <c r="H143" s="62">
        <f ca="1">IF((H142+I143)&gt;(1.1*Variables!$E$50),(1.1*Variables!$E$50),IF((H142+I143)&gt;0,H142+I143,0))</f>
        <v>1.1632707398941218</v>
      </c>
      <c r="I143" s="64">
        <f t="shared" ca="1" si="4"/>
        <v>0.1650707398941218</v>
      </c>
      <c r="J143" s="63">
        <f ca="1">IF(SUM(E139:E142)&lt;Variables!$B$3,-H142,0)</f>
        <v>-0.99819999999999998</v>
      </c>
      <c r="K143" s="64">
        <f ca="1">IF(AND(H142&lt;Variables!$B$6*Variables!$E$50,OR(SUM(D140:D143)&gt;Variables!$B$5,SUM(E140:E143)&gt;Variables!$B$4)),Variables!$B$6*Variables!$E$50+Variables!$B$7*$G$1*Variables!$E$50*SUM(D140:D143),0)</f>
        <v>1.1632707398941218</v>
      </c>
      <c r="L143" s="64">
        <f>IF(B143="Winter",Variables!$B$8*H142,0)</f>
        <v>0</v>
      </c>
      <c r="M143" s="64">
        <f ca="1">IF(AND(B143="Spring",AND(NOT(H142=0),H142&lt;(Variables!$B$9*Variables!$E$50))),(Variables!$B$10*Variables!$E$50+Variables!$B$11*Variables!$E$50*SUM(E140:E143)+$G$1*SUM(D142:D143)*Variables!$E$50*Variables!$B$12),0)</f>
        <v>0</v>
      </c>
      <c r="N143" s="64">
        <f>IF(AND(B143="Spring",AND(SUM(D140:D143)&gt;Variables!$B$13,SUM(D136:D139)&gt;Variables!$B$13)),-Variables!$B$14*Variables!$E$50,0)</f>
        <v>0</v>
      </c>
      <c r="O143" s="64">
        <f>IF(AND(B143="Summer",SUM(C139:D143)&gt;Variables!$B$15),(Variables!$B$16*Variables!$E$50*SUM(C139:C143)+$G$1*Variables!$B$16*Variables!$E$50*SUM(D139:D143)+$G$1*Variables!$E$50*Variables!$B$17*F143),0)</f>
        <v>0</v>
      </c>
      <c r="P143" s="64">
        <f ca="1">IF(AND(AND(B143="Autumn",SUM(D142:E143)&gt;0),NOT(H142=0)),Variables!$B$18*Variables!$E$50+Variables!$B$19*Variables!$E$50*SUM(E142:E143)+$G$1*Variables!$B$19*Variables!$E$50*SUM(D142:D143),0)</f>
        <v>0</v>
      </c>
      <c r="Q143" s="64">
        <f>IF(AND(B143="Autumn",AND((E143+E142)&lt;Variables!$B$20,(D142+D143)=0)),-Variables!$B$21*Variables!$E$50,0)</f>
        <v>0</v>
      </c>
      <c r="R143" s="64">
        <f>IF(B143="Autumn",(SUM(F142:F143)*$G$1*Variables!$B$22*Variables!$E$50),0)</f>
        <v>0</v>
      </c>
      <c r="S143" s="64">
        <f>IF(B143="Spring",($G$1*Variables!$E$50*SUM('Guts (MC)'!F142:F143)*Variables!$B$23),0)</f>
        <v>0</v>
      </c>
      <c r="T143" s="63">
        <f ca="1">IF((H142+SUM(J143:Q143))&lt;(Variables!$B$26*Variables!$E$50),$F$1*((Variables!$B$26*Variables!$E$50)-H142-SUM(J143:Q143)),0)</f>
        <v>0</v>
      </c>
      <c r="U143" s="64">
        <f ca="1">IF(AND(AND(B143="Autumn",SUM(D140:E143)&gt;Variables!$B$27),SUM(J143:Q143)&lt;Variables!$B$28*H142),$F$1*(Variables!$B$28*H142-SUM(J143:Q143)),0)</f>
        <v>0</v>
      </c>
      <c r="V143" s="96">
        <f ca="1">IF(AND((J143+K143)=0,(Q143+T143)=0),$H$1*H143*Variables!$I$23*0.25,0)</f>
        <v>0</v>
      </c>
      <c r="W143" s="97">
        <f ca="1">IF(AND((K143+J143)=0,(T143+Q143)=0),$I$1*H143*Variables!$Q$23*0.25,0)</f>
        <v>0</v>
      </c>
      <c r="X143" s="95">
        <f ca="1">IF(AND(NOT(K143=0),(H143-H142)&gt;0),(H143-H142)*(Variables!$M$5*$H$1+Variables!$U$5*$I$1),0)+IF(AND(NOT((J143+N143+Q143)=0),(H142-H143)&gt;0),(H142-H143)*(Variables!$M$4*$H$1+Variables!$U$4*$I$1),0)</f>
        <v>-18.869974448526868</v>
      </c>
      <c r="Y143" s="95">
        <f ca="1">IF(SUM(T143,U142:U143)&gt;0,H143*Variables!$Y$11*0.25*(1-$J$1),0)</f>
        <v>0</v>
      </c>
      <c r="Z143" s="95">
        <f ca="1">IF(T143=0,H143*$J$1*Variables!$Y$5*0.25,0)</f>
        <v>1.3090132512738826</v>
      </c>
      <c r="AA143" s="95">
        <f t="shared" ca="1" si="2"/>
        <v>-17.560961197252986</v>
      </c>
      <c r="AB143" s="91">
        <f ca="1">AA143/Variables!$E$49</f>
        <v>-2.8324130963311269</v>
      </c>
    </row>
    <row r="144" spans="1:28" x14ac:dyDescent="0.25">
      <c r="A144" s="61">
        <f>'Water runs'!C151</f>
        <v>15127</v>
      </c>
      <c r="B144" s="61" t="str">
        <f>'Water runs'!B151</f>
        <v>Autumn</v>
      </c>
      <c r="C144" s="54">
        <f>'Water runs'!D151/100</f>
        <v>0.38</v>
      </c>
      <c r="D144" s="108">
        <f>VLOOKUP(ROW(D144)+4,'Water runs'!$BS$3:$CF$423,MATCH($B$1,Scenarios,0)+1)</f>
        <v>0.28704423629640774</v>
      </c>
      <c r="E144" s="54">
        <f>IF(B144=Variables!$D$8,C144-Variables!$E$8,IF(B144=Variables!$D$9,C144-Variables!$E$9,IF(B144=Variables!$D$10,C144-Variables!$E$10,IF(B144=Variables!$D$11,C144-Variables!$E$11,"ELSE"))))</f>
        <v>-0.61464329931972783</v>
      </c>
      <c r="F144" s="108">
        <f>VLOOKUP(ROW(F144)+4,'Water runs'!$CH$3:$CU$423,MATCH($B$1,Scenarios,0)+1)</f>
        <v>0.27085566789919158</v>
      </c>
      <c r="G144" s="65">
        <f ca="1">H144/Variables!$E$49</f>
        <v>0.51235182418717262</v>
      </c>
      <c r="H144" s="62">
        <f ca="1">IF((H143+I144)&gt;(1.1*Variables!$E$50),(1.1*Variables!$E$50),IF((H143+I144)&gt;0,H143+I144,0))</f>
        <v>3.1765813099604703</v>
      </c>
      <c r="I144" s="64">
        <f t="shared" ca="1" si="4"/>
        <v>2.0133105700663485</v>
      </c>
      <c r="J144" s="63">
        <f>IF(SUM(E140:E143)&lt;Variables!$B$3,-H143,0)</f>
        <v>0</v>
      </c>
      <c r="K144" s="64">
        <f ca="1">IF(AND(H143&lt;Variables!$B$6*Variables!$E$50,OR(SUM(D141:D144)&gt;Variables!$B$5,SUM(E141:E144)&gt;Variables!$B$4)),Variables!$B$6*Variables!$E$50+Variables!$B$7*$G$1*Variables!$E$50*SUM(D141:D144),0)</f>
        <v>0</v>
      </c>
      <c r="L144" s="64">
        <f>IF(B144="Winter",Variables!$B$8*H143,0)</f>
        <v>0</v>
      </c>
      <c r="M144" s="64">
        <f ca="1">IF(AND(B144="Spring",AND(NOT(H143=0),H143&lt;(Variables!$B$9*Variables!$E$50))),(Variables!$B$10*Variables!$E$50+Variables!$B$11*Variables!$E$50*SUM(E141:E144)+$G$1*SUM(D143:D144)*Variables!$E$50*Variables!$B$12),0)</f>
        <v>0</v>
      </c>
      <c r="N144" s="64">
        <f>IF(AND(B144="Spring",AND(SUM(D141:D144)&gt;Variables!$B$13,SUM(D137:D140)&gt;Variables!$B$13)),-Variables!$B$14*Variables!$E$50,0)</f>
        <v>0</v>
      </c>
      <c r="O144" s="64">
        <f>IF(AND(B144="Summer",SUM(C140:D144)&gt;Variables!$B$15),(Variables!$B$16*Variables!$E$50*SUM(C140:C144)+$G$1*Variables!$B$16*Variables!$E$50*SUM(D140:D144)+$G$1*Variables!$E$50*Variables!$B$17*F144),0)</f>
        <v>0</v>
      </c>
      <c r="P144" s="64">
        <f ca="1">IF(AND(AND(B144="Autumn",SUM(D143:E144)&gt;0),NOT(H143=0)),Variables!$B$18*Variables!$E$50+Variables!$B$19*Variables!$E$50*SUM(E143:E144)+$G$1*Variables!$B$19*Variables!$E$50*SUM(D143:D144),0)</f>
        <v>1.8749173039755991</v>
      </c>
      <c r="Q144" s="64">
        <f>IF(AND(B144="Autumn",AND((E144+E143)&lt;Variables!$B$20,(D143+D144)=0)),-Variables!$B$21*Variables!$E$50,0)</f>
        <v>0</v>
      </c>
      <c r="R144" s="64">
        <f ca="1">IF(B144="Autumn",(SUM(F143:F144)*$G$1*Variables!$B$22*Variables!$E$50),0)</f>
        <v>0.13839326609074945</v>
      </c>
      <c r="S144" s="64">
        <f>IF(B144="Spring",($G$1*Variables!$E$50*SUM('Guts (MC)'!F143:F144)*Variables!$B$23),0)</f>
        <v>0</v>
      </c>
      <c r="T144" s="63">
        <f ca="1">IF((H143+SUM(J144:Q144))&lt;(Variables!$B$26*Variables!$E$50),$F$1*((Variables!$B$26*Variables!$E$50)-H143-SUM(J144:Q144)),0)</f>
        <v>0</v>
      </c>
      <c r="U144" s="64">
        <f ca="1">IF(AND(AND(B144="Autumn",SUM(D141:E144)&gt;Variables!$B$27),SUM(J144:Q144)&lt;Variables!$B$28*H143),$F$1*(Variables!$B$28*H143-SUM(J144:Q144)),0)</f>
        <v>0</v>
      </c>
      <c r="V144" s="96">
        <f ca="1">IF(AND((J144+K144)=0,(Q144+T144)=0),$H$1*H144*Variables!$I$23*0.25,0)</f>
        <v>38.71927864462878</v>
      </c>
      <c r="W144" s="97">
        <f ca="1">IF(AND((K144+J144)=0,(T144+Q144)=0),$I$1*H144*Variables!$Q$23*0.25,0)</f>
        <v>12.452621129830074</v>
      </c>
      <c r="X144" s="95">
        <f ca="1">IF(AND(NOT(K144=0),(H144-H143)&gt;0),(H144-H143)*(Variables!$M$5*$H$1+Variables!$U$5*$I$1),0)+IF(AND(NOT((J144+N144+Q144)=0),(H143-H144)&gt;0),(H143-H144)*(Variables!$M$4*$H$1+Variables!$U$4*$I$1),0)</f>
        <v>0</v>
      </c>
      <c r="Y144" s="95">
        <f ca="1">IF(SUM(T144,U143:U144)&gt;0,H144*Variables!$Y$11*0.25*(1-$J$1),0)</f>
        <v>0</v>
      </c>
      <c r="Z144" s="95">
        <f ca="1">IF(T144=0,H144*$J$1*Variables!$Y$5*0.25,0)</f>
        <v>3.574565134222901</v>
      </c>
      <c r="AA144" s="95">
        <f t="shared" ref="AA144:AA207" ca="1" si="5">SUM(V144:Z144)</f>
        <v>54.746464908681752</v>
      </c>
      <c r="AB144" s="91">
        <f ca="1">AA144/Variables!$E$49</f>
        <v>8.8300749852712492</v>
      </c>
    </row>
    <row r="145" spans="1:28" x14ac:dyDescent="0.25">
      <c r="A145" s="61">
        <f>'Water runs'!C152</f>
        <v>15219</v>
      </c>
      <c r="B145" s="61" t="str">
        <f>'Water runs'!B152</f>
        <v>Winter</v>
      </c>
      <c r="C145" s="54">
        <f>'Water runs'!D152/100</f>
        <v>0</v>
      </c>
      <c r="D145" s="108">
        <f>VLOOKUP(ROW(D145)+4,'Water runs'!$BS$3:$CF$423,MATCH($B$1,Scenarios,0)+1)</f>
        <v>0</v>
      </c>
      <c r="E145" s="54">
        <f>IF(B145=Variables!$D$8,C145-Variables!$E$8,IF(B145=Variables!$D$9,C145-Variables!$E$9,IF(B145=Variables!$D$10,C145-Variables!$E$10,IF(B145=Variables!$D$11,C145-Variables!$E$11,"ELSE"))))</f>
        <v>-0.57176762566137573</v>
      </c>
      <c r="F145" s="108">
        <f>VLOOKUP(ROW(F145)+4,'Water runs'!$CH$3:$CU$423,MATCH($B$1,Scenarios,0)+1)</f>
        <v>0</v>
      </c>
      <c r="G145" s="65">
        <f ca="1">H145/Variables!$E$49</f>
        <v>0.25722866888201995</v>
      </c>
      <c r="H145" s="62">
        <f ca="1">IF((H144+I145)&gt;(1.1*Variables!$E$50),(1.1*Variables!$E$50),IF((H144+I145)&gt;0,H144+I145,0))</f>
        <v>1.5948177470685236</v>
      </c>
      <c r="I145" s="64">
        <f t="shared" ca="1" si="4"/>
        <v>-1.5817635628919466</v>
      </c>
      <c r="J145" s="63">
        <f>IF(SUM(E141:E144)&lt;Variables!$B$3,-H144,0)</f>
        <v>0</v>
      </c>
      <c r="K145" s="64">
        <f ca="1">IF(AND(H144&lt;Variables!$B$6*Variables!$E$50,OR(SUM(D142:D145)&gt;Variables!$B$5,SUM(E142:E145)&gt;Variables!$B$4)),Variables!$B$6*Variables!$E$50+Variables!$B$7*$G$1*Variables!$E$50*SUM(D142:D145),0)</f>
        <v>0</v>
      </c>
      <c r="L145" s="64">
        <f ca="1">IF(B145="Winter",Variables!$B$8*H144,0)</f>
        <v>-1.5817635628919466</v>
      </c>
      <c r="M145" s="64">
        <f ca="1">IF(AND(B145="Spring",AND(NOT(H144=0),H144&lt;(Variables!$B$9*Variables!$E$50))),(Variables!$B$10*Variables!$E$50+Variables!$B$11*Variables!$E$50*SUM(E142:E145)+$G$1*SUM(D144:D145)*Variables!$E$50*Variables!$B$12),0)</f>
        <v>0</v>
      </c>
      <c r="N145" s="64">
        <f>IF(AND(B145="Spring",AND(SUM(D142:D145)&gt;Variables!$B$13,SUM(D138:D141)&gt;Variables!$B$13)),-Variables!$B$14*Variables!$E$50,0)</f>
        <v>0</v>
      </c>
      <c r="O145" s="64">
        <f>IF(AND(B145="Summer",SUM(C141:D145)&gt;Variables!$B$15),(Variables!$B$16*Variables!$E$50*SUM(C141:C145)+$G$1*Variables!$B$16*Variables!$E$50*SUM(D141:D145)+$G$1*Variables!$E$50*Variables!$B$17*F145),0)</f>
        <v>0</v>
      </c>
      <c r="P145" s="64">
        <f ca="1">IF(AND(AND(B145="Autumn",SUM(D144:E145)&gt;0),NOT(H144=0)),Variables!$B$18*Variables!$E$50+Variables!$B$19*Variables!$E$50*SUM(E144:E145)+$G$1*Variables!$B$19*Variables!$E$50*SUM(D144:D145),0)</f>
        <v>0</v>
      </c>
      <c r="Q145" s="64">
        <f>IF(AND(B145="Autumn",AND((E145+E144)&lt;Variables!$B$20,(D144+D145)=0)),-Variables!$B$21*Variables!$E$50,0)</f>
        <v>0</v>
      </c>
      <c r="R145" s="64">
        <f>IF(B145="Autumn",(SUM(F144:F145)*$G$1*Variables!$B$22*Variables!$E$50),0)</f>
        <v>0</v>
      </c>
      <c r="S145" s="64">
        <f>IF(B145="Spring",($G$1*Variables!$E$50*SUM('Guts (MC)'!F144:F145)*Variables!$B$23),0)</f>
        <v>0</v>
      </c>
      <c r="T145" s="63">
        <f ca="1">IF((H144+SUM(J145:Q145))&lt;(Variables!$B$26*Variables!$E$50),$F$1*((Variables!$B$26*Variables!$E$50)-H144-SUM(J145:Q145)),0)</f>
        <v>0</v>
      </c>
      <c r="U145" s="64">
        <f ca="1">IF(AND(AND(B145="Autumn",SUM(D142:E145)&gt;Variables!$B$27),SUM(J145:Q145)&lt;Variables!$B$28*H144),$F$1*(Variables!$B$28*H144-SUM(J145:Q145)),0)</f>
        <v>0</v>
      </c>
      <c r="V145" s="96">
        <f ca="1">IF(AND((J145+K145)=0,(Q145+T145)=0),$H$1*H145*Variables!$I$23*0.25,0)</f>
        <v>19.439197902009219</v>
      </c>
      <c r="W145" s="97">
        <f ca="1">IF(AND((K145+J145)=0,(T145+Q145)=0),$I$1*H145*Variables!$Q$23*0.25,0)</f>
        <v>6.2518976338183601</v>
      </c>
      <c r="X145" s="95">
        <f ca="1">IF(AND(NOT(K145=0),(H145-H144)&gt;0),(H145-H144)*(Variables!$M$5*$H$1+Variables!$U$5*$I$1),0)+IF(AND(NOT((J145+N145+Q145)=0),(H144-H145)&gt;0),(H144-H145)*(Variables!$M$4*$H$1+Variables!$U$4*$I$1),0)</f>
        <v>0</v>
      </c>
      <c r="Y145" s="95">
        <f ca="1">IF(SUM(T145,U144:U145)&gt;0,H145*Variables!$Y$11*0.25*(1-$J$1),0)</f>
        <v>0</v>
      </c>
      <c r="Z145" s="95">
        <f ca="1">IF(T145=0,H145*$J$1*Variables!$Y$5*0.25,0)</f>
        <v>1.7946274179211874</v>
      </c>
      <c r="AA145" s="95">
        <f t="shared" ca="1" si="5"/>
        <v>27.485722953748766</v>
      </c>
      <c r="AB145" s="91">
        <f ca="1">AA145/Variables!$E$49</f>
        <v>4.4331811215723818</v>
      </c>
    </row>
    <row r="146" spans="1:28" x14ac:dyDescent="0.25">
      <c r="A146" s="61">
        <f>'Water runs'!C153</f>
        <v>15310</v>
      </c>
      <c r="B146" s="61" t="str">
        <f>'Water runs'!B153</f>
        <v>Spring</v>
      </c>
      <c r="C146" s="54">
        <f>'Water runs'!D153/100</f>
        <v>0.11785714285714301</v>
      </c>
      <c r="D146" s="108">
        <f>VLOOKUP(ROW(D146)+4,'Water runs'!$BS$3:$CF$423,MATCH($B$1,Scenarios,0)+1)</f>
        <v>0</v>
      </c>
      <c r="E146" s="54">
        <f>IF(B146=Variables!$D$8,C146-Variables!$E$8,IF(B146=Variables!$D$9,C146-Variables!$E$9,IF(B146=Variables!$D$10,C146-Variables!$E$10,IF(B146=Variables!$D$11,C146-Variables!$E$11,"ELSE"))))</f>
        <v>-0.64612506613756615</v>
      </c>
      <c r="F146" s="108">
        <f>VLOOKUP(ROW(F146)+4,'Water runs'!$CH$3:$CU$423,MATCH($B$1,Scenarios,0)+1)</f>
        <v>0</v>
      </c>
      <c r="G146" s="65">
        <f ca="1">H146/Variables!$E$49</f>
        <v>0.161</v>
      </c>
      <c r="H146" s="62">
        <f ca="1">IF((H145+I146)&gt;(1.1*Variables!$E$50),(1.1*Variables!$E$50),IF((H145+I146)&gt;0,H145+I146,0))</f>
        <v>0.99820000000000009</v>
      </c>
      <c r="I146" s="64">
        <f t="shared" ca="1" si="4"/>
        <v>-0.59661774706852355</v>
      </c>
      <c r="J146" s="63">
        <f>IF(SUM(E142:E145)&lt;Variables!$B$3,-H145,0)</f>
        <v>0</v>
      </c>
      <c r="K146" s="64">
        <f ca="1">IF(AND(H145&lt;Variables!$B$6*Variables!$E$50,OR(SUM(D143:D146)&gt;Variables!$B$5,SUM(E143:E146)&gt;Variables!$B$4)),Variables!$B$6*Variables!$E$50+Variables!$B$7*$G$1*Variables!$E$50*SUM(D143:D146),0)</f>
        <v>0</v>
      </c>
      <c r="L146" s="64">
        <f>IF(B146="Winter",Variables!$B$8*H145,0)</f>
        <v>0</v>
      </c>
      <c r="M146" s="64">
        <f ca="1">IF(AND(B146="Spring",AND(NOT(H145=0),H145&lt;(Variables!$B$9*Variables!$E$50))),(Variables!$B$10*Variables!$E$50+Variables!$B$11*Variables!$E$50*SUM(E143:E146)+$G$1*SUM(D145:D146)*Variables!$E$50*Variables!$B$12),0)</f>
        <v>-0.67428443052074571</v>
      </c>
      <c r="N146" s="64">
        <f>IF(AND(B146="Spring",AND(SUM(D143:D146)&gt;Variables!$B$13,SUM(D139:D142)&gt;Variables!$B$13)),-Variables!$B$14*Variables!$E$50,0)</f>
        <v>0</v>
      </c>
      <c r="O146" s="64">
        <f>IF(AND(B146="Summer",SUM(C142:D146)&gt;Variables!$B$15),(Variables!$B$16*Variables!$E$50*SUM(C142:C146)+$G$1*Variables!$B$16*Variables!$E$50*SUM(D142:D146)+$G$1*Variables!$E$50*Variables!$B$17*F146),0)</f>
        <v>0</v>
      </c>
      <c r="P146" s="64">
        <f ca="1">IF(AND(AND(B146="Autumn",SUM(D145:E146)&gt;0),NOT(H145=0)),Variables!$B$18*Variables!$E$50+Variables!$B$19*Variables!$E$50*SUM(E145:E146)+$G$1*Variables!$B$19*Variables!$E$50*SUM(D145:D146),0)</f>
        <v>0</v>
      </c>
      <c r="Q146" s="64">
        <f>IF(AND(B146="Autumn",AND((E146+E145)&lt;Variables!$B$20,(D145+D146)=0)),-Variables!$B$21*Variables!$E$50,0)</f>
        <v>0</v>
      </c>
      <c r="R146" s="64">
        <f>IF(B146="Autumn",(SUM(F145:F146)*$G$1*Variables!$B$22*Variables!$E$50),0)</f>
        <v>0</v>
      </c>
      <c r="S146" s="64">
        <f ca="1">IF(B146="Spring",($G$1*Variables!$E$50*SUM('Guts (MC)'!F145:F146)*Variables!$B$23),0)</f>
        <v>0</v>
      </c>
      <c r="T146" s="63">
        <f ca="1">IF((H145+SUM(J146:Q146))&lt;(Variables!$B$26*Variables!$E$50),$F$1*((Variables!$B$26*Variables!$E$50)-H145-SUM(J146:Q146)),0)</f>
        <v>7.7666683452222163E-2</v>
      </c>
      <c r="U146" s="64">
        <f ca="1">IF(AND(AND(B146="Autumn",SUM(D143:E146)&gt;Variables!$B$27),SUM(J146:Q146)&lt;Variables!$B$28*H145),$F$1*(Variables!$B$28*H145-SUM(J146:Q146)),0)</f>
        <v>0</v>
      </c>
      <c r="V146" s="96">
        <f ca="1">IF(AND((J146+K146)=0,(Q146+T146)=0),$H$1*H146*Variables!$I$23*0.25,0)</f>
        <v>0</v>
      </c>
      <c r="W146" s="97">
        <f ca="1">IF(AND((K146+J146)=0,(T146+Q146)=0),$I$1*H146*Variables!$Q$23*0.25,0)</f>
        <v>0</v>
      </c>
      <c r="X146" s="95">
        <f ca="1">IF(AND(NOT(K146=0),(H146-H145)&gt;0),(H146-H145)*(Variables!$M$5*$H$1+Variables!$U$5*$I$1),0)+IF(AND(NOT((J146+N146+Q146)=0),(H145-H146)&gt;0),(H145-H146)*(Variables!$M$4*$H$1+Variables!$U$4*$I$1),0)</f>
        <v>0</v>
      </c>
      <c r="Y146" s="95">
        <f ca="1">IF(SUM(T146,U145:U146)&gt;0,H146*Variables!$Y$11*0.25*(1-$J$1),0)</f>
        <v>-8.6666009437672749</v>
      </c>
      <c r="Z146" s="95">
        <f ca="1">IF(T146=0,H146*$J$1*Variables!$Y$5*0.25,0)</f>
        <v>0</v>
      </c>
      <c r="AA146" s="95">
        <f t="shared" ca="1" si="5"/>
        <v>-8.6666009437672749</v>
      </c>
      <c r="AB146" s="91">
        <f ca="1">AA146/Variables!$E$49</f>
        <v>-1.3978388618979476</v>
      </c>
    </row>
    <row r="147" spans="1:28" x14ac:dyDescent="0.25">
      <c r="A147" s="61">
        <f>'Water runs'!C154</f>
        <v>15400</v>
      </c>
      <c r="B147" s="61" t="str">
        <f>'Water runs'!B154</f>
        <v>Summer</v>
      </c>
      <c r="C147" s="54">
        <f>'Water runs'!D154/100</f>
        <v>0.81885714285714295</v>
      </c>
      <c r="D147" s="108">
        <f>VLOOKUP(ROW(D147)+4,'Water runs'!$BS$3:$CF$423,MATCH($B$1,Scenarios,0)+1)</f>
        <v>0.11271031441262401</v>
      </c>
      <c r="E147" s="54">
        <f>IF(B147=Variables!$D$8,C147-Variables!$E$8,IF(B147=Variables!$D$9,C147-Variables!$E$9,IF(B147=Variables!$D$10,C147-Variables!$E$10,IF(B147=Variables!$D$11,C147-Variables!$E$11,"ELSE"))))</f>
        <v>-0.43951299319727877</v>
      </c>
      <c r="F147" s="108">
        <f>VLOOKUP(ROW(F147)+4,'Water runs'!$CH$3:$CU$423,MATCH($B$1,Scenarios,0)+1)</f>
        <v>0</v>
      </c>
      <c r="G147" s="65">
        <f ca="1">H147/Variables!$E$49</f>
        <v>0.34865546009428194</v>
      </c>
      <c r="H147" s="62">
        <f ca="1">IF((H146+I147)&gt;(1.1*Variables!$E$50),(1.1*Variables!$E$50),IF((H146+I147)&gt;0,H146+I147,0))</f>
        <v>2.1616638525845482</v>
      </c>
      <c r="I147" s="64">
        <f t="shared" ca="1" si="4"/>
        <v>1.1634638525845482</v>
      </c>
      <c r="J147" s="63">
        <f>IF(SUM(E143:E146)&lt;Variables!$B$3,-H146,0)</f>
        <v>0</v>
      </c>
      <c r="K147" s="64">
        <f ca="1">IF(AND(H146&lt;Variables!$B$6*Variables!$E$50,OR(SUM(D144:D147)&gt;Variables!$B$5,SUM(E144:E147)&gt;Variables!$B$4)),Variables!$B$6*Variables!$E$50+Variables!$B$7*$G$1*Variables!$E$50*SUM(D144:D147),0)</f>
        <v>1.1634638525845482</v>
      </c>
      <c r="L147" s="64">
        <f>IF(B147="Winter",Variables!$B$8*H146,0)</f>
        <v>0</v>
      </c>
      <c r="M147" s="64">
        <f ca="1">IF(AND(B147="Spring",AND(NOT(H146=0),H146&lt;(Variables!$B$9*Variables!$E$50))),(Variables!$B$10*Variables!$E$50+Variables!$B$11*Variables!$E$50*SUM(E144:E147)+$G$1*SUM(D146:D147)*Variables!$E$50*Variables!$B$12),0)</f>
        <v>0</v>
      </c>
      <c r="N147" s="64">
        <f>IF(AND(B147="Spring",AND(SUM(D144:D147)&gt;Variables!$B$13,SUM(D140:D143)&gt;Variables!$B$13)),-Variables!$B$14*Variables!$E$50,0)</f>
        <v>0</v>
      </c>
      <c r="O147" s="64">
        <f>IF(AND(B147="Summer",SUM(C143:D147)&gt;Variables!$B$15),(Variables!$B$16*Variables!$E$50*SUM(C143:C147)+$G$1*Variables!$B$16*Variables!$E$50*SUM(D143:D147)+$G$1*Variables!$E$50*Variables!$B$17*F147),0)</f>
        <v>0</v>
      </c>
      <c r="P147" s="64">
        <f ca="1">IF(AND(AND(B147="Autumn",SUM(D146:E147)&gt;0),NOT(H146=0)),Variables!$B$18*Variables!$E$50+Variables!$B$19*Variables!$E$50*SUM(E146:E147)+$G$1*Variables!$B$19*Variables!$E$50*SUM(D146:D147),0)</f>
        <v>0</v>
      </c>
      <c r="Q147" s="64">
        <f>IF(AND(B147="Autumn",AND((E147+E146)&lt;Variables!$B$20,(D146+D147)=0)),-Variables!$B$21*Variables!$E$50,0)</f>
        <v>0</v>
      </c>
      <c r="R147" s="64">
        <f>IF(B147="Autumn",(SUM(F146:F147)*$G$1*Variables!$B$22*Variables!$E$50),0)</f>
        <v>0</v>
      </c>
      <c r="S147" s="64">
        <f>IF(B147="Spring",($G$1*Variables!$E$50*SUM('Guts (MC)'!F146:F147)*Variables!$B$23),0)</f>
        <v>0</v>
      </c>
      <c r="T147" s="63">
        <f ca="1">IF((H146+SUM(J147:Q147))&lt;(Variables!$B$26*Variables!$E$50),$F$1*((Variables!$B$26*Variables!$E$50)-H146-SUM(J147:Q147)),0)</f>
        <v>0</v>
      </c>
      <c r="U147" s="64">
        <f ca="1">IF(AND(AND(B147="Autumn",SUM(D144:E147)&gt;Variables!$B$27),SUM(J147:Q147)&lt;Variables!$B$28*H146),$F$1*(Variables!$B$28*H146-SUM(J147:Q147)),0)</f>
        <v>0</v>
      </c>
      <c r="V147" s="96">
        <f ca="1">IF(AND((J147+K147)=0,(Q147+T147)=0),$H$1*H147*Variables!$I$23*0.25,0)</f>
        <v>0</v>
      </c>
      <c r="W147" s="97">
        <f ca="1">IF(AND((K147+J147)=0,(T147+Q147)=0),$I$1*H147*Variables!$Q$23*0.25,0)</f>
        <v>0</v>
      </c>
      <c r="X147" s="95">
        <f ca="1">IF(AND(NOT(K147=0),(H147-H146)&gt;0),(H147-H146)*(Variables!$M$5*$H$1+Variables!$U$5*$I$1),0)+IF(AND(NOT((J147+N147+Q147)=0),(H146-H147)&gt;0),(H146-H147)*(Variables!$M$4*$H$1+Variables!$U$4*$I$1),0)</f>
        <v>-133.00075582224284</v>
      </c>
      <c r="Y147" s="95">
        <f ca="1">IF(SUM(T147,U146:U147)&gt;0,H147*Variables!$Y$11*0.25*(1-$J$1),0)</f>
        <v>0</v>
      </c>
      <c r="Z147" s="95">
        <f ca="1">IF(T147=0,H147*$J$1*Variables!$Y$5*0.25,0)</f>
        <v>2.4324918789674661</v>
      </c>
      <c r="AA147" s="95">
        <f t="shared" ca="1" si="5"/>
        <v>-130.56826394327538</v>
      </c>
      <c r="AB147" s="91">
        <f ca="1">AA147/Variables!$E$49</f>
        <v>-21.059397410205705</v>
      </c>
    </row>
    <row r="148" spans="1:28" x14ac:dyDescent="0.25">
      <c r="A148" s="61">
        <f>'Water runs'!C155</f>
        <v>15492</v>
      </c>
      <c r="B148" s="61" t="str">
        <f>'Water runs'!B155</f>
        <v>Autumn</v>
      </c>
      <c r="C148" s="54">
        <f>'Water runs'!D155/100</f>
        <v>0.97857142857142909</v>
      </c>
      <c r="D148" s="108">
        <f>VLOOKUP(ROW(D148)+4,'Water runs'!$BS$3:$CF$423,MATCH($B$1,Scenarios,0)+1)</f>
        <v>0.33648564121647834</v>
      </c>
      <c r="E148" s="54">
        <f>IF(B148=Variables!$D$8,C148-Variables!$E$8,IF(B148=Variables!$D$9,C148-Variables!$E$9,IF(B148=Variables!$D$10,C148-Variables!$E$10,IF(B148=Variables!$D$11,C148-Variables!$E$11,"ELSE"))))</f>
        <v>-1.6071870748298744E-2</v>
      </c>
      <c r="F148" s="108">
        <f>VLOOKUP(ROW(F148)+4,'Water runs'!$CH$3:$CU$423,MATCH($B$1,Scenarios,0)+1)</f>
        <v>0.41714344531627329</v>
      </c>
      <c r="G148" s="65">
        <f ca="1">H148/Variables!$E$49</f>
        <v>0.17118584323595754</v>
      </c>
      <c r="H148" s="62">
        <f ca="1">IF((H147+I148)&gt;(1.1*Variables!$E$50),(1.1*Variables!$E$50),IF((H147+I148)&gt;0,H147+I148,0))</f>
        <v>1.0613522280629368</v>
      </c>
      <c r="I148" s="64">
        <f t="shared" ca="1" si="4"/>
        <v>-1.1003116245216114</v>
      </c>
      <c r="J148" s="63">
        <f ca="1">IF(SUM(E144:E147)&lt;Variables!$B$3,-H147,0)</f>
        <v>-2.1616638525845482</v>
      </c>
      <c r="K148" s="64">
        <f ca="1">IF(AND(H147&lt;Variables!$B$6*Variables!$E$50,OR(SUM(D145:D148)&gt;Variables!$B$5,SUM(E145:E148)&gt;Variables!$B$4)),Variables!$B$6*Variables!$E$50+Variables!$B$7*$G$1*Variables!$E$50*SUM(D145:D148),0)</f>
        <v>0</v>
      </c>
      <c r="L148" s="64">
        <f>IF(B148="Winter",Variables!$B$8*H147,0)</f>
        <v>0</v>
      </c>
      <c r="M148" s="64">
        <f ca="1">IF(AND(B148="Spring",AND(NOT(H147=0),H147&lt;(Variables!$B$9*Variables!$E$50))),(Variables!$B$10*Variables!$E$50+Variables!$B$11*Variables!$E$50*SUM(E145:E148)+$G$1*SUM(D147:D148)*Variables!$E$50*Variables!$B$12),0)</f>
        <v>0</v>
      </c>
      <c r="N148" s="64">
        <f>IF(AND(B148="Spring",AND(SUM(D145:D148)&gt;Variables!$B$13,SUM(D141:D144)&gt;Variables!$B$13)),-Variables!$B$14*Variables!$E$50,0)</f>
        <v>0</v>
      </c>
      <c r="O148" s="64">
        <f>IF(AND(B148="Summer",SUM(C144:D148)&gt;Variables!$B$15),(Variables!$B$16*Variables!$E$50*SUM(C144:C148)+$G$1*Variables!$B$16*Variables!$E$50*SUM(D144:D148)+$G$1*Variables!$E$50*Variables!$B$17*F148),0)</f>
        <v>0</v>
      </c>
      <c r="P148" s="64">
        <f ca="1">IF(AND(AND(B148="Autumn",SUM(D147:E148)&gt;0),NOT(H147=0)),Variables!$B$18*Variables!$E$50+Variables!$B$19*Variables!$E$50*SUM(E147:E148)+$G$1*Variables!$B$19*Variables!$E$50*SUM(D147:D148),0)</f>
        <v>0</v>
      </c>
      <c r="Q148" s="64">
        <f>IF(AND(B148="Autumn",AND((E148+E147)&lt;Variables!$B$20,(D147+D148)=0)),-Variables!$B$21*Variables!$E$50,0)</f>
        <v>0</v>
      </c>
      <c r="R148" s="64">
        <f ca="1">IF(B148="Autumn",(SUM(F147:F148)*$G$1*Variables!$B$22*Variables!$E$50),0)</f>
        <v>6.3152228062936522E-2</v>
      </c>
      <c r="S148" s="64">
        <f>IF(B148="Spring",($G$1*Variables!$E$50*SUM('Guts (MC)'!F147:F148)*Variables!$B$23),0)</f>
        <v>0</v>
      </c>
      <c r="T148" s="63">
        <f ca="1">IF((H147+SUM(J148:Q148))&lt;(Variables!$B$26*Variables!$E$50),$F$1*((Variables!$B$26*Variables!$E$50)-H147-SUM(J148:Q148)),0)</f>
        <v>0.9982000000000002</v>
      </c>
      <c r="U148" s="64">
        <f ca="1">IF(AND(AND(B148="Autumn",SUM(D145:E148)&gt;Variables!$B$27),SUM(J148:Q148)&lt;Variables!$B$28*H147),$F$1*(Variables!$B$28*H147-SUM(J148:Q148)),0)</f>
        <v>0</v>
      </c>
      <c r="V148" s="96">
        <f ca="1">IF(AND((J148+K148)=0,(Q148+T148)=0),$H$1*H148*Variables!$I$23*0.25,0)</f>
        <v>0</v>
      </c>
      <c r="W148" s="97">
        <f ca="1">IF(AND((K148+J148)=0,(T148+Q148)=0),$I$1*H148*Variables!$Q$23*0.25,0)</f>
        <v>0</v>
      </c>
      <c r="X148" s="95">
        <f ca="1">IF(AND(NOT(K148=0),(H148-H147)&gt;0),(H148-H147)*(Variables!$M$5*$H$1+Variables!$U$5*$I$1),0)+IF(AND(NOT((J148+N148+Q148)=0),(H147-H148)&gt;0),(H147-H148)*(Variables!$M$4*$H$1+Variables!$U$4*$I$1),0)</f>
        <v>62.890771112607297</v>
      </c>
      <c r="Y148" s="95">
        <f ca="1">IF(SUM(T148,U147:U148)&gt;0,H148*Variables!$Y$11*0.25*(1-$J$1),0)</f>
        <v>-9.2149030468841389</v>
      </c>
      <c r="Z148" s="95">
        <f ca="1">IF(T148=0,H148*$J$1*Variables!$Y$5*0.25,0)</f>
        <v>0</v>
      </c>
      <c r="AA148" s="95">
        <f t="shared" ca="1" si="5"/>
        <v>53.675868065723158</v>
      </c>
      <c r="AB148" s="91">
        <f ca="1">AA148/Variables!$E$49</f>
        <v>8.6573980751166388</v>
      </c>
    </row>
    <row r="149" spans="1:28" x14ac:dyDescent="0.25">
      <c r="A149" s="61">
        <f>'Water runs'!C156</f>
        <v>15584</v>
      </c>
      <c r="B149" s="61" t="str">
        <f>'Water runs'!B156</f>
        <v>Winter</v>
      </c>
      <c r="C149" s="54">
        <f>'Water runs'!D156/100</f>
        <v>0.70928571428571408</v>
      </c>
      <c r="D149" s="108">
        <f>VLOOKUP(ROW(D149)+4,'Water runs'!$BS$3:$CF$423,MATCH($B$1,Scenarios,0)+1)</f>
        <v>0</v>
      </c>
      <c r="E149" s="54">
        <f>IF(B149=Variables!$D$8,C149-Variables!$E$8,IF(B149=Variables!$D$9,C149-Variables!$E$9,IF(B149=Variables!$D$10,C149-Variables!$E$10,IF(B149=Variables!$D$11,C149-Variables!$E$11,"ELSE"))))</f>
        <v>0.13751808862433834</v>
      </c>
      <c r="F149" s="108">
        <f>VLOOKUP(ROW(F149)+4,'Water runs'!$CH$3:$CU$423,MATCH($B$1,Scenarios,0)+1)</f>
        <v>0</v>
      </c>
      <c r="G149" s="65">
        <f ca="1">H149/Variables!$E$49</f>
        <v>0.27405223157995251</v>
      </c>
      <c r="H149" s="62">
        <f ca="1">IF((H148+I149)&gt;(1.1*Variables!$E$50),(1.1*Variables!$E$50),IF((H148+I149)&gt;0,H148+I149,0))</f>
        <v>1.6991238357957057</v>
      </c>
      <c r="I149" s="64">
        <f t="shared" ca="1" si="4"/>
        <v>0.63777160773276875</v>
      </c>
      <c r="J149" s="63">
        <f>IF(SUM(E145:E148)&lt;Variables!$B$3,-H148,0)</f>
        <v>0</v>
      </c>
      <c r="K149" s="64">
        <f ca="1">IF(AND(H148&lt;Variables!$B$6*Variables!$E$50,OR(SUM(D146:D149)&gt;Variables!$B$5,SUM(E146:E149)&gt;Variables!$B$4)),Variables!$B$6*Variables!$E$50+Variables!$B$7*$G$1*Variables!$E$50*SUM(D146:D149),0)</f>
        <v>1.1662669043839438</v>
      </c>
      <c r="L149" s="64">
        <f ca="1">IF(B149="Winter",Variables!$B$8*H148,0)</f>
        <v>-0.52849529665117501</v>
      </c>
      <c r="M149" s="64">
        <f ca="1">IF(AND(B149="Spring",AND(NOT(H148=0),H148&lt;(Variables!$B$9*Variables!$E$50))),(Variables!$B$10*Variables!$E$50+Variables!$B$11*Variables!$E$50*SUM(E146:E149)+$G$1*SUM(D148:D149)*Variables!$E$50*Variables!$B$12),0)</f>
        <v>0</v>
      </c>
      <c r="N149" s="64">
        <f>IF(AND(B149="Spring",AND(SUM(D146:D149)&gt;Variables!$B$13,SUM(D142:D145)&gt;Variables!$B$13)),-Variables!$B$14*Variables!$E$50,0)</f>
        <v>0</v>
      </c>
      <c r="O149" s="64">
        <f>IF(AND(B149="Summer",SUM(C145:D149)&gt;Variables!$B$15),(Variables!$B$16*Variables!$E$50*SUM(C145:C149)+$G$1*Variables!$B$16*Variables!$E$50*SUM(D145:D149)+$G$1*Variables!$E$50*Variables!$B$17*F149),0)</f>
        <v>0</v>
      </c>
      <c r="P149" s="64">
        <f ca="1">IF(AND(AND(B149="Autumn",SUM(D148:E149)&gt;0),NOT(H148=0)),Variables!$B$18*Variables!$E$50+Variables!$B$19*Variables!$E$50*SUM(E148:E149)+$G$1*Variables!$B$19*Variables!$E$50*SUM(D148:D149),0)</f>
        <v>0</v>
      </c>
      <c r="Q149" s="64">
        <f>IF(AND(B149="Autumn",AND((E149+E148)&lt;Variables!$B$20,(D148+D149)=0)),-Variables!$B$21*Variables!$E$50,0)</f>
        <v>0</v>
      </c>
      <c r="R149" s="64">
        <f>IF(B149="Autumn",(SUM(F148:F149)*$G$1*Variables!$B$22*Variables!$E$50),0)</f>
        <v>0</v>
      </c>
      <c r="S149" s="64">
        <f>IF(B149="Spring",($G$1*Variables!$E$50*SUM('Guts (MC)'!F148:F149)*Variables!$B$23),0)</f>
        <v>0</v>
      </c>
      <c r="T149" s="63">
        <f ca="1">IF((H148+SUM(J149:Q149))&lt;(Variables!$B$26*Variables!$E$50),$F$1*((Variables!$B$26*Variables!$E$50)-H148-SUM(J149:Q149)),0)</f>
        <v>0</v>
      </c>
      <c r="U149" s="64">
        <f ca="1">IF(AND(AND(B149="Autumn",SUM(D146:E149)&gt;Variables!$B$27),SUM(J149:Q149)&lt;Variables!$B$28*H148),$F$1*(Variables!$B$28*H148-SUM(J149:Q149)),0)</f>
        <v>0</v>
      </c>
      <c r="V149" s="96">
        <f ca="1">IF(AND((J149+K149)=0,(Q149+T149)=0),$H$1*H149*Variables!$I$23*0.25,0)</f>
        <v>0</v>
      </c>
      <c r="W149" s="97">
        <f ca="1">IF(AND((K149+J149)=0,(T149+Q149)=0),$I$1*H149*Variables!$Q$23*0.25,0)</f>
        <v>0</v>
      </c>
      <c r="X149" s="95">
        <f ca="1">IF(AND(NOT(K149=0),(H149-H148)&gt;0),(H149-H148)*(Variables!$M$5*$H$1+Variables!$U$5*$I$1),0)+IF(AND(NOT((J149+N149+Q149)=0),(H148-H149)&gt;0),(H148-H149)*(Variables!$M$4*$H$1+Variables!$U$4*$I$1),0)</f>
        <v>-72.906524497512166</v>
      </c>
      <c r="Y149" s="95">
        <f ca="1">IF(SUM(T149,U148:U149)&gt;0,H149*Variables!$Y$11*0.25*(1-$J$1),0)</f>
        <v>0</v>
      </c>
      <c r="Z149" s="95">
        <f ca="1">IF(T149=0,H149*$J$1*Variables!$Y$5*0.25,0)</f>
        <v>1.9120016865672449</v>
      </c>
      <c r="AA149" s="95">
        <f t="shared" ca="1" si="5"/>
        <v>-70.994522810944915</v>
      </c>
      <c r="AB149" s="91">
        <f ca="1">AA149/Variables!$E$49</f>
        <v>-11.450729485636277</v>
      </c>
    </row>
    <row r="150" spans="1:28" x14ac:dyDescent="0.25">
      <c r="A150" s="61">
        <f>'Water runs'!C157</f>
        <v>15675</v>
      </c>
      <c r="B150" s="61" t="str">
        <f>'Water runs'!B157</f>
        <v>Spring</v>
      </c>
      <c r="C150" s="54">
        <f>'Water runs'!D157/100</f>
        <v>0.7811904761904761</v>
      </c>
      <c r="D150" s="108">
        <f>VLOOKUP(ROW(D150)+4,'Water runs'!$BS$3:$CF$423,MATCH($B$1,Scenarios,0)+1)</f>
        <v>0</v>
      </c>
      <c r="E150" s="54">
        <f>IF(B150=Variables!$D$8,C150-Variables!$E$8,IF(B150=Variables!$D$9,C150-Variables!$E$9,IF(B150=Variables!$D$10,C150-Variables!$E$10,IF(B150=Variables!$D$11,C150-Variables!$E$11,"ELSE"))))</f>
        <v>1.7208267195766958E-2</v>
      </c>
      <c r="F150" s="108">
        <f>VLOOKUP(ROW(F150)+4,'Water runs'!$CH$3:$CU$423,MATCH($B$1,Scenarios,0)+1)</f>
        <v>0</v>
      </c>
      <c r="G150" s="65">
        <f ca="1">H150/Variables!$E$49</f>
        <v>0.24100332790196627</v>
      </c>
      <c r="H150" s="62">
        <f ca="1">IF((H149+I150)&gt;(1.1*Variables!$E$50),(1.1*Variables!$E$50),IF((H149+I150)&gt;0,H149+I150,0))</f>
        <v>1.494220632992191</v>
      </c>
      <c r="I150" s="64">
        <f t="shared" ca="1" si="4"/>
        <v>-0.20490320280351471</v>
      </c>
      <c r="J150" s="63">
        <f>IF(SUM(E146:E149)&lt;Variables!$B$3,-H149,0)</f>
        <v>0</v>
      </c>
      <c r="K150" s="64">
        <f ca="1">IF(AND(H149&lt;Variables!$B$6*Variables!$E$50,OR(SUM(D147:D150)&gt;Variables!$B$5,SUM(E147:E150)&gt;Variables!$B$4)),Variables!$B$6*Variables!$E$50+Variables!$B$7*$G$1*Variables!$E$50*SUM(D147:D150),0)</f>
        <v>0</v>
      </c>
      <c r="L150" s="64">
        <f>IF(B150="Winter",Variables!$B$8*H149,0)</f>
        <v>0</v>
      </c>
      <c r="M150" s="64">
        <f ca="1">IF(AND(B150="Spring",AND(NOT(H149=0),H149&lt;(Variables!$B$9*Variables!$E$50))),(Variables!$B$10*Variables!$E$50+Variables!$B$11*Variables!$E$50*SUM(E147:E150)+$G$1*SUM(D149:D150)*Variables!$E$50*Variables!$B$12),0)</f>
        <v>-0.20490320280351471</v>
      </c>
      <c r="N150" s="64">
        <f>IF(AND(B150="Spring",AND(SUM(D147:D150)&gt;Variables!$B$13,SUM(D143:D146)&gt;Variables!$B$13)),-Variables!$B$14*Variables!$E$50,0)</f>
        <v>0</v>
      </c>
      <c r="O150" s="64">
        <f>IF(AND(B150="Summer",SUM(C146:D150)&gt;Variables!$B$15),(Variables!$B$16*Variables!$E$50*SUM(C146:C150)+$G$1*Variables!$B$16*Variables!$E$50*SUM(D146:D150)+$G$1*Variables!$E$50*Variables!$B$17*F150),0)</f>
        <v>0</v>
      </c>
      <c r="P150" s="64">
        <f ca="1">IF(AND(AND(B150="Autumn",SUM(D149:E150)&gt;0),NOT(H149=0)),Variables!$B$18*Variables!$E$50+Variables!$B$19*Variables!$E$50*SUM(E149:E150)+$G$1*Variables!$B$19*Variables!$E$50*SUM(D149:D150),0)</f>
        <v>0</v>
      </c>
      <c r="Q150" s="64">
        <f>IF(AND(B150="Autumn",AND((E150+E149)&lt;Variables!$B$20,(D149+D150)=0)),-Variables!$B$21*Variables!$E$50,0)</f>
        <v>0</v>
      </c>
      <c r="R150" s="64">
        <f>IF(B150="Autumn",(SUM(F149:F150)*$G$1*Variables!$B$22*Variables!$E$50),0)</f>
        <v>0</v>
      </c>
      <c r="S150" s="64">
        <f ca="1">IF(B150="Spring",($G$1*Variables!$E$50*SUM('Guts (MC)'!F149:F150)*Variables!$B$23),0)</f>
        <v>0</v>
      </c>
      <c r="T150" s="63">
        <f ca="1">IF((H149+SUM(J150:Q150))&lt;(Variables!$B$26*Variables!$E$50),$F$1*((Variables!$B$26*Variables!$E$50)-H149-SUM(J150:Q150)),0)</f>
        <v>0</v>
      </c>
      <c r="U150" s="64">
        <f ca="1">IF(AND(AND(B150="Autumn",SUM(D147:E150)&gt;Variables!$B$27),SUM(J150:Q150)&lt;Variables!$B$28*H149),$F$1*(Variables!$B$28*H149-SUM(J150:Q150)),0)</f>
        <v>0</v>
      </c>
      <c r="V150" s="96">
        <f ca="1">IF(AND((J150+K150)=0,(Q150+T150)=0),$H$1*H150*Variables!$I$23*0.25,0)</f>
        <v>18.213021925164636</v>
      </c>
      <c r="W150" s="97">
        <f ca="1">IF(AND((K150+J150)=0,(T150+Q150)=0),$I$1*H150*Variables!$Q$23*0.25,0)</f>
        <v>5.8575435700898755</v>
      </c>
      <c r="X150" s="95">
        <f ca="1">IF(AND(NOT(K150=0),(H150-H149)&gt;0),(H150-H149)*(Variables!$M$5*$H$1+Variables!$U$5*$I$1),0)+IF(AND(NOT((J150+N150+Q150)=0),(H149-H150)&gt;0),(H149-H150)*(Variables!$M$4*$H$1+Variables!$U$4*$I$1),0)</f>
        <v>0</v>
      </c>
      <c r="Y150" s="95">
        <f ca="1">IF(SUM(T150,U149:U150)&gt;0,H150*Variables!$Y$11*0.25*(1-$J$1),0)</f>
        <v>0</v>
      </c>
      <c r="Z150" s="95">
        <f ca="1">IF(T150=0,H150*$J$1*Variables!$Y$5*0.25,0)</f>
        <v>1.6814268096278715</v>
      </c>
      <c r="AA150" s="95">
        <f t="shared" ca="1" si="5"/>
        <v>25.751992304882386</v>
      </c>
      <c r="AB150" s="91">
        <f ca="1">AA150/Variables!$E$49</f>
        <v>4.1535471459487718</v>
      </c>
    </row>
    <row r="151" spans="1:28" x14ac:dyDescent="0.25">
      <c r="A151" s="61">
        <f>'Water runs'!C158</f>
        <v>15765</v>
      </c>
      <c r="B151" s="61" t="str">
        <f>'Water runs'!B158</f>
        <v>Summer</v>
      </c>
      <c r="C151" s="54">
        <f>'Water runs'!D158/100</f>
        <v>1.88014285714286</v>
      </c>
      <c r="D151" s="108">
        <f>VLOOKUP(ROW(D151)+4,'Water runs'!$BS$3:$CF$423,MATCH($B$1,Scenarios,0)+1)</f>
        <v>0.18920577360074109</v>
      </c>
      <c r="E151" s="54">
        <f>IF(B151=Variables!$D$8,C151-Variables!$E$8,IF(B151=Variables!$D$9,C151-Variables!$E$9,IF(B151=Variables!$D$10,C151-Variables!$E$10,IF(B151=Variables!$D$11,C151-Variables!$E$11,"ELSE"))))</f>
        <v>0.62177272108843828</v>
      </c>
      <c r="F151" s="108">
        <f>VLOOKUP(ROW(F151)+4,'Water runs'!$CH$3:$CU$423,MATCH($B$1,Scenarios,0)+1)</f>
        <v>0.1765204000031671</v>
      </c>
      <c r="G151" s="65">
        <f ca="1">H151/Variables!$E$49</f>
        <v>0.24100332790196627</v>
      </c>
      <c r="H151" s="62">
        <f ca="1">IF((H150+I151)&gt;(1.1*Variables!$E$50),(1.1*Variables!$E$50),IF((H150+I151)&gt;0,H150+I151,0))</f>
        <v>1.494220632992191</v>
      </c>
      <c r="I151" s="64">
        <f t="shared" ca="1" si="4"/>
        <v>0</v>
      </c>
      <c r="J151" s="63">
        <f>IF(SUM(E147:E150)&lt;Variables!$B$3,-H150,0)</f>
        <v>0</v>
      </c>
      <c r="K151" s="64">
        <f ca="1">IF(AND(H150&lt;Variables!$B$6*Variables!$E$50,OR(SUM(D148:D151)&gt;Variables!$B$5,SUM(E148:E151)&gt;Variables!$B$4)),Variables!$B$6*Variables!$E$50+Variables!$B$7*$G$1*Variables!$E$50*SUM(D148:D151),0)</f>
        <v>0</v>
      </c>
      <c r="L151" s="64">
        <f>IF(B151="Winter",Variables!$B$8*H150,0)</f>
        <v>0</v>
      </c>
      <c r="M151" s="64">
        <f ca="1">IF(AND(B151="Spring",AND(NOT(H150=0),H150&lt;(Variables!$B$9*Variables!$E$50))),(Variables!$B$10*Variables!$E$50+Variables!$B$11*Variables!$E$50*SUM(E148:E151)+$G$1*SUM(D150:D151)*Variables!$E$50*Variables!$B$12),0)</f>
        <v>0</v>
      </c>
      <c r="N151" s="64">
        <f>IF(AND(B151="Spring",AND(SUM(D148:D151)&gt;Variables!$B$13,SUM(D144:D147)&gt;Variables!$B$13)),-Variables!$B$14*Variables!$E$50,0)</f>
        <v>0</v>
      </c>
      <c r="O151" s="64">
        <f>IF(AND(B151="Summer",SUM(C147:D151)&gt;Variables!$B$15),(Variables!$B$16*Variables!$E$50*SUM(C147:C151)+$G$1*Variables!$B$16*Variables!$E$50*SUM(D147:D151)+$G$1*Variables!$E$50*Variables!$B$17*F151),0)</f>
        <v>0</v>
      </c>
      <c r="P151" s="64">
        <f ca="1">IF(AND(AND(B151="Autumn",SUM(D150:E151)&gt;0),NOT(H150=0)),Variables!$B$18*Variables!$E$50+Variables!$B$19*Variables!$E$50*SUM(E150:E151)+$G$1*Variables!$B$19*Variables!$E$50*SUM(D150:D151),0)</f>
        <v>0</v>
      </c>
      <c r="Q151" s="64">
        <f>IF(AND(B151="Autumn",AND((E151+E150)&lt;Variables!$B$20,(D150+D151)=0)),-Variables!$B$21*Variables!$E$50,0)</f>
        <v>0</v>
      </c>
      <c r="R151" s="64">
        <f>IF(B151="Autumn",(SUM(F150:F151)*$G$1*Variables!$B$22*Variables!$E$50),0)</f>
        <v>0</v>
      </c>
      <c r="S151" s="64">
        <f>IF(B151="Spring",($G$1*Variables!$E$50*SUM('Guts (MC)'!F150:F151)*Variables!$B$23),0)</f>
        <v>0</v>
      </c>
      <c r="T151" s="63">
        <f ca="1">IF((H150+SUM(J151:Q151))&lt;(Variables!$B$26*Variables!$E$50),$F$1*((Variables!$B$26*Variables!$E$50)-H150-SUM(J151:Q151)),0)</f>
        <v>0</v>
      </c>
      <c r="U151" s="64">
        <f ca="1">IF(AND(AND(B151="Autumn",SUM(D148:E151)&gt;Variables!$B$27),SUM(J151:Q151)&lt;Variables!$B$28*H150),$F$1*(Variables!$B$28*H150-SUM(J151:Q151)),0)</f>
        <v>0</v>
      </c>
      <c r="V151" s="96">
        <f ca="1">IF(AND((J151+K151)=0,(Q151+T151)=0),$H$1*H151*Variables!$I$23*0.25,0)</f>
        <v>18.213021925164636</v>
      </c>
      <c r="W151" s="97">
        <f ca="1">IF(AND((K151+J151)=0,(T151+Q151)=0),$I$1*H151*Variables!$Q$23*0.25,0)</f>
        <v>5.8575435700898755</v>
      </c>
      <c r="X151" s="95">
        <f ca="1">IF(AND(NOT(K151=0),(H151-H150)&gt;0),(H151-H150)*(Variables!$M$5*$H$1+Variables!$U$5*$I$1),0)+IF(AND(NOT((J151+N151+Q151)=0),(H150-H151)&gt;0),(H150-H151)*(Variables!$M$4*$H$1+Variables!$U$4*$I$1),0)</f>
        <v>0</v>
      </c>
      <c r="Y151" s="95">
        <f ca="1">IF(SUM(T151,U150:U151)&gt;0,H151*Variables!$Y$11*0.25*(1-$J$1),0)</f>
        <v>0</v>
      </c>
      <c r="Z151" s="95">
        <f ca="1">IF(T151=0,H151*$J$1*Variables!$Y$5*0.25,0)</f>
        <v>1.6814268096278715</v>
      </c>
      <c r="AA151" s="95">
        <f t="shared" ca="1" si="5"/>
        <v>25.751992304882386</v>
      </c>
      <c r="AB151" s="91">
        <f ca="1">AA151/Variables!$E$49</f>
        <v>4.1535471459487718</v>
      </c>
    </row>
    <row r="152" spans="1:28" x14ac:dyDescent="0.25">
      <c r="A152" s="61">
        <f>'Water runs'!C159</f>
        <v>15857</v>
      </c>
      <c r="B152" s="61" t="str">
        <f>'Water runs'!B159</f>
        <v>Autumn</v>
      </c>
      <c r="C152" s="54">
        <f>'Water runs'!D159/100</f>
        <v>0.16491428571428599</v>
      </c>
      <c r="D152" s="108">
        <f>VLOOKUP(ROW(D152)+4,'Water runs'!$BS$3:$CF$423,MATCH($B$1,Scenarios,0)+1)</f>
        <v>0</v>
      </c>
      <c r="E152" s="54">
        <f>IF(B152=Variables!$D$8,C152-Variables!$E$8,IF(B152=Variables!$D$9,C152-Variables!$E$9,IF(B152=Variables!$D$10,C152-Variables!$E$10,IF(B152=Variables!$D$11,C152-Variables!$E$11,"ELSE"))))</f>
        <v>-0.82972901360544182</v>
      </c>
      <c r="F152" s="108">
        <f>VLOOKUP(ROW(F152)+4,'Water runs'!$CH$3:$CU$423,MATCH($B$1,Scenarios,0)+1)</f>
        <v>0</v>
      </c>
      <c r="G152" s="65">
        <f ca="1">H152/Variables!$E$49</f>
        <v>0.24531361766576096</v>
      </c>
      <c r="H152" s="62">
        <f ca="1">IF((H151+I152)&gt;(1.1*Variables!$E$50),(1.1*Variables!$E$50),IF((H151+I152)&gt;0,H151+I152,0))</f>
        <v>1.5209444295277179</v>
      </c>
      <c r="I152" s="64">
        <f t="shared" ca="1" si="4"/>
        <v>2.6723796535526922E-2</v>
      </c>
      <c r="J152" s="63">
        <f>IF(SUM(E148:E151)&lt;Variables!$B$3,-H151,0)</f>
        <v>0</v>
      </c>
      <c r="K152" s="64">
        <f ca="1">IF(AND(H151&lt;Variables!$B$6*Variables!$E$50,OR(SUM(D149:D152)&gt;Variables!$B$5,SUM(E149:E152)&gt;Variables!$B$4)),Variables!$B$6*Variables!$E$50+Variables!$B$7*$G$1*Variables!$E$50*SUM(D149:D152),0)</f>
        <v>0</v>
      </c>
      <c r="L152" s="64">
        <f>IF(B152="Winter",Variables!$B$8*H151,0)</f>
        <v>0</v>
      </c>
      <c r="M152" s="64">
        <f ca="1">IF(AND(B152="Spring",AND(NOT(H151=0),H151&lt;(Variables!$B$9*Variables!$E$50))),(Variables!$B$10*Variables!$E$50+Variables!$B$11*Variables!$E$50*SUM(E149:E152)+$G$1*SUM(D151:D152)*Variables!$E$50*Variables!$B$12),0)</f>
        <v>0</v>
      </c>
      <c r="N152" s="64">
        <f>IF(AND(B152="Spring",AND(SUM(D149:D152)&gt;Variables!$B$13,SUM(D145:D148)&gt;Variables!$B$13)),-Variables!$B$14*Variables!$E$50,0)</f>
        <v>0</v>
      </c>
      <c r="O152" s="64">
        <f>IF(AND(B152="Summer",SUM(C148:D152)&gt;Variables!$B$15),(Variables!$B$16*Variables!$E$50*SUM(C148:C152)+$G$1*Variables!$B$16*Variables!$E$50*SUM(D148:D152)+$G$1*Variables!$E$50*Variables!$B$17*F152),0)</f>
        <v>0</v>
      </c>
      <c r="P152" s="64">
        <f ca="1">IF(AND(AND(B152="Autumn",SUM(D151:E152)&gt;0),NOT(H151=0)),Variables!$B$18*Variables!$E$50+Variables!$B$19*Variables!$E$50*SUM(E151:E152)+$G$1*Variables!$B$19*Variables!$E$50*SUM(D151:D152),0)</f>
        <v>0</v>
      </c>
      <c r="Q152" s="64">
        <f>IF(AND(B152="Autumn",AND((E152+E151)&lt;Variables!$B$20,(D151+D152)=0)),-Variables!$B$21*Variables!$E$50,0)</f>
        <v>0</v>
      </c>
      <c r="R152" s="64">
        <f ca="1">IF(B152="Autumn",(SUM(F151:F152)*$G$1*Variables!$B$22*Variables!$E$50),0)</f>
        <v>2.6723796535526922E-2</v>
      </c>
      <c r="S152" s="64">
        <f>IF(B152="Spring",($G$1*Variables!$E$50*SUM('Guts (MC)'!F151:F152)*Variables!$B$23),0)</f>
        <v>0</v>
      </c>
      <c r="T152" s="63">
        <f ca="1">IF((H151+SUM(J152:Q152))&lt;(Variables!$B$26*Variables!$E$50),$F$1*((Variables!$B$26*Variables!$E$50)-H151-SUM(J152:Q152)),0)</f>
        <v>0</v>
      </c>
      <c r="U152" s="64">
        <f ca="1">IF(AND(AND(B152="Autumn",SUM(D149:E152)&gt;Variables!$B$27),SUM(J152:Q152)&lt;Variables!$B$28*H151),$F$1*(Variables!$B$28*H151-SUM(J152:Q152)),0)</f>
        <v>0</v>
      </c>
      <c r="V152" s="96">
        <f ca="1">IF(AND((J152+K152)=0,(Q152+T152)=0),$H$1*H152*Variables!$I$23*0.25,0)</f>
        <v>18.538757684314557</v>
      </c>
      <c r="W152" s="97">
        <f ca="1">IF(AND((K152+J152)=0,(T152+Q152)=0),$I$1*H152*Variables!$Q$23*0.25,0)</f>
        <v>5.9623044060124792</v>
      </c>
      <c r="X152" s="95">
        <f ca="1">IF(AND(NOT(K152=0),(H152-H151)&gt;0),(H152-H151)*(Variables!$M$5*$H$1+Variables!$U$5*$I$1),0)+IF(AND(NOT((J152+N152+Q152)=0),(H151-H152)&gt;0),(H151-H152)*(Variables!$M$4*$H$1+Variables!$U$4*$I$1),0)</f>
        <v>0</v>
      </c>
      <c r="Y152" s="95">
        <f ca="1">IF(SUM(T152,U151:U152)&gt;0,H152*Variables!$Y$11*0.25*(1-$J$1),0)</f>
        <v>0</v>
      </c>
      <c r="Z152" s="95">
        <f ca="1">IF(T152=0,H152*$J$1*Variables!$Y$5*0.25,0)</f>
        <v>1.7114987460994586</v>
      </c>
      <c r="AA152" s="95">
        <f t="shared" ca="1" si="5"/>
        <v>26.212560836426494</v>
      </c>
      <c r="AB152" s="91">
        <f ca="1">AA152/Variables!$E$49</f>
        <v>4.2278323929720152</v>
      </c>
    </row>
    <row r="153" spans="1:28" x14ac:dyDescent="0.25">
      <c r="A153" s="61">
        <f>'Water runs'!C160</f>
        <v>15949</v>
      </c>
      <c r="B153" s="61" t="str">
        <f>'Water runs'!B160</f>
        <v>Winter</v>
      </c>
      <c r="C153" s="54">
        <f>'Water runs'!D160/100</f>
        <v>0.435142857142857</v>
      </c>
      <c r="D153" s="108">
        <f>VLOOKUP(ROW(D153)+4,'Water runs'!$BS$3:$CF$423,MATCH($B$1,Scenarios,0)+1)</f>
        <v>0</v>
      </c>
      <c r="E153" s="54">
        <f>IF(B153=Variables!$D$8,C153-Variables!$E$8,IF(B153=Variables!$D$9,C153-Variables!$E$9,IF(B153=Variables!$D$10,C153-Variables!$E$10,IF(B153=Variables!$D$11,C153-Variables!$E$11,"ELSE"))))</f>
        <v>-0.13662476851851874</v>
      </c>
      <c r="F153" s="108">
        <f>VLOOKUP(ROW(F153)+4,'Water runs'!$CH$3:$CU$423,MATCH($B$1,Scenarios,0)+1)</f>
        <v>0</v>
      </c>
      <c r="G153" s="65">
        <f ca="1">H153/Variables!$E$49</f>
        <v>0.161</v>
      </c>
      <c r="H153" s="62">
        <f ca="1">IF((H152+I153)&gt;(1.1*Variables!$E$50),(1.1*Variables!$E$50),IF((H152+I153)&gt;0,H152+I153,0))</f>
        <v>0.99820000000000009</v>
      </c>
      <c r="I153" s="64">
        <f t="shared" ca="1" si="4"/>
        <v>-0.52274442952771782</v>
      </c>
      <c r="J153" s="63">
        <f>IF(SUM(E149:E152)&lt;Variables!$B$3,-H152,0)</f>
        <v>0</v>
      </c>
      <c r="K153" s="64">
        <f ca="1">IF(AND(H152&lt;Variables!$B$6*Variables!$E$50,OR(SUM(D150:D153)&gt;Variables!$B$5,SUM(E150:E153)&gt;Variables!$B$4)),Variables!$B$6*Variables!$E$50+Variables!$B$7*$G$1*Variables!$E$50*SUM(D150:D153),0)</f>
        <v>0</v>
      </c>
      <c r="L153" s="64">
        <f ca="1">IF(B153="Winter",Variables!$B$8*H152,0)</f>
        <v>-0.75734704862327606</v>
      </c>
      <c r="M153" s="64">
        <f ca="1">IF(AND(B153="Spring",AND(NOT(H152=0),H152&lt;(Variables!$B$9*Variables!$E$50))),(Variables!$B$10*Variables!$E$50+Variables!$B$11*Variables!$E$50*SUM(E150:E153)+$G$1*SUM(D152:D153)*Variables!$E$50*Variables!$B$12),0)</f>
        <v>0</v>
      </c>
      <c r="N153" s="64">
        <f>IF(AND(B153="Spring",AND(SUM(D150:D153)&gt;Variables!$B$13,SUM(D146:D149)&gt;Variables!$B$13)),-Variables!$B$14*Variables!$E$50,0)</f>
        <v>0</v>
      </c>
      <c r="O153" s="64">
        <f>IF(AND(B153="Summer",SUM(C149:D153)&gt;Variables!$B$15),(Variables!$B$16*Variables!$E$50*SUM(C149:C153)+$G$1*Variables!$B$16*Variables!$E$50*SUM(D149:D153)+$G$1*Variables!$E$50*Variables!$B$17*F153),0)</f>
        <v>0</v>
      </c>
      <c r="P153" s="64">
        <f ca="1">IF(AND(AND(B153="Autumn",SUM(D152:E153)&gt;0),NOT(H152=0)),Variables!$B$18*Variables!$E$50+Variables!$B$19*Variables!$E$50*SUM(E152:E153)+$G$1*Variables!$B$19*Variables!$E$50*SUM(D152:D153),0)</f>
        <v>0</v>
      </c>
      <c r="Q153" s="64">
        <f>IF(AND(B153="Autumn",AND((E153+E152)&lt;Variables!$B$20,(D152+D153)=0)),-Variables!$B$21*Variables!$E$50,0)</f>
        <v>0</v>
      </c>
      <c r="R153" s="64">
        <f>IF(B153="Autumn",(SUM(F152:F153)*$G$1*Variables!$B$22*Variables!$E$50),0)</f>
        <v>0</v>
      </c>
      <c r="S153" s="64">
        <f>IF(B153="Spring",($G$1*Variables!$E$50*SUM('Guts (MC)'!F152:F153)*Variables!$B$23),0)</f>
        <v>0</v>
      </c>
      <c r="T153" s="63">
        <f ca="1">IF((H152+SUM(J153:Q153))&lt;(Variables!$B$26*Variables!$E$50),$F$1*((Variables!$B$26*Variables!$E$50)-H152-SUM(J153:Q153)),0)</f>
        <v>0.23460261909555824</v>
      </c>
      <c r="U153" s="64">
        <f ca="1">IF(AND(AND(B153="Autumn",SUM(D150:E153)&gt;Variables!$B$27),SUM(J153:Q153)&lt;Variables!$B$28*H152),$F$1*(Variables!$B$28*H152-SUM(J153:Q153)),0)</f>
        <v>0</v>
      </c>
      <c r="V153" s="96">
        <f ca="1">IF(AND((J153+K153)=0,(Q153+T153)=0),$H$1*H153*Variables!$I$23*0.25,0)</f>
        <v>0</v>
      </c>
      <c r="W153" s="97">
        <f ca="1">IF(AND((K153+J153)=0,(T153+Q153)=0),$I$1*H153*Variables!$Q$23*0.25,0)</f>
        <v>0</v>
      </c>
      <c r="X153" s="95">
        <f ca="1">IF(AND(NOT(K153=0),(H153-H152)&gt;0),(H153-H152)*(Variables!$M$5*$H$1+Variables!$U$5*$I$1),0)+IF(AND(NOT((J153+N153+Q153)=0),(H152-H153)&gt;0),(H152-H153)*(Variables!$M$4*$H$1+Variables!$U$4*$I$1),0)</f>
        <v>0</v>
      </c>
      <c r="Y153" s="95">
        <f ca="1">IF(SUM(T153,U152:U153)&gt;0,H153*Variables!$Y$11*0.25*(1-$J$1),0)</f>
        <v>-8.6666009437672749</v>
      </c>
      <c r="Z153" s="95">
        <f ca="1">IF(T153=0,H153*$J$1*Variables!$Y$5*0.25,0)</f>
        <v>0</v>
      </c>
      <c r="AA153" s="95">
        <f t="shared" ca="1" si="5"/>
        <v>-8.6666009437672749</v>
      </c>
      <c r="AB153" s="91">
        <f ca="1">AA153/Variables!$E$49</f>
        <v>-1.3978388618979476</v>
      </c>
    </row>
    <row r="154" spans="1:28" x14ac:dyDescent="0.25">
      <c r="A154" s="61">
        <f>'Water runs'!C161</f>
        <v>16040</v>
      </c>
      <c r="B154" s="61" t="str">
        <f>'Water runs'!B161</f>
        <v>Spring</v>
      </c>
      <c r="C154" s="54">
        <f>'Water runs'!D161/100</f>
        <v>0.51085714285714301</v>
      </c>
      <c r="D154" s="108">
        <f>VLOOKUP(ROW(D154)+4,'Water runs'!$BS$3:$CF$423,MATCH($B$1,Scenarios,0)+1)</f>
        <v>0</v>
      </c>
      <c r="E154" s="54">
        <f>IF(B154=Variables!$D$8,C154-Variables!$E$8,IF(B154=Variables!$D$9,C154-Variables!$E$9,IF(B154=Variables!$D$10,C154-Variables!$E$10,IF(B154=Variables!$D$11,C154-Variables!$E$11,"ELSE"))))</f>
        <v>-0.25312506613756613</v>
      </c>
      <c r="F154" s="108">
        <f>VLOOKUP(ROW(F154)+4,'Water runs'!$CH$3:$CU$423,MATCH($B$1,Scenarios,0)+1)</f>
        <v>0</v>
      </c>
      <c r="G154" s="65">
        <f ca="1">H154/Variables!$E$49</f>
        <v>0.28107293047671067</v>
      </c>
      <c r="H154" s="62">
        <f ca="1">IF((H153+I154)&gt;(1.1*Variables!$E$50),(1.1*Variables!$E$50),IF((H153+I154)&gt;0,H153+I154,0))</f>
        <v>1.742652168955606</v>
      </c>
      <c r="I154" s="64">
        <f t="shared" ca="1" si="4"/>
        <v>0.74445216895560584</v>
      </c>
      <c r="J154" s="63">
        <f>IF(SUM(E150:E153)&lt;Variables!$B$3,-H153,0)</f>
        <v>0</v>
      </c>
      <c r="K154" s="64">
        <f ca="1">IF(AND(H153&lt;Variables!$B$6*Variables!$E$50,OR(SUM(D151:D154)&gt;Variables!$B$5,SUM(E151:E154)&gt;Variables!$B$4)),Variables!$B$6*Variables!$E$50+Variables!$B$7*$G$1*Variables!$E$50*SUM(D151:D154),0)</f>
        <v>1.1515269116847497</v>
      </c>
      <c r="L154" s="64">
        <f>IF(B154="Winter",Variables!$B$8*H153,0)</f>
        <v>0</v>
      </c>
      <c r="M154" s="64">
        <f ca="1">IF(AND(B154="Spring",AND(NOT(H153=0),H153&lt;(Variables!$B$9*Variables!$E$50))),(Variables!$B$10*Variables!$E$50+Variables!$B$11*Variables!$E$50*SUM(E151:E154)+$G$1*SUM(D153:D154)*Variables!$E$50*Variables!$B$12),0)</f>
        <v>-0.40707474272914396</v>
      </c>
      <c r="N154" s="64">
        <f>IF(AND(B154="Spring",AND(SUM(D151:D154)&gt;Variables!$B$13,SUM(D147:D150)&gt;Variables!$B$13)),-Variables!$B$14*Variables!$E$50,0)</f>
        <v>0</v>
      </c>
      <c r="O154" s="64">
        <f>IF(AND(B154="Summer",SUM(C150:D154)&gt;Variables!$B$15),(Variables!$B$16*Variables!$E$50*SUM(C150:C154)+$G$1*Variables!$B$16*Variables!$E$50*SUM(D150:D154)+$G$1*Variables!$E$50*Variables!$B$17*F154),0)</f>
        <v>0</v>
      </c>
      <c r="P154" s="64">
        <f ca="1">IF(AND(AND(B154="Autumn",SUM(D153:E154)&gt;0),NOT(H153=0)),Variables!$B$18*Variables!$E$50+Variables!$B$19*Variables!$E$50*SUM(E153:E154)+$G$1*Variables!$B$19*Variables!$E$50*SUM(D153:D154),0)</f>
        <v>0</v>
      </c>
      <c r="Q154" s="64">
        <f>IF(AND(B154="Autumn",AND((E154+E153)&lt;Variables!$B$20,(D153+D154)=0)),-Variables!$B$21*Variables!$E$50,0)</f>
        <v>0</v>
      </c>
      <c r="R154" s="64">
        <f>IF(B154="Autumn",(SUM(F153:F154)*$G$1*Variables!$B$22*Variables!$E$50),0)</f>
        <v>0</v>
      </c>
      <c r="S154" s="64">
        <f ca="1">IF(B154="Spring",($G$1*Variables!$E$50*SUM('Guts (MC)'!F153:F154)*Variables!$B$23),0)</f>
        <v>0</v>
      </c>
      <c r="T154" s="63">
        <f ca="1">IF((H153+SUM(J154:Q154))&lt;(Variables!$B$26*Variables!$E$50),$F$1*((Variables!$B$26*Variables!$E$50)-H153-SUM(J154:Q154)),0)</f>
        <v>0</v>
      </c>
      <c r="U154" s="64">
        <f ca="1">IF(AND(AND(B154="Autumn",SUM(D151:E154)&gt;Variables!$B$27),SUM(J154:Q154)&lt;Variables!$B$28*H153),$F$1*(Variables!$B$28*H153-SUM(J154:Q154)),0)</f>
        <v>0</v>
      </c>
      <c r="V154" s="96">
        <f ca="1">IF(AND((J154+K154)=0,(Q154+T154)=0),$H$1*H154*Variables!$I$23*0.25,0)</f>
        <v>0</v>
      </c>
      <c r="W154" s="97">
        <f ca="1">IF(AND((K154+J154)=0,(T154+Q154)=0),$I$1*H154*Variables!$Q$23*0.25,0)</f>
        <v>0</v>
      </c>
      <c r="X154" s="95">
        <f ca="1">IF(AND(NOT(K154=0),(H154-H153)&gt;0),(H154-H153)*(Variables!$M$5*$H$1+Variables!$U$5*$I$1),0)+IF(AND(NOT((J154+N154+Q154)=0),(H153-H154)&gt;0),(H153-H154)*(Variables!$M$4*$H$1+Variables!$U$4*$I$1),0)</f>
        <v>-85.101656510130752</v>
      </c>
      <c r="Y154" s="95">
        <f ca="1">IF(SUM(T154,U153:U154)&gt;0,H154*Variables!$Y$11*0.25*(1-$J$1),0)</f>
        <v>0</v>
      </c>
      <c r="Z154" s="95">
        <f ca="1">IF(T154=0,H154*$J$1*Variables!$Y$5*0.25,0)</f>
        <v>1.9609835469012888</v>
      </c>
      <c r="AA154" s="95">
        <f t="shared" ca="1" si="5"/>
        <v>-83.140672963229463</v>
      </c>
      <c r="AB154" s="91">
        <f ca="1">AA154/Variables!$E$49</f>
        <v>-13.409785961811203</v>
      </c>
    </row>
    <row r="155" spans="1:28" x14ac:dyDescent="0.25">
      <c r="A155" s="61">
        <f>'Water runs'!C162</f>
        <v>16130</v>
      </c>
      <c r="B155" s="61" t="str">
        <f>'Water runs'!B162</f>
        <v>Summer</v>
      </c>
      <c r="C155" s="54">
        <f>'Water runs'!D162/100</f>
        <v>0.17857142857142899</v>
      </c>
      <c r="D155" s="108">
        <f>VLOOKUP(ROW(D155)+4,'Water runs'!$BS$3:$CF$423,MATCH($B$1,Scenarios,0)+1)</f>
        <v>6.0538879959461276E-3</v>
      </c>
      <c r="E155" s="54">
        <f>IF(B155=Variables!$D$8,C155-Variables!$E$8,IF(B155=Variables!$D$9,C155-Variables!$E$9,IF(B155=Variables!$D$10,C155-Variables!$E$10,IF(B155=Variables!$D$11,C155-Variables!$E$11,"ELSE"))))</f>
        <v>-1.0797987074829927</v>
      </c>
      <c r="F155" s="108">
        <f>VLOOKUP(ROW(F155)+4,'Water runs'!$CH$3:$CU$423,MATCH($B$1,Scenarios,0)+1)</f>
        <v>0</v>
      </c>
      <c r="G155" s="65">
        <f ca="1">H155/Variables!$E$49</f>
        <v>0.28107293047671067</v>
      </c>
      <c r="H155" s="62">
        <f ca="1">IF((H154+I155)&gt;(1.1*Variables!$E$50),(1.1*Variables!$E$50),IF((H154+I155)&gt;0,H154+I155,0))</f>
        <v>1.742652168955606</v>
      </c>
      <c r="I155" s="64">
        <f t="shared" ca="1" si="4"/>
        <v>0</v>
      </c>
      <c r="J155" s="63">
        <f>IF(SUM(E151:E154)&lt;Variables!$B$3,-H154,0)</f>
        <v>0</v>
      </c>
      <c r="K155" s="64">
        <f ca="1">IF(AND(H154&lt;Variables!$B$6*Variables!$E$50,OR(SUM(D152:D155)&gt;Variables!$B$5,SUM(E152:E155)&gt;Variables!$B$4)),Variables!$B$6*Variables!$E$50+Variables!$B$7*$G$1*Variables!$E$50*SUM(D152:D155),0)</f>
        <v>0</v>
      </c>
      <c r="L155" s="64">
        <f>IF(B155="Winter",Variables!$B$8*H154,0)</f>
        <v>0</v>
      </c>
      <c r="M155" s="64">
        <f ca="1">IF(AND(B155="Spring",AND(NOT(H154=0),H154&lt;(Variables!$B$9*Variables!$E$50))),(Variables!$B$10*Variables!$E$50+Variables!$B$11*Variables!$E$50*SUM(E152:E155)+$G$1*SUM(D154:D155)*Variables!$E$50*Variables!$B$12),0)</f>
        <v>0</v>
      </c>
      <c r="N155" s="64">
        <f>IF(AND(B155="Spring",AND(SUM(D152:D155)&gt;Variables!$B$13,SUM(D148:D151)&gt;Variables!$B$13)),-Variables!$B$14*Variables!$E$50,0)</f>
        <v>0</v>
      </c>
      <c r="O155" s="64">
        <f>IF(AND(B155="Summer",SUM(C151:D155)&gt;Variables!$B$15),(Variables!$B$16*Variables!$E$50*SUM(C151:C155)+$G$1*Variables!$B$16*Variables!$E$50*SUM(D151:D155)+$G$1*Variables!$E$50*Variables!$B$17*F155),0)</f>
        <v>0</v>
      </c>
      <c r="P155" s="64">
        <f ca="1">IF(AND(AND(B155="Autumn",SUM(D154:E155)&gt;0),NOT(H154=0)),Variables!$B$18*Variables!$E$50+Variables!$B$19*Variables!$E$50*SUM(E154:E155)+$G$1*Variables!$B$19*Variables!$E$50*SUM(D154:D155),0)</f>
        <v>0</v>
      </c>
      <c r="Q155" s="64">
        <f>IF(AND(B155="Autumn",AND((E155+E154)&lt;Variables!$B$20,(D154+D155)=0)),-Variables!$B$21*Variables!$E$50,0)</f>
        <v>0</v>
      </c>
      <c r="R155" s="64">
        <f>IF(B155="Autumn",(SUM(F154:F155)*$G$1*Variables!$B$22*Variables!$E$50),0)</f>
        <v>0</v>
      </c>
      <c r="S155" s="64">
        <f>IF(B155="Spring",($G$1*Variables!$E$50*SUM('Guts (MC)'!F154:F155)*Variables!$B$23),0)</f>
        <v>0</v>
      </c>
      <c r="T155" s="63">
        <f ca="1">IF((H154+SUM(J155:Q155))&lt;(Variables!$B$26*Variables!$E$50),$F$1*((Variables!$B$26*Variables!$E$50)-H154-SUM(J155:Q155)),0)</f>
        <v>0</v>
      </c>
      <c r="U155" s="64">
        <f ca="1">IF(AND(AND(B155="Autumn",SUM(D152:E155)&gt;Variables!$B$27),SUM(J155:Q155)&lt;Variables!$B$28*H154),$F$1*(Variables!$B$28*H154-SUM(J155:Q155)),0)</f>
        <v>0</v>
      </c>
      <c r="V155" s="96">
        <f ca="1">IF(AND((J155+K155)=0,(Q155+T155)=0),$H$1*H155*Variables!$I$23*0.25,0)</f>
        <v>21.241148368809888</v>
      </c>
      <c r="W155" s="97">
        <f ca="1">IF(AND((K155+J155)=0,(T155+Q155)=0),$I$1*H155*Variables!$Q$23*0.25,0)</f>
        <v>6.8314282253807104</v>
      </c>
      <c r="X155" s="95">
        <f ca="1">IF(AND(NOT(K155=0),(H155-H154)&gt;0),(H155-H154)*(Variables!$M$5*$H$1+Variables!$U$5*$I$1),0)+IF(AND(NOT((J155+N155+Q155)=0),(H154-H155)&gt;0),(H154-H155)*(Variables!$M$4*$H$1+Variables!$U$4*$I$1),0)</f>
        <v>0</v>
      </c>
      <c r="Y155" s="95">
        <f ca="1">IF(SUM(T155,U154:U155)&gt;0,H155*Variables!$Y$11*0.25*(1-$J$1),0)</f>
        <v>0</v>
      </c>
      <c r="Z155" s="95">
        <f ca="1">IF(T155=0,H155*$J$1*Variables!$Y$5*0.25,0)</f>
        <v>1.9609835469012888</v>
      </c>
      <c r="AA155" s="95">
        <f t="shared" ca="1" si="5"/>
        <v>30.03356014109189</v>
      </c>
      <c r="AB155" s="91">
        <f ca="1">AA155/Variables!$E$49</f>
        <v>4.8441226034019174</v>
      </c>
    </row>
    <row r="156" spans="1:28" x14ac:dyDescent="0.25">
      <c r="A156" s="61">
        <f>'Water runs'!C163</f>
        <v>16223</v>
      </c>
      <c r="B156" s="61" t="str">
        <f>'Water runs'!B163</f>
        <v>Autumn</v>
      </c>
      <c r="C156" s="54">
        <f>'Water runs'!D163/100</f>
        <v>0</v>
      </c>
      <c r="D156" s="108">
        <f>VLOOKUP(ROW(D156)+4,'Water runs'!$BS$3:$CF$423,MATCH($B$1,Scenarios,0)+1)</f>
        <v>0</v>
      </c>
      <c r="E156" s="54">
        <f>IF(B156=Variables!$D$8,C156-Variables!$E$8,IF(B156=Variables!$D$9,C156-Variables!$E$9,IF(B156=Variables!$D$10,C156-Variables!$E$10,IF(B156=Variables!$D$11,C156-Variables!$E$11,"ELSE"))))</f>
        <v>-0.99464329931972784</v>
      </c>
      <c r="F156" s="108">
        <f>VLOOKUP(ROW(F156)+4,'Water runs'!$CH$3:$CU$423,MATCH($B$1,Scenarios,0)+1)</f>
        <v>0</v>
      </c>
      <c r="G156" s="65">
        <f ca="1">H156/Variables!$E$49</f>
        <v>0.161</v>
      </c>
      <c r="H156" s="62">
        <f ca="1">IF((H155+I156)&gt;(1.1*Variables!$E$50),(1.1*Variables!$E$50),IF((H155+I156)&gt;0,H155+I156,0))</f>
        <v>0.99820000000000009</v>
      </c>
      <c r="I156" s="64">
        <f t="shared" ca="1" si="4"/>
        <v>-0.74445216895560595</v>
      </c>
      <c r="J156" s="63">
        <f ca="1">IF(SUM(E152:E155)&lt;Variables!$B$3,-H155,0)</f>
        <v>-1.742652168955606</v>
      </c>
      <c r="K156" s="64">
        <f ca="1">IF(AND(H155&lt;Variables!$B$6*Variables!$E$50,OR(SUM(D153:D156)&gt;Variables!$B$5,SUM(E153:E156)&gt;Variables!$B$4)),Variables!$B$6*Variables!$E$50+Variables!$B$7*$G$1*Variables!$E$50*SUM(D153:D156),0)</f>
        <v>0</v>
      </c>
      <c r="L156" s="64">
        <f>IF(B156="Winter",Variables!$B$8*H155,0)</f>
        <v>0</v>
      </c>
      <c r="M156" s="64">
        <f ca="1">IF(AND(B156="Spring",AND(NOT(H155=0),H155&lt;(Variables!$B$9*Variables!$E$50))),(Variables!$B$10*Variables!$E$50+Variables!$B$11*Variables!$E$50*SUM(E153:E156)+$G$1*SUM(D155:D156)*Variables!$E$50*Variables!$B$12),0)</f>
        <v>0</v>
      </c>
      <c r="N156" s="64">
        <f>IF(AND(B156="Spring",AND(SUM(D153:D156)&gt;Variables!$B$13,SUM(D149:D152)&gt;Variables!$B$13)),-Variables!$B$14*Variables!$E$50,0)</f>
        <v>0</v>
      </c>
      <c r="O156" s="64">
        <f>IF(AND(B156="Summer",SUM(C152:D156)&gt;Variables!$B$15),(Variables!$B$16*Variables!$E$50*SUM(C152:C156)+$G$1*Variables!$B$16*Variables!$E$50*SUM(D152:D156)+$G$1*Variables!$E$50*Variables!$B$17*F156),0)</f>
        <v>0</v>
      </c>
      <c r="P156" s="64">
        <f ca="1">IF(AND(AND(B156="Autumn",SUM(D155:E156)&gt;0),NOT(H155=0)),Variables!$B$18*Variables!$E$50+Variables!$B$19*Variables!$E$50*SUM(E155:E156)+$G$1*Variables!$B$19*Variables!$E$50*SUM(D155:D156),0)</f>
        <v>0</v>
      </c>
      <c r="Q156" s="64">
        <f>IF(AND(B156="Autumn",AND((E156+E155)&lt;Variables!$B$20,(D155+D156)=0)),-Variables!$B$21*Variables!$E$50,0)</f>
        <v>0</v>
      </c>
      <c r="R156" s="64">
        <f ca="1">IF(B156="Autumn",(SUM(F155:F156)*$G$1*Variables!$B$22*Variables!$E$50),0)</f>
        <v>0</v>
      </c>
      <c r="S156" s="64">
        <f>IF(B156="Spring",($G$1*Variables!$E$50*SUM('Guts (MC)'!F155:F156)*Variables!$B$23),0)</f>
        <v>0</v>
      </c>
      <c r="T156" s="63">
        <f ca="1">IF((H155+SUM(J156:Q156))&lt;(Variables!$B$26*Variables!$E$50),$F$1*((Variables!$B$26*Variables!$E$50)-H155-SUM(J156:Q156)),0)</f>
        <v>0.99820000000000009</v>
      </c>
      <c r="U156" s="64">
        <f ca="1">IF(AND(AND(B156="Autumn",SUM(D153:E156)&gt;Variables!$B$27),SUM(J156:Q156)&lt;Variables!$B$28*H155),$F$1*(Variables!$B$28*H155-SUM(J156:Q156)),0)</f>
        <v>0</v>
      </c>
      <c r="V156" s="96">
        <f ca="1">IF(AND((J156+K156)=0,(Q156+T156)=0),$H$1*H156*Variables!$I$23*0.25,0)</f>
        <v>0</v>
      </c>
      <c r="W156" s="97">
        <f ca="1">IF(AND((K156+J156)=0,(T156+Q156)=0),$I$1*H156*Variables!$Q$23*0.25,0)</f>
        <v>0</v>
      </c>
      <c r="X156" s="95">
        <f ca="1">IF(AND(NOT(K156=0),(H156-H155)&gt;0),(H156-H155)*(Variables!$M$5*$H$1+Variables!$U$5*$I$1),0)+IF(AND(NOT((J156+N156+Q156)=0),(H155-H156)&gt;0),(H155-H156)*(Variables!$M$4*$H$1+Variables!$U$4*$I$1),0)</f>
        <v>42.550828255065376</v>
      </c>
      <c r="Y156" s="95">
        <f ca="1">IF(SUM(T156,U155:U156)&gt;0,H156*Variables!$Y$11*0.25*(1-$J$1),0)</f>
        <v>-8.6666009437672749</v>
      </c>
      <c r="Z156" s="95">
        <f ca="1">IF(T156=0,H156*$J$1*Variables!$Y$5*0.25,0)</f>
        <v>0</v>
      </c>
      <c r="AA156" s="95">
        <f t="shared" ca="1" si="5"/>
        <v>33.884227311298105</v>
      </c>
      <c r="AB156" s="91">
        <f ca="1">AA156/Variables!$E$49</f>
        <v>5.4651979534351778</v>
      </c>
    </row>
    <row r="157" spans="1:28" x14ac:dyDescent="0.25">
      <c r="A157" s="61">
        <f>'Water runs'!C164</f>
        <v>16315</v>
      </c>
      <c r="B157" s="61" t="str">
        <f>'Water runs'!B164</f>
        <v>Winter</v>
      </c>
      <c r="C157" s="54">
        <f>'Water runs'!D164/100</f>
        <v>0.74314285714285699</v>
      </c>
      <c r="D157" s="108">
        <f>VLOOKUP(ROW(D157)+4,'Water runs'!$BS$3:$CF$423,MATCH($B$1,Scenarios,0)+1)</f>
        <v>0</v>
      </c>
      <c r="E157" s="54">
        <f>IF(B157=Variables!$D$8,C157-Variables!$E$8,IF(B157=Variables!$D$9,C157-Variables!$E$9,IF(B157=Variables!$D$10,C157-Variables!$E$10,IF(B157=Variables!$D$11,C157-Variables!$E$11,"ELSE"))))</f>
        <v>0.17137523148148126</v>
      </c>
      <c r="F157" s="108">
        <f>VLOOKUP(ROW(F157)+4,'Water runs'!$CH$3:$CU$423,MATCH($B$1,Scenarios,0)+1)</f>
        <v>0</v>
      </c>
      <c r="G157" s="65">
        <f ca="1">H157/Variables!$E$49</f>
        <v>0.161</v>
      </c>
      <c r="H157" s="62">
        <f ca="1">IF((H156+I157)&gt;(1.1*Variables!$E$50),(1.1*Variables!$E$50),IF((H156+I157)&gt;0,H156+I157,0))</f>
        <v>0.99820000000000009</v>
      </c>
      <c r="I157" s="64">
        <f t="shared" ca="1" si="4"/>
        <v>0</v>
      </c>
      <c r="J157" s="63">
        <f ca="1">IF(SUM(E153:E156)&lt;Variables!$B$3,-H156,0)</f>
        <v>-0.99820000000000009</v>
      </c>
      <c r="K157" s="64">
        <f ca="1">IF(AND(H156&lt;Variables!$B$6*Variables!$E$50,OR(SUM(D154:D157)&gt;Variables!$B$5,SUM(E154:E157)&gt;Variables!$B$4)),Variables!$B$6*Variables!$E$50+Variables!$B$7*$G$1*Variables!$E$50*SUM(D154:D157),0)</f>
        <v>0</v>
      </c>
      <c r="L157" s="64">
        <f ca="1">IF(B157="Winter",Variables!$B$8*H156,0)</f>
        <v>-0.49704894489176149</v>
      </c>
      <c r="M157" s="64">
        <f ca="1">IF(AND(B157="Spring",AND(NOT(H156=0),H156&lt;(Variables!$B$9*Variables!$E$50))),(Variables!$B$10*Variables!$E$50+Variables!$B$11*Variables!$E$50*SUM(E154:E157)+$G$1*SUM(D156:D157)*Variables!$E$50*Variables!$B$12),0)</f>
        <v>0</v>
      </c>
      <c r="N157" s="64">
        <f>IF(AND(B157="Spring",AND(SUM(D154:D157)&gt;Variables!$B$13,SUM(D150:D153)&gt;Variables!$B$13)),-Variables!$B$14*Variables!$E$50,0)</f>
        <v>0</v>
      </c>
      <c r="O157" s="64">
        <f>IF(AND(B157="Summer",SUM(C153:D157)&gt;Variables!$B$15),(Variables!$B$16*Variables!$E$50*SUM(C153:C157)+$G$1*Variables!$B$16*Variables!$E$50*SUM(D153:D157)+$G$1*Variables!$E$50*Variables!$B$17*F157),0)</f>
        <v>0</v>
      </c>
      <c r="P157" s="64">
        <f ca="1">IF(AND(AND(B157="Autumn",SUM(D156:E157)&gt;0),NOT(H156=0)),Variables!$B$18*Variables!$E$50+Variables!$B$19*Variables!$E$50*SUM(E156:E157)+$G$1*Variables!$B$19*Variables!$E$50*SUM(D156:D157),0)</f>
        <v>0</v>
      </c>
      <c r="Q157" s="64">
        <f>IF(AND(B157="Autumn",AND((E157+E156)&lt;Variables!$B$20,(D156+D157)=0)),-Variables!$B$21*Variables!$E$50,0)</f>
        <v>0</v>
      </c>
      <c r="R157" s="64">
        <f>IF(B157="Autumn",(SUM(F156:F157)*$G$1*Variables!$B$22*Variables!$E$50),0)</f>
        <v>0</v>
      </c>
      <c r="S157" s="64">
        <f>IF(B157="Spring",($G$1*Variables!$E$50*SUM('Guts (MC)'!F156:F157)*Variables!$B$23),0)</f>
        <v>0</v>
      </c>
      <c r="T157" s="63">
        <f ca="1">IF((H156+SUM(J157:Q157))&lt;(Variables!$B$26*Variables!$E$50),$F$1*((Variables!$B$26*Variables!$E$50)-H156-SUM(J157:Q157)),0)</f>
        <v>1.4952489448917616</v>
      </c>
      <c r="U157" s="64">
        <f ca="1">IF(AND(AND(B157="Autumn",SUM(D154:E157)&gt;Variables!$B$27),SUM(J157:Q157)&lt;Variables!$B$28*H156),$F$1*(Variables!$B$28*H156-SUM(J157:Q157)),0)</f>
        <v>0</v>
      </c>
      <c r="V157" s="96">
        <f ca="1">IF(AND((J157+K157)=0,(Q157+T157)=0),$H$1*H157*Variables!$I$23*0.25,0)</f>
        <v>0</v>
      </c>
      <c r="W157" s="97">
        <f ca="1">IF(AND((K157+J157)=0,(T157+Q157)=0),$I$1*H157*Variables!$Q$23*0.25,0)</f>
        <v>0</v>
      </c>
      <c r="X157" s="95">
        <f ca="1">IF(AND(NOT(K157=0),(H157-H156)&gt;0),(H157-H156)*(Variables!$M$5*$H$1+Variables!$U$5*$I$1),0)+IF(AND(NOT((J157+N157+Q157)=0),(H156-H157)&gt;0),(H156-H157)*(Variables!$M$4*$H$1+Variables!$U$4*$I$1),0)</f>
        <v>0</v>
      </c>
      <c r="Y157" s="95">
        <f ca="1">IF(SUM(T157,U156:U157)&gt;0,H157*Variables!$Y$11*0.25*(1-$J$1),0)</f>
        <v>-8.6666009437672749</v>
      </c>
      <c r="Z157" s="95">
        <f ca="1">IF(T157=0,H157*$J$1*Variables!$Y$5*0.25,0)</f>
        <v>0</v>
      </c>
      <c r="AA157" s="95">
        <f t="shared" ca="1" si="5"/>
        <v>-8.6666009437672749</v>
      </c>
      <c r="AB157" s="91">
        <f ca="1">AA157/Variables!$E$49</f>
        <v>-1.3978388618979476</v>
      </c>
    </row>
    <row r="158" spans="1:28" x14ac:dyDescent="0.25">
      <c r="A158" s="61">
        <f>'Water runs'!C165</f>
        <v>16406</v>
      </c>
      <c r="B158" s="61" t="str">
        <f>'Water runs'!B165</f>
        <v>Spring</v>
      </c>
      <c r="C158" s="54">
        <f>'Water runs'!D165/100</f>
        <v>0.129142857142857</v>
      </c>
      <c r="D158" s="108">
        <f>VLOOKUP(ROW(D158)+4,'Water runs'!$BS$3:$CF$423,MATCH($B$1,Scenarios,0)+1)</f>
        <v>0</v>
      </c>
      <c r="E158" s="54">
        <f>IF(B158=Variables!$D$8,C158-Variables!$E$8,IF(B158=Variables!$D$9,C158-Variables!$E$9,IF(B158=Variables!$D$10,C158-Variables!$E$10,IF(B158=Variables!$D$11,C158-Variables!$E$11,"ELSE"))))</f>
        <v>-0.63483935185185214</v>
      </c>
      <c r="F158" s="108">
        <f>VLOOKUP(ROW(F158)+4,'Water runs'!$CH$3:$CU$423,MATCH($B$1,Scenarios,0)+1)</f>
        <v>0</v>
      </c>
      <c r="G158" s="65">
        <f ca="1">H158/Variables!$E$49</f>
        <v>0.161</v>
      </c>
      <c r="H158" s="62">
        <f ca="1">IF((H157+I158)&gt;(1.1*Variables!$E$50),(1.1*Variables!$E$50),IF((H157+I158)&gt;0,H157+I158,0))</f>
        <v>0.99820000000000009</v>
      </c>
      <c r="I158" s="64">
        <f t="shared" ca="1" si="4"/>
        <v>0</v>
      </c>
      <c r="J158" s="63">
        <f ca="1">IF(SUM(E154:E157)&lt;Variables!$B$3,-H157,0)</f>
        <v>-0.99820000000000009</v>
      </c>
      <c r="K158" s="64">
        <f ca="1">IF(AND(H157&lt;Variables!$B$6*Variables!$E$50,OR(SUM(D155:D158)&gt;Variables!$B$5,SUM(E155:E158)&gt;Variables!$B$4)),Variables!$B$6*Variables!$E$50+Variables!$B$7*$G$1*Variables!$E$50*SUM(D155:D158),0)</f>
        <v>0</v>
      </c>
      <c r="L158" s="64">
        <f>IF(B158="Winter",Variables!$B$8*H157,0)</f>
        <v>0</v>
      </c>
      <c r="M158" s="64">
        <f ca="1">IF(AND(B158="Spring",AND(NOT(H157=0),H157&lt;(Variables!$B$9*Variables!$E$50))),(Variables!$B$10*Variables!$E$50+Variables!$B$11*Variables!$E$50*SUM(E155:E158)+$G$1*SUM(D157:D158)*Variables!$E$50*Variables!$B$12),0)</f>
        <v>-1.7284706259846088</v>
      </c>
      <c r="N158" s="64">
        <f>IF(AND(B158="Spring",AND(SUM(D155:D158)&gt;Variables!$B$13,SUM(D151:D154)&gt;Variables!$B$13)),-Variables!$B$14*Variables!$E$50,0)</f>
        <v>0</v>
      </c>
      <c r="O158" s="64">
        <f>IF(AND(B158="Summer",SUM(C154:D158)&gt;Variables!$B$15),(Variables!$B$16*Variables!$E$50*SUM(C154:C158)+$G$1*Variables!$B$16*Variables!$E$50*SUM(D154:D158)+$G$1*Variables!$E$50*Variables!$B$17*F158),0)</f>
        <v>0</v>
      </c>
      <c r="P158" s="64">
        <f ca="1">IF(AND(AND(B158="Autumn",SUM(D157:E158)&gt;0),NOT(H157=0)),Variables!$B$18*Variables!$E$50+Variables!$B$19*Variables!$E$50*SUM(E157:E158)+$G$1*Variables!$B$19*Variables!$E$50*SUM(D157:D158),0)</f>
        <v>0</v>
      </c>
      <c r="Q158" s="64">
        <f>IF(AND(B158="Autumn",AND((E158+E157)&lt;Variables!$B$20,(D157+D158)=0)),-Variables!$B$21*Variables!$E$50,0)</f>
        <v>0</v>
      </c>
      <c r="R158" s="64">
        <f>IF(B158="Autumn",(SUM(F157:F158)*$G$1*Variables!$B$22*Variables!$E$50),0)</f>
        <v>0</v>
      </c>
      <c r="S158" s="64">
        <f ca="1">IF(B158="Spring",($G$1*Variables!$E$50*SUM('Guts (MC)'!F157:F158)*Variables!$B$23),0)</f>
        <v>0</v>
      </c>
      <c r="T158" s="63">
        <f ca="1">IF((H157+SUM(J158:Q158))&lt;(Variables!$B$26*Variables!$E$50),$F$1*((Variables!$B$26*Variables!$E$50)-H157-SUM(J158:Q158)),0)</f>
        <v>2.726670625984609</v>
      </c>
      <c r="U158" s="64">
        <f ca="1">IF(AND(AND(B158="Autumn",SUM(D155:E158)&gt;Variables!$B$27),SUM(J158:Q158)&lt;Variables!$B$28*H157),$F$1*(Variables!$B$28*H157-SUM(J158:Q158)),0)</f>
        <v>0</v>
      </c>
      <c r="V158" s="96">
        <f ca="1">IF(AND((J158+K158)=0,(Q158+T158)=0),$H$1*H158*Variables!$I$23*0.25,0)</f>
        <v>0</v>
      </c>
      <c r="W158" s="97">
        <f ca="1">IF(AND((K158+J158)=0,(T158+Q158)=0),$I$1*H158*Variables!$Q$23*0.25,0)</f>
        <v>0</v>
      </c>
      <c r="X158" s="95">
        <f ca="1">IF(AND(NOT(K158=0),(H158-H157)&gt;0),(H158-H157)*(Variables!$M$5*$H$1+Variables!$U$5*$I$1),0)+IF(AND(NOT((J158+N158+Q158)=0),(H157-H158)&gt;0),(H157-H158)*(Variables!$M$4*$H$1+Variables!$U$4*$I$1),0)</f>
        <v>0</v>
      </c>
      <c r="Y158" s="95">
        <f ca="1">IF(SUM(T158,U157:U158)&gt;0,H158*Variables!$Y$11*0.25*(1-$J$1),0)</f>
        <v>-8.6666009437672749</v>
      </c>
      <c r="Z158" s="95">
        <f ca="1">IF(T158=0,H158*$J$1*Variables!$Y$5*0.25,0)</f>
        <v>0</v>
      </c>
      <c r="AA158" s="95">
        <f t="shared" ca="1" si="5"/>
        <v>-8.6666009437672749</v>
      </c>
      <c r="AB158" s="91">
        <f ca="1">AA158/Variables!$E$49</f>
        <v>-1.3978388618979476</v>
      </c>
    </row>
    <row r="159" spans="1:28" x14ac:dyDescent="0.25">
      <c r="A159" s="61">
        <f>'Water runs'!C166</f>
        <v>16496</v>
      </c>
      <c r="B159" s="61" t="str">
        <f>'Water runs'!B166</f>
        <v>Summer</v>
      </c>
      <c r="C159" s="54">
        <f>'Water runs'!D166/100</f>
        <v>0.65042857142857202</v>
      </c>
      <c r="D159" s="108">
        <f>VLOOKUP(ROW(D159)+4,'Water runs'!$BS$3:$CF$423,MATCH($B$1,Scenarios,0)+1)</f>
        <v>0</v>
      </c>
      <c r="E159" s="54">
        <f>IF(B159=Variables!$D$8,C159-Variables!$E$8,IF(B159=Variables!$D$9,C159-Variables!$E$9,IF(B159=Variables!$D$10,C159-Variables!$E$10,IF(B159=Variables!$D$11,C159-Variables!$E$11,"ELSE"))))</f>
        <v>-0.6079415646258497</v>
      </c>
      <c r="F159" s="108">
        <f>VLOOKUP(ROW(F159)+4,'Water runs'!$CH$3:$CU$423,MATCH($B$1,Scenarios,0)+1)</f>
        <v>0</v>
      </c>
      <c r="G159" s="65">
        <f ca="1">H159/Variables!$E$49</f>
        <v>0.161</v>
      </c>
      <c r="H159" s="62">
        <f ca="1">IF((H158+I159)&gt;(1.1*Variables!$E$50),(1.1*Variables!$E$50),IF((H158+I159)&gt;0,H158+I159,0))</f>
        <v>0.99820000000000009</v>
      </c>
      <c r="I159" s="64">
        <f t="shared" ca="1" si="4"/>
        <v>0</v>
      </c>
      <c r="J159" s="63">
        <f ca="1">IF(SUM(E155:E158)&lt;Variables!$B$3,-H158,0)</f>
        <v>-0.99820000000000009</v>
      </c>
      <c r="K159" s="64">
        <f ca="1">IF(AND(H158&lt;Variables!$B$6*Variables!$E$50,OR(SUM(D156:D159)&gt;Variables!$B$5,SUM(E156:E159)&gt;Variables!$B$4)),Variables!$B$6*Variables!$E$50+Variables!$B$7*$G$1*Variables!$E$50*SUM(D156:D159),0)</f>
        <v>0</v>
      </c>
      <c r="L159" s="64">
        <f>IF(B159="Winter",Variables!$B$8*H158,0)</f>
        <v>0</v>
      </c>
      <c r="M159" s="64">
        <f ca="1">IF(AND(B159="Spring",AND(NOT(H158=0),H158&lt;(Variables!$B$9*Variables!$E$50))),(Variables!$B$10*Variables!$E$50+Variables!$B$11*Variables!$E$50*SUM(E156:E159)+$G$1*SUM(D158:D159)*Variables!$E$50*Variables!$B$12),0)</f>
        <v>0</v>
      </c>
      <c r="N159" s="64">
        <f>IF(AND(B159="Spring",AND(SUM(D156:D159)&gt;Variables!$B$13,SUM(D152:D155)&gt;Variables!$B$13)),-Variables!$B$14*Variables!$E$50,0)</f>
        <v>0</v>
      </c>
      <c r="O159" s="64">
        <f>IF(AND(B159="Summer",SUM(C155:D159)&gt;Variables!$B$15),(Variables!$B$16*Variables!$E$50*SUM(C155:C159)+$G$1*Variables!$B$16*Variables!$E$50*SUM(D155:D159)+$G$1*Variables!$E$50*Variables!$B$17*F159),0)</f>
        <v>0</v>
      </c>
      <c r="P159" s="64">
        <f ca="1">IF(AND(AND(B159="Autumn",SUM(D158:E159)&gt;0),NOT(H158=0)),Variables!$B$18*Variables!$E$50+Variables!$B$19*Variables!$E$50*SUM(E158:E159)+$G$1*Variables!$B$19*Variables!$E$50*SUM(D158:D159),0)</f>
        <v>0</v>
      </c>
      <c r="Q159" s="64">
        <f>IF(AND(B159="Autumn",AND((E159+E158)&lt;Variables!$B$20,(D158+D159)=0)),-Variables!$B$21*Variables!$E$50,0)</f>
        <v>0</v>
      </c>
      <c r="R159" s="64">
        <f>IF(B159="Autumn",(SUM(F158:F159)*$G$1*Variables!$B$22*Variables!$E$50),0)</f>
        <v>0</v>
      </c>
      <c r="S159" s="64">
        <f>IF(B159="Spring",($G$1*Variables!$E$50*SUM('Guts (MC)'!F158:F159)*Variables!$B$23),0)</f>
        <v>0</v>
      </c>
      <c r="T159" s="63">
        <f ca="1">IF((H158+SUM(J159:Q159))&lt;(Variables!$B$26*Variables!$E$50),$F$1*((Variables!$B$26*Variables!$E$50)-H158-SUM(J159:Q159)),0)</f>
        <v>0.99820000000000009</v>
      </c>
      <c r="U159" s="64">
        <f ca="1">IF(AND(AND(B159="Autumn",SUM(D156:E159)&gt;Variables!$B$27),SUM(J159:Q159)&lt;Variables!$B$28*H158),$F$1*(Variables!$B$28*H158-SUM(J159:Q159)),0)</f>
        <v>0</v>
      </c>
      <c r="V159" s="96">
        <f ca="1">IF(AND((J159+K159)=0,(Q159+T159)=0),$H$1*H159*Variables!$I$23*0.25,0)</f>
        <v>0</v>
      </c>
      <c r="W159" s="97">
        <f ca="1">IF(AND((K159+J159)=0,(T159+Q159)=0),$I$1*H159*Variables!$Q$23*0.25,0)</f>
        <v>0</v>
      </c>
      <c r="X159" s="95">
        <f ca="1">IF(AND(NOT(K159=0),(H159-H158)&gt;0),(H159-H158)*(Variables!$M$5*$H$1+Variables!$U$5*$I$1),0)+IF(AND(NOT((J159+N159+Q159)=0),(H158-H159)&gt;0),(H158-H159)*(Variables!$M$4*$H$1+Variables!$U$4*$I$1),0)</f>
        <v>0</v>
      </c>
      <c r="Y159" s="95">
        <f ca="1">IF(SUM(T159,U158:U159)&gt;0,H159*Variables!$Y$11*0.25*(1-$J$1),0)</f>
        <v>-8.6666009437672749</v>
      </c>
      <c r="Z159" s="95">
        <f ca="1">IF(T159=0,H159*$J$1*Variables!$Y$5*0.25,0)</f>
        <v>0</v>
      </c>
      <c r="AA159" s="95">
        <f t="shared" ca="1" si="5"/>
        <v>-8.6666009437672749</v>
      </c>
      <c r="AB159" s="91">
        <f ca="1">AA159/Variables!$E$49</f>
        <v>-1.3978388618979476</v>
      </c>
    </row>
    <row r="160" spans="1:28" x14ac:dyDescent="0.25">
      <c r="A160" s="61">
        <f>'Water runs'!C167</f>
        <v>16588</v>
      </c>
      <c r="B160" s="61" t="str">
        <f>'Water runs'!B167</f>
        <v>Autumn</v>
      </c>
      <c r="C160" s="54">
        <f>'Water runs'!D167/100</f>
        <v>0.51083333333333303</v>
      </c>
      <c r="D160" s="108">
        <f>VLOOKUP(ROW(D160)+4,'Water runs'!$BS$3:$CF$423,MATCH($B$1,Scenarios,0)+1)</f>
        <v>1.4318403154419275E-2</v>
      </c>
      <c r="E160" s="54">
        <f>IF(B160=Variables!$D$8,C160-Variables!$E$8,IF(B160=Variables!$D$9,C160-Variables!$E$9,IF(B160=Variables!$D$10,C160-Variables!$E$10,IF(B160=Variables!$D$11,C160-Variables!$E$11,"ELSE"))))</f>
        <v>-0.48380996598639481</v>
      </c>
      <c r="F160" s="108">
        <f>VLOOKUP(ROW(F160)+4,'Water runs'!$CH$3:$CU$423,MATCH($B$1,Scenarios,0)+1)</f>
        <v>0</v>
      </c>
      <c r="G160" s="65">
        <f ca="1">H160/Variables!$E$49</f>
        <v>0.161</v>
      </c>
      <c r="H160" s="62">
        <f ca="1">IF((H159+I160)&gt;(1.1*Variables!$E$50),(1.1*Variables!$E$50),IF((H159+I160)&gt;0,H159+I160,0))</f>
        <v>0.99820000000000009</v>
      </c>
      <c r="I160" s="64">
        <f t="shared" ca="1" si="4"/>
        <v>0</v>
      </c>
      <c r="J160" s="63">
        <f ca="1">IF(SUM(E156:E159)&lt;Variables!$B$3,-H159,0)</f>
        <v>-0.99820000000000009</v>
      </c>
      <c r="K160" s="64">
        <f ca="1">IF(AND(H159&lt;Variables!$B$6*Variables!$E$50,OR(SUM(D157:D160)&gt;Variables!$B$5,SUM(E157:E160)&gt;Variables!$B$4)),Variables!$B$6*Variables!$E$50+Variables!$B$7*$G$1*Variables!$E$50*SUM(D157:D160),0)</f>
        <v>0</v>
      </c>
      <c r="L160" s="64">
        <f>IF(B160="Winter",Variables!$B$8*H159,0)</f>
        <v>0</v>
      </c>
      <c r="M160" s="64">
        <f ca="1">IF(AND(B160="Spring",AND(NOT(H159=0),H159&lt;(Variables!$B$9*Variables!$E$50))),(Variables!$B$10*Variables!$E$50+Variables!$B$11*Variables!$E$50*SUM(E157:E160)+$G$1*SUM(D159:D160)*Variables!$E$50*Variables!$B$12),0)</f>
        <v>0</v>
      </c>
      <c r="N160" s="64">
        <f>IF(AND(B160="Spring",AND(SUM(D157:D160)&gt;Variables!$B$13,SUM(D153:D156)&gt;Variables!$B$13)),-Variables!$B$14*Variables!$E$50,0)</f>
        <v>0</v>
      </c>
      <c r="O160" s="64">
        <f>IF(AND(B160="Summer",SUM(C156:D160)&gt;Variables!$B$15),(Variables!$B$16*Variables!$E$50*SUM(C156:C160)+$G$1*Variables!$B$16*Variables!$E$50*SUM(D156:D160)+$G$1*Variables!$E$50*Variables!$B$17*F160),0)</f>
        <v>0</v>
      </c>
      <c r="P160" s="64">
        <f ca="1">IF(AND(AND(B160="Autumn",SUM(D159:E160)&gt;0),NOT(H159=0)),Variables!$B$18*Variables!$E$50+Variables!$B$19*Variables!$E$50*SUM(E159:E160)+$G$1*Variables!$B$19*Variables!$E$50*SUM(D159:D160),0)</f>
        <v>0</v>
      </c>
      <c r="Q160" s="64">
        <f>IF(AND(B160="Autumn",AND((E160+E159)&lt;Variables!$B$20,(D159+D160)=0)),-Variables!$B$21*Variables!$E$50,0)</f>
        <v>0</v>
      </c>
      <c r="R160" s="64">
        <f ca="1">IF(B160="Autumn",(SUM(F159:F160)*$G$1*Variables!$B$22*Variables!$E$50),0)</f>
        <v>0</v>
      </c>
      <c r="S160" s="64">
        <f>IF(B160="Spring",($G$1*Variables!$E$50*SUM('Guts (MC)'!F159:F160)*Variables!$B$23),0)</f>
        <v>0</v>
      </c>
      <c r="T160" s="63">
        <f ca="1">IF((H159+SUM(J160:Q160))&lt;(Variables!$B$26*Variables!$E$50),$F$1*((Variables!$B$26*Variables!$E$50)-H159-SUM(J160:Q160)),0)</f>
        <v>0.99820000000000009</v>
      </c>
      <c r="U160" s="64">
        <f ca="1">IF(AND(AND(B160="Autumn",SUM(D157:E160)&gt;Variables!$B$27),SUM(J160:Q160)&lt;Variables!$B$28*H159),$F$1*(Variables!$B$28*H159-SUM(J160:Q160)),0)</f>
        <v>0</v>
      </c>
      <c r="V160" s="96">
        <f ca="1">IF(AND((J160+K160)=0,(Q160+T160)=0),$H$1*H160*Variables!$I$23*0.25,0)</f>
        <v>0</v>
      </c>
      <c r="W160" s="97">
        <f ca="1">IF(AND((K160+J160)=0,(T160+Q160)=0),$I$1*H160*Variables!$Q$23*0.25,0)</f>
        <v>0</v>
      </c>
      <c r="X160" s="95">
        <f ca="1">IF(AND(NOT(K160=0),(H160-H159)&gt;0),(H160-H159)*(Variables!$M$5*$H$1+Variables!$U$5*$I$1),0)+IF(AND(NOT((J160+N160+Q160)=0),(H159-H160)&gt;0),(H159-H160)*(Variables!$M$4*$H$1+Variables!$U$4*$I$1),0)</f>
        <v>0</v>
      </c>
      <c r="Y160" s="95">
        <f ca="1">IF(SUM(T160,U159:U160)&gt;0,H160*Variables!$Y$11*0.25*(1-$J$1),0)</f>
        <v>-8.6666009437672749</v>
      </c>
      <c r="Z160" s="95">
        <f ca="1">IF(T160=0,H160*$J$1*Variables!$Y$5*0.25,0)</f>
        <v>0</v>
      </c>
      <c r="AA160" s="95">
        <f t="shared" ca="1" si="5"/>
        <v>-8.6666009437672749</v>
      </c>
      <c r="AB160" s="91">
        <f ca="1">AA160/Variables!$E$49</f>
        <v>-1.3978388618979476</v>
      </c>
    </row>
    <row r="161" spans="1:28" x14ac:dyDescent="0.25">
      <c r="A161" s="61">
        <f>'Water runs'!C168</f>
        <v>16680</v>
      </c>
      <c r="B161" s="61" t="str">
        <f>'Water runs'!B168</f>
        <v>Winter</v>
      </c>
      <c r="C161" s="54">
        <f>'Water runs'!D168/100</f>
        <v>0.84757142857142798</v>
      </c>
      <c r="D161" s="108">
        <f>VLOOKUP(ROW(D161)+4,'Water runs'!$BS$3:$CF$423,MATCH($B$1,Scenarios,0)+1)</f>
        <v>2.770409900315917E-3</v>
      </c>
      <c r="E161" s="54">
        <f>IF(B161=Variables!$D$8,C161-Variables!$E$8,IF(B161=Variables!$D$9,C161-Variables!$E$9,IF(B161=Variables!$D$10,C161-Variables!$E$10,IF(B161=Variables!$D$11,C161-Variables!$E$11,"ELSE"))))</f>
        <v>0.27580380291005224</v>
      </c>
      <c r="F161" s="108">
        <f>VLOOKUP(ROW(F161)+4,'Water runs'!$CH$3:$CU$423,MATCH($B$1,Scenarios,0)+1)</f>
        <v>0</v>
      </c>
      <c r="G161" s="65">
        <f ca="1">H161/Variables!$E$49</f>
        <v>0.161</v>
      </c>
      <c r="H161" s="62">
        <f ca="1">IF((H160+I161)&gt;(1.1*Variables!$E$50),(1.1*Variables!$E$50),IF((H160+I161)&gt;0,H160+I161,0))</f>
        <v>0.99820000000000009</v>
      </c>
      <c r="I161" s="64">
        <f t="shared" ca="1" si="4"/>
        <v>0</v>
      </c>
      <c r="J161" s="63">
        <f>IF(SUM(E157:E160)&lt;Variables!$B$3,-H160,0)</f>
        <v>0</v>
      </c>
      <c r="K161" s="64">
        <f ca="1">IF(AND(H160&lt;Variables!$B$6*Variables!$E$50,OR(SUM(D158:D161)&gt;Variables!$B$5,SUM(E158:E161)&gt;Variables!$B$4)),Variables!$B$6*Variables!$E$50+Variables!$B$7*$G$1*Variables!$E$50*SUM(D158:D161),0)</f>
        <v>0</v>
      </c>
      <c r="L161" s="64">
        <f ca="1">IF(B161="Winter",Variables!$B$8*H160,0)</f>
        <v>-0.49704894489176149</v>
      </c>
      <c r="M161" s="64">
        <f ca="1">IF(AND(B161="Spring",AND(NOT(H160=0),H160&lt;(Variables!$B$9*Variables!$E$50))),(Variables!$B$10*Variables!$E$50+Variables!$B$11*Variables!$E$50*SUM(E158:E161)+$G$1*SUM(D160:D161)*Variables!$E$50*Variables!$B$12),0)</f>
        <v>0</v>
      </c>
      <c r="N161" s="64">
        <f>IF(AND(B161="Spring",AND(SUM(D158:D161)&gt;Variables!$B$13,SUM(D154:D157)&gt;Variables!$B$13)),-Variables!$B$14*Variables!$E$50,0)</f>
        <v>0</v>
      </c>
      <c r="O161" s="64">
        <f>IF(AND(B161="Summer",SUM(C157:D161)&gt;Variables!$B$15),(Variables!$B$16*Variables!$E$50*SUM(C157:C161)+$G$1*Variables!$B$16*Variables!$E$50*SUM(D157:D161)+$G$1*Variables!$E$50*Variables!$B$17*F161),0)</f>
        <v>0</v>
      </c>
      <c r="P161" s="64">
        <f ca="1">IF(AND(AND(B161="Autumn",SUM(D160:E161)&gt;0),NOT(H160=0)),Variables!$B$18*Variables!$E$50+Variables!$B$19*Variables!$E$50*SUM(E160:E161)+$G$1*Variables!$B$19*Variables!$E$50*SUM(D160:D161),0)</f>
        <v>0</v>
      </c>
      <c r="Q161" s="64">
        <f>IF(AND(B161="Autumn",AND((E161+E160)&lt;Variables!$B$20,(D160+D161)=0)),-Variables!$B$21*Variables!$E$50,0)</f>
        <v>0</v>
      </c>
      <c r="R161" s="64">
        <f>IF(B161="Autumn",(SUM(F160:F161)*$G$1*Variables!$B$22*Variables!$E$50),0)</f>
        <v>0</v>
      </c>
      <c r="S161" s="64">
        <f>IF(B161="Spring",($G$1*Variables!$E$50*SUM('Guts (MC)'!F160:F161)*Variables!$B$23),0)</f>
        <v>0</v>
      </c>
      <c r="T161" s="63">
        <f ca="1">IF((H160+SUM(J161:Q161))&lt;(Variables!$B$26*Variables!$E$50),$F$1*((Variables!$B$26*Variables!$E$50)-H160-SUM(J161:Q161)),0)</f>
        <v>0.49704894489176149</v>
      </c>
      <c r="U161" s="64">
        <f ca="1">IF(AND(AND(B161="Autumn",SUM(D158:E161)&gt;Variables!$B$27),SUM(J161:Q161)&lt;Variables!$B$28*H160),$F$1*(Variables!$B$28*H160-SUM(J161:Q161)),0)</f>
        <v>0</v>
      </c>
      <c r="V161" s="96">
        <f ca="1">IF(AND((J161+K161)=0,(Q161+T161)=0),$H$1*H161*Variables!$I$23*0.25,0)</f>
        <v>0</v>
      </c>
      <c r="W161" s="97">
        <f ca="1">IF(AND((K161+J161)=0,(T161+Q161)=0),$I$1*H161*Variables!$Q$23*0.25,0)</f>
        <v>0</v>
      </c>
      <c r="X161" s="95">
        <f ca="1">IF(AND(NOT(K161=0),(H161-H160)&gt;0),(H161-H160)*(Variables!$M$5*$H$1+Variables!$U$5*$I$1),0)+IF(AND(NOT((J161+N161+Q161)=0),(H160-H161)&gt;0),(H160-H161)*(Variables!$M$4*$H$1+Variables!$U$4*$I$1),0)</f>
        <v>0</v>
      </c>
      <c r="Y161" s="95">
        <f ca="1">IF(SUM(T161,U160:U161)&gt;0,H161*Variables!$Y$11*0.25*(1-$J$1),0)</f>
        <v>-8.6666009437672749</v>
      </c>
      <c r="Z161" s="95">
        <f ca="1">IF(T161=0,H161*$J$1*Variables!$Y$5*0.25,0)</f>
        <v>0</v>
      </c>
      <c r="AA161" s="95">
        <f t="shared" ca="1" si="5"/>
        <v>-8.6666009437672749</v>
      </c>
      <c r="AB161" s="91">
        <f ca="1">AA161/Variables!$E$49</f>
        <v>-1.3978388618979476</v>
      </c>
    </row>
    <row r="162" spans="1:28" x14ac:dyDescent="0.25">
      <c r="A162" s="61">
        <f>'Water runs'!C169</f>
        <v>16771</v>
      </c>
      <c r="B162" s="61" t="str">
        <f>'Water runs'!B169</f>
        <v>Spring</v>
      </c>
      <c r="C162" s="54">
        <f>'Water runs'!D169/100</f>
        <v>0.15014285714285699</v>
      </c>
      <c r="D162" s="108">
        <f>VLOOKUP(ROW(D162)+4,'Water runs'!$BS$3:$CF$423,MATCH($B$1,Scenarios,0)+1)</f>
        <v>0</v>
      </c>
      <c r="E162" s="54">
        <f>IF(B162=Variables!$D$8,C162-Variables!$E$8,IF(B162=Variables!$D$9,C162-Variables!$E$9,IF(B162=Variables!$D$10,C162-Variables!$E$10,IF(B162=Variables!$D$11,C162-Variables!$E$11,"ELSE"))))</f>
        <v>-0.61383935185185212</v>
      </c>
      <c r="F162" s="108">
        <f>VLOOKUP(ROW(F162)+4,'Water runs'!$CH$3:$CU$423,MATCH($B$1,Scenarios,0)+1)</f>
        <v>0</v>
      </c>
      <c r="G162" s="65">
        <f ca="1">H162/Variables!$E$49</f>
        <v>0.161</v>
      </c>
      <c r="H162" s="62">
        <f ca="1">IF((H161+I162)&gt;(1.1*Variables!$E$50),(1.1*Variables!$E$50),IF((H161+I162)&gt;0,H161+I162,0))</f>
        <v>0.99820000000000009</v>
      </c>
      <c r="I162" s="64">
        <f t="shared" ca="1" si="4"/>
        <v>0</v>
      </c>
      <c r="J162" s="63">
        <f>IF(SUM(E158:E161)&lt;Variables!$B$3,-H161,0)</f>
        <v>0</v>
      </c>
      <c r="K162" s="64">
        <f ca="1">IF(AND(H161&lt;Variables!$B$6*Variables!$E$50,OR(SUM(D159:D162)&gt;Variables!$B$5,SUM(E159:E162)&gt;Variables!$B$4)),Variables!$B$6*Variables!$E$50+Variables!$B$7*$G$1*Variables!$E$50*SUM(D159:D162),0)</f>
        <v>0</v>
      </c>
      <c r="L162" s="64">
        <f>IF(B162="Winter",Variables!$B$8*H161,0)</f>
        <v>0</v>
      </c>
      <c r="M162" s="64">
        <f ca="1">IF(AND(B162="Spring",AND(NOT(H161=0),H161&lt;(Variables!$B$9*Variables!$E$50))),(Variables!$B$10*Variables!$E$50+Variables!$B$11*Variables!$E$50*SUM(E159:E162)+$G$1*SUM(D161:D162)*Variables!$E$50*Variables!$B$12),0)</f>
        <v>-0.97267115955359018</v>
      </c>
      <c r="N162" s="64">
        <f>IF(AND(B162="Spring",AND(SUM(D159:D162)&gt;Variables!$B$13,SUM(D155:D158)&gt;Variables!$B$13)),-Variables!$B$14*Variables!$E$50,0)</f>
        <v>0</v>
      </c>
      <c r="O162" s="64">
        <f>IF(AND(B162="Summer",SUM(C158:D162)&gt;Variables!$B$15),(Variables!$B$16*Variables!$E$50*SUM(C158:C162)+$G$1*Variables!$B$16*Variables!$E$50*SUM(D158:D162)+$G$1*Variables!$E$50*Variables!$B$17*F162),0)</f>
        <v>0</v>
      </c>
      <c r="P162" s="64">
        <f ca="1">IF(AND(AND(B162="Autumn",SUM(D161:E162)&gt;0),NOT(H161=0)),Variables!$B$18*Variables!$E$50+Variables!$B$19*Variables!$E$50*SUM(E161:E162)+$G$1*Variables!$B$19*Variables!$E$50*SUM(D161:D162),0)</f>
        <v>0</v>
      </c>
      <c r="Q162" s="64">
        <f>IF(AND(B162="Autumn",AND((E162+E161)&lt;Variables!$B$20,(D161+D162)=0)),-Variables!$B$21*Variables!$E$50,0)</f>
        <v>0</v>
      </c>
      <c r="R162" s="64">
        <f>IF(B162="Autumn",(SUM(F161:F162)*$G$1*Variables!$B$22*Variables!$E$50),0)</f>
        <v>0</v>
      </c>
      <c r="S162" s="64">
        <f ca="1">IF(B162="Spring",($G$1*Variables!$E$50*SUM('Guts (MC)'!F161:F162)*Variables!$B$23),0)</f>
        <v>0</v>
      </c>
      <c r="T162" s="63">
        <f ca="1">IF((H161+SUM(J162:Q162))&lt;(Variables!$B$26*Variables!$E$50),$F$1*((Variables!$B$26*Variables!$E$50)-H161-SUM(J162:Q162)),0)</f>
        <v>0.97267115955359018</v>
      </c>
      <c r="U162" s="64">
        <f ca="1">IF(AND(AND(B162="Autumn",SUM(D159:E162)&gt;Variables!$B$27),SUM(J162:Q162)&lt;Variables!$B$28*H161),$F$1*(Variables!$B$28*H161-SUM(J162:Q162)),0)</f>
        <v>0</v>
      </c>
      <c r="V162" s="96">
        <f ca="1">IF(AND((J162+K162)=0,(Q162+T162)=0),$H$1*H162*Variables!$I$23*0.25,0)</f>
        <v>0</v>
      </c>
      <c r="W162" s="97">
        <f ca="1">IF(AND((K162+J162)=0,(T162+Q162)=0),$I$1*H162*Variables!$Q$23*0.25,0)</f>
        <v>0</v>
      </c>
      <c r="X162" s="95">
        <f ca="1">IF(AND(NOT(K162=0),(H162-H161)&gt;0),(H162-H161)*(Variables!$M$5*$H$1+Variables!$U$5*$I$1),0)+IF(AND(NOT((J162+N162+Q162)=0),(H161-H162)&gt;0),(H161-H162)*(Variables!$M$4*$H$1+Variables!$U$4*$I$1),0)</f>
        <v>0</v>
      </c>
      <c r="Y162" s="95">
        <f ca="1">IF(SUM(T162,U161:U162)&gt;0,H162*Variables!$Y$11*0.25*(1-$J$1),0)</f>
        <v>-8.6666009437672749</v>
      </c>
      <c r="Z162" s="95">
        <f ca="1">IF(T162=0,H162*$J$1*Variables!$Y$5*0.25,0)</f>
        <v>0</v>
      </c>
      <c r="AA162" s="95">
        <f t="shared" ca="1" si="5"/>
        <v>-8.6666009437672749</v>
      </c>
      <c r="AB162" s="91">
        <f ca="1">AA162/Variables!$E$49</f>
        <v>-1.3978388618979476</v>
      </c>
    </row>
    <row r="163" spans="1:28" x14ac:dyDescent="0.25">
      <c r="A163" s="61">
        <f>'Water runs'!C170</f>
        <v>16861</v>
      </c>
      <c r="B163" s="61" t="str">
        <f>'Water runs'!B170</f>
        <v>Summer</v>
      </c>
      <c r="C163" s="54">
        <f>'Water runs'!D170/100</f>
        <v>0.9928571428571431</v>
      </c>
      <c r="D163" s="108">
        <f>VLOOKUP(ROW(D163)+4,'Water runs'!$BS$3:$CF$423,MATCH($B$1,Scenarios,0)+1)</f>
        <v>7.78050499212187E-2</v>
      </c>
      <c r="E163" s="54">
        <f>IF(B163=Variables!$D$8,C163-Variables!$E$8,IF(B163=Variables!$D$9,C163-Variables!$E$9,IF(B163=Variables!$D$10,C163-Variables!$E$10,IF(B163=Variables!$D$11,C163-Variables!$E$11,"ELSE"))))</f>
        <v>-0.26551299319727861</v>
      </c>
      <c r="F163" s="108">
        <f>VLOOKUP(ROW(F163)+4,'Water runs'!$CH$3:$CU$423,MATCH($B$1,Scenarios,0)+1)</f>
        <v>0</v>
      </c>
      <c r="G163" s="65">
        <f ca="1">H163/Variables!$E$49</f>
        <v>0.161</v>
      </c>
      <c r="H163" s="62">
        <f ca="1">IF((H162+I163)&gt;(1.1*Variables!$E$50),(1.1*Variables!$E$50),IF((H162+I163)&gt;0,H162+I163,0))</f>
        <v>0.99820000000000009</v>
      </c>
      <c r="I163" s="64">
        <f t="shared" ca="1" si="4"/>
        <v>0</v>
      </c>
      <c r="J163" s="63">
        <f>IF(SUM(E159:E162)&lt;Variables!$B$3,-H162,0)</f>
        <v>0</v>
      </c>
      <c r="K163" s="64">
        <f ca="1">IF(AND(H162&lt;Variables!$B$6*Variables!$E$50,OR(SUM(D160:D163)&gt;Variables!$B$5,SUM(E160:E163)&gt;Variables!$B$4)),Variables!$B$6*Variables!$E$50+Variables!$B$7*$G$1*Variables!$E$50*SUM(D160:D163),0)</f>
        <v>0</v>
      </c>
      <c r="L163" s="64">
        <f>IF(B163="Winter",Variables!$B$8*H162,0)</f>
        <v>0</v>
      </c>
      <c r="M163" s="64">
        <f ca="1">IF(AND(B163="Spring",AND(NOT(H162=0),H162&lt;(Variables!$B$9*Variables!$E$50))),(Variables!$B$10*Variables!$E$50+Variables!$B$11*Variables!$E$50*SUM(E160:E163)+$G$1*SUM(D162:D163)*Variables!$E$50*Variables!$B$12),0)</f>
        <v>0</v>
      </c>
      <c r="N163" s="64">
        <f>IF(AND(B163="Spring",AND(SUM(D160:D163)&gt;Variables!$B$13,SUM(D156:D159)&gt;Variables!$B$13)),-Variables!$B$14*Variables!$E$50,0)</f>
        <v>0</v>
      </c>
      <c r="O163" s="64">
        <f>IF(AND(B163="Summer",SUM(C159:D163)&gt;Variables!$B$15),(Variables!$B$16*Variables!$E$50*SUM(C159:C163)+$G$1*Variables!$B$16*Variables!$E$50*SUM(D159:D163)+$G$1*Variables!$E$50*Variables!$B$17*F163),0)</f>
        <v>0</v>
      </c>
      <c r="P163" s="64">
        <f ca="1">IF(AND(AND(B163="Autumn",SUM(D162:E163)&gt;0),NOT(H162=0)),Variables!$B$18*Variables!$E$50+Variables!$B$19*Variables!$E$50*SUM(E162:E163)+$G$1*Variables!$B$19*Variables!$E$50*SUM(D162:D163),0)</f>
        <v>0</v>
      </c>
      <c r="Q163" s="64">
        <f>IF(AND(B163="Autumn",AND((E163+E162)&lt;Variables!$B$20,(D162+D163)=0)),-Variables!$B$21*Variables!$E$50,0)</f>
        <v>0</v>
      </c>
      <c r="R163" s="64">
        <f>IF(B163="Autumn",(SUM(F162:F163)*$G$1*Variables!$B$22*Variables!$E$50),0)</f>
        <v>0</v>
      </c>
      <c r="S163" s="64">
        <f>IF(B163="Spring",($G$1*Variables!$E$50*SUM('Guts (MC)'!F162:F163)*Variables!$B$23),0)</f>
        <v>0</v>
      </c>
      <c r="T163" s="63">
        <f ca="1">IF((H162+SUM(J163:Q163))&lt;(Variables!$B$26*Variables!$E$50),$F$1*((Variables!$B$26*Variables!$E$50)-H162-SUM(J163:Q163)),0)</f>
        <v>0</v>
      </c>
      <c r="U163" s="64">
        <f ca="1">IF(AND(AND(B163="Autumn",SUM(D160:E163)&gt;Variables!$B$27),SUM(J163:Q163)&lt;Variables!$B$28*H162),$F$1*(Variables!$B$28*H162-SUM(J163:Q163)),0)</f>
        <v>0</v>
      </c>
      <c r="V163" s="96">
        <f ca="1">IF(AND((J163+K163)=0,(Q163+T163)=0),$H$1*H163*Variables!$I$23*0.25,0)</f>
        <v>12.167037507234284</v>
      </c>
      <c r="W163" s="97">
        <f ca="1">IF(AND((K163+J163)=0,(T163+Q163)=0),$I$1*H163*Variables!$Q$23*0.25,0)</f>
        <v>3.9130767321523603</v>
      </c>
      <c r="X163" s="95">
        <f ca="1">IF(AND(NOT(K163=0),(H163-H162)&gt;0),(H163-H162)*(Variables!$M$5*$H$1+Variables!$U$5*$I$1),0)+IF(AND(NOT((J163+N163+Q163)=0),(H162-H163)&gt;0),(H162-H163)*(Variables!$M$4*$H$1+Variables!$U$4*$I$1),0)</f>
        <v>0</v>
      </c>
      <c r="Y163" s="95">
        <f ca="1">IF(SUM(T163,U162:U163)&gt;0,H163*Variables!$Y$11*0.25*(1-$J$1),0)</f>
        <v>0</v>
      </c>
      <c r="Z163" s="95">
        <f ca="1">IF(T163=0,H163*$J$1*Variables!$Y$5*0.25,0)</f>
        <v>1.1232613205250213</v>
      </c>
      <c r="AA163" s="95">
        <f t="shared" ca="1" si="5"/>
        <v>17.203375559911667</v>
      </c>
      <c r="AB163" s="91">
        <f ca="1">AA163/Variables!$E$49</f>
        <v>2.7747379935341399</v>
      </c>
    </row>
    <row r="164" spans="1:28" x14ac:dyDescent="0.25">
      <c r="A164" s="61">
        <f>'Water runs'!C171</f>
        <v>16953</v>
      </c>
      <c r="B164" s="61" t="str">
        <f>'Water runs'!B171</f>
        <v>Autumn</v>
      </c>
      <c r="C164" s="54">
        <f>'Water runs'!D171/100</f>
        <v>0.46028571428571396</v>
      </c>
      <c r="D164" s="108">
        <f>VLOOKUP(ROW(D164)+4,'Water runs'!$BS$3:$CF$423,MATCH($B$1,Scenarios,0)+1)</f>
        <v>0</v>
      </c>
      <c r="E164" s="54">
        <f>IF(B164=Variables!$D$8,C164-Variables!$E$8,IF(B164=Variables!$D$9,C164-Variables!$E$9,IF(B164=Variables!$D$10,C164-Variables!$E$10,IF(B164=Variables!$D$11,C164-Variables!$E$11,"ELSE"))))</f>
        <v>-0.53435758503401387</v>
      </c>
      <c r="F164" s="108">
        <f>VLOOKUP(ROW(F164)+4,'Water runs'!$CH$3:$CU$423,MATCH($B$1,Scenarios,0)+1)</f>
        <v>0</v>
      </c>
      <c r="G164" s="65">
        <f ca="1">H164/Variables!$E$49</f>
        <v>0.161</v>
      </c>
      <c r="H164" s="62">
        <f ca="1">IF((H163+I164)&gt;(1.1*Variables!$E$50),(1.1*Variables!$E$50),IF((H163+I164)&gt;0,H163+I164,0))</f>
        <v>0.99820000000000009</v>
      </c>
      <c r="I164" s="64">
        <f t="shared" ca="1" si="4"/>
        <v>0</v>
      </c>
      <c r="J164" s="63">
        <f>IF(SUM(E160:E163)&lt;Variables!$B$3,-H163,0)</f>
        <v>0</v>
      </c>
      <c r="K164" s="64">
        <f ca="1">IF(AND(H163&lt;Variables!$B$6*Variables!$E$50,OR(SUM(D161:D164)&gt;Variables!$B$5,SUM(E161:E164)&gt;Variables!$B$4)),Variables!$B$6*Variables!$E$50+Variables!$B$7*$G$1*Variables!$E$50*SUM(D161:D164),0)</f>
        <v>0</v>
      </c>
      <c r="L164" s="64">
        <f>IF(B164="Winter",Variables!$B$8*H163,0)</f>
        <v>0</v>
      </c>
      <c r="M164" s="64">
        <f ca="1">IF(AND(B164="Spring",AND(NOT(H163=0),H163&lt;(Variables!$B$9*Variables!$E$50))),(Variables!$B$10*Variables!$E$50+Variables!$B$11*Variables!$E$50*SUM(E161:E164)+$G$1*SUM(D163:D164)*Variables!$E$50*Variables!$B$12),0)</f>
        <v>0</v>
      </c>
      <c r="N164" s="64">
        <f>IF(AND(B164="Spring",AND(SUM(D161:D164)&gt;Variables!$B$13,SUM(D157:D160)&gt;Variables!$B$13)),-Variables!$B$14*Variables!$E$50,0)</f>
        <v>0</v>
      </c>
      <c r="O164" s="64">
        <f>IF(AND(B164="Summer",SUM(C160:D164)&gt;Variables!$B$15),(Variables!$B$16*Variables!$E$50*SUM(C160:C164)+$G$1*Variables!$B$16*Variables!$E$50*SUM(D160:D164)+$G$1*Variables!$E$50*Variables!$B$17*F164),0)</f>
        <v>0</v>
      </c>
      <c r="P164" s="64">
        <f ca="1">IF(AND(AND(B164="Autumn",SUM(D163:E164)&gt;0),NOT(H163=0)),Variables!$B$18*Variables!$E$50+Variables!$B$19*Variables!$E$50*SUM(E163:E164)+$G$1*Variables!$B$19*Variables!$E$50*SUM(D163:D164),0)</f>
        <v>0</v>
      </c>
      <c r="Q164" s="64">
        <f>IF(AND(B164="Autumn",AND((E164+E163)&lt;Variables!$B$20,(D163+D164)=0)),-Variables!$B$21*Variables!$E$50,0)</f>
        <v>0</v>
      </c>
      <c r="R164" s="64">
        <f ca="1">IF(B164="Autumn",(SUM(F163:F164)*$G$1*Variables!$B$22*Variables!$E$50),0)</f>
        <v>0</v>
      </c>
      <c r="S164" s="64">
        <f>IF(B164="Spring",($G$1*Variables!$E$50*SUM('Guts (MC)'!F163:F164)*Variables!$B$23),0)</f>
        <v>0</v>
      </c>
      <c r="T164" s="63">
        <f ca="1">IF((H163+SUM(J164:Q164))&lt;(Variables!$B$26*Variables!$E$50),$F$1*((Variables!$B$26*Variables!$E$50)-H163-SUM(J164:Q164)),0)</f>
        <v>0</v>
      </c>
      <c r="U164" s="64">
        <f ca="1">IF(AND(AND(B164="Autumn",SUM(D161:E164)&gt;Variables!$B$27),SUM(J164:Q164)&lt;Variables!$B$28*H163),$F$1*(Variables!$B$28*H163-SUM(J164:Q164)),0)</f>
        <v>0</v>
      </c>
      <c r="V164" s="96">
        <f ca="1">IF(AND((J164+K164)=0,(Q164+T164)=0),$H$1*H164*Variables!$I$23*0.25,0)</f>
        <v>12.167037507234284</v>
      </c>
      <c r="W164" s="97">
        <f ca="1">IF(AND((K164+J164)=0,(T164+Q164)=0),$I$1*H164*Variables!$Q$23*0.25,0)</f>
        <v>3.9130767321523603</v>
      </c>
      <c r="X164" s="95">
        <f ca="1">IF(AND(NOT(K164=0),(H164-H163)&gt;0),(H164-H163)*(Variables!$M$5*$H$1+Variables!$U$5*$I$1),0)+IF(AND(NOT((J164+N164+Q164)=0),(H163-H164)&gt;0),(H163-H164)*(Variables!$M$4*$H$1+Variables!$U$4*$I$1),0)</f>
        <v>0</v>
      </c>
      <c r="Y164" s="95">
        <f ca="1">IF(SUM(T164,U163:U164)&gt;0,H164*Variables!$Y$11*0.25*(1-$J$1),0)</f>
        <v>0</v>
      </c>
      <c r="Z164" s="95">
        <f ca="1">IF(T164=0,H164*$J$1*Variables!$Y$5*0.25,0)</f>
        <v>1.1232613205250213</v>
      </c>
      <c r="AA164" s="95">
        <f t="shared" ca="1" si="5"/>
        <v>17.203375559911667</v>
      </c>
      <c r="AB164" s="91">
        <f ca="1">AA164/Variables!$E$49</f>
        <v>2.7747379935341399</v>
      </c>
    </row>
    <row r="165" spans="1:28" x14ac:dyDescent="0.25">
      <c r="A165" s="61">
        <f>'Water runs'!C172</f>
        <v>17045</v>
      </c>
      <c r="B165" s="61" t="str">
        <f>'Water runs'!B172</f>
        <v>Winter</v>
      </c>
      <c r="C165" s="54">
        <f>'Water runs'!D172/100</f>
        <v>0.17399999999999999</v>
      </c>
      <c r="D165" s="108">
        <f>VLOOKUP(ROW(D165)+4,'Water runs'!$BS$3:$CF$423,MATCH($B$1,Scenarios,0)+1)</f>
        <v>0</v>
      </c>
      <c r="E165" s="54">
        <f>IF(B165=Variables!$D$8,C165-Variables!$E$8,IF(B165=Variables!$D$9,C165-Variables!$E$9,IF(B165=Variables!$D$10,C165-Variables!$E$10,IF(B165=Variables!$D$11,C165-Variables!$E$11,"ELSE"))))</f>
        <v>-0.39776762566137575</v>
      </c>
      <c r="F165" s="108">
        <f>VLOOKUP(ROW(F165)+4,'Water runs'!$CH$3:$CU$423,MATCH($B$1,Scenarios,0)+1)</f>
        <v>0</v>
      </c>
      <c r="G165" s="65">
        <f ca="1">H165/Variables!$E$49</f>
        <v>0.161</v>
      </c>
      <c r="H165" s="62">
        <f ca="1">IF((H164+I165)&gt;(1.1*Variables!$E$50),(1.1*Variables!$E$50),IF((H164+I165)&gt;0,H164+I165,0))</f>
        <v>0.99820000000000009</v>
      </c>
      <c r="I165" s="64">
        <f t="shared" ca="1" si="4"/>
        <v>0</v>
      </c>
      <c r="J165" s="63">
        <f>IF(SUM(E161:E164)&lt;Variables!$B$3,-H164,0)</f>
        <v>0</v>
      </c>
      <c r="K165" s="64">
        <f ca="1">IF(AND(H164&lt;Variables!$B$6*Variables!$E$50,OR(SUM(D162:D165)&gt;Variables!$B$5,SUM(E162:E165)&gt;Variables!$B$4)),Variables!$B$6*Variables!$E$50+Variables!$B$7*$G$1*Variables!$E$50*SUM(D162:D165),0)</f>
        <v>0</v>
      </c>
      <c r="L165" s="64">
        <f ca="1">IF(B165="Winter",Variables!$B$8*H164,0)</f>
        <v>-0.49704894489176149</v>
      </c>
      <c r="M165" s="64">
        <f ca="1">IF(AND(B165="Spring",AND(NOT(H164=0),H164&lt;(Variables!$B$9*Variables!$E$50))),(Variables!$B$10*Variables!$E$50+Variables!$B$11*Variables!$E$50*SUM(E162:E165)+$G$1*SUM(D164:D165)*Variables!$E$50*Variables!$B$12),0)</f>
        <v>0</v>
      </c>
      <c r="N165" s="64">
        <f>IF(AND(B165="Spring",AND(SUM(D162:D165)&gt;Variables!$B$13,SUM(D158:D161)&gt;Variables!$B$13)),-Variables!$B$14*Variables!$E$50,0)</f>
        <v>0</v>
      </c>
      <c r="O165" s="64">
        <f>IF(AND(B165="Summer",SUM(C161:D165)&gt;Variables!$B$15),(Variables!$B$16*Variables!$E$50*SUM(C161:C165)+$G$1*Variables!$B$16*Variables!$E$50*SUM(D161:D165)+$G$1*Variables!$E$50*Variables!$B$17*F165),0)</f>
        <v>0</v>
      </c>
      <c r="P165" s="64">
        <f ca="1">IF(AND(AND(B165="Autumn",SUM(D164:E165)&gt;0),NOT(H164=0)),Variables!$B$18*Variables!$E$50+Variables!$B$19*Variables!$E$50*SUM(E164:E165)+$G$1*Variables!$B$19*Variables!$E$50*SUM(D164:D165),0)</f>
        <v>0</v>
      </c>
      <c r="Q165" s="64">
        <f>IF(AND(B165="Autumn",AND((E165+E164)&lt;Variables!$B$20,(D164+D165)=0)),-Variables!$B$21*Variables!$E$50,0)</f>
        <v>0</v>
      </c>
      <c r="R165" s="64">
        <f>IF(B165="Autumn",(SUM(F164:F165)*$G$1*Variables!$B$22*Variables!$E$50),0)</f>
        <v>0</v>
      </c>
      <c r="S165" s="64">
        <f>IF(B165="Spring",($G$1*Variables!$E$50*SUM('Guts (MC)'!F164:F165)*Variables!$B$23),0)</f>
        <v>0</v>
      </c>
      <c r="T165" s="63">
        <f ca="1">IF((H164+SUM(J165:Q165))&lt;(Variables!$B$26*Variables!$E$50),$F$1*((Variables!$B$26*Variables!$E$50)-H164-SUM(J165:Q165)),0)</f>
        <v>0.49704894489176149</v>
      </c>
      <c r="U165" s="64">
        <f ca="1">IF(AND(AND(B165="Autumn",SUM(D162:E165)&gt;Variables!$B$27),SUM(J165:Q165)&lt;Variables!$B$28*H164),$F$1*(Variables!$B$28*H164-SUM(J165:Q165)),0)</f>
        <v>0</v>
      </c>
      <c r="V165" s="96">
        <f ca="1">IF(AND((J165+K165)=0,(Q165+T165)=0),$H$1*H165*Variables!$I$23*0.25,0)</f>
        <v>0</v>
      </c>
      <c r="W165" s="97">
        <f ca="1">IF(AND((K165+J165)=0,(T165+Q165)=0),$I$1*H165*Variables!$Q$23*0.25,0)</f>
        <v>0</v>
      </c>
      <c r="X165" s="95">
        <f ca="1">IF(AND(NOT(K165=0),(H165-H164)&gt;0),(H165-H164)*(Variables!$M$5*$H$1+Variables!$U$5*$I$1),0)+IF(AND(NOT((J165+N165+Q165)=0),(H164-H165)&gt;0),(H164-H165)*(Variables!$M$4*$H$1+Variables!$U$4*$I$1),0)</f>
        <v>0</v>
      </c>
      <c r="Y165" s="95">
        <f ca="1">IF(SUM(T165,U164:U165)&gt;0,H165*Variables!$Y$11*0.25*(1-$J$1),0)</f>
        <v>-8.6666009437672749</v>
      </c>
      <c r="Z165" s="95">
        <f ca="1">IF(T165=0,H165*$J$1*Variables!$Y$5*0.25,0)</f>
        <v>0</v>
      </c>
      <c r="AA165" s="95">
        <f t="shared" ca="1" si="5"/>
        <v>-8.6666009437672749</v>
      </c>
      <c r="AB165" s="91">
        <f ca="1">AA165/Variables!$E$49</f>
        <v>-1.3978388618979476</v>
      </c>
    </row>
    <row r="166" spans="1:28" x14ac:dyDescent="0.25">
      <c r="A166" s="61">
        <f>'Water runs'!C173</f>
        <v>17136</v>
      </c>
      <c r="B166" s="61" t="str">
        <f>'Water runs'!B173</f>
        <v>Spring</v>
      </c>
      <c r="C166" s="54">
        <f>'Water runs'!D173/100</f>
        <v>0.76971428571428602</v>
      </c>
      <c r="D166" s="108">
        <f>VLOOKUP(ROW(D166)+4,'Water runs'!$BS$3:$CF$423,MATCH($B$1,Scenarios,0)+1)</f>
        <v>0</v>
      </c>
      <c r="E166" s="54">
        <f>IF(B166=Variables!$D$8,C166-Variables!$E$8,IF(B166=Variables!$D$9,C166-Variables!$E$9,IF(B166=Variables!$D$10,C166-Variables!$E$10,IF(B166=Variables!$D$11,C166-Variables!$E$11,"ELSE"))))</f>
        <v>5.7320767195768729E-3</v>
      </c>
      <c r="F166" s="108">
        <f>VLOOKUP(ROW(F166)+4,'Water runs'!$CH$3:$CU$423,MATCH($B$1,Scenarios,0)+1)</f>
        <v>0</v>
      </c>
      <c r="G166" s="65">
        <f ca="1">H166/Variables!$E$49</f>
        <v>0.161</v>
      </c>
      <c r="H166" s="62">
        <f ca="1">IF((H165+I166)&gt;(1.1*Variables!$E$50),(1.1*Variables!$E$50),IF((H165+I166)&gt;0,H165+I166,0))</f>
        <v>0.99820000000000009</v>
      </c>
      <c r="I166" s="64">
        <f t="shared" ca="1" si="4"/>
        <v>0</v>
      </c>
      <c r="J166" s="63">
        <f ca="1">IF(SUM(E162:E165)&lt;Variables!$B$3,-H165,0)</f>
        <v>-0.99820000000000009</v>
      </c>
      <c r="K166" s="64">
        <f ca="1">IF(AND(H165&lt;Variables!$B$6*Variables!$E$50,OR(SUM(D163:D166)&gt;Variables!$B$5,SUM(E163:E166)&gt;Variables!$B$4)),Variables!$B$6*Variables!$E$50+Variables!$B$7*$G$1*Variables!$E$50*SUM(D163:D166),0)</f>
        <v>0</v>
      </c>
      <c r="L166" s="64">
        <f>IF(B166="Winter",Variables!$B$8*H165,0)</f>
        <v>0</v>
      </c>
      <c r="M166" s="64">
        <f ca="1">IF(AND(B166="Spring",AND(NOT(H165=0),H165&lt;(Variables!$B$9*Variables!$E$50))),(Variables!$B$10*Variables!$E$50+Variables!$B$11*Variables!$E$50*SUM(E163:E166)+$G$1*SUM(D165:D166)*Variables!$E$50*Variables!$B$12),0)</f>
        <v>-0.81176159657431468</v>
      </c>
      <c r="N166" s="64">
        <f>IF(AND(B166="Spring",AND(SUM(D163:D166)&gt;Variables!$B$13,SUM(D159:D162)&gt;Variables!$B$13)),-Variables!$B$14*Variables!$E$50,0)</f>
        <v>0</v>
      </c>
      <c r="O166" s="64">
        <f>IF(AND(B166="Summer",SUM(C162:D166)&gt;Variables!$B$15),(Variables!$B$16*Variables!$E$50*SUM(C162:C166)+$G$1*Variables!$B$16*Variables!$E$50*SUM(D162:D166)+$G$1*Variables!$E$50*Variables!$B$17*F166),0)</f>
        <v>0</v>
      </c>
      <c r="P166" s="64">
        <f ca="1">IF(AND(AND(B166="Autumn",SUM(D165:E166)&gt;0),NOT(H165=0)),Variables!$B$18*Variables!$E$50+Variables!$B$19*Variables!$E$50*SUM(E165:E166)+$G$1*Variables!$B$19*Variables!$E$50*SUM(D165:D166),0)</f>
        <v>0</v>
      </c>
      <c r="Q166" s="64">
        <f>IF(AND(B166="Autumn",AND((E166+E165)&lt;Variables!$B$20,(D165+D166)=0)),-Variables!$B$21*Variables!$E$50,0)</f>
        <v>0</v>
      </c>
      <c r="R166" s="64">
        <f>IF(B166="Autumn",(SUM(F165:F166)*$G$1*Variables!$B$22*Variables!$E$50),0)</f>
        <v>0</v>
      </c>
      <c r="S166" s="64">
        <f ca="1">IF(B166="Spring",($G$1*Variables!$E$50*SUM('Guts (MC)'!F165:F166)*Variables!$B$23),0)</f>
        <v>0</v>
      </c>
      <c r="T166" s="63">
        <f ca="1">IF((H165+SUM(J166:Q166))&lt;(Variables!$B$26*Variables!$E$50),$F$1*((Variables!$B$26*Variables!$E$50)-H165-SUM(J166:Q166)),0)</f>
        <v>1.8099615965743148</v>
      </c>
      <c r="U166" s="64">
        <f ca="1">IF(AND(AND(B166="Autumn",SUM(D163:E166)&gt;Variables!$B$27),SUM(J166:Q166)&lt;Variables!$B$28*H165),$F$1*(Variables!$B$28*H165-SUM(J166:Q166)),0)</f>
        <v>0</v>
      </c>
      <c r="V166" s="96">
        <f ca="1">IF(AND((J166+K166)=0,(Q166+T166)=0),$H$1*H166*Variables!$I$23*0.25,0)</f>
        <v>0</v>
      </c>
      <c r="W166" s="97">
        <f ca="1">IF(AND((K166+J166)=0,(T166+Q166)=0),$I$1*H166*Variables!$Q$23*0.25,0)</f>
        <v>0</v>
      </c>
      <c r="X166" s="95">
        <f ca="1">IF(AND(NOT(K166=0),(H166-H165)&gt;0),(H166-H165)*(Variables!$M$5*$H$1+Variables!$U$5*$I$1),0)+IF(AND(NOT((J166+N166+Q166)=0),(H165-H166)&gt;0),(H165-H166)*(Variables!$M$4*$H$1+Variables!$U$4*$I$1),0)</f>
        <v>0</v>
      </c>
      <c r="Y166" s="95">
        <f ca="1">IF(SUM(T166,U165:U166)&gt;0,H166*Variables!$Y$11*0.25*(1-$J$1),0)</f>
        <v>-8.6666009437672749</v>
      </c>
      <c r="Z166" s="95">
        <f ca="1">IF(T166=0,H166*$J$1*Variables!$Y$5*0.25,0)</f>
        <v>0</v>
      </c>
      <c r="AA166" s="95">
        <f t="shared" ca="1" si="5"/>
        <v>-8.6666009437672749</v>
      </c>
      <c r="AB166" s="91">
        <f ca="1">AA166/Variables!$E$49</f>
        <v>-1.3978388618979476</v>
      </c>
    </row>
    <row r="167" spans="1:28" x14ac:dyDescent="0.25">
      <c r="A167" s="61">
        <f>'Water runs'!C174</f>
        <v>17226</v>
      </c>
      <c r="B167" s="61" t="str">
        <f>'Water runs'!B174</f>
        <v>Summer</v>
      </c>
      <c r="C167" s="54">
        <f>'Water runs'!D174/100</f>
        <v>1.58507142857143</v>
      </c>
      <c r="D167" s="108">
        <f>VLOOKUP(ROW(D167)+4,'Water runs'!$BS$3:$CF$423,MATCH($B$1,Scenarios,0)+1)</f>
        <v>4.1154720148219699E-2</v>
      </c>
      <c r="E167" s="54">
        <f>IF(B167=Variables!$D$8,C167-Variables!$E$8,IF(B167=Variables!$D$9,C167-Variables!$E$9,IF(B167=Variables!$D$10,C167-Variables!$E$10,IF(B167=Variables!$D$11,C167-Variables!$E$11,"ELSE"))))</f>
        <v>0.3267012925170083</v>
      </c>
      <c r="F167" s="108">
        <f>VLOOKUP(ROW(F167)+4,'Water runs'!$CH$3:$CU$423,MATCH($B$1,Scenarios,0)+1)</f>
        <v>0</v>
      </c>
      <c r="G167" s="65">
        <f ca="1">H167/Variables!$E$49</f>
        <v>0.161</v>
      </c>
      <c r="H167" s="62">
        <f ca="1">IF((H166+I167)&gt;(1.1*Variables!$E$50),(1.1*Variables!$E$50),IF((H166+I167)&gt;0,H166+I167,0))</f>
        <v>0.99820000000000009</v>
      </c>
      <c r="I167" s="64">
        <f t="shared" ca="1" si="4"/>
        <v>0</v>
      </c>
      <c r="J167" s="63">
        <f>IF(SUM(E163:E166)&lt;Variables!$B$3,-H166,0)</f>
        <v>0</v>
      </c>
      <c r="K167" s="64">
        <f ca="1">IF(AND(H166&lt;Variables!$B$6*Variables!$E$50,OR(SUM(D164:D167)&gt;Variables!$B$5,SUM(E164:E167)&gt;Variables!$B$4)),Variables!$B$6*Variables!$E$50+Variables!$B$7*$G$1*Variables!$E$50*SUM(D164:D167),0)</f>
        <v>0</v>
      </c>
      <c r="L167" s="64">
        <f>IF(B167="Winter",Variables!$B$8*H166,0)</f>
        <v>0</v>
      </c>
      <c r="M167" s="64">
        <f ca="1">IF(AND(B167="Spring",AND(NOT(H166=0),H166&lt;(Variables!$B$9*Variables!$E$50))),(Variables!$B$10*Variables!$E$50+Variables!$B$11*Variables!$E$50*SUM(E164:E167)+$G$1*SUM(D166:D167)*Variables!$E$50*Variables!$B$12),0)</f>
        <v>0</v>
      </c>
      <c r="N167" s="64">
        <f>IF(AND(B167="Spring",AND(SUM(D164:D167)&gt;Variables!$B$13,SUM(D160:D163)&gt;Variables!$B$13)),-Variables!$B$14*Variables!$E$50,0)</f>
        <v>0</v>
      </c>
      <c r="O167" s="64">
        <f>IF(AND(B167="Summer",SUM(C163:D167)&gt;Variables!$B$15),(Variables!$B$16*Variables!$E$50*SUM(C163:C167)+$G$1*Variables!$B$16*Variables!$E$50*SUM(D163:D167)+$G$1*Variables!$E$50*Variables!$B$17*F167),0)</f>
        <v>0</v>
      </c>
      <c r="P167" s="64">
        <f ca="1">IF(AND(AND(B167="Autumn",SUM(D166:E167)&gt;0),NOT(H166=0)),Variables!$B$18*Variables!$E$50+Variables!$B$19*Variables!$E$50*SUM(E166:E167)+$G$1*Variables!$B$19*Variables!$E$50*SUM(D166:D167),0)</f>
        <v>0</v>
      </c>
      <c r="Q167" s="64">
        <f>IF(AND(B167="Autumn",AND((E167+E166)&lt;Variables!$B$20,(D166+D167)=0)),-Variables!$B$21*Variables!$E$50,0)</f>
        <v>0</v>
      </c>
      <c r="R167" s="64">
        <f>IF(B167="Autumn",(SUM(F166:F167)*$G$1*Variables!$B$22*Variables!$E$50),0)</f>
        <v>0</v>
      </c>
      <c r="S167" s="64">
        <f>IF(B167="Spring",($G$1*Variables!$E$50*SUM('Guts (MC)'!F166:F167)*Variables!$B$23),0)</f>
        <v>0</v>
      </c>
      <c r="T167" s="63">
        <f ca="1">IF((H166+SUM(J167:Q167))&lt;(Variables!$B$26*Variables!$E$50),$F$1*((Variables!$B$26*Variables!$E$50)-H166-SUM(J167:Q167)),0)</f>
        <v>0</v>
      </c>
      <c r="U167" s="64">
        <f ca="1">IF(AND(AND(B167="Autumn",SUM(D164:E167)&gt;Variables!$B$27),SUM(J167:Q167)&lt;Variables!$B$28*H166),$F$1*(Variables!$B$28*H166-SUM(J167:Q167)),0)</f>
        <v>0</v>
      </c>
      <c r="V167" s="96">
        <f ca="1">IF(AND((J167+K167)=0,(Q167+T167)=0),$H$1*H167*Variables!$I$23*0.25,0)</f>
        <v>12.167037507234284</v>
      </c>
      <c r="W167" s="97">
        <f ca="1">IF(AND((K167+J167)=0,(T167+Q167)=0),$I$1*H167*Variables!$Q$23*0.25,0)</f>
        <v>3.9130767321523603</v>
      </c>
      <c r="X167" s="95">
        <f ca="1">IF(AND(NOT(K167=0),(H167-H166)&gt;0),(H167-H166)*(Variables!$M$5*$H$1+Variables!$U$5*$I$1),0)+IF(AND(NOT((J167+N167+Q167)=0),(H166-H167)&gt;0),(H166-H167)*(Variables!$M$4*$H$1+Variables!$U$4*$I$1),0)</f>
        <v>0</v>
      </c>
      <c r="Y167" s="95">
        <f ca="1">IF(SUM(T167,U166:U167)&gt;0,H167*Variables!$Y$11*0.25*(1-$J$1),0)</f>
        <v>0</v>
      </c>
      <c r="Z167" s="95">
        <f ca="1">IF(T167=0,H167*$J$1*Variables!$Y$5*0.25,0)</f>
        <v>1.1232613205250213</v>
      </c>
      <c r="AA167" s="95">
        <f t="shared" ca="1" si="5"/>
        <v>17.203375559911667</v>
      </c>
      <c r="AB167" s="91">
        <f ca="1">AA167/Variables!$E$49</f>
        <v>2.7747379935341399</v>
      </c>
    </row>
    <row r="168" spans="1:28" x14ac:dyDescent="0.25">
      <c r="A168" s="61">
        <f>'Water runs'!C175</f>
        <v>17318</v>
      </c>
      <c r="B168" s="61" t="str">
        <f>'Water runs'!B175</f>
        <v>Autumn</v>
      </c>
      <c r="C168" s="54">
        <f>'Water runs'!D175/100</f>
        <v>0.89800000000000002</v>
      </c>
      <c r="D168" s="108">
        <f>VLOOKUP(ROW(D168)+4,'Water runs'!$BS$3:$CF$423,MATCH($B$1,Scenarios,0)+1)</f>
        <v>0.24954671058361508</v>
      </c>
      <c r="E168" s="54">
        <f>IF(B168=Variables!$D$8,C168-Variables!$E$8,IF(B168=Variables!$D$9,C168-Variables!$E$9,IF(B168=Variables!$D$10,C168-Variables!$E$10,IF(B168=Variables!$D$11,C168-Variables!$E$11,"ELSE"))))</f>
        <v>-9.6643299319727816E-2</v>
      </c>
      <c r="F168" s="108">
        <f>VLOOKUP(ROW(F168)+4,'Water runs'!$CH$3:$CU$423,MATCH($B$1,Scenarios,0)+1)</f>
        <v>0.21457889611160816</v>
      </c>
      <c r="G168" s="65">
        <f ca="1">H168/Variables!$E$49</f>
        <v>0.5746624400168423</v>
      </c>
      <c r="H168" s="62">
        <f ca="1">IF((H167+I168)&gt;(1.1*Variables!$E$50),(1.1*Variables!$E$50),IF((H167+I168)&gt;0,H167+I168,0))</f>
        <v>3.5629071281044227</v>
      </c>
      <c r="I168" s="64">
        <f t="shared" ca="1" si="4"/>
        <v>2.5647071281044225</v>
      </c>
      <c r="J168" s="63">
        <f>IF(SUM(E164:E167)&lt;Variables!$B$3,-H167,0)</f>
        <v>0</v>
      </c>
      <c r="K168" s="64">
        <f ca="1">IF(AND(H167&lt;Variables!$B$6*Variables!$E$50,OR(SUM(D165:D168)&gt;Variables!$B$5,SUM(E165:E168)&gt;Variables!$B$4)),Variables!$B$6*Variables!$E$50+Variables!$B$7*$G$1*Variables!$E$50*SUM(D165:D168),0)</f>
        <v>1.1572811491464898</v>
      </c>
      <c r="L168" s="64">
        <f>IF(B168="Winter",Variables!$B$8*H167,0)</f>
        <v>0</v>
      </c>
      <c r="M168" s="64">
        <f ca="1">IF(AND(B168="Spring",AND(NOT(H167=0),H167&lt;(Variables!$B$9*Variables!$E$50))),(Variables!$B$10*Variables!$E$50+Variables!$B$11*Variables!$E$50*SUM(E165:E168)+$G$1*SUM(D167:D168)*Variables!$E$50*Variables!$B$12),0)</f>
        <v>0</v>
      </c>
      <c r="N168" s="64">
        <f>IF(AND(B168="Spring",AND(SUM(D165:D168)&gt;Variables!$B$13,SUM(D161:D164)&gt;Variables!$B$13)),-Variables!$B$14*Variables!$E$50,0)</f>
        <v>0</v>
      </c>
      <c r="O168" s="64">
        <f>IF(AND(B168="Summer",SUM(C164:D168)&gt;Variables!$B$15),(Variables!$B$16*Variables!$E$50*SUM(C164:C168)+$G$1*Variables!$B$16*Variables!$E$50*SUM(D164:D168)+$G$1*Variables!$E$50*Variables!$B$17*F168),0)</f>
        <v>0</v>
      </c>
      <c r="P168" s="64">
        <f ca="1">IF(AND(AND(B168="Autumn",SUM(D167:E168)&gt;0),NOT(H167=0)),Variables!$B$18*Variables!$E$50+Variables!$B$19*Variables!$E$50*SUM(E167:E168)+$G$1*Variables!$B$19*Variables!$E$50*SUM(D167:D168),0)</f>
        <v>1.374940426237671</v>
      </c>
      <c r="Q168" s="64">
        <f>IF(AND(B168="Autumn",AND((E168+E167)&lt;Variables!$B$20,(D167+D168)=0)),-Variables!$B$21*Variables!$E$50,0)</f>
        <v>0</v>
      </c>
      <c r="R168" s="64">
        <f ca="1">IF(B168="Autumn",(SUM(F167:F168)*$G$1*Variables!$B$22*Variables!$E$50),0)</f>
        <v>3.2485552720261796E-2</v>
      </c>
      <c r="S168" s="64">
        <f>IF(B168="Spring",($G$1*Variables!$E$50*SUM('Guts (MC)'!F167:F168)*Variables!$B$23),0)</f>
        <v>0</v>
      </c>
      <c r="T168" s="63">
        <f ca="1">IF((H167+SUM(J168:Q168))&lt;(Variables!$B$26*Variables!$E$50),$F$1*((Variables!$B$26*Variables!$E$50)-H167-SUM(J168:Q168)),0)</f>
        <v>0</v>
      </c>
      <c r="U168" s="64">
        <f ca="1">IF(AND(AND(B168="Autumn",SUM(D165:E168)&gt;Variables!$B$27),SUM(J168:Q168)&lt;Variables!$B$28*H167),$F$1*(Variables!$B$28*H167-SUM(J168:Q168)),0)</f>
        <v>0</v>
      </c>
      <c r="V168" s="96">
        <f ca="1">IF(AND((J168+K168)=0,(Q168+T168)=0),$H$1*H168*Variables!$I$23*0.25,0)</f>
        <v>0</v>
      </c>
      <c r="W168" s="97">
        <f ca="1">IF(AND((K168+J168)=0,(T168+Q168)=0),$I$1*H168*Variables!$Q$23*0.25,0)</f>
        <v>0</v>
      </c>
      <c r="X168" s="95">
        <f ca="1">IF(AND(NOT(K168=0),(H168-H167)&gt;0),(H168-H167)*(Variables!$M$5*$H$1+Variables!$U$5*$I$1),0)+IF(AND(NOT((J168+N168+Q168)=0),(H167-H168)&gt;0),(H167-H168)*(Variables!$M$4*$H$1+Variables!$U$4*$I$1),0)</f>
        <v>-293.18314079361903</v>
      </c>
      <c r="Y168" s="95">
        <f ca="1">IF(SUM(T168,U167:U168)&gt;0,H168*Variables!$Y$11*0.25*(1-$J$1),0)</f>
        <v>0</v>
      </c>
      <c r="Z168" s="95">
        <f ca="1">IF(T168=0,H168*$J$1*Variables!$Y$5*0.25,0)</f>
        <v>4.0092924921083792</v>
      </c>
      <c r="AA168" s="95">
        <f t="shared" ca="1" si="5"/>
        <v>-289.17384830151065</v>
      </c>
      <c r="AB168" s="91">
        <f ca="1">AA168/Variables!$E$49</f>
        <v>-46.640943274437198</v>
      </c>
    </row>
    <row r="169" spans="1:28" x14ac:dyDescent="0.25">
      <c r="A169" s="61">
        <f>'Water runs'!C176</f>
        <v>17410</v>
      </c>
      <c r="B169" s="61" t="str">
        <f>'Water runs'!B176</f>
        <v>Winter</v>
      </c>
      <c r="C169" s="54">
        <f>'Water runs'!D176/100</f>
        <v>0.652107142857143</v>
      </c>
      <c r="D169" s="108">
        <f>VLOOKUP(ROW(D169)+4,'Water runs'!$BS$3:$CF$423,MATCH($B$1,Scenarios,0)+1)</f>
        <v>0</v>
      </c>
      <c r="E169" s="54">
        <f>IF(B169=Variables!$D$8,C169-Variables!$E$8,IF(B169=Variables!$D$9,C169-Variables!$E$9,IF(B169=Variables!$D$10,C169-Variables!$E$10,IF(B169=Variables!$D$11,C169-Variables!$E$11,"ELSE"))))</f>
        <v>8.0339517195767263E-2</v>
      </c>
      <c r="F169" s="108">
        <f>VLOOKUP(ROW(F169)+4,'Water runs'!$CH$3:$CU$423,MATCH($B$1,Scenarios,0)+1)</f>
        <v>0</v>
      </c>
      <c r="G169" s="65">
        <f ca="1">H169/Variables!$E$49</f>
        <v>0.28851200976308894</v>
      </c>
      <c r="H169" s="62">
        <f ca="1">IF((H168+I169)&gt;(1.1*Variables!$E$50),(1.1*Variables!$E$50),IF((H168+I169)&gt;0,H168+I169,0))</f>
        <v>1.7887744605311515</v>
      </c>
      <c r="I169" s="64">
        <f t="shared" ca="1" si="4"/>
        <v>-1.7741326675732711</v>
      </c>
      <c r="J169" s="63">
        <f>IF(SUM(E165:E168)&lt;Variables!$B$3,-H168,0)</f>
        <v>0</v>
      </c>
      <c r="K169" s="64">
        <f ca="1">IF(AND(H168&lt;Variables!$B$6*Variables!$E$50,OR(SUM(D166:D169)&gt;Variables!$B$5,SUM(E166:E169)&gt;Variables!$B$4)),Variables!$B$6*Variables!$E$50+Variables!$B$7*$G$1*Variables!$E$50*SUM(D166:D169),0)</f>
        <v>0</v>
      </c>
      <c r="L169" s="64">
        <f ca="1">IF(B169="Winter",Variables!$B$8*H168,0)</f>
        <v>-1.7741326675732711</v>
      </c>
      <c r="M169" s="64">
        <f ca="1">IF(AND(B169="Spring",AND(NOT(H168=0),H168&lt;(Variables!$B$9*Variables!$E$50))),(Variables!$B$10*Variables!$E$50+Variables!$B$11*Variables!$E$50*SUM(E166:E169)+$G$1*SUM(D168:D169)*Variables!$E$50*Variables!$B$12),0)</f>
        <v>0</v>
      </c>
      <c r="N169" s="64">
        <f>IF(AND(B169="Spring",AND(SUM(D166:D169)&gt;Variables!$B$13,SUM(D162:D165)&gt;Variables!$B$13)),-Variables!$B$14*Variables!$E$50,0)</f>
        <v>0</v>
      </c>
      <c r="O169" s="64">
        <f>IF(AND(B169="Summer",SUM(C165:D169)&gt;Variables!$B$15),(Variables!$B$16*Variables!$E$50*SUM(C165:C169)+$G$1*Variables!$B$16*Variables!$E$50*SUM(D165:D169)+$G$1*Variables!$E$50*Variables!$B$17*F169),0)</f>
        <v>0</v>
      </c>
      <c r="P169" s="64">
        <f ca="1">IF(AND(AND(B169="Autumn",SUM(D168:E169)&gt;0),NOT(H168=0)),Variables!$B$18*Variables!$E$50+Variables!$B$19*Variables!$E$50*SUM(E168:E169)+$G$1*Variables!$B$19*Variables!$E$50*SUM(D168:D169),0)</f>
        <v>0</v>
      </c>
      <c r="Q169" s="64">
        <f>IF(AND(B169="Autumn",AND((E169+E168)&lt;Variables!$B$20,(D168+D169)=0)),-Variables!$B$21*Variables!$E$50,0)</f>
        <v>0</v>
      </c>
      <c r="R169" s="64">
        <f>IF(B169="Autumn",(SUM(F168:F169)*$G$1*Variables!$B$22*Variables!$E$50),0)</f>
        <v>0</v>
      </c>
      <c r="S169" s="64">
        <f>IF(B169="Spring",($G$1*Variables!$E$50*SUM('Guts (MC)'!F168:F169)*Variables!$B$23),0)</f>
        <v>0</v>
      </c>
      <c r="T169" s="63">
        <f ca="1">IF((H168+SUM(J169:Q169))&lt;(Variables!$B$26*Variables!$E$50),$F$1*((Variables!$B$26*Variables!$E$50)-H168-SUM(J169:Q169)),0)</f>
        <v>0</v>
      </c>
      <c r="U169" s="64">
        <f ca="1">IF(AND(AND(B169="Autumn",SUM(D166:E169)&gt;Variables!$B$27),SUM(J169:Q169)&lt;Variables!$B$28*H168),$F$1*(Variables!$B$28*H168-SUM(J169:Q169)),0)</f>
        <v>0</v>
      </c>
      <c r="V169" s="96">
        <f ca="1">IF(AND((J169+K169)=0,(Q169+T169)=0),$H$1*H169*Variables!$I$23*0.25,0)</f>
        <v>21.803331950776688</v>
      </c>
      <c r="W169" s="97">
        <f ca="1">IF(AND((K169+J169)=0,(T169+Q169)=0),$I$1*H169*Variables!$Q$23*0.25,0)</f>
        <v>7.0122337413071909</v>
      </c>
      <c r="X169" s="95">
        <f ca="1">IF(AND(NOT(K169=0),(H169-H168)&gt;0),(H169-H168)*(Variables!$M$5*$H$1+Variables!$U$5*$I$1),0)+IF(AND(NOT((J169+N169+Q169)=0),(H168-H169)&gt;0),(H168-H169)*(Variables!$M$4*$H$1+Variables!$U$4*$I$1),0)</f>
        <v>0</v>
      </c>
      <c r="Y169" s="95">
        <f ca="1">IF(SUM(T169,U168:U169)&gt;0,H169*Variables!$Y$11*0.25*(1-$J$1),0)</f>
        <v>0</v>
      </c>
      <c r="Z169" s="95">
        <f ca="1">IF(T169=0,H169*$J$1*Variables!$Y$5*0.25,0)</f>
        <v>2.0128843544957462</v>
      </c>
      <c r="AA169" s="95">
        <f t="shared" ca="1" si="5"/>
        <v>30.828450046579626</v>
      </c>
      <c r="AB169" s="91">
        <f ca="1">AA169/Variables!$E$49</f>
        <v>4.9723306526741329</v>
      </c>
    </row>
    <row r="170" spans="1:28" x14ac:dyDescent="0.25">
      <c r="A170" s="61">
        <f>'Water runs'!C177</f>
        <v>17501</v>
      </c>
      <c r="B170" s="61" t="str">
        <f>'Water runs'!B177</f>
        <v>Spring</v>
      </c>
      <c r="C170" s="54">
        <f>'Water runs'!D177/100</f>
        <v>1.2028000000000001</v>
      </c>
      <c r="D170" s="108">
        <f>VLOOKUP(ROW(D170)+4,'Water runs'!$BS$3:$CF$423,MATCH($B$1,Scenarios,0)+1)</f>
        <v>0</v>
      </c>
      <c r="E170" s="54">
        <f>IF(B170=Variables!$D$8,C170-Variables!$E$8,IF(B170=Variables!$D$9,C170-Variables!$E$9,IF(B170=Variables!$D$10,C170-Variables!$E$10,IF(B170=Variables!$D$11,C170-Variables!$E$11,"ELSE"))))</f>
        <v>0.43881779100529095</v>
      </c>
      <c r="F170" s="108">
        <f>VLOOKUP(ROW(F170)+4,'Water runs'!$CH$3:$CU$423,MATCH($B$1,Scenarios,0)+1)</f>
        <v>0</v>
      </c>
      <c r="G170" s="65">
        <f ca="1">H170/Variables!$E$49</f>
        <v>0.37081230595301995</v>
      </c>
      <c r="H170" s="62">
        <f ca="1">IF((H169+I170)&gt;(1.1*Variables!$E$50),(1.1*Variables!$E$50),IF((H169+I170)&gt;0,H169+I170,0))</f>
        <v>2.2990362969087239</v>
      </c>
      <c r="I170" s="64">
        <f t="shared" ca="1" si="4"/>
        <v>0.51026183637757228</v>
      </c>
      <c r="J170" s="63">
        <f>IF(SUM(E166:E169)&lt;Variables!$B$3,-H169,0)</f>
        <v>0</v>
      </c>
      <c r="K170" s="64">
        <f ca="1">IF(AND(H169&lt;Variables!$B$6*Variables!$E$50,OR(SUM(D167:D170)&gt;Variables!$B$5,SUM(E167:E170)&gt;Variables!$B$4)),Variables!$B$6*Variables!$E$50+Variables!$B$7*$G$1*Variables!$E$50*SUM(D167:D170),0)</f>
        <v>0</v>
      </c>
      <c r="L170" s="64">
        <f>IF(B170="Winter",Variables!$B$8*H169,0)</f>
        <v>0</v>
      </c>
      <c r="M170" s="64">
        <f ca="1">IF(AND(B170="Spring",AND(NOT(H169=0),H169&lt;(Variables!$B$9*Variables!$E$50))),(Variables!$B$10*Variables!$E$50+Variables!$B$11*Variables!$E$50*SUM(E167:E170)+$G$1*SUM(D169:D170)*Variables!$E$50*Variables!$B$12),0)</f>
        <v>0.51026183637757228</v>
      </c>
      <c r="N170" s="64">
        <f>IF(AND(B170="Spring",AND(SUM(D167:D170)&gt;Variables!$B$13,SUM(D163:D166)&gt;Variables!$B$13)),-Variables!$B$14*Variables!$E$50,0)</f>
        <v>0</v>
      </c>
      <c r="O170" s="64">
        <f>IF(AND(B170="Summer",SUM(C166:D170)&gt;Variables!$B$15),(Variables!$B$16*Variables!$E$50*SUM(C166:C170)+$G$1*Variables!$B$16*Variables!$E$50*SUM(D166:D170)+$G$1*Variables!$E$50*Variables!$B$17*F170),0)</f>
        <v>0</v>
      </c>
      <c r="P170" s="64">
        <f ca="1">IF(AND(AND(B170="Autumn",SUM(D169:E170)&gt;0),NOT(H169=0)),Variables!$B$18*Variables!$E$50+Variables!$B$19*Variables!$E$50*SUM(E169:E170)+$G$1*Variables!$B$19*Variables!$E$50*SUM(D169:D170),0)</f>
        <v>0</v>
      </c>
      <c r="Q170" s="64">
        <f>IF(AND(B170="Autumn",AND((E170+E169)&lt;Variables!$B$20,(D169+D170)=0)),-Variables!$B$21*Variables!$E$50,0)</f>
        <v>0</v>
      </c>
      <c r="R170" s="64">
        <f>IF(B170="Autumn",(SUM(F169:F170)*$G$1*Variables!$B$22*Variables!$E$50),0)</f>
        <v>0</v>
      </c>
      <c r="S170" s="64">
        <f ca="1">IF(B170="Spring",($G$1*Variables!$E$50*SUM('Guts (MC)'!F169:F170)*Variables!$B$23),0)</f>
        <v>0</v>
      </c>
      <c r="T170" s="63">
        <f ca="1">IF((H169+SUM(J170:Q170))&lt;(Variables!$B$26*Variables!$E$50),$F$1*((Variables!$B$26*Variables!$E$50)-H169-SUM(J170:Q170)),0)</f>
        <v>0</v>
      </c>
      <c r="U170" s="64">
        <f ca="1">IF(AND(AND(B170="Autumn",SUM(D167:E170)&gt;Variables!$B$27),SUM(J170:Q170)&lt;Variables!$B$28*H169),$F$1*(Variables!$B$28*H169-SUM(J170:Q170)),0)</f>
        <v>0</v>
      </c>
      <c r="V170" s="96">
        <f ca="1">IF(AND((J170+K170)=0,(Q170+T170)=0),$H$1*H170*Variables!$I$23*0.25,0)</f>
        <v>28.022902078723156</v>
      </c>
      <c r="W170" s="97">
        <f ca="1">IF(AND((K170+J170)=0,(T170+Q170)=0),$I$1*H170*Variables!$Q$23*0.25,0)</f>
        <v>9.0125279901895929</v>
      </c>
      <c r="X170" s="95">
        <f ca="1">IF(AND(NOT(K170=0),(H170-H169)&gt;0),(H170-H169)*(Variables!$M$5*$H$1+Variables!$U$5*$I$1),0)+IF(AND(NOT((J170+N170+Q170)=0),(H169-H170)&gt;0),(H169-H170)*(Variables!$M$4*$H$1+Variables!$U$4*$I$1),0)</f>
        <v>0</v>
      </c>
      <c r="Y170" s="95">
        <f ca="1">IF(SUM(T170,U169:U170)&gt;0,H170*Variables!$Y$11*0.25*(1-$J$1),0)</f>
        <v>0</v>
      </c>
      <c r="Z170" s="95">
        <f ca="1">IF(T170=0,H170*$J$1*Variables!$Y$5*0.25,0)</f>
        <v>2.5870752823088039</v>
      </c>
      <c r="AA170" s="95">
        <f t="shared" ca="1" si="5"/>
        <v>39.622505351221548</v>
      </c>
      <c r="AB170" s="91">
        <f ca="1">AA170/Variables!$E$49</f>
        <v>6.3907266695518627</v>
      </c>
    </row>
    <row r="171" spans="1:28" x14ac:dyDescent="0.25">
      <c r="A171" s="61">
        <f>'Water runs'!C178</f>
        <v>17591</v>
      </c>
      <c r="B171" s="61" t="str">
        <f>'Water runs'!B178</f>
        <v>Summer</v>
      </c>
      <c r="C171" s="54">
        <f>'Water runs'!D178/100</f>
        <v>1.40197619047619</v>
      </c>
      <c r="D171" s="108">
        <f>VLOOKUP(ROW(D171)+4,'Water runs'!$BS$3:$CF$423,MATCH($B$1,Scenarios,0)+1)</f>
        <v>0.15647471476417074</v>
      </c>
      <c r="E171" s="54">
        <f>IF(B171=Variables!$D$8,C171-Variables!$E$8,IF(B171=Variables!$D$9,C171-Variables!$E$9,IF(B171=Variables!$D$10,C171-Variables!$E$10,IF(B171=Variables!$D$11,C171-Variables!$E$11,"ELSE"))))</f>
        <v>0.14360605442176833</v>
      </c>
      <c r="F171" s="108">
        <f>VLOOKUP(ROW(F171)+4,'Water runs'!$CH$3:$CU$423,MATCH($B$1,Scenarios,0)+1)</f>
        <v>9.9589070380604758E-2</v>
      </c>
      <c r="G171" s="65">
        <f ca="1">H171/Variables!$E$49</f>
        <v>0.37081230595301995</v>
      </c>
      <c r="H171" s="62">
        <f ca="1">IF((H170+I171)&gt;(1.1*Variables!$E$50),(1.1*Variables!$E$50),IF((H170+I171)&gt;0,H170+I171,0))</f>
        <v>2.2990362969087239</v>
      </c>
      <c r="I171" s="64">
        <f t="shared" ca="1" si="4"/>
        <v>0</v>
      </c>
      <c r="J171" s="63">
        <f>IF(SUM(E167:E170)&lt;Variables!$B$3,-H170,0)</f>
        <v>0</v>
      </c>
      <c r="K171" s="64">
        <f ca="1">IF(AND(H170&lt;Variables!$B$6*Variables!$E$50,OR(SUM(D168:D171)&gt;Variables!$B$5,SUM(E168:E171)&gt;Variables!$B$4)),Variables!$B$6*Variables!$E$50+Variables!$B$7*$G$1*Variables!$E$50*SUM(D168:D171),0)</f>
        <v>0</v>
      </c>
      <c r="L171" s="64">
        <f>IF(B171="Winter",Variables!$B$8*H170,0)</f>
        <v>0</v>
      </c>
      <c r="M171" s="64">
        <f ca="1">IF(AND(B171="Spring",AND(NOT(H170=0),H170&lt;(Variables!$B$9*Variables!$E$50))),(Variables!$B$10*Variables!$E$50+Variables!$B$11*Variables!$E$50*SUM(E168:E171)+$G$1*SUM(D170:D171)*Variables!$E$50*Variables!$B$12),0)</f>
        <v>0</v>
      </c>
      <c r="N171" s="64">
        <f>IF(AND(B171="Spring",AND(SUM(D168:D171)&gt;Variables!$B$13,SUM(D164:D167)&gt;Variables!$B$13)),-Variables!$B$14*Variables!$E$50,0)</f>
        <v>0</v>
      </c>
      <c r="O171" s="64">
        <f>IF(AND(B171="Summer",SUM(C167:D171)&gt;Variables!$B$15),(Variables!$B$16*Variables!$E$50*SUM(C167:C171)+$G$1*Variables!$B$16*Variables!$E$50*SUM(D167:D171)+$G$1*Variables!$E$50*Variables!$B$17*F171),0)</f>
        <v>0</v>
      </c>
      <c r="P171" s="64">
        <f ca="1">IF(AND(AND(B171="Autumn",SUM(D170:E171)&gt;0),NOT(H170=0)),Variables!$B$18*Variables!$E$50+Variables!$B$19*Variables!$E$50*SUM(E170:E171)+$G$1*Variables!$B$19*Variables!$E$50*SUM(D170:D171),0)</f>
        <v>0</v>
      </c>
      <c r="Q171" s="64">
        <f>IF(AND(B171="Autumn",AND((E171+E170)&lt;Variables!$B$20,(D170+D171)=0)),-Variables!$B$21*Variables!$E$50,0)</f>
        <v>0</v>
      </c>
      <c r="R171" s="64">
        <f>IF(B171="Autumn",(SUM(F170:F171)*$G$1*Variables!$B$22*Variables!$E$50),0)</f>
        <v>0</v>
      </c>
      <c r="S171" s="64">
        <f>IF(B171="Spring",($G$1*Variables!$E$50*SUM('Guts (MC)'!F170:F171)*Variables!$B$23),0)</f>
        <v>0</v>
      </c>
      <c r="T171" s="63">
        <f ca="1">IF((H170+SUM(J171:Q171))&lt;(Variables!$B$26*Variables!$E$50),$F$1*((Variables!$B$26*Variables!$E$50)-H170-SUM(J171:Q171)),0)</f>
        <v>0</v>
      </c>
      <c r="U171" s="64">
        <f ca="1">IF(AND(AND(B171="Autumn",SUM(D168:E171)&gt;Variables!$B$27),SUM(J171:Q171)&lt;Variables!$B$28*H170),$F$1*(Variables!$B$28*H170-SUM(J171:Q171)),0)</f>
        <v>0</v>
      </c>
      <c r="V171" s="96">
        <f ca="1">IF(AND((J171+K171)=0,(Q171+T171)=0),$H$1*H171*Variables!$I$23*0.25,0)</f>
        <v>28.022902078723156</v>
      </c>
      <c r="W171" s="97">
        <f ca="1">IF(AND((K171+J171)=0,(T171+Q171)=0),$I$1*H171*Variables!$Q$23*0.25,0)</f>
        <v>9.0125279901895929</v>
      </c>
      <c r="X171" s="95">
        <f ca="1">IF(AND(NOT(K171=0),(H171-H170)&gt;0),(H171-H170)*(Variables!$M$5*$H$1+Variables!$U$5*$I$1),0)+IF(AND(NOT((J171+N171+Q171)=0),(H170-H171)&gt;0),(H170-H171)*(Variables!$M$4*$H$1+Variables!$U$4*$I$1),0)</f>
        <v>0</v>
      </c>
      <c r="Y171" s="95">
        <f ca="1">IF(SUM(T171,U170:U171)&gt;0,H171*Variables!$Y$11*0.25*(1-$J$1),0)</f>
        <v>0</v>
      </c>
      <c r="Z171" s="95">
        <f ca="1">IF(T171=0,H171*$J$1*Variables!$Y$5*0.25,0)</f>
        <v>2.5870752823088039</v>
      </c>
      <c r="AA171" s="95">
        <f t="shared" ca="1" si="5"/>
        <v>39.622505351221548</v>
      </c>
      <c r="AB171" s="91">
        <f ca="1">AA171/Variables!$E$49</f>
        <v>6.3907266695518627</v>
      </c>
    </row>
    <row r="172" spans="1:28" x14ac:dyDescent="0.25">
      <c r="A172" s="61">
        <f>'Water runs'!C179</f>
        <v>17684</v>
      </c>
      <c r="B172" s="61" t="str">
        <f>'Water runs'!B179</f>
        <v>Autumn</v>
      </c>
      <c r="C172" s="54">
        <f>'Water runs'!D179/100</f>
        <v>1.2302380952381</v>
      </c>
      <c r="D172" s="108">
        <f>VLOOKUP(ROW(D172)+4,'Water runs'!$BS$3:$CF$423,MATCH($B$1,Scenarios,0)+1)</f>
        <v>0</v>
      </c>
      <c r="E172" s="54">
        <f>IF(B172=Variables!$D$8,C172-Variables!$E$8,IF(B172=Variables!$D$9,C172-Variables!$E$9,IF(B172=Variables!$D$10,C172-Variables!$E$10,IF(B172=Variables!$D$11,C172-Variables!$E$11,"ELSE"))))</f>
        <v>0.23559479591837218</v>
      </c>
      <c r="F172" s="108">
        <f>VLOOKUP(ROW(F172)+4,'Water runs'!$CH$3:$CU$423,MATCH($B$1,Scenarios,0)+1)</f>
        <v>0</v>
      </c>
      <c r="G172" s="65">
        <f ca="1">H172/Variables!$E$49</f>
        <v>0.60996765924494289</v>
      </c>
      <c r="H172" s="62">
        <f ca="1">IF((H171+I172)&gt;(1.1*Variables!$E$50),(1.1*Variables!$E$50),IF((H171+I172)&gt;0,H171+I172,0))</f>
        <v>3.7817994873186462</v>
      </c>
      <c r="I172" s="64">
        <f t="shared" ca="1" si="4"/>
        <v>1.4827631904099223</v>
      </c>
      <c r="J172" s="63">
        <f>IF(SUM(E168:E171)&lt;Variables!$B$3,-H171,0)</f>
        <v>0</v>
      </c>
      <c r="K172" s="64">
        <f ca="1">IF(AND(H171&lt;Variables!$B$6*Variables!$E$50,OR(SUM(D169:D172)&gt;Variables!$B$5,SUM(E169:E172)&gt;Variables!$B$4)),Variables!$B$6*Variables!$E$50+Variables!$B$7*$G$1*Variables!$E$50*SUM(D169:D172),0)</f>
        <v>0</v>
      </c>
      <c r="L172" s="64">
        <f>IF(B172="Winter",Variables!$B$8*H171,0)</f>
        <v>0</v>
      </c>
      <c r="M172" s="64">
        <f ca="1">IF(AND(B172="Spring",AND(NOT(H171=0),H171&lt;(Variables!$B$9*Variables!$E$50))),(Variables!$B$10*Variables!$E$50+Variables!$B$11*Variables!$E$50*SUM(E169:E172)+$G$1*SUM(D171:D172)*Variables!$E$50*Variables!$B$12),0)</f>
        <v>0</v>
      </c>
      <c r="N172" s="64">
        <f>IF(AND(B172="Spring",AND(SUM(D169:D172)&gt;Variables!$B$13,SUM(D165:D168)&gt;Variables!$B$13)),-Variables!$B$14*Variables!$E$50,0)</f>
        <v>0</v>
      </c>
      <c r="O172" s="64">
        <f>IF(AND(B172="Summer",SUM(C168:D172)&gt;Variables!$B$15),(Variables!$B$16*Variables!$E$50*SUM(C168:C172)+$G$1*Variables!$B$16*Variables!$E$50*SUM(D168:D172)+$G$1*Variables!$E$50*Variables!$B$17*F172),0)</f>
        <v>0</v>
      </c>
      <c r="P172" s="64">
        <f ca="1">IF(AND(AND(B172="Autumn",SUM(D171:E172)&gt;0),NOT(H171=0)),Variables!$B$18*Variables!$E$50+Variables!$B$19*Variables!$E$50*SUM(E171:E172)+$G$1*Variables!$B$19*Variables!$E$50*SUM(D171:D172),0)</f>
        <v>1.4676861905052891</v>
      </c>
      <c r="Q172" s="64">
        <f>IF(AND(B172="Autumn",AND((E172+E171)&lt;Variables!$B$20,(D171+D172)=0)),-Variables!$B$21*Variables!$E$50,0)</f>
        <v>0</v>
      </c>
      <c r="R172" s="64">
        <f ca="1">IF(B172="Autumn",(SUM(F171:F172)*$G$1*Variables!$B$22*Variables!$E$50),0)</f>
        <v>1.5076999904633131E-2</v>
      </c>
      <c r="S172" s="64">
        <f>IF(B172="Spring",($G$1*Variables!$E$50*SUM('Guts (MC)'!F171:F172)*Variables!$B$23),0)</f>
        <v>0</v>
      </c>
      <c r="T172" s="63">
        <f ca="1">IF((H171+SUM(J172:Q172))&lt;(Variables!$B$26*Variables!$E$50),$F$1*((Variables!$B$26*Variables!$E$50)-H171-SUM(J172:Q172)),0)</f>
        <v>0</v>
      </c>
      <c r="U172" s="64">
        <f ca="1">IF(AND(AND(B172="Autumn",SUM(D169:E172)&gt;Variables!$B$27),SUM(J172:Q172)&lt;Variables!$B$28*H171),$F$1*(Variables!$B$28*H171-SUM(J172:Q172)),0)</f>
        <v>0</v>
      </c>
      <c r="V172" s="96">
        <f ca="1">IF(AND((J172+K172)=0,(Q172+T172)=0),$H$1*H172*Variables!$I$23*0.25,0)</f>
        <v>46.096269492131178</v>
      </c>
      <c r="W172" s="97">
        <f ca="1">IF(AND((K172+J172)=0,(T172+Q172)=0),$I$1*H172*Variables!$Q$23*0.25,0)</f>
        <v>14.825156861843638</v>
      </c>
      <c r="X172" s="95">
        <f ca="1">IF(AND(NOT(K172=0),(H172-H171)&gt;0),(H172-H171)*(Variables!$M$5*$H$1+Variables!$U$5*$I$1),0)+IF(AND(NOT((J172+N172+Q172)=0),(H171-H172)&gt;0),(H171-H172)*(Variables!$M$4*$H$1+Variables!$U$4*$I$1),0)</f>
        <v>0</v>
      </c>
      <c r="Y172" s="95">
        <f ca="1">IF(SUM(T172,U171:U172)&gt;0,H172*Variables!$Y$11*0.25*(1-$J$1),0)</f>
        <v>0</v>
      </c>
      <c r="Z172" s="95">
        <f ca="1">IF(T172=0,H172*$J$1*Variables!$Y$5*0.25,0)</f>
        <v>4.2556091826150979</v>
      </c>
      <c r="AA172" s="95">
        <f t="shared" ca="1" si="5"/>
        <v>65.177035536589912</v>
      </c>
      <c r="AB172" s="91">
        <f ca="1">AA172/Variables!$E$49</f>
        <v>10.512425086546759</v>
      </c>
    </row>
    <row r="173" spans="1:28" x14ac:dyDescent="0.25">
      <c r="A173" s="61">
        <f>'Water runs'!C180</f>
        <v>17776</v>
      </c>
      <c r="B173" s="61" t="str">
        <f>'Water runs'!B180</f>
        <v>Winter</v>
      </c>
      <c r="C173" s="54">
        <f>'Water runs'!D180/100</f>
        <v>1.26342857142857</v>
      </c>
      <c r="D173" s="108">
        <f>VLOOKUP(ROW(D173)+4,'Water runs'!$BS$3:$CF$423,MATCH($B$1,Scenarios,0)+1)</f>
        <v>1.7035764337009793E-2</v>
      </c>
      <c r="E173" s="54">
        <f>IF(B173=Variables!$D$8,C173-Variables!$E$8,IF(B173=Variables!$D$9,C173-Variables!$E$9,IF(B173=Variables!$D$10,C173-Variables!$E$10,IF(B173=Variables!$D$11,C173-Variables!$E$11,"ELSE"))))</f>
        <v>0.69166094576719428</v>
      </c>
      <c r="F173" s="108">
        <f>VLOOKUP(ROW(F173)+4,'Water runs'!$CH$3:$CU$423,MATCH($B$1,Scenarios,0)+1)</f>
        <v>0</v>
      </c>
      <c r="G173" s="65">
        <f ca="1">H173/Variables!$E$49</f>
        <v>0.30623716290573599</v>
      </c>
      <c r="H173" s="62">
        <f ca="1">IF((H172+I173)&gt;(1.1*Variables!$E$50),(1.1*Variables!$E$50),IF((H172+I173)&gt;0,H172+I173,0))</f>
        <v>1.8986704100155631</v>
      </c>
      <c r="I173" s="64">
        <f t="shared" ca="1" si="4"/>
        <v>-1.8831290773030831</v>
      </c>
      <c r="J173" s="63">
        <f>IF(SUM(E169:E172)&lt;Variables!$B$3,-H172,0)</f>
        <v>0</v>
      </c>
      <c r="K173" s="64">
        <f ca="1">IF(AND(H172&lt;Variables!$B$6*Variables!$E$50,OR(SUM(D170:D173)&gt;Variables!$B$5,SUM(E170:E173)&gt;Variables!$B$4)),Variables!$B$6*Variables!$E$50+Variables!$B$7*$G$1*Variables!$E$50*SUM(D170:D173),0)</f>
        <v>0</v>
      </c>
      <c r="L173" s="64">
        <f ca="1">IF(B173="Winter",Variables!$B$8*H172,0)</f>
        <v>-1.8831290773030831</v>
      </c>
      <c r="M173" s="64">
        <f ca="1">IF(AND(B173="Spring",AND(NOT(H172=0),H172&lt;(Variables!$B$9*Variables!$E$50))),(Variables!$B$10*Variables!$E$50+Variables!$B$11*Variables!$E$50*SUM(E170:E173)+$G$1*SUM(D172:D173)*Variables!$E$50*Variables!$B$12),0)</f>
        <v>0</v>
      </c>
      <c r="N173" s="64">
        <f>IF(AND(B173="Spring",AND(SUM(D170:D173)&gt;Variables!$B$13,SUM(D166:D169)&gt;Variables!$B$13)),-Variables!$B$14*Variables!$E$50,0)</f>
        <v>0</v>
      </c>
      <c r="O173" s="64">
        <f>IF(AND(B173="Summer",SUM(C169:D173)&gt;Variables!$B$15),(Variables!$B$16*Variables!$E$50*SUM(C169:C173)+$G$1*Variables!$B$16*Variables!$E$50*SUM(D169:D173)+$G$1*Variables!$E$50*Variables!$B$17*F173),0)</f>
        <v>0</v>
      </c>
      <c r="P173" s="64">
        <f ca="1">IF(AND(AND(B173="Autumn",SUM(D172:E173)&gt;0),NOT(H172=0)),Variables!$B$18*Variables!$E$50+Variables!$B$19*Variables!$E$50*SUM(E172:E173)+$G$1*Variables!$B$19*Variables!$E$50*SUM(D172:D173),0)</f>
        <v>0</v>
      </c>
      <c r="Q173" s="64">
        <f>IF(AND(B173="Autumn",AND((E173+E172)&lt;Variables!$B$20,(D172+D173)=0)),-Variables!$B$21*Variables!$E$50,0)</f>
        <v>0</v>
      </c>
      <c r="R173" s="64">
        <f>IF(B173="Autumn",(SUM(F172:F173)*$G$1*Variables!$B$22*Variables!$E$50),0)</f>
        <v>0</v>
      </c>
      <c r="S173" s="64">
        <f>IF(B173="Spring",($G$1*Variables!$E$50*SUM('Guts (MC)'!F172:F173)*Variables!$B$23),0)</f>
        <v>0</v>
      </c>
      <c r="T173" s="63">
        <f ca="1">IF((H172+SUM(J173:Q173))&lt;(Variables!$B$26*Variables!$E$50),$F$1*((Variables!$B$26*Variables!$E$50)-H172-SUM(J173:Q173)),0)</f>
        <v>0</v>
      </c>
      <c r="U173" s="64">
        <f ca="1">IF(AND(AND(B173="Autumn",SUM(D170:E173)&gt;Variables!$B$27),SUM(J173:Q173)&lt;Variables!$B$28*H172),$F$1*(Variables!$B$28*H172-SUM(J173:Q173)),0)</f>
        <v>0</v>
      </c>
      <c r="V173" s="96">
        <f ca="1">IF(AND((J173+K173)=0,(Q173+T173)=0),$H$1*H173*Variables!$I$23*0.25,0)</f>
        <v>23.142851224739779</v>
      </c>
      <c r="W173" s="97">
        <f ca="1">IF(AND((K173+J173)=0,(T173+Q173)=0),$I$1*H173*Variables!$Q$23*0.25,0)</f>
        <v>7.4430404763154483</v>
      </c>
      <c r="X173" s="95">
        <f ca="1">IF(AND(NOT(K173=0),(H173-H172)&gt;0),(H173-H172)*(Variables!$M$5*$H$1+Variables!$U$5*$I$1),0)+IF(AND(NOT((J173+N173+Q173)=0),(H172-H173)&gt;0),(H172-H173)*(Variables!$M$4*$H$1+Variables!$U$4*$I$1),0)</f>
        <v>0</v>
      </c>
      <c r="Y173" s="95">
        <f ca="1">IF(SUM(T173,U172:U173)&gt;0,H173*Variables!$Y$11*0.25*(1-$J$1),0)</f>
        <v>0</v>
      </c>
      <c r="Z173" s="95">
        <f ca="1">IF(T173=0,H173*$J$1*Variables!$Y$5*0.25,0)</f>
        <v>2.1365488198716336</v>
      </c>
      <c r="AA173" s="95">
        <f t="shared" ca="1" si="5"/>
        <v>32.72244052092686</v>
      </c>
      <c r="AB173" s="91">
        <f ca="1">AA173/Variables!$E$49</f>
        <v>5.2778129872462678</v>
      </c>
    </row>
    <row r="174" spans="1:28" x14ac:dyDescent="0.25">
      <c r="A174" s="61">
        <f>'Water runs'!C181</f>
        <v>17867</v>
      </c>
      <c r="B174" s="61" t="str">
        <f>'Water runs'!B181</f>
        <v>Spring</v>
      </c>
      <c r="C174" s="54">
        <f>'Water runs'!D181/100</f>
        <v>0.45971428571428602</v>
      </c>
      <c r="D174" s="108">
        <f>VLOOKUP(ROW(D174)+4,'Water runs'!$BS$3:$CF$423,MATCH($B$1,Scenarios,0)+1)</f>
        <v>0</v>
      </c>
      <c r="E174" s="54">
        <f>IF(B174=Variables!$D$8,C174-Variables!$E$8,IF(B174=Variables!$D$9,C174-Variables!$E$9,IF(B174=Variables!$D$10,C174-Variables!$E$10,IF(B174=Variables!$D$11,C174-Variables!$E$11,"ELSE"))))</f>
        <v>-0.30426792328042312</v>
      </c>
      <c r="F174" s="108">
        <f>VLOOKUP(ROW(F174)+4,'Water runs'!$CH$3:$CU$423,MATCH($B$1,Scenarios,0)+1)</f>
        <v>0</v>
      </c>
      <c r="G174" s="65">
        <f ca="1">H174/Variables!$E$49</f>
        <v>0.39153947919447324</v>
      </c>
      <c r="H174" s="62">
        <f ca="1">IF((H173+I174)&gt;(1.1*Variables!$E$50),(1.1*Variables!$E$50),IF((H173+I174)&gt;0,H173+I174,0))</f>
        <v>2.4275447710057341</v>
      </c>
      <c r="I174" s="64">
        <f t="shared" ca="1" si="4"/>
        <v>0.52887436099017093</v>
      </c>
      <c r="J174" s="63">
        <f>IF(SUM(E170:E173)&lt;Variables!$B$3,-H173,0)</f>
        <v>0</v>
      </c>
      <c r="K174" s="64">
        <f ca="1">IF(AND(H173&lt;Variables!$B$6*Variables!$E$50,OR(SUM(D171:D174)&gt;Variables!$B$5,SUM(E171:E174)&gt;Variables!$B$4)),Variables!$B$6*Variables!$E$50+Variables!$B$7*$G$1*Variables!$E$50*SUM(D171:D174),0)</f>
        <v>0</v>
      </c>
      <c r="L174" s="64">
        <f>IF(B174="Winter",Variables!$B$8*H173,0)</f>
        <v>0</v>
      </c>
      <c r="M174" s="64">
        <f ca="1">IF(AND(B174="Spring",AND(NOT(H173=0),H173&lt;(Variables!$B$9*Variables!$E$50))),(Variables!$B$10*Variables!$E$50+Variables!$B$11*Variables!$E$50*SUM(E171:E174)+$G$1*SUM(D173:D174)*Variables!$E$50*Variables!$B$12),0)</f>
        <v>0.52887436099017093</v>
      </c>
      <c r="N174" s="64">
        <f>IF(AND(B174="Spring",AND(SUM(D171:D174)&gt;Variables!$B$13,SUM(D167:D170)&gt;Variables!$B$13)),-Variables!$B$14*Variables!$E$50,0)</f>
        <v>0</v>
      </c>
      <c r="O174" s="64">
        <f>IF(AND(B174="Summer",SUM(C170:D174)&gt;Variables!$B$15),(Variables!$B$16*Variables!$E$50*SUM(C170:C174)+$G$1*Variables!$B$16*Variables!$E$50*SUM(D170:D174)+$G$1*Variables!$E$50*Variables!$B$17*F174),0)</f>
        <v>0</v>
      </c>
      <c r="P174" s="64">
        <f ca="1">IF(AND(AND(B174="Autumn",SUM(D173:E174)&gt;0),NOT(H173=0)),Variables!$B$18*Variables!$E$50+Variables!$B$19*Variables!$E$50*SUM(E173:E174)+$G$1*Variables!$B$19*Variables!$E$50*SUM(D173:D174),0)</f>
        <v>0</v>
      </c>
      <c r="Q174" s="64">
        <f>IF(AND(B174="Autumn",AND((E174+E173)&lt;Variables!$B$20,(D173+D174)=0)),-Variables!$B$21*Variables!$E$50,0)</f>
        <v>0</v>
      </c>
      <c r="R174" s="64">
        <f>IF(B174="Autumn",(SUM(F173:F174)*$G$1*Variables!$B$22*Variables!$E$50),0)</f>
        <v>0</v>
      </c>
      <c r="S174" s="64">
        <f ca="1">IF(B174="Spring",($G$1*Variables!$E$50*SUM('Guts (MC)'!F173:F174)*Variables!$B$23),0)</f>
        <v>0</v>
      </c>
      <c r="T174" s="63">
        <f ca="1">IF((H173+SUM(J174:Q174))&lt;(Variables!$B$26*Variables!$E$50),$F$1*((Variables!$B$26*Variables!$E$50)-H173-SUM(J174:Q174)),0)</f>
        <v>0</v>
      </c>
      <c r="U174" s="64">
        <f ca="1">IF(AND(AND(B174="Autumn",SUM(D171:E174)&gt;Variables!$B$27),SUM(J174:Q174)&lt;Variables!$B$28*H173),$F$1*(Variables!$B$28*H173-SUM(J174:Q174)),0)</f>
        <v>0</v>
      </c>
      <c r="V174" s="96">
        <f ca="1">IF(AND((J174+K174)=0,(Q174+T174)=0),$H$1*H174*Variables!$I$23*0.25,0)</f>
        <v>29.589288999516349</v>
      </c>
      <c r="W174" s="97">
        <f ca="1">IF(AND((K174+J174)=0,(T174+Q174)=0),$I$1*H174*Variables!$Q$23*0.25,0)</f>
        <v>9.5162982966145737</v>
      </c>
      <c r="X174" s="95">
        <f ca="1">IF(AND(NOT(K174=0),(H174-H173)&gt;0),(H174-H173)*(Variables!$M$5*$H$1+Variables!$U$5*$I$1),0)+IF(AND(NOT((J174+N174+Q174)=0),(H173-H174)&gt;0),(H173-H174)*(Variables!$M$4*$H$1+Variables!$U$4*$I$1),0)</f>
        <v>0</v>
      </c>
      <c r="Y174" s="95">
        <f ca="1">IF(SUM(T174,U173:U174)&gt;0,H174*Variables!$Y$11*0.25*(1-$J$1),0)</f>
        <v>0</v>
      </c>
      <c r="Z174" s="95">
        <f ca="1">IF(T174=0,H174*$J$1*Variables!$Y$5*0.25,0)</f>
        <v>2.7316841766314477</v>
      </c>
      <c r="AA174" s="95">
        <f t="shared" ca="1" si="5"/>
        <v>41.837271472762367</v>
      </c>
      <c r="AB174" s="91">
        <f ca="1">AA174/Variables!$E$49</f>
        <v>6.7479470117358655</v>
      </c>
    </row>
    <row r="175" spans="1:28" x14ac:dyDescent="0.25">
      <c r="A175" s="61">
        <f>'Water runs'!C182</f>
        <v>17957</v>
      </c>
      <c r="B175" s="61" t="str">
        <f>'Water runs'!B182</f>
        <v>Summer</v>
      </c>
      <c r="C175" s="54">
        <f>'Water runs'!D182/100</f>
        <v>1.0521190476190501</v>
      </c>
      <c r="D175" s="108">
        <f>VLOOKUP(ROW(D175)+4,'Water runs'!$BS$3:$CF$423,MATCH($B$1,Scenarios,0)+1)</f>
        <v>0</v>
      </c>
      <c r="E175" s="54">
        <f>IF(B175=Variables!$D$8,C175-Variables!$E$8,IF(B175=Variables!$D$9,C175-Variables!$E$9,IF(B175=Variables!$D$10,C175-Variables!$E$10,IF(B175=Variables!$D$11,C175-Variables!$E$11,"ELSE"))))</f>
        <v>-0.20625108843537165</v>
      </c>
      <c r="F175" s="108">
        <f>VLOOKUP(ROW(F175)+4,'Water runs'!$CH$3:$CU$423,MATCH($B$1,Scenarios,0)+1)</f>
        <v>0</v>
      </c>
      <c r="G175" s="65">
        <f ca="1">H175/Variables!$E$49</f>
        <v>0.39153947919447324</v>
      </c>
      <c r="H175" s="62">
        <f ca="1">IF((H174+I175)&gt;(1.1*Variables!$E$50),(1.1*Variables!$E$50),IF((H174+I175)&gt;0,H174+I175,0))</f>
        <v>2.4275447710057341</v>
      </c>
      <c r="I175" s="64">
        <f t="shared" ca="1" si="4"/>
        <v>0</v>
      </c>
      <c r="J175" s="63">
        <f>IF(SUM(E171:E174)&lt;Variables!$B$3,-H174,0)</f>
        <v>0</v>
      </c>
      <c r="K175" s="64">
        <f ca="1">IF(AND(H174&lt;Variables!$B$6*Variables!$E$50,OR(SUM(D172:D175)&gt;Variables!$B$5,SUM(E172:E175)&gt;Variables!$B$4)),Variables!$B$6*Variables!$E$50+Variables!$B$7*$G$1*Variables!$E$50*SUM(D172:D175),0)</f>
        <v>0</v>
      </c>
      <c r="L175" s="64">
        <f>IF(B175="Winter",Variables!$B$8*H174,0)</f>
        <v>0</v>
      </c>
      <c r="M175" s="64">
        <f ca="1">IF(AND(B175="Spring",AND(NOT(H174=0),H174&lt;(Variables!$B$9*Variables!$E$50))),(Variables!$B$10*Variables!$E$50+Variables!$B$11*Variables!$E$50*SUM(E172:E175)+$G$1*SUM(D174:D175)*Variables!$E$50*Variables!$B$12),0)</f>
        <v>0</v>
      </c>
      <c r="N175" s="64">
        <f>IF(AND(B175="Spring",AND(SUM(D172:D175)&gt;Variables!$B$13,SUM(D168:D171)&gt;Variables!$B$13)),-Variables!$B$14*Variables!$E$50,0)</f>
        <v>0</v>
      </c>
      <c r="O175" s="64">
        <f>IF(AND(B175="Summer",SUM(C171:D175)&gt;Variables!$B$15),(Variables!$B$16*Variables!$E$50*SUM(C171:C175)+$G$1*Variables!$B$16*Variables!$E$50*SUM(D171:D175)+$G$1*Variables!$E$50*Variables!$B$17*F175),0)</f>
        <v>0</v>
      </c>
      <c r="P175" s="64">
        <f ca="1">IF(AND(AND(B175="Autumn",SUM(D174:E175)&gt;0),NOT(H174=0)),Variables!$B$18*Variables!$E$50+Variables!$B$19*Variables!$E$50*SUM(E174:E175)+$G$1*Variables!$B$19*Variables!$E$50*SUM(D174:D175),0)</f>
        <v>0</v>
      </c>
      <c r="Q175" s="64">
        <f>IF(AND(B175="Autumn",AND((E175+E174)&lt;Variables!$B$20,(D174+D175)=0)),-Variables!$B$21*Variables!$E$50,0)</f>
        <v>0</v>
      </c>
      <c r="R175" s="64">
        <f>IF(B175="Autumn",(SUM(F174:F175)*$G$1*Variables!$B$22*Variables!$E$50),0)</f>
        <v>0</v>
      </c>
      <c r="S175" s="64">
        <f>IF(B175="Spring",($G$1*Variables!$E$50*SUM('Guts (MC)'!F174:F175)*Variables!$B$23),0)</f>
        <v>0</v>
      </c>
      <c r="T175" s="63">
        <f ca="1">IF((H174+SUM(J175:Q175))&lt;(Variables!$B$26*Variables!$E$50),$F$1*((Variables!$B$26*Variables!$E$50)-H174-SUM(J175:Q175)),0)</f>
        <v>0</v>
      </c>
      <c r="U175" s="64">
        <f ca="1">IF(AND(AND(B175="Autumn",SUM(D172:E175)&gt;Variables!$B$27),SUM(J175:Q175)&lt;Variables!$B$28*H174),$F$1*(Variables!$B$28*H174-SUM(J175:Q175)),0)</f>
        <v>0</v>
      </c>
      <c r="V175" s="96">
        <f ca="1">IF(AND((J175+K175)=0,(Q175+T175)=0),$H$1*H175*Variables!$I$23*0.25,0)</f>
        <v>29.589288999516349</v>
      </c>
      <c r="W175" s="97">
        <f ca="1">IF(AND((K175+J175)=0,(T175+Q175)=0),$I$1*H175*Variables!$Q$23*0.25,0)</f>
        <v>9.5162982966145737</v>
      </c>
      <c r="X175" s="95">
        <f ca="1">IF(AND(NOT(K175=0),(H175-H174)&gt;0),(H175-H174)*(Variables!$M$5*$H$1+Variables!$U$5*$I$1),0)+IF(AND(NOT((J175+N175+Q175)=0),(H174-H175)&gt;0),(H174-H175)*(Variables!$M$4*$H$1+Variables!$U$4*$I$1),0)</f>
        <v>0</v>
      </c>
      <c r="Y175" s="95">
        <f ca="1">IF(SUM(T175,U174:U175)&gt;0,H175*Variables!$Y$11*0.25*(1-$J$1),0)</f>
        <v>0</v>
      </c>
      <c r="Z175" s="95">
        <f ca="1">IF(T175=0,H175*$J$1*Variables!$Y$5*0.25,0)</f>
        <v>2.7316841766314477</v>
      </c>
      <c r="AA175" s="95">
        <f t="shared" ca="1" si="5"/>
        <v>41.837271472762367</v>
      </c>
      <c r="AB175" s="91">
        <f ca="1">AA175/Variables!$E$49</f>
        <v>6.7479470117358655</v>
      </c>
    </row>
    <row r="176" spans="1:28" x14ac:dyDescent="0.25">
      <c r="A176" s="61">
        <f>'Water runs'!C183</f>
        <v>18049</v>
      </c>
      <c r="B176" s="61" t="str">
        <f>'Water runs'!B183</f>
        <v>Autumn</v>
      </c>
      <c r="C176" s="54">
        <f>'Water runs'!D183/100</f>
        <v>1.4872857142857101</v>
      </c>
      <c r="D176" s="108">
        <f>VLOOKUP(ROW(D176)+4,'Water runs'!$BS$3:$CF$423,MATCH($B$1,Scenarios,0)+1)</f>
        <v>4.0803965193706999E-2</v>
      </c>
      <c r="E176" s="54">
        <f>IF(B176=Variables!$D$8,C176-Variables!$E$8,IF(B176=Variables!$D$9,C176-Variables!$E$9,IF(B176=Variables!$D$10,C176-Variables!$E$10,IF(B176=Variables!$D$11,C176-Variables!$E$11,"ELSE"))))</f>
        <v>0.49264241496598227</v>
      </c>
      <c r="F176" s="108">
        <f>VLOOKUP(ROW(F176)+4,'Water runs'!$CH$3:$CU$423,MATCH($B$1,Scenarios,0)+1)</f>
        <v>0</v>
      </c>
      <c r="G176" s="65">
        <f ca="1">H176/Variables!$E$49</f>
        <v>0.5630880808047084</v>
      </c>
      <c r="H176" s="62">
        <f ca="1">IF((H175+I176)&gt;(1.1*Variables!$E$50),(1.1*Variables!$E$50),IF((H175+I176)&gt;0,H175+I176,0))</f>
        <v>3.4911461009891922</v>
      </c>
      <c r="I176" s="64">
        <f t="shared" ca="1" si="4"/>
        <v>1.0636013299834581</v>
      </c>
      <c r="J176" s="63">
        <f>IF(SUM(E172:E175)&lt;Variables!$B$3,-H175,0)</f>
        <v>0</v>
      </c>
      <c r="K176" s="64">
        <f ca="1">IF(AND(H175&lt;Variables!$B$6*Variables!$E$50,OR(SUM(D173:D176)&gt;Variables!$B$5,SUM(E173:E176)&gt;Variables!$B$4)),Variables!$B$6*Variables!$E$50+Variables!$B$7*$G$1*Variables!$E$50*SUM(D173:D176),0)</f>
        <v>0</v>
      </c>
      <c r="L176" s="64">
        <f>IF(B176="Winter",Variables!$B$8*H175,0)</f>
        <v>0</v>
      </c>
      <c r="M176" s="64">
        <f ca="1">IF(AND(B176="Spring",AND(NOT(H175=0),H175&lt;(Variables!$B$9*Variables!$E$50))),(Variables!$B$10*Variables!$E$50+Variables!$B$11*Variables!$E$50*SUM(E173:E176)+$G$1*SUM(D175:D176)*Variables!$E$50*Variables!$B$12),0)</f>
        <v>0</v>
      </c>
      <c r="N176" s="64">
        <f>IF(AND(B176="Spring",AND(SUM(D173:D176)&gt;Variables!$B$13,SUM(D169:D172)&gt;Variables!$B$13)),-Variables!$B$14*Variables!$E$50,0)</f>
        <v>0</v>
      </c>
      <c r="O176" s="64">
        <f>IF(AND(B176="Summer",SUM(C172:D176)&gt;Variables!$B$15),(Variables!$B$16*Variables!$E$50*SUM(C172:C176)+$G$1*Variables!$B$16*Variables!$E$50*SUM(D172:D176)+$G$1*Variables!$E$50*Variables!$B$17*F176),0)</f>
        <v>0</v>
      </c>
      <c r="P176" s="64">
        <f ca="1">IF(AND(AND(B176="Autumn",SUM(D175:E176)&gt;0),NOT(H175=0)),Variables!$B$18*Variables!$E$50+Variables!$B$19*Variables!$E$50*SUM(E175:E176)+$G$1*Variables!$B$19*Variables!$E$50*SUM(D175:D176),0)</f>
        <v>1.0636013299834581</v>
      </c>
      <c r="Q176" s="64">
        <f>IF(AND(B176="Autumn",AND((E176+E175)&lt;Variables!$B$20,(D175+D176)=0)),-Variables!$B$21*Variables!$E$50,0)</f>
        <v>0</v>
      </c>
      <c r="R176" s="64">
        <f ca="1">IF(B176="Autumn",(SUM(F175:F176)*$G$1*Variables!$B$22*Variables!$E$50),0)</f>
        <v>0</v>
      </c>
      <c r="S176" s="64">
        <f>IF(B176="Spring",($G$1*Variables!$E$50*SUM('Guts (MC)'!F175:F176)*Variables!$B$23),0)</f>
        <v>0</v>
      </c>
      <c r="T176" s="63">
        <f ca="1">IF((H175+SUM(J176:Q176))&lt;(Variables!$B$26*Variables!$E$50),$F$1*((Variables!$B$26*Variables!$E$50)-H175-SUM(J176:Q176)),0)</f>
        <v>0</v>
      </c>
      <c r="U176" s="64">
        <f ca="1">IF(AND(AND(B176="Autumn",SUM(D173:E176)&gt;Variables!$B$27),SUM(J176:Q176)&lt;Variables!$B$28*H175),$F$1*(Variables!$B$28*H175-SUM(J176:Q176)),0)</f>
        <v>0</v>
      </c>
      <c r="V176" s="96">
        <f ca="1">IF(AND((J176+K176)=0,(Q176+T176)=0),$H$1*H176*Variables!$I$23*0.25,0)</f>
        <v>42.553501857313385</v>
      </c>
      <c r="W176" s="97">
        <f ca="1">IF(AND((K176+J176)=0,(T176+Q176)=0),$I$1*H176*Variables!$Q$23*0.25,0)</f>
        <v>13.685756938815107</v>
      </c>
      <c r="X176" s="95">
        <f ca="1">IF(AND(NOT(K176=0),(H176-H175)&gt;0),(H176-H175)*(Variables!$M$5*$H$1+Variables!$U$5*$I$1),0)+IF(AND(NOT((J176+N176+Q176)=0),(H175-H176)&gt;0),(H175-H176)*(Variables!$M$4*$H$1+Variables!$U$4*$I$1),0)</f>
        <v>0</v>
      </c>
      <c r="Y176" s="95">
        <f ca="1">IF(SUM(T176,U175:U176)&gt;0,H176*Variables!$Y$11*0.25*(1-$J$1),0)</f>
        <v>0</v>
      </c>
      <c r="Z176" s="95">
        <f ca="1">IF(T176=0,H176*$J$1*Variables!$Y$5*0.25,0)</f>
        <v>3.9285407528981158</v>
      </c>
      <c r="AA176" s="95">
        <f t="shared" ca="1" si="5"/>
        <v>60.167799549026611</v>
      </c>
      <c r="AB176" s="91">
        <f ca="1">AA176/Variables!$E$49</f>
        <v>9.7044837982300987</v>
      </c>
    </row>
    <row r="177" spans="1:28" x14ac:dyDescent="0.25">
      <c r="A177" s="61">
        <f>'Water runs'!C184</f>
        <v>18141</v>
      </c>
      <c r="B177" s="61" t="str">
        <f>'Water runs'!B184</f>
        <v>Winter</v>
      </c>
      <c r="C177" s="54">
        <f>'Water runs'!D184/100</f>
        <v>0.38614285714285701</v>
      </c>
      <c r="D177" s="108">
        <f>VLOOKUP(ROW(D177)+4,'Water runs'!$BS$3:$CF$423,MATCH($B$1,Scenarios,0)+1)</f>
        <v>0</v>
      </c>
      <c r="E177" s="54">
        <f>IF(B177=Variables!$D$8,C177-Variables!$E$8,IF(B177=Variables!$D$9,C177-Variables!$E$9,IF(B177=Variables!$D$10,C177-Variables!$E$10,IF(B177=Variables!$D$11,C177-Variables!$E$11,"ELSE"))))</f>
        <v>-0.18562476851851872</v>
      </c>
      <c r="F177" s="108">
        <f>VLOOKUP(ROW(F177)+4,'Water runs'!$CH$3:$CU$423,MATCH($B$1,Scenarios,0)+1)</f>
        <v>0</v>
      </c>
      <c r="G177" s="65">
        <f ca="1">H177/Variables!$E$49</f>
        <v>0.2827010477000127</v>
      </c>
      <c r="H177" s="62">
        <f ca="1">IF((H176+I177)&gt;(1.1*Variables!$E$50),(1.1*Variables!$E$50),IF((H176+I177)&gt;0,H176+I177,0))</f>
        <v>1.7527464957400789</v>
      </c>
      <c r="I177" s="64">
        <f t="shared" ca="1" si="4"/>
        <v>-1.7383996052491133</v>
      </c>
      <c r="J177" s="63">
        <f>IF(SUM(E173:E176)&lt;Variables!$B$3,-H176,0)</f>
        <v>0</v>
      </c>
      <c r="K177" s="64">
        <f ca="1">IF(AND(H176&lt;Variables!$B$6*Variables!$E$50,OR(SUM(D174:D177)&gt;Variables!$B$5,SUM(E174:E177)&gt;Variables!$B$4)),Variables!$B$6*Variables!$E$50+Variables!$B$7*$G$1*Variables!$E$50*SUM(D174:D177),0)</f>
        <v>0</v>
      </c>
      <c r="L177" s="64">
        <f ca="1">IF(B177="Winter",Variables!$B$8*H176,0)</f>
        <v>-1.7383996052491133</v>
      </c>
      <c r="M177" s="64">
        <f ca="1">IF(AND(B177="Spring",AND(NOT(H176=0),H176&lt;(Variables!$B$9*Variables!$E$50))),(Variables!$B$10*Variables!$E$50+Variables!$B$11*Variables!$E$50*SUM(E174:E177)+$G$1*SUM(D176:D177)*Variables!$E$50*Variables!$B$12),0)</f>
        <v>0</v>
      </c>
      <c r="N177" s="64">
        <f>IF(AND(B177="Spring",AND(SUM(D174:D177)&gt;Variables!$B$13,SUM(D170:D173)&gt;Variables!$B$13)),-Variables!$B$14*Variables!$E$50,0)</f>
        <v>0</v>
      </c>
      <c r="O177" s="64">
        <f>IF(AND(B177="Summer",SUM(C173:D177)&gt;Variables!$B$15),(Variables!$B$16*Variables!$E$50*SUM(C173:C177)+$G$1*Variables!$B$16*Variables!$E$50*SUM(D173:D177)+$G$1*Variables!$E$50*Variables!$B$17*F177),0)</f>
        <v>0</v>
      </c>
      <c r="P177" s="64">
        <f ca="1">IF(AND(AND(B177="Autumn",SUM(D176:E177)&gt;0),NOT(H176=0)),Variables!$B$18*Variables!$E$50+Variables!$B$19*Variables!$E$50*SUM(E176:E177)+$G$1*Variables!$B$19*Variables!$E$50*SUM(D176:D177),0)</f>
        <v>0</v>
      </c>
      <c r="Q177" s="64">
        <f>IF(AND(B177="Autumn",AND((E177+E176)&lt;Variables!$B$20,(D176+D177)=0)),-Variables!$B$21*Variables!$E$50,0)</f>
        <v>0</v>
      </c>
      <c r="R177" s="64">
        <f>IF(B177="Autumn",(SUM(F176:F177)*$G$1*Variables!$B$22*Variables!$E$50),0)</f>
        <v>0</v>
      </c>
      <c r="S177" s="64">
        <f>IF(B177="Spring",($G$1*Variables!$E$50*SUM('Guts (MC)'!F176:F177)*Variables!$B$23),0)</f>
        <v>0</v>
      </c>
      <c r="T177" s="63">
        <f ca="1">IF((H176+SUM(J177:Q177))&lt;(Variables!$B$26*Variables!$E$50),$F$1*((Variables!$B$26*Variables!$E$50)-H176-SUM(J177:Q177)),0)</f>
        <v>0</v>
      </c>
      <c r="U177" s="64">
        <f ca="1">IF(AND(AND(B177="Autumn",SUM(D174:E177)&gt;Variables!$B$27),SUM(J177:Q177)&lt;Variables!$B$28*H176),$F$1*(Variables!$B$28*H176-SUM(J177:Q177)),0)</f>
        <v>0</v>
      </c>
      <c r="V177" s="96">
        <f ca="1">IF(AND((J177+K177)=0,(Q177+T177)=0),$H$1*H177*Variables!$I$23*0.25,0)</f>
        <v>21.36418789254958</v>
      </c>
      <c r="W177" s="97">
        <f ca="1">IF(AND((K177+J177)=0,(T177+Q177)=0),$I$1*H177*Variables!$Q$23*0.25,0)</f>
        <v>6.8709993286336291</v>
      </c>
      <c r="X177" s="95">
        <f ca="1">IF(AND(NOT(K177=0),(H177-H176)&gt;0),(H177-H176)*(Variables!$M$5*$H$1+Variables!$U$5*$I$1),0)+IF(AND(NOT((J177+N177+Q177)=0),(H176-H177)&gt;0),(H176-H177)*(Variables!$M$4*$H$1+Variables!$U$4*$I$1),0)</f>
        <v>0</v>
      </c>
      <c r="Y177" s="95">
        <f ca="1">IF(SUM(T177,U176:U177)&gt;0,H177*Variables!$Y$11*0.25*(1-$J$1),0)</f>
        <v>0</v>
      </c>
      <c r="Z177" s="95">
        <f ca="1">IF(T177=0,H177*$J$1*Variables!$Y$5*0.25,0)</f>
        <v>1.9723425599585298</v>
      </c>
      <c r="AA177" s="95">
        <f t="shared" ca="1" si="5"/>
        <v>30.207529781141741</v>
      </c>
      <c r="AB177" s="91">
        <f ca="1">AA177/Variables!$E$49</f>
        <v>4.8721822227647964</v>
      </c>
    </row>
    <row r="178" spans="1:28" x14ac:dyDescent="0.25">
      <c r="A178" s="61">
        <f>'Water runs'!C185</f>
        <v>18232</v>
      </c>
      <c r="B178" s="61" t="str">
        <f>'Water runs'!B185</f>
        <v>Spring</v>
      </c>
      <c r="C178" s="54">
        <f>'Water runs'!D185/100</f>
        <v>1.1365714285714299</v>
      </c>
      <c r="D178" s="108">
        <f>VLOOKUP(ROW(D178)+4,'Water runs'!$BS$3:$CF$423,MATCH($B$1,Scenarios,0)+1)</f>
        <v>0.15117617716688175</v>
      </c>
      <c r="E178" s="54">
        <f>IF(B178=Variables!$D$8,C178-Variables!$E$8,IF(B178=Variables!$D$9,C178-Variables!$E$9,IF(B178=Variables!$D$10,C178-Variables!$E$10,IF(B178=Variables!$D$11,C178-Variables!$E$11,"ELSE"))))</f>
        <v>0.37258921957672075</v>
      </c>
      <c r="F178" s="108">
        <f>VLOOKUP(ROW(F178)+4,'Water runs'!$CH$3:$CU$423,MATCH($B$1,Scenarios,0)+1)</f>
        <v>0.12698437834028772</v>
      </c>
      <c r="G178" s="65">
        <f ca="1">H178/Variables!$E$49</f>
        <v>0.34721409892133154</v>
      </c>
      <c r="H178" s="62">
        <f ca="1">IF((H177+I178)&gt;(1.1*Variables!$E$50),(1.1*Variables!$E$50),IF((H177+I178)&gt;0,H177+I178,0))</f>
        <v>2.1527274133122556</v>
      </c>
      <c r="I178" s="64">
        <f t="shared" ca="1" si="4"/>
        <v>0.39998091757217685</v>
      </c>
      <c r="J178" s="63">
        <f>IF(SUM(E174:E177)&lt;Variables!$B$3,-H177,0)</f>
        <v>0</v>
      </c>
      <c r="K178" s="64">
        <f ca="1">IF(AND(H177&lt;Variables!$B$6*Variables!$E$50,OR(SUM(D175:D178)&gt;Variables!$B$5,SUM(E175:E178)&gt;Variables!$B$4)),Variables!$B$6*Variables!$E$50+Variables!$B$7*$G$1*Variables!$E$50*SUM(D175:D178),0)</f>
        <v>0</v>
      </c>
      <c r="L178" s="64">
        <f>IF(B178="Winter",Variables!$B$8*H177,0)</f>
        <v>0</v>
      </c>
      <c r="M178" s="64">
        <f ca="1">IF(AND(B178="Spring",AND(NOT(H177=0),H177&lt;(Variables!$B$9*Variables!$E$50))),(Variables!$B$10*Variables!$E$50+Variables!$B$11*Variables!$E$50*SUM(E175:E178)+$G$1*SUM(D177:D178)*Variables!$E$50*Variables!$B$12),0)</f>
        <v>0.38252075574240701</v>
      </c>
      <c r="N178" s="64">
        <f>IF(AND(B178="Spring",AND(SUM(D175:D178)&gt;Variables!$B$13,SUM(D171:D174)&gt;Variables!$B$13)),-Variables!$B$14*Variables!$E$50,0)</f>
        <v>0</v>
      </c>
      <c r="O178" s="64">
        <f>IF(AND(B178="Summer",SUM(C174:D178)&gt;Variables!$B$15),(Variables!$B$16*Variables!$E$50*SUM(C174:C178)+$G$1*Variables!$B$16*Variables!$E$50*SUM(D174:D178)+$G$1*Variables!$E$50*Variables!$B$17*F178),0)</f>
        <v>0</v>
      </c>
      <c r="P178" s="64">
        <f ca="1">IF(AND(AND(B178="Autumn",SUM(D177:E178)&gt;0),NOT(H177=0)),Variables!$B$18*Variables!$E$50+Variables!$B$19*Variables!$E$50*SUM(E177:E178)+$G$1*Variables!$B$19*Variables!$E$50*SUM(D177:D178),0)</f>
        <v>0</v>
      </c>
      <c r="Q178" s="64">
        <f>IF(AND(B178="Autumn",AND((E178+E177)&lt;Variables!$B$20,(D177+D178)=0)),-Variables!$B$21*Variables!$E$50,0)</f>
        <v>0</v>
      </c>
      <c r="R178" s="64">
        <f>IF(B178="Autumn",(SUM(F177:F178)*$G$1*Variables!$B$22*Variables!$E$50),0)</f>
        <v>0</v>
      </c>
      <c r="S178" s="64">
        <f ca="1">IF(B178="Spring",($G$1*Variables!$E$50*SUM('Guts (MC)'!F177:F178)*Variables!$B$23),0)</f>
        <v>1.7460161829769855E-2</v>
      </c>
      <c r="T178" s="63">
        <f ca="1">IF((H177+SUM(J178:Q178))&lt;(Variables!$B$26*Variables!$E$50),$F$1*((Variables!$B$26*Variables!$E$50)-H177-SUM(J178:Q178)),0)</f>
        <v>0</v>
      </c>
      <c r="U178" s="64">
        <f ca="1">IF(AND(AND(B178="Autumn",SUM(D175:E178)&gt;Variables!$B$27),SUM(J178:Q178)&lt;Variables!$B$28*H177),$F$1*(Variables!$B$28*H177-SUM(J178:Q178)),0)</f>
        <v>0</v>
      </c>
      <c r="V178" s="96">
        <f ca="1">IF(AND((J178+K178)=0,(Q178+T178)=0),$H$1*H178*Variables!$I$23*0.25,0)</f>
        <v>26.23954636407699</v>
      </c>
      <c r="W178" s="97">
        <f ca="1">IF(AND((K178+J178)=0,(T178+Q178)=0),$I$1*H178*Variables!$Q$23*0.25,0)</f>
        <v>8.4389777115795663</v>
      </c>
      <c r="X178" s="95">
        <f ca="1">IF(AND(NOT(K178=0),(H178-H177)&gt;0),(H178-H177)*(Variables!$M$5*$H$1+Variables!$U$5*$I$1),0)+IF(AND(NOT((J178+N178+Q178)=0),(H177-H178)&gt;0),(H177-H178)*(Variables!$M$4*$H$1+Variables!$U$4*$I$1),0)</f>
        <v>0</v>
      </c>
      <c r="Y178" s="95">
        <f ca="1">IF(SUM(T178,U177:U178)&gt;0,H178*Variables!$Y$11*0.25*(1-$J$1),0)</f>
        <v>0</v>
      </c>
      <c r="Z178" s="95">
        <f ca="1">IF(T178=0,H178*$J$1*Variables!$Y$5*0.25,0)</f>
        <v>2.4224358214862125</v>
      </c>
      <c r="AA178" s="95">
        <f t="shared" ca="1" si="5"/>
        <v>37.100959897142765</v>
      </c>
      <c r="AB178" s="91">
        <f ca="1">AA178/Variables!$E$49</f>
        <v>5.9840257898617359</v>
      </c>
    </row>
    <row r="179" spans="1:28" x14ac:dyDescent="0.25">
      <c r="A179" s="61">
        <f>'Water runs'!C186</f>
        <v>18322</v>
      </c>
      <c r="B179" s="61" t="str">
        <f>'Water runs'!B186</f>
        <v>Summer</v>
      </c>
      <c r="C179" s="54">
        <f>'Water runs'!D186/100</f>
        <v>1.7350000000000001</v>
      </c>
      <c r="D179" s="108">
        <f>VLOOKUP(ROW(D179)+4,'Water runs'!$BS$3:$CF$423,MATCH($B$1,Scenarios,0)+1)</f>
        <v>1.6124434872801845E-2</v>
      </c>
      <c r="E179" s="54">
        <f>IF(B179=Variables!$D$8,C179-Variables!$E$8,IF(B179=Variables!$D$9,C179-Variables!$E$9,IF(B179=Variables!$D$10,C179-Variables!$E$10,IF(B179=Variables!$D$11,C179-Variables!$E$11,"ELSE"))))</f>
        <v>0.47662986394557838</v>
      </c>
      <c r="F179" s="108">
        <f>VLOOKUP(ROW(F179)+4,'Water runs'!$CH$3:$CU$423,MATCH($B$1,Scenarios,0)+1)</f>
        <v>0</v>
      </c>
      <c r="G179" s="65">
        <f ca="1">H179/Variables!$E$49</f>
        <v>0.34721409892133154</v>
      </c>
      <c r="H179" s="62">
        <f ca="1">IF((H178+I179)&gt;(1.1*Variables!$E$50),(1.1*Variables!$E$50),IF((H178+I179)&gt;0,H178+I179,0))</f>
        <v>2.1527274133122556</v>
      </c>
      <c r="I179" s="64">
        <f t="shared" ca="1" si="4"/>
        <v>0</v>
      </c>
      <c r="J179" s="63">
        <f>IF(SUM(E175:E178)&lt;Variables!$B$3,-H178,0)</f>
        <v>0</v>
      </c>
      <c r="K179" s="64">
        <f ca="1">IF(AND(H178&lt;Variables!$B$6*Variables!$E$50,OR(SUM(D176:D179)&gt;Variables!$B$5,SUM(E176:E179)&gt;Variables!$B$4)),Variables!$B$6*Variables!$E$50+Variables!$B$7*$G$1*Variables!$E$50*SUM(D176:D179),0)</f>
        <v>0</v>
      </c>
      <c r="L179" s="64">
        <f>IF(B179="Winter",Variables!$B$8*H178,0)</f>
        <v>0</v>
      </c>
      <c r="M179" s="64">
        <f ca="1">IF(AND(B179="Spring",AND(NOT(H178=0),H178&lt;(Variables!$B$9*Variables!$E$50))),(Variables!$B$10*Variables!$E$50+Variables!$B$11*Variables!$E$50*SUM(E176:E179)+$G$1*SUM(D178:D179)*Variables!$E$50*Variables!$B$12),0)</f>
        <v>0</v>
      </c>
      <c r="N179" s="64">
        <f>IF(AND(B179="Spring",AND(SUM(D176:D179)&gt;Variables!$B$13,SUM(D172:D175)&gt;Variables!$B$13)),-Variables!$B$14*Variables!$E$50,0)</f>
        <v>0</v>
      </c>
      <c r="O179" s="64">
        <f>IF(AND(B179="Summer",SUM(C175:D179)&gt;Variables!$B$15),(Variables!$B$16*Variables!$E$50*SUM(C175:C179)+$G$1*Variables!$B$16*Variables!$E$50*SUM(D175:D179)+$G$1*Variables!$E$50*Variables!$B$17*F179),0)</f>
        <v>0</v>
      </c>
      <c r="P179" s="64">
        <f ca="1">IF(AND(AND(B179="Autumn",SUM(D178:E179)&gt;0),NOT(H178=0)),Variables!$B$18*Variables!$E$50+Variables!$B$19*Variables!$E$50*SUM(E178:E179)+$G$1*Variables!$B$19*Variables!$E$50*SUM(D178:D179),0)</f>
        <v>0</v>
      </c>
      <c r="Q179" s="64">
        <f>IF(AND(B179="Autumn",AND((E179+E178)&lt;Variables!$B$20,(D178+D179)=0)),-Variables!$B$21*Variables!$E$50,0)</f>
        <v>0</v>
      </c>
      <c r="R179" s="64">
        <f>IF(B179="Autumn",(SUM(F178:F179)*$G$1*Variables!$B$22*Variables!$E$50),0)</f>
        <v>0</v>
      </c>
      <c r="S179" s="64">
        <f>IF(B179="Spring",($G$1*Variables!$E$50*SUM('Guts (MC)'!F178:F179)*Variables!$B$23),0)</f>
        <v>0</v>
      </c>
      <c r="T179" s="63">
        <f ca="1">IF((H178+SUM(J179:Q179))&lt;(Variables!$B$26*Variables!$E$50),$F$1*((Variables!$B$26*Variables!$E$50)-H178-SUM(J179:Q179)),0)</f>
        <v>0</v>
      </c>
      <c r="U179" s="64">
        <f ca="1">IF(AND(AND(B179="Autumn",SUM(D176:E179)&gt;Variables!$B$27),SUM(J179:Q179)&lt;Variables!$B$28*H178),$F$1*(Variables!$B$28*H178-SUM(J179:Q179)),0)</f>
        <v>0</v>
      </c>
      <c r="V179" s="96">
        <f ca="1">IF(AND((J179+K179)=0,(Q179+T179)=0),$H$1*H179*Variables!$I$23*0.25,0)</f>
        <v>26.23954636407699</v>
      </c>
      <c r="W179" s="97">
        <f ca="1">IF(AND((K179+J179)=0,(T179+Q179)=0),$I$1*H179*Variables!$Q$23*0.25,0)</f>
        <v>8.4389777115795663</v>
      </c>
      <c r="X179" s="95">
        <f ca="1">IF(AND(NOT(K179=0),(H179-H178)&gt;0),(H179-H178)*(Variables!$M$5*$H$1+Variables!$U$5*$I$1),0)+IF(AND(NOT((J179+N179+Q179)=0),(H178-H179)&gt;0),(H178-H179)*(Variables!$M$4*$H$1+Variables!$U$4*$I$1),0)</f>
        <v>0</v>
      </c>
      <c r="Y179" s="95">
        <f ca="1">IF(SUM(T179,U178:U179)&gt;0,H179*Variables!$Y$11*0.25*(1-$J$1),0)</f>
        <v>0</v>
      </c>
      <c r="Z179" s="95">
        <f ca="1">IF(T179=0,H179*$J$1*Variables!$Y$5*0.25,0)</f>
        <v>2.4224358214862125</v>
      </c>
      <c r="AA179" s="95">
        <f t="shared" ca="1" si="5"/>
        <v>37.100959897142765</v>
      </c>
      <c r="AB179" s="91">
        <f ca="1">AA179/Variables!$E$49</f>
        <v>5.9840257898617359</v>
      </c>
    </row>
    <row r="180" spans="1:28" x14ac:dyDescent="0.25">
      <c r="A180" s="61">
        <f>'Water runs'!C187</f>
        <v>18414</v>
      </c>
      <c r="B180" s="61" t="str">
        <f>'Water runs'!B187</f>
        <v>Autumn</v>
      </c>
      <c r="C180" s="54">
        <f>'Water runs'!D187/100</f>
        <v>2.2694285714285702</v>
      </c>
      <c r="D180" s="108">
        <f>VLOOKUP(ROW(D180)+4,'Water runs'!$BS$3:$CF$423,MATCH($B$1,Scenarios,0)+1)</f>
        <v>0.32417042098512261</v>
      </c>
      <c r="E180" s="54">
        <f>IF(B180=Variables!$D$8,C180-Variables!$E$8,IF(B180=Variables!$D$9,C180-Variables!$E$9,IF(B180=Variables!$D$10,C180-Variables!$E$10,IF(B180=Variables!$D$11,C180-Variables!$E$11,"ELSE"))))</f>
        <v>1.2747852721088424</v>
      </c>
      <c r="F180" s="108">
        <f>VLOOKUP(ROW(F180)+4,'Water runs'!$CH$3:$CU$423,MATCH($B$1,Scenarios,0)+1)</f>
        <v>0.28368870695729975</v>
      </c>
      <c r="G180" s="65">
        <f ca="1">H180/Variables!$E$49</f>
        <v>1.126406584201501</v>
      </c>
      <c r="H180" s="62">
        <f ca="1">IF((H179+I180)&gt;(1.1*Variables!$E$50),(1.1*Variables!$E$50),IF((H179+I180)&gt;0,H179+I180,0))</f>
        <v>6.9837208220493068</v>
      </c>
      <c r="I180" s="64">
        <f t="shared" ca="1" si="4"/>
        <v>4.8309934087370516</v>
      </c>
      <c r="J180" s="63">
        <f>IF(SUM(E176:E179)&lt;Variables!$B$3,-H179,0)</f>
        <v>0</v>
      </c>
      <c r="K180" s="64">
        <f ca="1">IF(AND(H179&lt;Variables!$B$6*Variables!$E$50,OR(SUM(D177:D180)&gt;Variables!$B$5,SUM(E177:E180)&gt;Variables!$B$4)),Variables!$B$6*Variables!$E$50+Variables!$B$7*$G$1*Variables!$E$50*SUM(D177:D180),0)</f>
        <v>0</v>
      </c>
      <c r="L180" s="64">
        <f>IF(B180="Winter",Variables!$B$8*H179,0)</f>
        <v>0</v>
      </c>
      <c r="M180" s="64">
        <f ca="1">IF(AND(B180="Spring",AND(NOT(H179=0),H179&lt;(Variables!$B$9*Variables!$E$50))),(Variables!$B$10*Variables!$E$50+Variables!$B$11*Variables!$E$50*SUM(E177:E180)+$G$1*SUM(D179:D180)*Variables!$E$50*Variables!$B$12),0)</f>
        <v>0</v>
      </c>
      <c r="N180" s="64">
        <f>IF(AND(B180="Spring",AND(SUM(D177:D180)&gt;Variables!$B$13,SUM(D173:D176)&gt;Variables!$B$13)),-Variables!$B$14*Variables!$E$50,0)</f>
        <v>0</v>
      </c>
      <c r="O180" s="64">
        <f>IF(AND(B180="Summer",SUM(C176:D180)&gt;Variables!$B$15),(Variables!$B$16*Variables!$E$50*SUM(C176:C180)+$G$1*Variables!$B$16*Variables!$E$50*SUM(D176:D180)+$G$1*Variables!$E$50*Variables!$B$17*F180),0)</f>
        <v>0</v>
      </c>
      <c r="P180" s="64">
        <f ca="1">IF(AND(AND(B180="Autumn",SUM(D179:E180)&gt;0),NOT(H179=0)),Variables!$B$18*Variables!$E$50+Variables!$B$19*Variables!$E$50*SUM(E179:E180)+$G$1*Variables!$B$19*Variables!$E$50*SUM(D179:D180),0)</f>
        <v>4.788045175648878</v>
      </c>
      <c r="Q180" s="64">
        <f>IF(AND(B180="Autumn",AND((E180+E179)&lt;Variables!$B$20,(D179+D180)=0)),-Variables!$B$21*Variables!$E$50,0)</f>
        <v>0</v>
      </c>
      <c r="R180" s="64">
        <f ca="1">IF(B180="Autumn",(SUM(F179:F180)*$G$1*Variables!$B$22*Variables!$E$50),0)</f>
        <v>4.2948233088173263E-2</v>
      </c>
      <c r="S180" s="64">
        <f>IF(B180="Spring",($G$1*Variables!$E$50*SUM('Guts (MC)'!F179:F180)*Variables!$B$23),0)</f>
        <v>0</v>
      </c>
      <c r="T180" s="63">
        <f ca="1">IF((H179+SUM(J180:Q180))&lt;(Variables!$B$26*Variables!$E$50),$F$1*((Variables!$B$26*Variables!$E$50)-H179-SUM(J180:Q180)),0)</f>
        <v>0</v>
      </c>
      <c r="U180" s="64">
        <f ca="1">IF(AND(AND(B180="Autumn",SUM(D177:E180)&gt;Variables!$B$27),SUM(J180:Q180)&lt;Variables!$B$28*H179),$F$1*(Variables!$B$28*H179-SUM(J180:Q180)),0)</f>
        <v>0</v>
      </c>
      <c r="V180" s="96">
        <f ca="1">IF(AND((J180+K180)=0,(Q180+T180)=0),$H$1*H180*Variables!$I$23*0.25,0)</f>
        <v>85.124417132765927</v>
      </c>
      <c r="W180" s="97">
        <f ca="1">IF(AND((K180+J180)=0,(T180+Q180)=0),$I$1*H180*Variables!$Q$23*0.25,0)</f>
        <v>27.377114258273988</v>
      </c>
      <c r="X180" s="95">
        <f ca="1">IF(AND(NOT(K180=0),(H180-H179)&gt;0),(H180-H179)*(Variables!$M$5*$H$1+Variables!$U$5*$I$1),0)+IF(AND(NOT((J180+N180+Q180)=0),(H179-H180)&gt;0),(H179-H180)*(Variables!$M$4*$H$1+Variables!$U$4*$I$1),0)</f>
        <v>0</v>
      </c>
      <c r="Y180" s="95">
        <f ca="1">IF(SUM(T180,U179:U180)&gt;0,H180*Variables!$Y$11*0.25*(1-$J$1),0)</f>
        <v>0</v>
      </c>
      <c r="Z180" s="95">
        <f ca="1">IF(T180=0,H180*$J$1*Variables!$Y$5*0.25,0)</f>
        <v>7.8586891131568732</v>
      </c>
      <c r="AA180" s="95">
        <f t="shared" ca="1" si="5"/>
        <v>120.36022050419679</v>
      </c>
      <c r="AB180" s="91">
        <f ca="1">AA180/Variables!$E$49</f>
        <v>19.412938790999483</v>
      </c>
    </row>
    <row r="181" spans="1:28" x14ac:dyDescent="0.25">
      <c r="A181" s="61">
        <f>'Water runs'!C188</f>
        <v>18506</v>
      </c>
      <c r="B181" s="61" t="str">
        <f>'Water runs'!B188</f>
        <v>Winter</v>
      </c>
      <c r="C181" s="54">
        <f>'Water runs'!D188/100</f>
        <v>2.0548333333333302</v>
      </c>
      <c r="D181" s="108">
        <f>VLOOKUP(ROW(D181)+4,'Water runs'!$BS$3:$CF$423,MATCH($B$1,Scenarios,0)+1)</f>
        <v>1.1345592601683308</v>
      </c>
      <c r="E181" s="54">
        <f>IF(B181=Variables!$D$8,C181-Variables!$E$8,IF(B181=Variables!$D$9,C181-Variables!$E$9,IF(B181=Variables!$D$10,C181-Variables!$E$10,IF(B181=Variables!$D$11,C181-Variables!$E$11,"ELSE"))))</f>
        <v>1.4830657076719544</v>
      </c>
      <c r="F181" s="108">
        <f>VLOOKUP(ROW(F181)+4,'Water runs'!$CH$3:$CU$423,MATCH($B$1,Scenarios,0)+1)</f>
        <v>1.602199146469885</v>
      </c>
      <c r="G181" s="65">
        <f ca="1">H181/Variables!$E$49</f>
        <v>0.56551778015773313</v>
      </c>
      <c r="H181" s="62">
        <f ca="1">IF((H180+I181)&gt;(1.1*Variables!$E$50),(1.1*Variables!$E$50),IF((H180+I181)&gt;0,H180+I181,0))</f>
        <v>3.5062102369779455</v>
      </c>
      <c r="I181" s="64">
        <f t="shared" ca="1" si="4"/>
        <v>-3.4775105850713612</v>
      </c>
      <c r="J181" s="63">
        <f>IF(SUM(E177:E180)&lt;Variables!$B$3,-H180,0)</f>
        <v>0</v>
      </c>
      <c r="K181" s="64">
        <f ca="1">IF(AND(H180&lt;Variables!$B$6*Variables!$E$50,OR(SUM(D178:D181)&gt;Variables!$B$5,SUM(E178:E181)&gt;Variables!$B$4)),Variables!$B$6*Variables!$E$50+Variables!$B$7*$G$1*Variables!$E$50*SUM(D178:D181),0)</f>
        <v>0</v>
      </c>
      <c r="L181" s="64">
        <f ca="1">IF(B181="Winter",Variables!$B$8*H180,0)</f>
        <v>-3.4775105850713612</v>
      </c>
      <c r="M181" s="64">
        <f ca="1">IF(AND(B181="Spring",AND(NOT(H180=0),H180&lt;(Variables!$B$9*Variables!$E$50))),(Variables!$B$10*Variables!$E$50+Variables!$B$11*Variables!$E$50*SUM(E178:E181)+$G$1*SUM(D180:D181)*Variables!$E$50*Variables!$B$12),0)</f>
        <v>0</v>
      </c>
      <c r="N181" s="64">
        <f>IF(AND(B181="Spring",AND(SUM(D178:D181)&gt;Variables!$B$13,SUM(D174:D177)&gt;Variables!$B$13)),-Variables!$B$14*Variables!$E$50,0)</f>
        <v>0</v>
      </c>
      <c r="O181" s="64">
        <f>IF(AND(B181="Summer",SUM(C177:D181)&gt;Variables!$B$15),(Variables!$B$16*Variables!$E$50*SUM(C177:C181)+$G$1*Variables!$B$16*Variables!$E$50*SUM(D177:D181)+$G$1*Variables!$E$50*Variables!$B$17*F181),0)</f>
        <v>0</v>
      </c>
      <c r="P181" s="64">
        <f ca="1">IF(AND(AND(B181="Autumn",SUM(D180:E181)&gt;0),NOT(H180=0)),Variables!$B$18*Variables!$E$50+Variables!$B$19*Variables!$E$50*SUM(E180:E181)+$G$1*Variables!$B$19*Variables!$E$50*SUM(D180:D181),0)</f>
        <v>0</v>
      </c>
      <c r="Q181" s="64">
        <f>IF(AND(B181="Autumn",AND((E181+E180)&lt;Variables!$B$20,(D180+D181)=0)),-Variables!$B$21*Variables!$E$50,0)</f>
        <v>0</v>
      </c>
      <c r="R181" s="64">
        <f>IF(B181="Autumn",(SUM(F180:F181)*$G$1*Variables!$B$22*Variables!$E$50),0)</f>
        <v>0</v>
      </c>
      <c r="S181" s="64">
        <f>IF(B181="Spring",($G$1*Variables!$E$50*SUM('Guts (MC)'!F180:F181)*Variables!$B$23),0)</f>
        <v>0</v>
      </c>
      <c r="T181" s="63">
        <f ca="1">IF((H180+SUM(J181:Q181))&lt;(Variables!$B$26*Variables!$E$50),$F$1*((Variables!$B$26*Variables!$E$50)-H180-SUM(J181:Q181)),0)</f>
        <v>0</v>
      </c>
      <c r="U181" s="64">
        <f ca="1">IF(AND(AND(B181="Autumn",SUM(D178:E181)&gt;Variables!$B$27),SUM(J181:Q181)&lt;Variables!$B$28*H180),$F$1*(Variables!$B$28*H180-SUM(J181:Q181)),0)</f>
        <v>0</v>
      </c>
      <c r="V181" s="96">
        <f ca="1">IF(AND((J181+K181)=0,(Q181+T181)=0),$H$1*H181*Variables!$I$23*0.25,0)</f>
        <v>42.737118274453479</v>
      </c>
      <c r="W181" s="97">
        <f ca="1">IF(AND((K181+J181)=0,(T181+Q181)=0),$I$1*H181*Variables!$Q$23*0.25,0)</f>
        <v>13.744810354991795</v>
      </c>
      <c r="X181" s="95">
        <f ca="1">IF(AND(NOT(K181=0),(H181-H180)&gt;0),(H181-H180)*(Variables!$M$5*$H$1+Variables!$U$5*$I$1),0)+IF(AND(NOT((J181+N181+Q181)=0),(H180-H181)&gt;0),(H180-H181)*(Variables!$M$4*$H$1+Variables!$U$4*$I$1),0)</f>
        <v>0</v>
      </c>
      <c r="Y181" s="95">
        <f ca="1">IF(SUM(T181,U180:U181)&gt;0,H181*Variables!$Y$11*0.25*(1-$J$1),0)</f>
        <v>0</v>
      </c>
      <c r="Z181" s="95">
        <f ca="1">IF(T181=0,H181*$J$1*Variables!$Y$5*0.25,0)</f>
        <v>3.9454922268344967</v>
      </c>
      <c r="AA181" s="95">
        <f t="shared" ca="1" si="5"/>
        <v>60.427420856279774</v>
      </c>
      <c r="AB181" s="91">
        <f ca="1">AA181/Variables!$E$49</f>
        <v>9.7463582026257694</v>
      </c>
    </row>
    <row r="182" spans="1:28" x14ac:dyDescent="0.25">
      <c r="A182" s="61">
        <f>'Water runs'!C189</f>
        <v>18597</v>
      </c>
      <c r="B182" s="61" t="str">
        <f>'Water runs'!B189</f>
        <v>Spring</v>
      </c>
      <c r="C182" s="54">
        <f>'Water runs'!D189/100</f>
        <v>2.1552619047618999</v>
      </c>
      <c r="D182" s="108">
        <f>VLOOKUP(ROW(D182)+4,'Water runs'!$BS$3:$CF$423,MATCH($B$1,Scenarios,0)+1)</f>
        <v>0.12185765524667654</v>
      </c>
      <c r="E182" s="54">
        <f>IF(B182=Variables!$D$8,C182-Variables!$E$8,IF(B182=Variables!$D$9,C182-Variables!$E$9,IF(B182=Variables!$D$10,C182-Variables!$E$10,IF(B182=Variables!$D$11,C182-Variables!$E$11,"ELSE"))))</f>
        <v>1.3912796957671909</v>
      </c>
      <c r="F182" s="108">
        <f>VLOOKUP(ROW(F182)+4,'Water runs'!$CH$3:$CU$423,MATCH($B$1,Scenarios,0)+1)</f>
        <v>0.76970284800354716</v>
      </c>
      <c r="G182" s="65">
        <f ca="1">H182/Variables!$E$49</f>
        <v>0.61811987236774701</v>
      </c>
      <c r="H182" s="62">
        <f ca="1">IF((H181+I182)&gt;(1.1*Variables!$E$50),(1.1*Variables!$E$50),IF((H181+I182)&gt;0,H181+I182,0))</f>
        <v>3.8323432086800313</v>
      </c>
      <c r="I182" s="64">
        <f t="shared" ca="1" si="4"/>
        <v>0.32613297170208583</v>
      </c>
      <c r="J182" s="63">
        <f>IF(SUM(E178:E181)&lt;Variables!$B$3,-H181,0)</f>
        <v>0</v>
      </c>
      <c r="K182" s="64">
        <f ca="1">IF(AND(H181&lt;Variables!$B$6*Variables!$E$50,OR(SUM(D179:D182)&gt;Variables!$B$5,SUM(E179:E182)&gt;Variables!$B$4)),Variables!$B$6*Variables!$E$50+Variables!$B$7*$G$1*Variables!$E$50*SUM(D179:D182),0)</f>
        <v>0</v>
      </c>
      <c r="L182" s="64">
        <f>IF(B182="Winter",Variables!$B$8*H181,0)</f>
        <v>0</v>
      </c>
      <c r="M182" s="64">
        <f ca="1">IF(AND(B182="Spring",AND(NOT(H181=0),H181&lt;(Variables!$B$9*Variables!$E$50))),(Variables!$B$10*Variables!$E$50+Variables!$B$11*Variables!$E$50*SUM(E179:E182)+$G$1*SUM(D181:D182)*Variables!$E$50*Variables!$B$12),0)</f>
        <v>0</v>
      </c>
      <c r="N182" s="64">
        <f>IF(AND(B182="Spring",AND(SUM(D179:D182)&gt;Variables!$B$13,SUM(D175:D178)&gt;Variables!$B$13)),-Variables!$B$14*Variables!$E$50,0)</f>
        <v>0</v>
      </c>
      <c r="O182" s="64">
        <f>IF(AND(B182="Summer",SUM(C178:D182)&gt;Variables!$B$15),(Variables!$B$16*Variables!$E$50*SUM(C178:C182)+$G$1*Variables!$B$16*Variables!$E$50*SUM(D178:D182)+$G$1*Variables!$E$50*Variables!$B$17*F182),0)</f>
        <v>0</v>
      </c>
      <c r="P182" s="64">
        <f ca="1">IF(AND(AND(B182="Autumn",SUM(D181:E182)&gt;0),NOT(H181=0)),Variables!$B$18*Variables!$E$50+Variables!$B$19*Variables!$E$50*SUM(E181:E182)+$G$1*Variables!$B$19*Variables!$E$50*SUM(D181:D182),0)</f>
        <v>0</v>
      </c>
      <c r="Q182" s="64">
        <f>IF(AND(B182="Autumn",AND((E182+E181)&lt;Variables!$B$20,(D181+D182)=0)),-Variables!$B$21*Variables!$E$50,0)</f>
        <v>0</v>
      </c>
      <c r="R182" s="64">
        <f>IF(B182="Autumn",(SUM(F181:F182)*$G$1*Variables!$B$22*Variables!$E$50),0)</f>
        <v>0</v>
      </c>
      <c r="S182" s="64">
        <f ca="1">IF(B182="Spring",($G$1*Variables!$E$50*SUM('Guts (MC)'!F181:F182)*Variables!$B$23),0)</f>
        <v>0.32613297170208583</v>
      </c>
      <c r="T182" s="63">
        <f ca="1">IF((H181+SUM(J182:Q182))&lt;(Variables!$B$26*Variables!$E$50),$F$1*((Variables!$B$26*Variables!$E$50)-H181-SUM(J182:Q182)),0)</f>
        <v>0</v>
      </c>
      <c r="U182" s="64">
        <f ca="1">IF(AND(AND(B182="Autumn",SUM(D179:E182)&gt;Variables!$B$27),SUM(J182:Q182)&lt;Variables!$B$28*H181),$F$1*(Variables!$B$28*H181-SUM(J182:Q182)),0)</f>
        <v>0</v>
      </c>
      <c r="V182" s="96">
        <f ca="1">IF(AND((J182+K182)=0,(Q182+T182)=0),$H$1*H182*Variables!$I$23*0.25,0)</f>
        <v>46.712345783013937</v>
      </c>
      <c r="W182" s="97">
        <f ca="1">IF(AND((K182+J182)=0,(T182+Q182)=0),$I$1*H182*Variables!$Q$23*0.25,0)</f>
        <v>15.023294970454765</v>
      </c>
      <c r="X182" s="95">
        <f ca="1">IF(AND(NOT(K182=0),(H182-H181)&gt;0),(H182-H181)*(Variables!$M$5*$H$1+Variables!$U$5*$I$1),0)+IF(AND(NOT((J182+N182+Q182)=0),(H181-H182)&gt;0),(H181-H182)*(Variables!$M$4*$H$1+Variables!$U$4*$I$1),0)</f>
        <v>0</v>
      </c>
      <c r="Y182" s="95">
        <f ca="1">IF(SUM(T182,U181:U182)&gt;0,H182*Variables!$Y$11*0.25*(1-$J$1),0)</f>
        <v>0</v>
      </c>
      <c r="Z182" s="95">
        <f ca="1">IF(T182=0,H182*$J$1*Variables!$Y$5*0.25,0)</f>
        <v>4.3124853669475343</v>
      </c>
      <c r="AA182" s="95">
        <f t="shared" ca="1" si="5"/>
        <v>66.048126120416242</v>
      </c>
      <c r="AB182" s="91">
        <f ca="1">AA182/Variables!$E$49</f>
        <v>10.65292356780907</v>
      </c>
    </row>
    <row r="183" spans="1:28" x14ac:dyDescent="0.25">
      <c r="A183" s="61">
        <f>'Water runs'!C190</f>
        <v>18687</v>
      </c>
      <c r="B183" s="61" t="str">
        <f>'Water runs'!B190</f>
        <v>Summer</v>
      </c>
      <c r="C183" s="54">
        <f>'Water runs'!D190/100</f>
        <v>0.30614285714285699</v>
      </c>
      <c r="D183" s="108">
        <f>VLOOKUP(ROW(D183)+4,'Water runs'!$BS$3:$CF$423,MATCH($B$1,Scenarios,0)+1)</f>
        <v>0.65030443629799128</v>
      </c>
      <c r="E183" s="54">
        <f>IF(B183=Variables!$D$8,C183-Variables!$E$8,IF(B183=Variables!$D$9,C183-Variables!$E$9,IF(B183=Variables!$D$10,C183-Variables!$E$10,IF(B183=Variables!$D$11,C183-Variables!$E$11,"ELSE"))))</f>
        <v>-0.95222727891156467</v>
      </c>
      <c r="F183" s="108">
        <f>VLOOKUP(ROW(F183)+4,'Water runs'!$CH$3:$CU$423,MATCH($B$1,Scenarios,0)+1)</f>
        <v>0.76970284800354716</v>
      </c>
      <c r="G183" s="65">
        <f ca="1">H183/Variables!$E$49</f>
        <v>1.3954747746965896</v>
      </c>
      <c r="H183" s="62">
        <f ca="1">IF((H182+I183)&gt;(1.1*Variables!$E$50),(1.1*Variables!$E$50),IF((H182+I183)&gt;0,H182+I183,0))</f>
        <v>8.6519436031188555</v>
      </c>
      <c r="I183" s="64">
        <f t="shared" ca="1" si="4"/>
        <v>4.8196003944388242</v>
      </c>
      <c r="J183" s="63">
        <f>IF(SUM(E179:E182)&lt;Variables!$B$3,-H182,0)</f>
        <v>0</v>
      </c>
      <c r="K183" s="64">
        <f ca="1">IF(AND(H182&lt;Variables!$B$6*Variables!$E$50,OR(SUM(D180:D183)&gt;Variables!$B$5,SUM(E180:E183)&gt;Variables!$B$4)),Variables!$B$6*Variables!$E$50+Variables!$B$7*$G$1*Variables!$E$50*SUM(D180:D183),0)</f>
        <v>0</v>
      </c>
      <c r="L183" s="64">
        <f>IF(B183="Winter",Variables!$B$8*H182,0)</f>
        <v>0</v>
      </c>
      <c r="M183" s="64">
        <f ca="1">IF(AND(B183="Spring",AND(NOT(H182=0),H182&lt;(Variables!$B$9*Variables!$E$50))),(Variables!$B$10*Variables!$E$50+Variables!$B$11*Variables!$E$50*SUM(E180:E183)+$G$1*SUM(D182:D183)*Variables!$E$50*Variables!$B$12),0)</f>
        <v>0</v>
      </c>
      <c r="N183" s="64">
        <f>IF(AND(B183="Spring",AND(SUM(D180:D183)&gt;Variables!$B$13,SUM(D176:D179)&gt;Variables!$B$13)),-Variables!$B$14*Variables!$E$50,0)</f>
        <v>0</v>
      </c>
      <c r="O183" s="64">
        <f ca="1">IF(AND(B183="Summer",SUM(C179:D183)&gt;Variables!$B$15),(Variables!$B$16*Variables!$E$50*SUM(C179:C183)+$G$1*Variables!$B$16*Variables!$E$50*SUM(D179:D183)+$G$1*Variables!$E$50*Variables!$B$17*F183),0)</f>
        <v>4.8196003944388242</v>
      </c>
      <c r="P183" s="64">
        <f ca="1">IF(AND(AND(B183="Autumn",SUM(D182:E183)&gt;0),NOT(H182=0)),Variables!$B$18*Variables!$E$50+Variables!$B$19*Variables!$E$50*SUM(E182:E183)+$G$1*Variables!$B$19*Variables!$E$50*SUM(D182:D183),0)</f>
        <v>0</v>
      </c>
      <c r="Q183" s="64">
        <f>IF(AND(B183="Autumn",AND((E183+E182)&lt;Variables!$B$20,(D182+D183)=0)),-Variables!$B$21*Variables!$E$50,0)</f>
        <v>0</v>
      </c>
      <c r="R183" s="64">
        <f>IF(B183="Autumn",(SUM(F182:F183)*$G$1*Variables!$B$22*Variables!$E$50),0)</f>
        <v>0</v>
      </c>
      <c r="S183" s="64">
        <f>IF(B183="Spring",($G$1*Variables!$E$50*SUM('Guts (MC)'!F182:F183)*Variables!$B$23),0)</f>
        <v>0</v>
      </c>
      <c r="T183" s="63">
        <f ca="1">IF((H182+SUM(J183:Q183))&lt;(Variables!$B$26*Variables!$E$50),$F$1*((Variables!$B$26*Variables!$E$50)-H182-SUM(J183:Q183)),0)</f>
        <v>0</v>
      </c>
      <c r="U183" s="64">
        <f ca="1">IF(AND(AND(B183="Autumn",SUM(D180:E183)&gt;Variables!$B$27),SUM(J183:Q183)&lt;Variables!$B$28*H182),$F$1*(Variables!$B$28*H182-SUM(J183:Q183)),0)</f>
        <v>0</v>
      </c>
      <c r="V183" s="96">
        <f ca="1">IF(AND((J183+K183)=0,(Q183+T183)=0),$H$1*H183*Variables!$I$23*0.25,0)</f>
        <v>105.45834735486157</v>
      </c>
      <c r="W183" s="97">
        <f ca="1">IF(AND((K183+J183)=0,(T183+Q183)=0),$I$1*H183*Variables!$Q$23*0.25,0)</f>
        <v>33.916769386153923</v>
      </c>
      <c r="X183" s="95">
        <f ca="1">IF(AND(NOT(K183=0),(H183-H182)&gt;0),(H183-H182)*(Variables!$M$5*$H$1+Variables!$U$5*$I$1),0)+IF(AND(NOT((J183+N183+Q183)=0),(H182-H183)&gt;0),(H182-H183)*(Variables!$M$4*$H$1+Variables!$U$4*$I$1),0)</f>
        <v>0</v>
      </c>
      <c r="Y183" s="95">
        <f ca="1">IF(SUM(T183,U182:U183)&gt;0,H183*Variables!$Y$11*0.25*(1-$J$1),0)</f>
        <v>0</v>
      </c>
      <c r="Z183" s="95">
        <f ca="1">IF(T183=0,H183*$J$1*Variables!$Y$5*0.25,0)</f>
        <v>9.735918249596569</v>
      </c>
      <c r="AA183" s="95">
        <f t="shared" ca="1" si="5"/>
        <v>149.11103499061207</v>
      </c>
      <c r="AB183" s="91">
        <f ca="1">AA183/Variables!$E$49</f>
        <v>24.050166933969688</v>
      </c>
    </row>
    <row r="184" spans="1:28" x14ac:dyDescent="0.25">
      <c r="A184" s="61">
        <f>'Water runs'!C191</f>
        <v>18779</v>
      </c>
      <c r="B184" s="61" t="str">
        <f>'Water runs'!B191</f>
        <v>Autumn</v>
      </c>
      <c r="C184" s="54">
        <f>'Water runs'!D191/100</f>
        <v>0.48799999999999999</v>
      </c>
      <c r="D184" s="108">
        <f>VLOOKUP(ROW(D184)+4,'Water runs'!$BS$3:$CF$423,MATCH($B$1,Scenarios,0)+1)</f>
        <v>1.6446686038685977E-2</v>
      </c>
      <c r="E184" s="54">
        <f>IF(B184=Variables!$D$8,C184-Variables!$E$8,IF(B184=Variables!$D$9,C184-Variables!$E$9,IF(B184=Variables!$D$10,C184-Variables!$E$10,IF(B184=Variables!$D$11,C184-Variables!$E$11,"ELSE"))))</f>
        <v>-0.50664329931972785</v>
      </c>
      <c r="F184" s="108">
        <f>VLOOKUP(ROW(F184)+4,'Water runs'!$CH$3:$CU$423,MATCH($B$1,Scenarios,0)+1)</f>
        <v>0.13081219962153304</v>
      </c>
      <c r="G184" s="65">
        <f ca="1">H184/Variables!$E$49</f>
        <v>2.0454272744108444</v>
      </c>
      <c r="H184" s="62">
        <f ca="1">IF((H183+I184)&gt;(1.1*Variables!$E$50),(1.1*Variables!$E$50),IF((H183+I184)&gt;0,H183+I184,0))</f>
        <v>12.681649101347237</v>
      </c>
      <c r="I184" s="64">
        <f t="shared" ca="1" si="4"/>
        <v>4.0297054982283802</v>
      </c>
      <c r="J184" s="63">
        <f>IF(SUM(E180:E183)&lt;Variables!$B$3,-H183,0)</f>
        <v>0</v>
      </c>
      <c r="K184" s="64">
        <f ca="1">IF(AND(H183&lt;Variables!$B$6*Variables!$E$50,OR(SUM(D181:D184)&gt;Variables!$B$5,SUM(E181:E184)&gt;Variables!$B$4)),Variables!$B$6*Variables!$E$50+Variables!$B$7*$G$1*Variables!$E$50*SUM(D181:D184),0)</f>
        <v>0</v>
      </c>
      <c r="L184" s="64">
        <f>IF(B184="Winter",Variables!$B$8*H183,0)</f>
        <v>0</v>
      </c>
      <c r="M184" s="64">
        <f ca="1">IF(AND(B184="Spring",AND(NOT(H183=0),H183&lt;(Variables!$B$9*Variables!$E$50))),(Variables!$B$10*Variables!$E$50+Variables!$B$11*Variables!$E$50*SUM(E181:E184)+$G$1*SUM(D183:D184)*Variables!$E$50*Variables!$B$12),0)</f>
        <v>0</v>
      </c>
      <c r="N184" s="64">
        <f>IF(AND(B184="Spring",AND(SUM(D181:D184)&gt;Variables!$B$13,SUM(D177:D180)&gt;Variables!$B$13)),-Variables!$B$14*Variables!$E$50,0)</f>
        <v>0</v>
      </c>
      <c r="O184" s="64">
        <f>IF(AND(B184="Summer",SUM(C180:D184)&gt;Variables!$B$15),(Variables!$B$16*Variables!$E$50*SUM(C180:C184)+$G$1*Variables!$B$16*Variables!$E$50*SUM(D180:D184)+$G$1*Variables!$E$50*Variables!$B$17*F184),0)</f>
        <v>0</v>
      </c>
      <c r="P184" s="64">
        <f ca="1">IF(AND(AND(B184="Autumn",SUM(D183:E184)&gt;0),NOT(H183=0)),Variables!$B$18*Variables!$E$50+Variables!$B$19*Variables!$E$50*SUM(E183:E184)+$G$1*Variables!$B$19*Variables!$E$50*SUM(D183:D184),0)</f>
        <v>0</v>
      </c>
      <c r="Q184" s="64">
        <f>IF(AND(B184="Autumn",AND((E184+E183)&lt;Variables!$B$20,(D183+D184)=0)),-Variables!$B$21*Variables!$E$50,0)</f>
        <v>0</v>
      </c>
      <c r="R184" s="64">
        <f ca="1">IF(B184="Autumn",(SUM(F183:F184)*$G$1*Variables!$B$22*Variables!$E$50),0)</f>
        <v>0.13633087682489506</v>
      </c>
      <c r="S184" s="64">
        <f>IF(B184="Spring",($G$1*Variables!$E$50*SUM('Guts (MC)'!F183:F184)*Variables!$B$23),0)</f>
        <v>0</v>
      </c>
      <c r="T184" s="63">
        <f ca="1">IF((H183+SUM(J184:Q184))&lt;(Variables!$B$26*Variables!$E$50),$F$1*((Variables!$B$26*Variables!$E$50)-H183-SUM(J184:Q184)),0)</f>
        <v>0</v>
      </c>
      <c r="U184" s="64">
        <f ca="1">IF(AND(AND(B184="Autumn",SUM(D181:E184)&gt;Variables!$B$27),SUM(J184:Q184)&lt;Variables!$B$28*H183),$F$1*(Variables!$B$28*H183-SUM(J184:Q184)),0)</f>
        <v>3.8933746214034852</v>
      </c>
      <c r="V184" s="96">
        <f ca="1">IF(AND((J184+K184)=0,(Q184+T184)=0),$H$1*H184*Variables!$I$23*0.25,0)</f>
        <v>154.57633767749525</v>
      </c>
      <c r="W184" s="97">
        <f ca="1">IF(AND((K184+J184)=0,(T184+Q184)=0),$I$1*H184*Variables!$Q$23*0.25,0)</f>
        <v>49.713750775198108</v>
      </c>
      <c r="X184" s="95">
        <f ca="1">IF(AND(NOT(K184=0),(H184-H183)&gt;0),(H184-H183)*(Variables!$M$5*$H$1+Variables!$U$5*$I$1),0)+IF(AND(NOT((J184+N184+Q184)=0),(H183-H184)&gt;0),(H183-H184)*(Variables!$M$4*$H$1+Variables!$U$4*$I$1),0)</f>
        <v>0</v>
      </c>
      <c r="Y184" s="95">
        <f ca="1">IF(SUM(T184,U183:U184)&gt;0,H184*Variables!$Y$11*0.25*(1-$J$1),0)</f>
        <v>-110.10498103612639</v>
      </c>
      <c r="Z184" s="95">
        <f ca="1">IF(T184=0,H184*$J$1*Variables!$Y$5*0.25,0)</f>
        <v>14.270492803059755</v>
      </c>
      <c r="AA184" s="95">
        <f t="shared" ca="1" si="5"/>
        <v>108.4556002196267</v>
      </c>
      <c r="AB184" s="91">
        <f ca="1">AA184/Variables!$E$49</f>
        <v>17.492838745101082</v>
      </c>
    </row>
    <row r="185" spans="1:28" x14ac:dyDescent="0.25">
      <c r="A185" s="61">
        <f>'Water runs'!C192</f>
        <v>18871</v>
      </c>
      <c r="B185" s="61" t="str">
        <f>'Water runs'!B192</f>
        <v>Winter</v>
      </c>
      <c r="C185" s="54">
        <f>'Water runs'!D192/100</f>
        <v>0.623857142857143</v>
      </c>
      <c r="D185" s="108">
        <f>VLOOKUP(ROW(D185)+4,'Water runs'!$BS$3:$CF$423,MATCH($B$1,Scenarios,0)+1)</f>
        <v>0</v>
      </c>
      <c r="E185" s="54">
        <f>IF(B185=Variables!$D$8,C185-Variables!$E$8,IF(B185=Variables!$D$9,C185-Variables!$E$9,IF(B185=Variables!$D$10,C185-Variables!$E$10,IF(B185=Variables!$D$11,C185-Variables!$E$11,"ELSE"))))</f>
        <v>5.2089517195767265E-2</v>
      </c>
      <c r="F185" s="108">
        <f>VLOOKUP(ROW(F185)+4,'Water runs'!$CH$3:$CU$423,MATCH($B$1,Scenarios,0)+1)</f>
        <v>0</v>
      </c>
      <c r="G185" s="65">
        <f ca="1">H185/Variables!$E$49</f>
        <v>1.0269164863936719</v>
      </c>
      <c r="H185" s="62">
        <f ca="1">IF((H184+I185)&gt;(1.1*Variables!$E$50),(1.1*Variables!$E$50),IF((H184+I185)&gt;0,H184+I185,0))</f>
        <v>6.3668822156407661</v>
      </c>
      <c r="I185" s="64">
        <f t="shared" ca="1" si="4"/>
        <v>-6.3147668857064705</v>
      </c>
      <c r="J185" s="63">
        <f>IF(SUM(E181:E184)&lt;Variables!$B$3,-H184,0)</f>
        <v>0</v>
      </c>
      <c r="K185" s="64">
        <f ca="1">IF(AND(H184&lt;Variables!$B$6*Variables!$E$50,OR(SUM(D182:D185)&gt;Variables!$B$5,SUM(E182:E185)&gt;Variables!$B$4)),Variables!$B$6*Variables!$E$50+Variables!$B$7*$G$1*Variables!$E$50*SUM(D182:D185),0)</f>
        <v>0</v>
      </c>
      <c r="L185" s="64">
        <f ca="1">IF(B185="Winter",Variables!$B$8*H184,0)</f>
        <v>-6.3147668857064705</v>
      </c>
      <c r="M185" s="64">
        <f ca="1">IF(AND(B185="Spring",AND(NOT(H184=0),H184&lt;(Variables!$B$9*Variables!$E$50))),(Variables!$B$10*Variables!$E$50+Variables!$B$11*Variables!$E$50*SUM(E182:E185)+$G$1*SUM(D184:D185)*Variables!$E$50*Variables!$B$12),0)</f>
        <v>0</v>
      </c>
      <c r="N185" s="64">
        <f>IF(AND(B185="Spring",AND(SUM(D182:D185)&gt;Variables!$B$13,SUM(D178:D181)&gt;Variables!$B$13)),-Variables!$B$14*Variables!$E$50,0)</f>
        <v>0</v>
      </c>
      <c r="O185" s="64">
        <f>IF(AND(B185="Summer",SUM(C181:D185)&gt;Variables!$B$15),(Variables!$B$16*Variables!$E$50*SUM(C181:C185)+$G$1*Variables!$B$16*Variables!$E$50*SUM(D181:D185)+$G$1*Variables!$E$50*Variables!$B$17*F185),0)</f>
        <v>0</v>
      </c>
      <c r="P185" s="64">
        <f ca="1">IF(AND(AND(B185="Autumn",SUM(D184:E185)&gt;0),NOT(H184=0)),Variables!$B$18*Variables!$E$50+Variables!$B$19*Variables!$E$50*SUM(E184:E185)+$G$1*Variables!$B$19*Variables!$E$50*SUM(D184:D185),0)</f>
        <v>0</v>
      </c>
      <c r="Q185" s="64">
        <f>IF(AND(B185="Autumn",AND((E185+E184)&lt;Variables!$B$20,(D184+D185)=0)),-Variables!$B$21*Variables!$E$50,0)</f>
        <v>0</v>
      </c>
      <c r="R185" s="64">
        <f>IF(B185="Autumn",(SUM(F184:F185)*$G$1*Variables!$B$22*Variables!$E$50),0)</f>
        <v>0</v>
      </c>
      <c r="S185" s="64">
        <f>IF(B185="Spring",($G$1*Variables!$E$50*SUM('Guts (MC)'!F184:F185)*Variables!$B$23),0)</f>
        <v>0</v>
      </c>
      <c r="T185" s="63">
        <f ca="1">IF((H184+SUM(J185:Q185))&lt;(Variables!$B$26*Variables!$E$50),$F$1*((Variables!$B$26*Variables!$E$50)-H184-SUM(J185:Q185)),0)</f>
        <v>0</v>
      </c>
      <c r="U185" s="64">
        <f ca="1">IF(AND(AND(B185="Autumn",SUM(D182:E185)&gt;Variables!$B$27),SUM(J185:Q185)&lt;Variables!$B$28*H184),$F$1*(Variables!$B$28*H184-SUM(J185:Q185)),0)</f>
        <v>0</v>
      </c>
      <c r="V185" s="96">
        <f ca="1">IF(AND((J185+K185)=0,(Q185+T185)=0),$H$1*H185*Variables!$I$23*0.25,0)</f>
        <v>77.60578513508726</v>
      </c>
      <c r="W185" s="97">
        <f ca="1">IF(AND((K185+J185)=0,(T185+Q185)=0),$I$1*H185*Variables!$Q$23*0.25,0)</f>
        <v>24.9590248991971</v>
      </c>
      <c r="X185" s="95">
        <f ca="1">IF(AND(NOT(K185=0),(H185-H184)&gt;0),(H185-H184)*(Variables!$M$5*$H$1+Variables!$U$5*$I$1),0)+IF(AND(NOT((J185+N185+Q185)=0),(H184-H185)&gt;0),(H184-H185)*(Variables!$M$4*$H$1+Variables!$U$4*$I$1),0)</f>
        <v>0</v>
      </c>
      <c r="Y185" s="95">
        <f ca="1">IF(SUM(T185,U184:U185)&gt;0,H185*Variables!$Y$11*0.25*(1-$J$1),0)</f>
        <v>-55.278729131363789</v>
      </c>
      <c r="Z185" s="95">
        <f ca="1">IF(T185=0,H185*$J$1*Variables!$Y$5*0.25,0)</f>
        <v>7.1645687489159684</v>
      </c>
      <c r="AA185" s="95">
        <f t="shared" ca="1" si="5"/>
        <v>54.450649651836542</v>
      </c>
      <c r="AB185" s="91">
        <f ca="1">AA185/Variables!$E$49</f>
        <v>8.7823628470704094</v>
      </c>
    </row>
    <row r="186" spans="1:28" x14ac:dyDescent="0.25">
      <c r="A186" s="61">
        <f>'Water runs'!C193</f>
        <v>18962</v>
      </c>
      <c r="B186" s="61" t="str">
        <f>'Water runs'!B193</f>
        <v>Spring</v>
      </c>
      <c r="C186" s="54">
        <f>'Water runs'!D193/100</f>
        <v>0.33885714285714302</v>
      </c>
      <c r="D186" s="108">
        <f>VLOOKUP(ROW(D186)+4,'Water runs'!$BS$3:$CF$423,MATCH($B$1,Scenarios,0)+1)</f>
        <v>0</v>
      </c>
      <c r="E186" s="54">
        <f>IF(B186=Variables!$D$8,C186-Variables!$E$8,IF(B186=Variables!$D$9,C186-Variables!$E$9,IF(B186=Variables!$D$10,C186-Variables!$E$10,IF(B186=Variables!$D$11,C186-Variables!$E$11,"ELSE"))))</f>
        <v>-0.42512506613756612</v>
      </c>
      <c r="F186" s="108">
        <f>VLOOKUP(ROW(F186)+4,'Water runs'!$CH$3:$CU$423,MATCH($B$1,Scenarios,0)+1)</f>
        <v>0</v>
      </c>
      <c r="G186" s="65">
        <f ca="1">H186/Variables!$E$49</f>
        <v>1.0269164863936719</v>
      </c>
      <c r="H186" s="62">
        <f ca="1">IF((H185+I186)&gt;(1.1*Variables!$E$50),(1.1*Variables!$E$50),IF((H185+I186)&gt;0,H185+I186,0))</f>
        <v>6.3668822156407661</v>
      </c>
      <c r="I186" s="64">
        <f t="shared" ca="1" si="4"/>
        <v>0</v>
      </c>
      <c r="J186" s="63">
        <f>IF(SUM(E182:E185)&lt;Variables!$B$3,-H185,0)</f>
        <v>0</v>
      </c>
      <c r="K186" s="64">
        <f ca="1">IF(AND(H185&lt;Variables!$B$6*Variables!$E$50,OR(SUM(D183:D186)&gt;Variables!$B$5,SUM(E183:E186)&gt;Variables!$B$4)),Variables!$B$6*Variables!$E$50+Variables!$B$7*$G$1*Variables!$E$50*SUM(D183:D186),0)</f>
        <v>0</v>
      </c>
      <c r="L186" s="64">
        <f>IF(B186="Winter",Variables!$B$8*H185,0)</f>
        <v>0</v>
      </c>
      <c r="M186" s="64">
        <f ca="1">IF(AND(B186="Spring",AND(NOT(H185=0),H185&lt;(Variables!$B$9*Variables!$E$50))),(Variables!$B$10*Variables!$E$50+Variables!$B$11*Variables!$E$50*SUM(E183:E186)+$G$1*SUM(D185:D186)*Variables!$E$50*Variables!$B$12),0)</f>
        <v>0</v>
      </c>
      <c r="N186" s="64">
        <f>IF(AND(B186="Spring",AND(SUM(D183:D186)&gt;Variables!$B$13,SUM(D179:D182)&gt;Variables!$B$13)),-Variables!$B$14*Variables!$E$50,0)</f>
        <v>0</v>
      </c>
      <c r="O186" s="64">
        <f>IF(AND(B186="Summer",SUM(C182:D186)&gt;Variables!$B$15),(Variables!$B$16*Variables!$E$50*SUM(C182:C186)+$G$1*Variables!$B$16*Variables!$E$50*SUM(D182:D186)+$G$1*Variables!$E$50*Variables!$B$17*F186),0)</f>
        <v>0</v>
      </c>
      <c r="P186" s="64">
        <f ca="1">IF(AND(AND(B186="Autumn",SUM(D185:E186)&gt;0),NOT(H185=0)),Variables!$B$18*Variables!$E$50+Variables!$B$19*Variables!$E$50*SUM(E185:E186)+$G$1*Variables!$B$19*Variables!$E$50*SUM(D185:D186),0)</f>
        <v>0</v>
      </c>
      <c r="Q186" s="64">
        <f>IF(AND(B186="Autumn",AND((E186+E185)&lt;Variables!$B$20,(D185+D186)=0)),-Variables!$B$21*Variables!$E$50,0)</f>
        <v>0</v>
      </c>
      <c r="R186" s="64">
        <f>IF(B186="Autumn",(SUM(F185:F186)*$G$1*Variables!$B$22*Variables!$E$50),0)</f>
        <v>0</v>
      </c>
      <c r="S186" s="64">
        <f ca="1">IF(B186="Spring",($G$1*Variables!$E$50*SUM('Guts (MC)'!F185:F186)*Variables!$B$23),0)</f>
        <v>0</v>
      </c>
      <c r="T186" s="63">
        <f ca="1">IF((H185+SUM(J186:Q186))&lt;(Variables!$B$26*Variables!$E$50),$F$1*((Variables!$B$26*Variables!$E$50)-H185-SUM(J186:Q186)),0)</f>
        <v>0</v>
      </c>
      <c r="U186" s="64">
        <f ca="1">IF(AND(AND(B186="Autumn",SUM(D183:E186)&gt;Variables!$B$27),SUM(J186:Q186)&lt;Variables!$B$28*H185),$F$1*(Variables!$B$28*H185-SUM(J186:Q186)),0)</f>
        <v>0</v>
      </c>
      <c r="V186" s="96">
        <f ca="1">IF(AND((J186+K186)=0,(Q186+T186)=0),$H$1*H186*Variables!$I$23*0.25,0)</f>
        <v>77.60578513508726</v>
      </c>
      <c r="W186" s="97">
        <f ca="1">IF(AND((K186+J186)=0,(T186+Q186)=0),$I$1*H186*Variables!$Q$23*0.25,0)</f>
        <v>24.9590248991971</v>
      </c>
      <c r="X186" s="95">
        <f ca="1">IF(AND(NOT(K186=0),(H186-H185)&gt;0),(H186-H185)*(Variables!$M$5*$H$1+Variables!$U$5*$I$1),0)+IF(AND(NOT((J186+N186+Q186)=0),(H185-H186)&gt;0),(H185-H186)*(Variables!$M$4*$H$1+Variables!$U$4*$I$1),0)</f>
        <v>0</v>
      </c>
      <c r="Y186" s="95">
        <f ca="1">IF(SUM(T186,U185:U186)&gt;0,H186*Variables!$Y$11*0.25*(1-$J$1),0)</f>
        <v>0</v>
      </c>
      <c r="Z186" s="95">
        <f ca="1">IF(T186=0,H186*$J$1*Variables!$Y$5*0.25,0)</f>
        <v>7.1645687489159684</v>
      </c>
      <c r="AA186" s="95">
        <f t="shared" ca="1" si="5"/>
        <v>109.72937878320033</v>
      </c>
      <c r="AB186" s="91">
        <f ca="1">AA186/Variables!$E$49</f>
        <v>17.698286900516184</v>
      </c>
    </row>
    <row r="187" spans="1:28" x14ac:dyDescent="0.25">
      <c r="A187" s="61">
        <f>'Water runs'!C194</f>
        <v>19052</v>
      </c>
      <c r="B187" s="61" t="str">
        <f>'Water runs'!B194</f>
        <v>Summer</v>
      </c>
      <c r="C187" s="54">
        <f>'Water runs'!D194/100</f>
        <v>0.56285714285714294</v>
      </c>
      <c r="D187" s="108">
        <f>VLOOKUP(ROW(D187)+4,'Water runs'!$BS$3:$CF$423,MATCH($B$1,Scenarios,0)+1)</f>
        <v>0</v>
      </c>
      <c r="E187" s="54">
        <f>IF(B187=Variables!$D$8,C187-Variables!$E$8,IF(B187=Variables!$D$9,C187-Variables!$E$9,IF(B187=Variables!$D$10,C187-Variables!$E$10,IF(B187=Variables!$D$11,C187-Variables!$E$11,"ELSE"))))</f>
        <v>-0.69551299319727877</v>
      </c>
      <c r="F187" s="108">
        <f>VLOOKUP(ROW(F187)+4,'Water runs'!$CH$3:$CU$423,MATCH($B$1,Scenarios,0)+1)</f>
        <v>0</v>
      </c>
      <c r="G187" s="65">
        <f ca="1">H187/Variables!$E$49</f>
        <v>0.16099999999999995</v>
      </c>
      <c r="H187" s="62">
        <f ca="1">IF((H186+I187)&gt;(1.1*Variables!$E$50),(1.1*Variables!$E$50),IF((H186+I187)&gt;0,H186+I187,0))</f>
        <v>0.99819999999999975</v>
      </c>
      <c r="I187" s="64">
        <f t="shared" ca="1" si="4"/>
        <v>-5.3686822156407663</v>
      </c>
      <c r="J187" s="63">
        <f ca="1">IF(SUM(E183:E186)&lt;Variables!$B$3,-H186,0)</f>
        <v>-6.3668822156407661</v>
      </c>
      <c r="K187" s="64">
        <f ca="1">IF(AND(H186&lt;Variables!$B$6*Variables!$E$50,OR(SUM(D184:D187)&gt;Variables!$B$5,SUM(E184:E187)&gt;Variables!$B$4)),Variables!$B$6*Variables!$E$50+Variables!$B$7*$G$1*Variables!$E$50*SUM(D184:D187),0)</f>
        <v>0</v>
      </c>
      <c r="L187" s="64">
        <f>IF(B187="Winter",Variables!$B$8*H186,0)</f>
        <v>0</v>
      </c>
      <c r="M187" s="64">
        <f ca="1">IF(AND(B187="Spring",AND(NOT(H186=0),H186&lt;(Variables!$B$9*Variables!$E$50))),(Variables!$B$10*Variables!$E$50+Variables!$B$11*Variables!$E$50*SUM(E184:E187)+$G$1*SUM(D186:D187)*Variables!$E$50*Variables!$B$12),0)</f>
        <v>0</v>
      </c>
      <c r="N187" s="64">
        <f>IF(AND(B187="Spring",AND(SUM(D184:D187)&gt;Variables!$B$13,SUM(D180:D183)&gt;Variables!$B$13)),-Variables!$B$14*Variables!$E$50,0)</f>
        <v>0</v>
      </c>
      <c r="O187" s="64">
        <f>IF(AND(B187="Summer",SUM(C183:D187)&gt;Variables!$B$15),(Variables!$B$16*Variables!$E$50*SUM(C183:C187)+$G$1*Variables!$B$16*Variables!$E$50*SUM(D183:D187)+$G$1*Variables!$E$50*Variables!$B$17*F187),0)</f>
        <v>0</v>
      </c>
      <c r="P187" s="64">
        <f ca="1">IF(AND(AND(B187="Autumn",SUM(D186:E187)&gt;0),NOT(H186=0)),Variables!$B$18*Variables!$E$50+Variables!$B$19*Variables!$E$50*SUM(E186:E187)+$G$1*Variables!$B$19*Variables!$E$50*SUM(D186:D187),0)</f>
        <v>0</v>
      </c>
      <c r="Q187" s="64">
        <f>IF(AND(B187="Autumn",AND((E187+E186)&lt;Variables!$B$20,(D186+D187)=0)),-Variables!$B$21*Variables!$E$50,0)</f>
        <v>0</v>
      </c>
      <c r="R187" s="64">
        <f>IF(B187="Autumn",(SUM(F186:F187)*$G$1*Variables!$B$22*Variables!$E$50),0)</f>
        <v>0</v>
      </c>
      <c r="S187" s="64">
        <f>IF(B187="Spring",($G$1*Variables!$E$50*SUM('Guts (MC)'!F186:F187)*Variables!$B$23),0)</f>
        <v>0</v>
      </c>
      <c r="T187" s="63">
        <f ca="1">IF((H186+SUM(J187:Q187))&lt;(Variables!$B$26*Variables!$E$50),$F$1*((Variables!$B$26*Variables!$E$50)-H186-SUM(J187:Q187)),0)</f>
        <v>0.99819999999999975</v>
      </c>
      <c r="U187" s="64">
        <f ca="1">IF(AND(AND(B187="Autumn",SUM(D184:E187)&gt;Variables!$B$27),SUM(J187:Q187)&lt;Variables!$B$28*H186),$F$1*(Variables!$B$28*H186-SUM(J187:Q187)),0)</f>
        <v>0</v>
      </c>
      <c r="V187" s="96">
        <f ca="1">IF(AND((J187+K187)=0,(Q187+T187)=0),$H$1*H187*Variables!$I$23*0.25,0)</f>
        <v>0</v>
      </c>
      <c r="W187" s="97">
        <f ca="1">IF(AND((K187+J187)=0,(T187+Q187)=0),$I$1*H187*Variables!$Q$23*0.25,0)</f>
        <v>0</v>
      </c>
      <c r="X187" s="95">
        <f ca="1">IF(AND(NOT(K187=0),(H187-H186)&gt;0),(H187-H186)*(Variables!$M$5*$H$1+Variables!$U$5*$I$1),0)+IF(AND(NOT((J187+N187+Q187)=0),(H186-H187)&gt;0),(H186-H187)*(Variables!$M$4*$H$1+Variables!$U$4*$I$1),0)</f>
        <v>306.85903599990297</v>
      </c>
      <c r="Y187" s="95">
        <f ca="1">IF(SUM(T187,U186:U187)&gt;0,H187*Variables!$Y$11*0.25*(1-$J$1),0)</f>
        <v>-8.6666009437672731</v>
      </c>
      <c r="Z187" s="95">
        <f ca="1">IF(T187=0,H187*$J$1*Variables!$Y$5*0.25,0)</f>
        <v>0</v>
      </c>
      <c r="AA187" s="95">
        <f t="shared" ca="1" si="5"/>
        <v>298.19243505613571</v>
      </c>
      <c r="AB187" s="91">
        <f ca="1">AA187/Variables!$E$49</f>
        <v>48.095554041312212</v>
      </c>
    </row>
    <row r="188" spans="1:28" x14ac:dyDescent="0.25">
      <c r="A188" s="61">
        <f>'Water runs'!C195</f>
        <v>19145</v>
      </c>
      <c r="B188" s="61" t="str">
        <f>'Water runs'!B195</f>
        <v>Autumn</v>
      </c>
      <c r="C188" s="54">
        <f>'Water runs'!D195/100</f>
        <v>0.96990476190476205</v>
      </c>
      <c r="D188" s="108">
        <f>VLOOKUP(ROW(D188)+4,'Water runs'!$BS$3:$CF$423,MATCH($B$1,Scenarios,0)+1)</f>
        <v>9.2144830917109399E-2</v>
      </c>
      <c r="E188" s="54">
        <f>IF(B188=Variables!$D$8,C188-Variables!$E$8,IF(B188=Variables!$D$9,C188-Variables!$E$9,IF(B188=Variables!$D$10,C188-Variables!$E$10,IF(B188=Variables!$D$11,C188-Variables!$E$11,"ELSE"))))</f>
        <v>-2.4738537414965789E-2</v>
      </c>
      <c r="F188" s="108">
        <f>VLOOKUP(ROW(F188)+4,'Water runs'!$CH$3:$CU$423,MATCH($B$1,Scenarios,0)+1)</f>
        <v>0</v>
      </c>
      <c r="G188" s="65">
        <f ca="1">H188/Variables!$E$49</f>
        <v>0.16099999999999995</v>
      </c>
      <c r="H188" s="62">
        <f ca="1">IF((H187+I188)&gt;(1.1*Variables!$E$50),(1.1*Variables!$E$50),IF((H187+I188)&gt;0,H187+I188,0))</f>
        <v>0.99819999999999975</v>
      </c>
      <c r="I188" s="64">
        <f t="shared" ca="1" si="4"/>
        <v>0</v>
      </c>
      <c r="J188" s="63">
        <f>IF(SUM(E184:E187)&lt;Variables!$B$3,-H187,0)</f>
        <v>0</v>
      </c>
      <c r="K188" s="64">
        <f ca="1">IF(AND(H187&lt;Variables!$B$6*Variables!$E$50,OR(SUM(D185:D188)&gt;Variables!$B$5,SUM(E185:E188)&gt;Variables!$B$4)),Variables!$B$6*Variables!$E$50+Variables!$B$7*$G$1*Variables!$E$50*SUM(D185:D188),0)</f>
        <v>0</v>
      </c>
      <c r="L188" s="64">
        <f>IF(B188="Winter",Variables!$B$8*H187,0)</f>
        <v>0</v>
      </c>
      <c r="M188" s="64">
        <f ca="1">IF(AND(B188="Spring",AND(NOT(H187=0),H187&lt;(Variables!$B$9*Variables!$E$50))),(Variables!$B$10*Variables!$E$50+Variables!$B$11*Variables!$E$50*SUM(E185:E188)+$G$1*SUM(D187:D188)*Variables!$E$50*Variables!$B$12),0)</f>
        <v>0</v>
      </c>
      <c r="N188" s="64">
        <f>IF(AND(B188="Spring",AND(SUM(D185:D188)&gt;Variables!$B$13,SUM(D181:D184)&gt;Variables!$B$13)),-Variables!$B$14*Variables!$E$50,0)</f>
        <v>0</v>
      </c>
      <c r="O188" s="64">
        <f>IF(AND(B188="Summer",SUM(C184:D188)&gt;Variables!$B$15),(Variables!$B$16*Variables!$E$50*SUM(C184:C188)+$G$1*Variables!$B$16*Variables!$E$50*SUM(D184:D188)+$G$1*Variables!$E$50*Variables!$B$17*F188),0)</f>
        <v>0</v>
      </c>
      <c r="P188" s="64">
        <f ca="1">IF(AND(AND(B188="Autumn",SUM(D187:E188)&gt;0),NOT(H187=0)),Variables!$B$18*Variables!$E$50+Variables!$B$19*Variables!$E$50*SUM(E187:E188)+$G$1*Variables!$B$19*Variables!$E$50*SUM(D187:D188),0)</f>
        <v>0</v>
      </c>
      <c r="Q188" s="64">
        <f>IF(AND(B188="Autumn",AND((E188+E187)&lt;Variables!$B$20,(D187+D188)=0)),-Variables!$B$21*Variables!$E$50,0)</f>
        <v>0</v>
      </c>
      <c r="R188" s="64">
        <f ca="1">IF(B188="Autumn",(SUM(F187:F188)*$G$1*Variables!$B$22*Variables!$E$50),0)</f>
        <v>0</v>
      </c>
      <c r="S188" s="64">
        <f>IF(B188="Spring",($G$1*Variables!$E$50*SUM('Guts (MC)'!F187:F188)*Variables!$B$23),0)</f>
        <v>0</v>
      </c>
      <c r="T188" s="63">
        <f ca="1">IF((H187+SUM(J188:Q188))&lt;(Variables!$B$26*Variables!$E$50),$F$1*((Variables!$B$26*Variables!$E$50)-H187-SUM(J188:Q188)),0)</f>
        <v>0</v>
      </c>
      <c r="U188" s="64">
        <f ca="1">IF(AND(AND(B188="Autumn",SUM(D185:E188)&gt;Variables!$B$27),SUM(J188:Q188)&lt;Variables!$B$28*H187),$F$1*(Variables!$B$28*H187-SUM(J188:Q188)),0)</f>
        <v>0</v>
      </c>
      <c r="V188" s="96">
        <f ca="1">IF(AND((J188+K188)=0,(Q188+T188)=0),$H$1*H188*Variables!$I$23*0.25,0)</f>
        <v>12.167037507234278</v>
      </c>
      <c r="W188" s="97">
        <f ca="1">IF(AND((K188+J188)=0,(T188+Q188)=0),$I$1*H188*Variables!$Q$23*0.25,0)</f>
        <v>3.913076732152359</v>
      </c>
      <c r="X188" s="95">
        <f ca="1">IF(AND(NOT(K188=0),(H188-H187)&gt;0),(H188-H187)*(Variables!$M$5*$H$1+Variables!$U$5*$I$1),0)+IF(AND(NOT((J188+N188+Q188)=0),(H187-H188)&gt;0),(H187-H188)*(Variables!$M$4*$H$1+Variables!$U$4*$I$1),0)</f>
        <v>0</v>
      </c>
      <c r="Y188" s="95">
        <f ca="1">IF(SUM(T188,U187:U188)&gt;0,H188*Variables!$Y$11*0.25*(1-$J$1),0)</f>
        <v>0</v>
      </c>
      <c r="Z188" s="95">
        <f ca="1">IF(T188=0,H188*$J$1*Variables!$Y$5*0.25,0)</f>
        <v>1.123261320525021</v>
      </c>
      <c r="AA188" s="95">
        <f t="shared" ca="1" si="5"/>
        <v>17.20337555991166</v>
      </c>
      <c r="AB188" s="91">
        <f ca="1">AA188/Variables!$E$49</f>
        <v>2.7747379935341385</v>
      </c>
    </row>
    <row r="189" spans="1:28" x14ac:dyDescent="0.25">
      <c r="A189" s="61">
        <f>'Water runs'!C196</f>
        <v>19237</v>
      </c>
      <c r="B189" s="61" t="str">
        <f>'Water runs'!B196</f>
        <v>Winter</v>
      </c>
      <c r="C189" s="54">
        <f>'Water runs'!D196/100</f>
        <v>0.874714285714286</v>
      </c>
      <c r="D189" s="108">
        <f>VLOOKUP(ROW(D189)+4,'Water runs'!$BS$3:$CF$423,MATCH($B$1,Scenarios,0)+1)</f>
        <v>0</v>
      </c>
      <c r="E189" s="54">
        <f>IF(B189=Variables!$D$8,C189-Variables!$E$8,IF(B189=Variables!$D$9,C189-Variables!$E$9,IF(B189=Variables!$D$10,C189-Variables!$E$10,IF(B189=Variables!$D$11,C189-Variables!$E$11,"ELSE"))))</f>
        <v>0.30294666005291027</v>
      </c>
      <c r="F189" s="108">
        <f>VLOOKUP(ROW(F189)+4,'Water runs'!$CH$3:$CU$423,MATCH($B$1,Scenarios,0)+1)</f>
        <v>0</v>
      </c>
      <c r="G189" s="65">
        <f ca="1">H189/Variables!$E$49</f>
        <v>0.161</v>
      </c>
      <c r="H189" s="62">
        <f ca="1">IF((H188+I189)&gt;(1.1*Variables!$E$50),(1.1*Variables!$E$50),IF((H188+I189)&gt;0,H188+I189,0))</f>
        <v>0.99820000000000009</v>
      </c>
      <c r="I189" s="64">
        <f t="shared" ref="I189:I252" ca="1" si="6">SUM(J189:U189)</f>
        <v>3.3306690738754696E-16</v>
      </c>
      <c r="J189" s="63">
        <f>IF(SUM(E185:E188)&lt;Variables!$B$3,-H188,0)</f>
        <v>0</v>
      </c>
      <c r="K189" s="64">
        <f ca="1">IF(AND(H188&lt;Variables!$B$6*Variables!$E$50,OR(SUM(D186:D189)&gt;Variables!$B$5,SUM(E186:E189)&gt;Variables!$B$4)),Variables!$B$6*Variables!$E$50+Variables!$B$7*$G$1*Variables!$E$50*SUM(D186:D189),0)</f>
        <v>0</v>
      </c>
      <c r="L189" s="64">
        <f ca="1">IF(B189="Winter",Variables!$B$8*H188,0)</f>
        <v>-0.49704894489176132</v>
      </c>
      <c r="M189" s="64">
        <f ca="1">IF(AND(B189="Spring",AND(NOT(H188=0),H188&lt;(Variables!$B$9*Variables!$E$50))),(Variables!$B$10*Variables!$E$50+Variables!$B$11*Variables!$E$50*SUM(E186:E189)+$G$1*SUM(D188:D189)*Variables!$E$50*Variables!$B$12),0)</f>
        <v>0</v>
      </c>
      <c r="N189" s="64">
        <f>IF(AND(B189="Spring",AND(SUM(D186:D189)&gt;Variables!$B$13,SUM(D182:D185)&gt;Variables!$B$13)),-Variables!$B$14*Variables!$E$50,0)</f>
        <v>0</v>
      </c>
      <c r="O189" s="64">
        <f>IF(AND(B189="Summer",SUM(C185:D189)&gt;Variables!$B$15),(Variables!$B$16*Variables!$E$50*SUM(C185:C189)+$G$1*Variables!$B$16*Variables!$E$50*SUM(D185:D189)+$G$1*Variables!$E$50*Variables!$B$17*F189),0)</f>
        <v>0</v>
      </c>
      <c r="P189" s="64">
        <f ca="1">IF(AND(AND(B189="Autumn",SUM(D188:E189)&gt;0),NOT(H188=0)),Variables!$B$18*Variables!$E$50+Variables!$B$19*Variables!$E$50*SUM(E188:E189)+$G$1*Variables!$B$19*Variables!$E$50*SUM(D188:D189),0)</f>
        <v>0</v>
      </c>
      <c r="Q189" s="64">
        <f>IF(AND(B189="Autumn",AND((E189+E188)&lt;Variables!$B$20,(D188+D189)=0)),-Variables!$B$21*Variables!$E$50,0)</f>
        <v>0</v>
      </c>
      <c r="R189" s="64">
        <f>IF(B189="Autumn",(SUM(F188:F189)*$G$1*Variables!$B$22*Variables!$E$50),0)</f>
        <v>0</v>
      </c>
      <c r="S189" s="64">
        <f>IF(B189="Spring",($G$1*Variables!$E$50*SUM('Guts (MC)'!F188:F189)*Variables!$B$23),0)</f>
        <v>0</v>
      </c>
      <c r="T189" s="63">
        <f ca="1">IF((H188+SUM(J189:Q189))&lt;(Variables!$B$26*Variables!$E$50),$F$1*((Variables!$B$26*Variables!$E$50)-H188-SUM(J189:Q189)),0)</f>
        <v>0.49704894489176166</v>
      </c>
      <c r="U189" s="64">
        <f ca="1">IF(AND(AND(B189="Autumn",SUM(D186:E189)&gt;Variables!$B$27),SUM(J189:Q189)&lt;Variables!$B$28*H188),$F$1*(Variables!$B$28*H188-SUM(J189:Q189)),0)</f>
        <v>0</v>
      </c>
      <c r="V189" s="96">
        <f ca="1">IF(AND((J189+K189)=0,(Q189+T189)=0),$H$1*H189*Variables!$I$23*0.25,0)</f>
        <v>0</v>
      </c>
      <c r="W189" s="97">
        <f ca="1">IF(AND((K189+J189)=0,(T189+Q189)=0),$I$1*H189*Variables!$Q$23*0.25,0)</f>
        <v>0</v>
      </c>
      <c r="X189" s="95">
        <f ca="1">IF(AND(NOT(K189=0),(H189-H188)&gt;0),(H189-H188)*(Variables!$M$5*$H$1+Variables!$U$5*$I$1),0)+IF(AND(NOT((J189+N189+Q189)=0),(H188-H189)&gt;0),(H188-H189)*(Variables!$M$4*$H$1+Variables!$U$4*$I$1),0)</f>
        <v>0</v>
      </c>
      <c r="Y189" s="95">
        <f ca="1">IF(SUM(T189,U188:U189)&gt;0,H189*Variables!$Y$11*0.25*(1-$J$1),0)</f>
        <v>-8.6666009437672749</v>
      </c>
      <c r="Z189" s="95">
        <f ca="1">IF(T189=0,H189*$J$1*Variables!$Y$5*0.25,0)</f>
        <v>0</v>
      </c>
      <c r="AA189" s="95">
        <f t="shared" ca="1" si="5"/>
        <v>-8.6666009437672749</v>
      </c>
      <c r="AB189" s="91">
        <f ca="1">AA189/Variables!$E$49</f>
        <v>-1.3978388618979476</v>
      </c>
    </row>
    <row r="190" spans="1:28" x14ac:dyDescent="0.25">
      <c r="A190" s="61">
        <f>'Water runs'!C197</f>
        <v>19328</v>
      </c>
      <c r="B190" s="61" t="str">
        <f>'Water runs'!B197</f>
        <v>Spring</v>
      </c>
      <c r="C190" s="54">
        <f>'Water runs'!D197/100</f>
        <v>0.80628571428571405</v>
      </c>
      <c r="D190" s="108">
        <f>VLOOKUP(ROW(D190)+4,'Water runs'!$BS$3:$CF$423,MATCH($B$1,Scenarios,0)+1)</f>
        <v>0</v>
      </c>
      <c r="E190" s="54">
        <f>IF(B190=Variables!$D$8,C190-Variables!$E$8,IF(B190=Variables!$D$9,C190-Variables!$E$9,IF(B190=Variables!$D$10,C190-Variables!$E$10,IF(B190=Variables!$D$11,C190-Variables!$E$11,"ELSE"))))</f>
        <v>4.2303505291004906E-2</v>
      </c>
      <c r="F190" s="108">
        <f>VLOOKUP(ROW(F190)+4,'Water runs'!$CH$3:$CU$423,MATCH($B$1,Scenarios,0)+1)</f>
        <v>0</v>
      </c>
      <c r="G190" s="65">
        <f ca="1">H190/Variables!$E$49</f>
        <v>0.304649199305081</v>
      </c>
      <c r="H190" s="62">
        <f ca="1">IF((H189+I190)&gt;(1.1*Variables!$E$50),(1.1*Variables!$E$50),IF((H189+I190)&gt;0,H189+I190,0))</f>
        <v>1.8888250356915024</v>
      </c>
      <c r="I190" s="64">
        <f t="shared" ca="1" si="6"/>
        <v>0.8906250356915022</v>
      </c>
      <c r="J190" s="63">
        <f>IF(SUM(E186:E189)&lt;Variables!$B$3,-H189,0)</f>
        <v>0</v>
      </c>
      <c r="K190" s="64">
        <f ca="1">IF(AND(H189&lt;Variables!$B$6*Variables!$E$50,OR(SUM(D187:D190)&gt;Variables!$B$5,SUM(E187:E190)&gt;Variables!$B$4)),Variables!$B$6*Variables!$E$50+Variables!$B$7*$G$1*Variables!$E$50*SUM(D187:D190),0)</f>
        <v>1.1460240977885792</v>
      </c>
      <c r="L190" s="64">
        <f>IF(B190="Winter",Variables!$B$8*H189,0)</f>
        <v>0</v>
      </c>
      <c r="M190" s="64">
        <f ca="1">IF(AND(B190="Spring",AND(NOT(H189=0),H189&lt;(Variables!$B$9*Variables!$E$50))),(Variables!$B$10*Variables!$E$50+Variables!$B$11*Variables!$E$50*SUM(E187:E190)+$G$1*SUM(D189:D190)*Variables!$E$50*Variables!$B$12),0)</f>
        <v>-0.25539906209707691</v>
      </c>
      <c r="N190" s="64">
        <f>IF(AND(B190="Spring",AND(SUM(D187:D190)&gt;Variables!$B$13,SUM(D183:D186)&gt;Variables!$B$13)),-Variables!$B$14*Variables!$E$50,0)</f>
        <v>0</v>
      </c>
      <c r="O190" s="64">
        <f>IF(AND(B190="Summer",SUM(C186:D190)&gt;Variables!$B$15),(Variables!$B$16*Variables!$E$50*SUM(C186:C190)+$G$1*Variables!$B$16*Variables!$E$50*SUM(D186:D190)+$G$1*Variables!$E$50*Variables!$B$17*F190),0)</f>
        <v>0</v>
      </c>
      <c r="P190" s="64">
        <f ca="1">IF(AND(AND(B190="Autumn",SUM(D189:E190)&gt;0),NOT(H189=0)),Variables!$B$18*Variables!$E$50+Variables!$B$19*Variables!$E$50*SUM(E189:E190)+$G$1*Variables!$B$19*Variables!$E$50*SUM(D189:D190),0)</f>
        <v>0</v>
      </c>
      <c r="Q190" s="64">
        <f>IF(AND(B190="Autumn",AND((E190+E189)&lt;Variables!$B$20,(D189+D190)=0)),-Variables!$B$21*Variables!$E$50,0)</f>
        <v>0</v>
      </c>
      <c r="R190" s="64">
        <f>IF(B190="Autumn",(SUM(F189:F190)*$G$1*Variables!$B$22*Variables!$E$50),0)</f>
        <v>0</v>
      </c>
      <c r="S190" s="64">
        <f ca="1">IF(B190="Spring",($G$1*Variables!$E$50*SUM('Guts (MC)'!F189:F190)*Variables!$B$23),0)</f>
        <v>0</v>
      </c>
      <c r="T190" s="63">
        <f ca="1">IF((H189+SUM(J190:Q190))&lt;(Variables!$B$26*Variables!$E$50),$F$1*((Variables!$B$26*Variables!$E$50)-H189-SUM(J190:Q190)),0)</f>
        <v>0</v>
      </c>
      <c r="U190" s="64">
        <f ca="1">IF(AND(AND(B190="Autumn",SUM(D187:E190)&gt;Variables!$B$27),SUM(J190:Q190)&lt;Variables!$B$28*H189),$F$1*(Variables!$B$28*H189-SUM(J190:Q190)),0)</f>
        <v>0</v>
      </c>
      <c r="V190" s="96">
        <f ca="1">IF(AND((J190+K190)=0,(Q190+T190)=0),$H$1*H190*Variables!$I$23*0.25,0)</f>
        <v>0</v>
      </c>
      <c r="W190" s="97">
        <f ca="1">IF(AND((K190+J190)=0,(T190+Q190)=0),$I$1*H190*Variables!$Q$23*0.25,0)</f>
        <v>0</v>
      </c>
      <c r="X190" s="95">
        <f ca="1">IF(AND(NOT(K190=0),(H190-H189)&gt;0),(H190-H189)*(Variables!$M$5*$H$1+Variables!$U$5*$I$1),0)+IF(AND(NOT((J190+N190+Q190)=0),(H189-H190)&gt;0),(H189-H190)*(Variables!$M$4*$H$1+Variables!$U$4*$I$1),0)</f>
        <v>-101.81133056952783</v>
      </c>
      <c r="Y190" s="95">
        <f ca="1">IF(SUM(T190,U189:U190)&gt;0,H190*Variables!$Y$11*0.25*(1-$J$1),0)</f>
        <v>0</v>
      </c>
      <c r="Z190" s="95">
        <f ca="1">IF(T190=0,H190*$J$1*Variables!$Y$5*0.25,0)</f>
        <v>2.1254699497410914</v>
      </c>
      <c r="AA190" s="95">
        <f t="shared" ca="1" si="5"/>
        <v>-99.685860619786737</v>
      </c>
      <c r="AB190" s="91">
        <f ca="1">AA190/Variables!$E$49</f>
        <v>-16.078364616094635</v>
      </c>
    </row>
    <row r="191" spans="1:28" x14ac:dyDescent="0.25">
      <c r="A191" s="61">
        <f>'Water runs'!C198</f>
        <v>19418</v>
      </c>
      <c r="B191" s="61" t="str">
        <f>'Water runs'!B198</f>
        <v>Summer</v>
      </c>
      <c r="C191" s="54">
        <f>'Water runs'!D198/100</f>
        <v>1.3398428571428598</v>
      </c>
      <c r="D191" s="108">
        <f>VLOOKUP(ROW(D191)+4,'Water runs'!$BS$3:$CF$423,MATCH($B$1,Scenarios,0)+1)</f>
        <v>7.7704494889112349E-3</v>
      </c>
      <c r="E191" s="54">
        <f>IF(B191=Variables!$D$8,C191-Variables!$E$8,IF(B191=Variables!$D$9,C191-Variables!$E$9,IF(B191=Variables!$D$10,C191-Variables!$E$10,IF(B191=Variables!$D$11,C191-Variables!$E$11,"ELSE"))))</f>
        <v>8.147272108843806E-2</v>
      </c>
      <c r="F191" s="108">
        <f>VLOOKUP(ROW(F191)+4,'Water runs'!$CH$3:$CU$423,MATCH($B$1,Scenarios,0)+1)</f>
        <v>0</v>
      </c>
      <c r="G191" s="65">
        <f ca="1">H191/Variables!$E$49</f>
        <v>0.304649199305081</v>
      </c>
      <c r="H191" s="62">
        <f ca="1">IF((H190+I191)&gt;(1.1*Variables!$E$50),(1.1*Variables!$E$50),IF((H190+I191)&gt;0,H190+I191,0))</f>
        <v>1.8888250356915024</v>
      </c>
      <c r="I191" s="64">
        <f t="shared" ca="1" si="6"/>
        <v>0</v>
      </c>
      <c r="J191" s="63">
        <f>IF(SUM(E187:E190)&lt;Variables!$B$3,-H190,0)</f>
        <v>0</v>
      </c>
      <c r="K191" s="64">
        <f ca="1">IF(AND(H190&lt;Variables!$B$6*Variables!$E$50,OR(SUM(D188:D191)&gt;Variables!$B$5,SUM(E188:E191)&gt;Variables!$B$4)),Variables!$B$6*Variables!$E$50+Variables!$B$7*$G$1*Variables!$E$50*SUM(D188:D191),0)</f>
        <v>0</v>
      </c>
      <c r="L191" s="64">
        <f>IF(B191="Winter",Variables!$B$8*H190,0)</f>
        <v>0</v>
      </c>
      <c r="M191" s="64">
        <f ca="1">IF(AND(B191="Spring",AND(NOT(H190=0),H190&lt;(Variables!$B$9*Variables!$E$50))),(Variables!$B$10*Variables!$E$50+Variables!$B$11*Variables!$E$50*SUM(E188:E191)+$G$1*SUM(D190:D191)*Variables!$E$50*Variables!$B$12),0)</f>
        <v>0</v>
      </c>
      <c r="N191" s="64">
        <f>IF(AND(B191="Spring",AND(SUM(D188:D191)&gt;Variables!$B$13,SUM(D184:D187)&gt;Variables!$B$13)),-Variables!$B$14*Variables!$E$50,0)</f>
        <v>0</v>
      </c>
      <c r="O191" s="64">
        <f>IF(AND(B191="Summer",SUM(C187:D191)&gt;Variables!$B$15),(Variables!$B$16*Variables!$E$50*SUM(C187:C191)+$G$1*Variables!$B$16*Variables!$E$50*SUM(D187:D191)+$G$1*Variables!$E$50*Variables!$B$17*F191),0)</f>
        <v>0</v>
      </c>
      <c r="P191" s="64">
        <f ca="1">IF(AND(AND(B191="Autumn",SUM(D190:E191)&gt;0),NOT(H190=0)),Variables!$B$18*Variables!$E$50+Variables!$B$19*Variables!$E$50*SUM(E190:E191)+$G$1*Variables!$B$19*Variables!$E$50*SUM(D190:D191),0)</f>
        <v>0</v>
      </c>
      <c r="Q191" s="64">
        <f>IF(AND(B191="Autumn",AND((E191+E190)&lt;Variables!$B$20,(D190+D191)=0)),-Variables!$B$21*Variables!$E$50,0)</f>
        <v>0</v>
      </c>
      <c r="R191" s="64">
        <f>IF(B191="Autumn",(SUM(F190:F191)*$G$1*Variables!$B$22*Variables!$E$50),0)</f>
        <v>0</v>
      </c>
      <c r="S191" s="64">
        <f>IF(B191="Spring",($G$1*Variables!$E$50*SUM('Guts (MC)'!F190:F191)*Variables!$B$23),0)</f>
        <v>0</v>
      </c>
      <c r="T191" s="63">
        <f ca="1">IF((H190+SUM(J191:Q191))&lt;(Variables!$B$26*Variables!$E$50),$F$1*((Variables!$B$26*Variables!$E$50)-H190-SUM(J191:Q191)),0)</f>
        <v>0</v>
      </c>
      <c r="U191" s="64">
        <f ca="1">IF(AND(AND(B191="Autumn",SUM(D188:E191)&gt;Variables!$B$27),SUM(J191:Q191)&lt;Variables!$B$28*H190),$F$1*(Variables!$B$28*H190-SUM(J191:Q191)),0)</f>
        <v>0</v>
      </c>
      <c r="V191" s="96">
        <f ca="1">IF(AND((J191+K191)=0,(Q191+T191)=0),$H$1*H191*Variables!$I$23*0.25,0)</f>
        <v>23.022846176980206</v>
      </c>
      <c r="W191" s="97">
        <f ca="1">IF(AND((K191+J191)=0,(T191+Q191)=0),$I$1*H191*Variables!$Q$23*0.25,0)</f>
        <v>7.404445299810928</v>
      </c>
      <c r="X191" s="95">
        <f ca="1">IF(AND(NOT(K191=0),(H191-H190)&gt;0),(H191-H190)*(Variables!$M$5*$H$1+Variables!$U$5*$I$1),0)+IF(AND(NOT((J191+N191+Q191)=0),(H190-H191)&gt;0),(H190-H191)*(Variables!$M$4*$H$1+Variables!$U$4*$I$1),0)</f>
        <v>0</v>
      </c>
      <c r="Y191" s="95">
        <f ca="1">IF(SUM(T191,U190:U191)&gt;0,H191*Variables!$Y$11*0.25*(1-$J$1),0)</f>
        <v>0</v>
      </c>
      <c r="Z191" s="95">
        <f ca="1">IF(T191=0,H191*$J$1*Variables!$Y$5*0.25,0)</f>
        <v>2.1254699497410914</v>
      </c>
      <c r="AA191" s="95">
        <f t="shared" ca="1" si="5"/>
        <v>32.552761426532221</v>
      </c>
      <c r="AB191" s="91">
        <f ca="1">AA191/Variables!$E$49</f>
        <v>5.2504453913761644</v>
      </c>
    </row>
    <row r="192" spans="1:28" x14ac:dyDescent="0.25">
      <c r="A192" s="61">
        <f>'Water runs'!C199</f>
        <v>19510</v>
      </c>
      <c r="B192" s="61" t="str">
        <f>'Water runs'!B199</f>
        <v>Autumn</v>
      </c>
      <c r="C192" s="54">
        <f>'Water runs'!D199/100</f>
        <v>1.2438</v>
      </c>
      <c r="D192" s="108">
        <f>VLOOKUP(ROW(D192)+4,'Water runs'!$BS$3:$CF$423,MATCH($B$1,Scenarios,0)+1)</f>
        <v>0.24552530107126738</v>
      </c>
      <c r="E192" s="54">
        <f>IF(B192=Variables!$D$8,C192-Variables!$E$8,IF(B192=Variables!$D$9,C192-Variables!$E$9,IF(B192=Variables!$D$10,C192-Variables!$E$10,IF(B192=Variables!$D$11,C192-Variables!$E$11,"ELSE"))))</f>
        <v>0.24915670068027218</v>
      </c>
      <c r="F192" s="108">
        <f>VLOOKUP(ROW(F192)+4,'Water runs'!$CH$3:$CU$423,MATCH($B$1,Scenarios,0)+1)</f>
        <v>0.245406535285315</v>
      </c>
      <c r="G192" s="65">
        <f ca="1">H192/Variables!$E$49</f>
        <v>0.55738767733638594</v>
      </c>
      <c r="H192" s="62">
        <f ca="1">IF((H191+I192)&gt;(1.1*Variables!$E$50),(1.1*Variables!$E$50),IF((H191+I192)&gt;0,H191+I192,0))</f>
        <v>3.4558035994855931</v>
      </c>
      <c r="I192" s="64">
        <f t="shared" ca="1" si="6"/>
        <v>1.5669785637940905</v>
      </c>
      <c r="J192" s="63">
        <f>IF(SUM(E188:E191)&lt;Variables!$B$3,-H191,0)</f>
        <v>0</v>
      </c>
      <c r="K192" s="64">
        <f ca="1">IF(AND(H191&lt;Variables!$B$6*Variables!$E$50,OR(SUM(D189:D192)&gt;Variables!$B$5,SUM(E189:E192)&gt;Variables!$B$4)),Variables!$B$6*Variables!$E$50+Variables!$B$7*$G$1*Variables!$E$50*SUM(D189:D192),0)</f>
        <v>0</v>
      </c>
      <c r="L192" s="64">
        <f>IF(B192="Winter",Variables!$B$8*H191,0)</f>
        <v>0</v>
      </c>
      <c r="M192" s="64">
        <f ca="1">IF(AND(B192="Spring",AND(NOT(H191=0),H191&lt;(Variables!$B$9*Variables!$E$50))),(Variables!$B$10*Variables!$E$50+Variables!$B$11*Variables!$E$50*SUM(E189:E192)+$G$1*SUM(D191:D192)*Variables!$E$50*Variables!$B$12),0)</f>
        <v>0</v>
      </c>
      <c r="N192" s="64">
        <f>IF(AND(B192="Spring",AND(SUM(D189:D192)&gt;Variables!$B$13,SUM(D185:D188)&gt;Variables!$B$13)),-Variables!$B$14*Variables!$E$50,0)</f>
        <v>0</v>
      </c>
      <c r="O192" s="64">
        <f>IF(AND(B192="Summer",SUM(C188:D192)&gt;Variables!$B$15),(Variables!$B$16*Variables!$E$50*SUM(C188:C192)+$G$1*Variables!$B$16*Variables!$E$50*SUM(D188:D192)+$G$1*Variables!$E$50*Variables!$B$17*F192),0)</f>
        <v>0</v>
      </c>
      <c r="P192" s="64">
        <f ca="1">IF(AND(AND(B192="Autumn",SUM(D191:E192)&gt;0),NOT(H191=0)),Variables!$B$18*Variables!$E$50+Variables!$B$19*Variables!$E$50*SUM(E191:E192)+$G$1*Variables!$B$19*Variables!$E$50*SUM(D191:D192),0)</f>
        <v>1.5298259496070861</v>
      </c>
      <c r="Q192" s="64">
        <f>IF(AND(B192="Autumn",AND((E192+E191)&lt;Variables!$B$20,(D191+D192)=0)),-Variables!$B$21*Variables!$E$50,0)</f>
        <v>0</v>
      </c>
      <c r="R192" s="64">
        <f ca="1">IF(B192="Autumn",(SUM(F191:F192)*$G$1*Variables!$B$22*Variables!$E$50),0)</f>
        <v>3.7152614187004454E-2</v>
      </c>
      <c r="S192" s="64">
        <f>IF(B192="Spring",($G$1*Variables!$E$50*SUM('Guts (MC)'!F191:F192)*Variables!$B$23),0)</f>
        <v>0</v>
      </c>
      <c r="T192" s="63">
        <f ca="1">IF((H191+SUM(J192:Q192))&lt;(Variables!$B$26*Variables!$E$50),$F$1*((Variables!$B$26*Variables!$E$50)-H191-SUM(J192:Q192)),0)</f>
        <v>0</v>
      </c>
      <c r="U192" s="64">
        <f ca="1">IF(AND(AND(B192="Autumn",SUM(D189:E192)&gt;Variables!$B$27),SUM(J192:Q192)&lt;Variables!$B$28*H191),$F$1*(Variables!$B$28*H191-SUM(J192:Q192)),0)</f>
        <v>0</v>
      </c>
      <c r="V192" s="96">
        <f ca="1">IF(AND((J192+K192)=0,(Q192+T192)=0),$H$1*H192*Variables!$I$23*0.25,0)</f>
        <v>42.122712895788872</v>
      </c>
      <c r="W192" s="97">
        <f ca="1">IF(AND((K192+J192)=0,(T192+Q192)=0),$I$1*H192*Variables!$Q$23*0.25,0)</f>
        <v>13.547209633375525</v>
      </c>
      <c r="X192" s="95">
        <f ca="1">IF(AND(NOT(K192=0),(H192-H191)&gt;0),(H192-H191)*(Variables!$M$5*$H$1+Variables!$U$5*$I$1),0)+IF(AND(NOT((J192+N192+Q192)=0),(H191-H192)&gt;0),(H191-H192)*(Variables!$M$4*$H$1+Variables!$U$4*$I$1),0)</f>
        <v>0</v>
      </c>
      <c r="Y192" s="95">
        <f ca="1">IF(SUM(T192,U191:U192)&gt;0,H192*Variables!$Y$11*0.25*(1-$J$1),0)</f>
        <v>0</v>
      </c>
      <c r="Z192" s="95">
        <f ca="1">IF(T192=0,H192*$J$1*Variables!$Y$5*0.25,0)</f>
        <v>3.8887703011754247</v>
      </c>
      <c r="AA192" s="95">
        <f t="shared" ca="1" si="5"/>
        <v>59.558692830339822</v>
      </c>
      <c r="AB192" s="91">
        <f ca="1">AA192/Variables!$E$49</f>
        <v>9.6062407790870683</v>
      </c>
    </row>
    <row r="193" spans="1:28" x14ac:dyDescent="0.25">
      <c r="A193" s="61">
        <f>'Water runs'!C200</f>
        <v>19602</v>
      </c>
      <c r="B193" s="61" t="str">
        <f>'Water runs'!B200</f>
        <v>Winter</v>
      </c>
      <c r="C193" s="54">
        <f>'Water runs'!D200/100</f>
        <v>0.15533333333333299</v>
      </c>
      <c r="D193" s="108">
        <f>VLOOKUP(ROW(D193)+4,'Water runs'!$BS$3:$CF$423,MATCH($B$1,Scenarios,0)+1)</f>
        <v>0</v>
      </c>
      <c r="E193" s="54">
        <f>IF(B193=Variables!$D$8,C193-Variables!$E$8,IF(B193=Variables!$D$9,C193-Variables!$E$9,IF(B193=Variables!$D$10,C193-Variables!$E$10,IF(B193=Variables!$D$11,C193-Variables!$E$11,"ELSE"))))</f>
        <v>-0.41643429232804274</v>
      </c>
      <c r="F193" s="108">
        <f>VLOOKUP(ROW(F193)+4,'Water runs'!$CH$3:$CU$423,MATCH($B$1,Scenarios,0)+1)</f>
        <v>0</v>
      </c>
      <c r="G193" s="65">
        <f ca="1">H193/Variables!$E$49</f>
        <v>0.27983913304093394</v>
      </c>
      <c r="H193" s="62">
        <f ca="1">IF((H192+I193)&gt;(1.1*Variables!$E$50),(1.1*Variables!$E$50),IF((H192+I193)&gt;0,H192+I193,0))</f>
        <v>1.7350026248537904</v>
      </c>
      <c r="I193" s="64">
        <f t="shared" ca="1" si="6"/>
        <v>-1.7208009746318027</v>
      </c>
      <c r="J193" s="63">
        <f>IF(SUM(E189:E192)&lt;Variables!$B$3,-H192,0)</f>
        <v>0</v>
      </c>
      <c r="K193" s="64">
        <f ca="1">IF(AND(H192&lt;Variables!$B$6*Variables!$E$50,OR(SUM(D190:D193)&gt;Variables!$B$5,SUM(E190:E193)&gt;Variables!$B$4)),Variables!$B$6*Variables!$E$50+Variables!$B$7*$G$1*Variables!$E$50*SUM(D190:D193),0)</f>
        <v>0</v>
      </c>
      <c r="L193" s="64">
        <f ca="1">IF(B193="Winter",Variables!$B$8*H192,0)</f>
        <v>-1.7208009746318027</v>
      </c>
      <c r="M193" s="64">
        <f ca="1">IF(AND(B193="Spring",AND(NOT(H192=0),H192&lt;(Variables!$B$9*Variables!$E$50))),(Variables!$B$10*Variables!$E$50+Variables!$B$11*Variables!$E$50*SUM(E190:E193)+$G$1*SUM(D192:D193)*Variables!$E$50*Variables!$B$12),0)</f>
        <v>0</v>
      </c>
      <c r="N193" s="64">
        <f>IF(AND(B193="Spring",AND(SUM(D190:D193)&gt;Variables!$B$13,SUM(D186:D189)&gt;Variables!$B$13)),-Variables!$B$14*Variables!$E$50,0)</f>
        <v>0</v>
      </c>
      <c r="O193" s="64">
        <f>IF(AND(B193="Summer",SUM(C189:D193)&gt;Variables!$B$15),(Variables!$B$16*Variables!$E$50*SUM(C189:C193)+$G$1*Variables!$B$16*Variables!$E$50*SUM(D189:D193)+$G$1*Variables!$E$50*Variables!$B$17*F193),0)</f>
        <v>0</v>
      </c>
      <c r="P193" s="64">
        <f ca="1">IF(AND(AND(B193="Autumn",SUM(D192:E193)&gt;0),NOT(H192=0)),Variables!$B$18*Variables!$E$50+Variables!$B$19*Variables!$E$50*SUM(E192:E193)+$G$1*Variables!$B$19*Variables!$E$50*SUM(D192:D193),0)</f>
        <v>0</v>
      </c>
      <c r="Q193" s="64">
        <f>IF(AND(B193="Autumn",AND((E193+E192)&lt;Variables!$B$20,(D192+D193)=0)),-Variables!$B$21*Variables!$E$50,0)</f>
        <v>0</v>
      </c>
      <c r="R193" s="64">
        <f>IF(B193="Autumn",(SUM(F192:F193)*$G$1*Variables!$B$22*Variables!$E$50),0)</f>
        <v>0</v>
      </c>
      <c r="S193" s="64">
        <f>IF(B193="Spring",($G$1*Variables!$E$50*SUM('Guts (MC)'!F192:F193)*Variables!$B$23),0)</f>
        <v>0</v>
      </c>
      <c r="T193" s="63">
        <f ca="1">IF((H192+SUM(J193:Q193))&lt;(Variables!$B$26*Variables!$E$50),$F$1*((Variables!$B$26*Variables!$E$50)-H192-SUM(J193:Q193)),0)</f>
        <v>0</v>
      </c>
      <c r="U193" s="64">
        <f ca="1">IF(AND(AND(B193="Autumn",SUM(D190:E193)&gt;Variables!$B$27),SUM(J193:Q193)&lt;Variables!$B$28*H192),$F$1*(Variables!$B$28*H192-SUM(J193:Q193)),0)</f>
        <v>0</v>
      </c>
      <c r="V193" s="96">
        <f ca="1">IF(AND((J193+K193)=0,(Q193+T193)=0),$H$1*H193*Variables!$I$23*0.25,0)</f>
        <v>21.147908246589861</v>
      </c>
      <c r="W193" s="97">
        <f ca="1">IF(AND((K193+J193)=0,(T193+Q193)=0),$I$1*H193*Variables!$Q$23*0.25,0)</f>
        <v>6.8014409953302319</v>
      </c>
      <c r="X193" s="95">
        <f ca="1">IF(AND(NOT(K193=0),(H193-H192)&gt;0),(H193-H192)*(Variables!$M$5*$H$1+Variables!$U$5*$I$1),0)+IF(AND(NOT((J193+N193+Q193)=0),(H192-H193)&gt;0),(H192-H193)*(Variables!$M$4*$H$1+Variables!$U$4*$I$1),0)</f>
        <v>0</v>
      </c>
      <c r="Y193" s="95">
        <f ca="1">IF(SUM(T193,U192:U193)&gt;0,H193*Variables!$Y$11*0.25*(1-$J$1),0)</f>
        <v>0</v>
      </c>
      <c r="Z193" s="95">
        <f ca="1">IF(T193=0,H193*$J$1*Variables!$Y$5*0.25,0)</f>
        <v>1.952375615615755</v>
      </c>
      <c r="AA193" s="95">
        <f t="shared" ca="1" si="5"/>
        <v>29.901724857535847</v>
      </c>
      <c r="AB193" s="91">
        <f ca="1">AA193/Variables!$E$49</f>
        <v>4.8228588479896528</v>
      </c>
    </row>
    <row r="194" spans="1:28" x14ac:dyDescent="0.25">
      <c r="A194" s="61">
        <f>'Water runs'!C201</f>
        <v>19693</v>
      </c>
      <c r="B194" s="61" t="str">
        <f>'Water runs'!B201</f>
        <v>Spring</v>
      </c>
      <c r="C194" s="54">
        <f>'Water runs'!D201/100</f>
        <v>0.63549999999999995</v>
      </c>
      <c r="D194" s="108">
        <f>VLOOKUP(ROW(D194)+4,'Water runs'!$BS$3:$CF$423,MATCH($B$1,Scenarios,0)+1)</f>
        <v>0</v>
      </c>
      <c r="E194" s="54">
        <f>IF(B194=Variables!$D$8,C194-Variables!$E$8,IF(B194=Variables!$D$9,C194-Variables!$E$9,IF(B194=Variables!$D$10,C194-Variables!$E$10,IF(B194=Variables!$D$11,C194-Variables!$E$11,"ELSE"))))</f>
        <v>-0.12848220899470919</v>
      </c>
      <c r="F194" s="108">
        <f>VLOOKUP(ROW(F194)+4,'Water runs'!$CH$3:$CU$423,MATCH($B$1,Scenarios,0)+1)</f>
        <v>0</v>
      </c>
      <c r="G194" s="65">
        <f ca="1">H194/Variables!$E$49</f>
        <v>0.25629998470258947</v>
      </c>
      <c r="H194" s="62">
        <f ca="1">IF((H193+I194)&gt;(1.1*Variables!$E$50),(1.1*Variables!$E$50),IF((H193+I194)&gt;0,H193+I194,0))</f>
        <v>1.5890599051560548</v>
      </c>
      <c r="I194" s="64">
        <f t="shared" ca="1" si="6"/>
        <v>-0.14594271969773559</v>
      </c>
      <c r="J194" s="63">
        <f>IF(SUM(E190:E193)&lt;Variables!$B$3,-H193,0)</f>
        <v>0</v>
      </c>
      <c r="K194" s="64">
        <f ca="1">IF(AND(H193&lt;Variables!$B$6*Variables!$E$50,OR(SUM(D191:D194)&gt;Variables!$B$5,SUM(E191:E194)&gt;Variables!$B$4)),Variables!$B$6*Variables!$E$50+Variables!$B$7*$G$1*Variables!$E$50*SUM(D191:D194),0)</f>
        <v>0</v>
      </c>
      <c r="L194" s="64">
        <f>IF(B194="Winter",Variables!$B$8*H193,0)</f>
        <v>0</v>
      </c>
      <c r="M194" s="64">
        <f ca="1">IF(AND(B194="Spring",AND(NOT(H193=0),H193&lt;(Variables!$B$9*Variables!$E$50))),(Variables!$B$10*Variables!$E$50+Variables!$B$11*Variables!$E$50*SUM(E191:E194)+$G$1*SUM(D193:D194)*Variables!$E$50*Variables!$B$12),0)</f>
        <v>-0.14594271969773559</v>
      </c>
      <c r="N194" s="64">
        <f>IF(AND(B194="Spring",AND(SUM(D191:D194)&gt;Variables!$B$13,SUM(D187:D190)&gt;Variables!$B$13)),-Variables!$B$14*Variables!$E$50,0)</f>
        <v>0</v>
      </c>
      <c r="O194" s="64">
        <f>IF(AND(B194="Summer",SUM(C190:D194)&gt;Variables!$B$15),(Variables!$B$16*Variables!$E$50*SUM(C190:C194)+$G$1*Variables!$B$16*Variables!$E$50*SUM(D190:D194)+$G$1*Variables!$E$50*Variables!$B$17*F194),0)</f>
        <v>0</v>
      </c>
      <c r="P194" s="64">
        <f ca="1">IF(AND(AND(B194="Autumn",SUM(D193:E194)&gt;0),NOT(H193=0)),Variables!$B$18*Variables!$E$50+Variables!$B$19*Variables!$E$50*SUM(E193:E194)+$G$1*Variables!$B$19*Variables!$E$50*SUM(D193:D194),0)</f>
        <v>0</v>
      </c>
      <c r="Q194" s="64">
        <f>IF(AND(B194="Autumn",AND((E194+E193)&lt;Variables!$B$20,(D193+D194)=0)),-Variables!$B$21*Variables!$E$50,0)</f>
        <v>0</v>
      </c>
      <c r="R194" s="64">
        <f>IF(B194="Autumn",(SUM(F193:F194)*$G$1*Variables!$B$22*Variables!$E$50),0)</f>
        <v>0</v>
      </c>
      <c r="S194" s="64">
        <f ca="1">IF(B194="Spring",($G$1*Variables!$E$50*SUM('Guts (MC)'!F193:F194)*Variables!$B$23),0)</f>
        <v>0</v>
      </c>
      <c r="T194" s="63">
        <f ca="1">IF((H193+SUM(J194:Q194))&lt;(Variables!$B$26*Variables!$E$50),$F$1*((Variables!$B$26*Variables!$E$50)-H193-SUM(J194:Q194)),0)</f>
        <v>0</v>
      </c>
      <c r="U194" s="64">
        <f ca="1">IF(AND(AND(B194="Autumn",SUM(D191:E194)&gt;Variables!$B$27),SUM(J194:Q194)&lt;Variables!$B$28*H193),$F$1*(Variables!$B$28*H193-SUM(J194:Q194)),0)</f>
        <v>0</v>
      </c>
      <c r="V194" s="96">
        <f ca="1">IF(AND((J194+K194)=0,(Q194+T194)=0),$H$1*H194*Variables!$I$23*0.25,0)</f>
        <v>19.369015695527821</v>
      </c>
      <c r="W194" s="97">
        <f ca="1">IF(AND((K194+J194)=0,(T194+Q194)=0),$I$1*H194*Variables!$Q$23*0.25,0)</f>
        <v>6.2293261278926</v>
      </c>
      <c r="X194" s="95">
        <f ca="1">IF(AND(NOT(K194=0),(H194-H193)&gt;0),(H194-H193)*(Variables!$M$5*$H$1+Variables!$U$5*$I$1),0)+IF(AND(NOT((J194+N194+Q194)=0),(H193-H194)&gt;0),(H193-H194)*(Variables!$M$4*$H$1+Variables!$U$4*$I$1),0)</f>
        <v>0</v>
      </c>
      <c r="Y194" s="95">
        <f ca="1">IF(SUM(T194,U193:U194)&gt;0,H194*Variables!$Y$11*0.25*(1-$J$1),0)</f>
        <v>0</v>
      </c>
      <c r="Z194" s="95">
        <f ca="1">IF(T194=0,H194*$J$1*Variables!$Y$5*0.25,0)</f>
        <v>1.7881481942085304</v>
      </c>
      <c r="AA194" s="95">
        <f t="shared" ca="1" si="5"/>
        <v>27.386490017628951</v>
      </c>
      <c r="AB194" s="91">
        <f ca="1">AA194/Variables!$E$49</f>
        <v>4.4171758092949922</v>
      </c>
    </row>
    <row r="195" spans="1:28" x14ac:dyDescent="0.25">
      <c r="A195" s="61">
        <f>'Water runs'!C202</f>
        <v>19783</v>
      </c>
      <c r="B195" s="61" t="str">
        <f>'Water runs'!B202</f>
        <v>Summer</v>
      </c>
      <c r="C195" s="54">
        <f>'Water runs'!D202/100</f>
        <v>1.5088333333333301</v>
      </c>
      <c r="D195" s="108">
        <f>VLOOKUP(ROW(D195)+4,'Water runs'!$BS$3:$CF$423,MATCH($B$1,Scenarios,0)+1)</f>
        <v>0.53389733885462276</v>
      </c>
      <c r="E195" s="54">
        <f>IF(B195=Variables!$D$8,C195-Variables!$E$8,IF(B195=Variables!$D$9,C195-Variables!$E$9,IF(B195=Variables!$D$10,C195-Variables!$E$10,IF(B195=Variables!$D$11,C195-Variables!$E$11,"ELSE"))))</f>
        <v>0.25046319727890842</v>
      </c>
      <c r="F195" s="108">
        <f>VLOOKUP(ROW(F195)+4,'Water runs'!$CH$3:$CU$423,MATCH($B$1,Scenarios,0)+1)</f>
        <v>0</v>
      </c>
      <c r="G195" s="65">
        <f ca="1">H195/Variables!$E$49</f>
        <v>0.25629998470258947</v>
      </c>
      <c r="H195" s="62">
        <f ca="1">IF((H194+I195)&gt;(1.1*Variables!$E$50),(1.1*Variables!$E$50),IF((H194+I195)&gt;0,H194+I195,0))</f>
        <v>1.5890599051560548</v>
      </c>
      <c r="I195" s="64">
        <f t="shared" ca="1" si="6"/>
        <v>0</v>
      </c>
      <c r="J195" s="63">
        <f>IF(SUM(E191:E194)&lt;Variables!$B$3,-H194,0)</f>
        <v>0</v>
      </c>
      <c r="K195" s="64">
        <f ca="1">IF(AND(H194&lt;Variables!$B$6*Variables!$E$50,OR(SUM(D192:D195)&gt;Variables!$B$5,SUM(E192:E195)&gt;Variables!$B$4)),Variables!$B$6*Variables!$E$50+Variables!$B$7*$G$1*Variables!$E$50*SUM(D192:D195),0)</f>
        <v>0</v>
      </c>
      <c r="L195" s="64">
        <f>IF(B195="Winter",Variables!$B$8*H194,0)</f>
        <v>0</v>
      </c>
      <c r="M195" s="64">
        <f ca="1">IF(AND(B195="Spring",AND(NOT(H194=0),H194&lt;(Variables!$B$9*Variables!$E$50))),(Variables!$B$10*Variables!$E$50+Variables!$B$11*Variables!$E$50*SUM(E192:E195)+$G$1*SUM(D194:D195)*Variables!$E$50*Variables!$B$12),0)</f>
        <v>0</v>
      </c>
      <c r="N195" s="64">
        <f>IF(AND(B195="Spring",AND(SUM(D192:D195)&gt;Variables!$B$13,SUM(D188:D191)&gt;Variables!$B$13)),-Variables!$B$14*Variables!$E$50,0)</f>
        <v>0</v>
      </c>
      <c r="O195" s="64">
        <f>IF(AND(B195="Summer",SUM(C191:D195)&gt;Variables!$B$15),(Variables!$B$16*Variables!$E$50*SUM(C191:C195)+$G$1*Variables!$B$16*Variables!$E$50*SUM(D191:D195)+$G$1*Variables!$E$50*Variables!$B$17*F195),0)</f>
        <v>0</v>
      </c>
      <c r="P195" s="64">
        <f ca="1">IF(AND(AND(B195="Autumn",SUM(D194:E195)&gt;0),NOT(H194=0)),Variables!$B$18*Variables!$E$50+Variables!$B$19*Variables!$E$50*SUM(E194:E195)+$G$1*Variables!$B$19*Variables!$E$50*SUM(D194:D195),0)</f>
        <v>0</v>
      </c>
      <c r="Q195" s="64">
        <f>IF(AND(B195="Autumn",AND((E195+E194)&lt;Variables!$B$20,(D194+D195)=0)),-Variables!$B$21*Variables!$E$50,0)</f>
        <v>0</v>
      </c>
      <c r="R195" s="64">
        <f>IF(B195="Autumn",(SUM(F194:F195)*$G$1*Variables!$B$22*Variables!$E$50),0)</f>
        <v>0</v>
      </c>
      <c r="S195" s="64">
        <f>IF(B195="Spring",($G$1*Variables!$E$50*SUM('Guts (MC)'!F194:F195)*Variables!$B$23),0)</f>
        <v>0</v>
      </c>
      <c r="T195" s="63">
        <f ca="1">IF((H194+SUM(J195:Q195))&lt;(Variables!$B$26*Variables!$E$50),$F$1*((Variables!$B$26*Variables!$E$50)-H194-SUM(J195:Q195)),0)</f>
        <v>0</v>
      </c>
      <c r="U195" s="64">
        <f ca="1">IF(AND(AND(B195="Autumn",SUM(D192:E195)&gt;Variables!$B$27),SUM(J195:Q195)&lt;Variables!$B$28*H194),$F$1*(Variables!$B$28*H194-SUM(J195:Q195)),0)</f>
        <v>0</v>
      </c>
      <c r="V195" s="96">
        <f ca="1">IF(AND((J195+K195)=0,(Q195+T195)=0),$H$1*H195*Variables!$I$23*0.25,0)</f>
        <v>19.369015695527821</v>
      </c>
      <c r="W195" s="97">
        <f ca="1">IF(AND((K195+J195)=0,(T195+Q195)=0),$I$1*H195*Variables!$Q$23*0.25,0)</f>
        <v>6.2293261278926</v>
      </c>
      <c r="X195" s="95">
        <f ca="1">IF(AND(NOT(K195=0),(H195-H194)&gt;0),(H195-H194)*(Variables!$M$5*$H$1+Variables!$U$5*$I$1),0)+IF(AND(NOT((J195+N195+Q195)=0),(H194-H195)&gt;0),(H194-H195)*(Variables!$M$4*$H$1+Variables!$U$4*$I$1),0)</f>
        <v>0</v>
      </c>
      <c r="Y195" s="95">
        <f ca="1">IF(SUM(T195,U194:U195)&gt;0,H195*Variables!$Y$11*0.25*(1-$J$1),0)</f>
        <v>0</v>
      </c>
      <c r="Z195" s="95">
        <f ca="1">IF(T195=0,H195*$J$1*Variables!$Y$5*0.25,0)</f>
        <v>1.7881481942085304</v>
      </c>
      <c r="AA195" s="95">
        <f t="shared" ca="1" si="5"/>
        <v>27.386490017628951</v>
      </c>
      <c r="AB195" s="91">
        <f ca="1">AA195/Variables!$E$49</f>
        <v>4.4171758092949922</v>
      </c>
    </row>
    <row r="196" spans="1:28" x14ac:dyDescent="0.25">
      <c r="A196" s="61">
        <f>'Water runs'!C203</f>
        <v>19875</v>
      </c>
      <c r="B196" s="61" t="str">
        <f>'Water runs'!B203</f>
        <v>Autumn</v>
      </c>
      <c r="C196" s="54">
        <f>'Water runs'!D203/100</f>
        <v>0</v>
      </c>
      <c r="D196" s="108">
        <f>VLOOKUP(ROW(D196)+4,'Water runs'!$BS$3:$CF$423,MATCH($B$1,Scenarios,0)+1)</f>
        <v>0.32940640860180997</v>
      </c>
      <c r="E196" s="54">
        <f>IF(B196=Variables!$D$8,C196-Variables!$E$8,IF(B196=Variables!$D$9,C196-Variables!$E$9,IF(B196=Variables!$D$10,C196-Variables!$E$10,IF(B196=Variables!$D$11,C196-Variables!$E$11,"ELSE"))))</f>
        <v>-0.99464329931972784</v>
      </c>
      <c r="F196" s="108">
        <f>VLOOKUP(ROW(F196)+4,'Water runs'!$CH$3:$CU$423,MATCH($B$1,Scenarios,0)+1)</f>
        <v>0.79365196874084509</v>
      </c>
      <c r="G196" s="65">
        <f ca="1">H196/Variables!$E$49</f>
        <v>0.3144136788908839</v>
      </c>
      <c r="H196" s="62">
        <f ca="1">IF((H195+I196)&gt;(1.1*Variables!$E$50),(1.1*Variables!$E$50),IF((H195+I196)&gt;0,H195+I196,0))</f>
        <v>1.9493648091234801</v>
      </c>
      <c r="I196" s="64">
        <f t="shared" ca="1" si="6"/>
        <v>0.36030490396742532</v>
      </c>
      <c r="J196" s="63">
        <f>IF(SUM(E192:E195)&lt;Variables!$B$3,-H195,0)</f>
        <v>0</v>
      </c>
      <c r="K196" s="64">
        <f ca="1">IF(AND(H195&lt;Variables!$B$6*Variables!$E$50,OR(SUM(D193:D196)&gt;Variables!$B$5,SUM(E193:E196)&gt;Variables!$B$4)),Variables!$B$6*Variables!$E$50+Variables!$B$7*$G$1*Variables!$E$50*SUM(D193:D196),0)</f>
        <v>0</v>
      </c>
      <c r="L196" s="64">
        <f>IF(B196="Winter",Variables!$B$8*H195,0)</f>
        <v>0</v>
      </c>
      <c r="M196" s="64">
        <f ca="1">IF(AND(B196="Spring",AND(NOT(H195=0),H195&lt;(Variables!$B$9*Variables!$E$50))),(Variables!$B$10*Variables!$E$50+Variables!$B$11*Variables!$E$50*SUM(E193:E196)+$G$1*SUM(D195:D196)*Variables!$E$50*Variables!$B$12),0)</f>
        <v>0</v>
      </c>
      <c r="N196" s="64">
        <f>IF(AND(B196="Spring",AND(SUM(D193:D196)&gt;Variables!$B$13,SUM(D189:D192)&gt;Variables!$B$13)),-Variables!$B$14*Variables!$E$50,0)</f>
        <v>0</v>
      </c>
      <c r="O196" s="64">
        <f>IF(AND(B196="Summer",SUM(C192:D196)&gt;Variables!$B$15),(Variables!$B$16*Variables!$E$50*SUM(C192:C196)+$G$1*Variables!$B$16*Variables!$E$50*SUM(D192:D196)+$G$1*Variables!$E$50*Variables!$B$17*F196),0)</f>
        <v>0</v>
      </c>
      <c r="P196" s="64">
        <f ca="1">IF(AND(AND(B196="Autumn",SUM(D195:E196)&gt;0),NOT(H195=0)),Variables!$B$18*Variables!$E$50+Variables!$B$19*Variables!$E$50*SUM(E195:E196)+$G$1*Variables!$B$19*Variables!$E$50*SUM(D195:D196),0)</f>
        <v>0.24015225457239686</v>
      </c>
      <c r="Q196" s="64">
        <f>IF(AND(B196="Autumn",AND((E196+E195)&lt;Variables!$B$20,(D195+D196)=0)),-Variables!$B$21*Variables!$E$50,0)</f>
        <v>0</v>
      </c>
      <c r="R196" s="64">
        <f ca="1">IF(B196="Autumn",(SUM(F195:F196)*$G$1*Variables!$B$22*Variables!$E$50),0)</f>
        <v>0.12015264939502847</v>
      </c>
      <c r="S196" s="64">
        <f>IF(B196="Spring",($G$1*Variables!$E$50*SUM('Guts (MC)'!F195:F196)*Variables!$B$23),0)</f>
        <v>0</v>
      </c>
      <c r="T196" s="63">
        <f ca="1">IF((H195+SUM(J196:Q196))&lt;(Variables!$B$26*Variables!$E$50),$F$1*((Variables!$B$26*Variables!$E$50)-H195-SUM(J196:Q196)),0)</f>
        <v>0</v>
      </c>
      <c r="U196" s="64">
        <f ca="1">IF(AND(AND(B196="Autumn",SUM(D193:E196)&gt;Variables!$B$27),SUM(J196:Q196)&lt;Variables!$B$28*H195),$F$1*(Variables!$B$28*H195-SUM(J196:Q196)),0)</f>
        <v>0</v>
      </c>
      <c r="V196" s="96">
        <f ca="1">IF(AND((J196+K196)=0,(Q196+T196)=0),$H$1*H196*Variables!$I$23*0.25,0)</f>
        <v>23.760764123309936</v>
      </c>
      <c r="W196" s="97">
        <f ca="1">IF(AND((K196+J196)=0,(T196+Q196)=0),$I$1*H196*Variables!$Q$23*0.25,0)</f>
        <v>7.641769261728828</v>
      </c>
      <c r="X196" s="95">
        <f ca="1">IF(AND(NOT(K196=0),(H196-H195)&gt;0),(H196-H195)*(Variables!$M$5*$H$1+Variables!$U$5*$I$1),0)+IF(AND(NOT((J196+N196+Q196)=0),(H195-H196)&gt;0),(H195-H196)*(Variables!$M$4*$H$1+Variables!$U$4*$I$1),0)</f>
        <v>0</v>
      </c>
      <c r="Y196" s="95">
        <f ca="1">IF(SUM(T196,U195:U196)&gt;0,H196*Variables!$Y$11*0.25*(1-$J$1),0)</f>
        <v>0</v>
      </c>
      <c r="Z196" s="95">
        <f ca="1">IF(T196=0,H196*$J$1*Variables!$Y$5*0.25,0)</f>
        <v>2.193594559888846</v>
      </c>
      <c r="AA196" s="95">
        <f t="shared" ca="1" si="5"/>
        <v>33.596127944927609</v>
      </c>
      <c r="AB196" s="91">
        <f ca="1">AA196/Variables!$E$49</f>
        <v>5.418730313698001</v>
      </c>
    </row>
    <row r="197" spans="1:28" x14ac:dyDescent="0.25">
      <c r="A197" s="61">
        <f>'Water runs'!C204</f>
        <v>19967</v>
      </c>
      <c r="B197" s="61" t="str">
        <f>'Water runs'!B204</f>
        <v>Winter</v>
      </c>
      <c r="C197" s="54">
        <f>'Water runs'!D204/100</f>
        <v>1.1230500000000001</v>
      </c>
      <c r="D197" s="108">
        <f>VLOOKUP(ROW(D197)+4,'Water runs'!$BS$3:$CF$423,MATCH($B$1,Scenarios,0)+1)</f>
        <v>0.59027149858668715</v>
      </c>
      <c r="E197" s="54">
        <f>IF(B197=Variables!$D$8,C197-Variables!$E$8,IF(B197=Variables!$D$9,C197-Variables!$E$9,IF(B197=Variables!$D$10,C197-Variables!$E$10,IF(B197=Variables!$D$11,C197-Variables!$E$11,"ELSE"))))</f>
        <v>0.55128237433862437</v>
      </c>
      <c r="F197" s="108">
        <f>VLOOKUP(ROW(F197)+4,'Water runs'!$CH$3:$CU$423,MATCH($B$1,Scenarios,0)+1)</f>
        <v>0.52143405727677972</v>
      </c>
      <c r="G197" s="65">
        <f ca="1">H197/Variables!$E$49</f>
        <v>0.161</v>
      </c>
      <c r="H197" s="62">
        <f ca="1">IF((H196+I197)&gt;(1.1*Variables!$E$50),(1.1*Variables!$E$50),IF((H196+I197)&gt;0,H196+I197,0))</f>
        <v>0.99820000000000009</v>
      </c>
      <c r="I197" s="64">
        <f t="shared" ca="1" si="6"/>
        <v>-0.95116480912348</v>
      </c>
      <c r="J197" s="63">
        <f>IF(SUM(E193:E196)&lt;Variables!$B$3,-H196,0)</f>
        <v>0</v>
      </c>
      <c r="K197" s="64">
        <f ca="1">IF(AND(H196&lt;Variables!$B$6*Variables!$E$50,OR(SUM(D194:D197)&gt;Variables!$B$5,SUM(E194:E197)&gt;Variables!$B$4)),Variables!$B$6*Variables!$E$50+Variables!$B$7*$G$1*Variables!$E$50*SUM(D194:D197),0)</f>
        <v>0</v>
      </c>
      <c r="L197" s="64">
        <f ca="1">IF(B197="Winter",Variables!$B$8*H196,0)</f>
        <v>-0.97067694007609273</v>
      </c>
      <c r="M197" s="64">
        <f ca="1">IF(AND(B197="Spring",AND(NOT(H196=0),H196&lt;(Variables!$B$9*Variables!$E$50))),(Variables!$B$10*Variables!$E$50+Variables!$B$11*Variables!$E$50*SUM(E194:E197)+$G$1*SUM(D196:D197)*Variables!$E$50*Variables!$B$12),0)</f>
        <v>0</v>
      </c>
      <c r="N197" s="64">
        <f>IF(AND(B197="Spring",AND(SUM(D194:D197)&gt;Variables!$B$13,SUM(D190:D193)&gt;Variables!$B$13)),-Variables!$B$14*Variables!$E$50,0)</f>
        <v>0</v>
      </c>
      <c r="O197" s="64">
        <f>IF(AND(B197="Summer",SUM(C193:D197)&gt;Variables!$B$15),(Variables!$B$16*Variables!$E$50*SUM(C193:C197)+$G$1*Variables!$B$16*Variables!$E$50*SUM(D193:D197)+$G$1*Variables!$E$50*Variables!$B$17*F197),0)</f>
        <v>0</v>
      </c>
      <c r="P197" s="64">
        <f ca="1">IF(AND(AND(B197="Autumn",SUM(D196:E197)&gt;0),NOT(H196=0)),Variables!$B$18*Variables!$E$50+Variables!$B$19*Variables!$E$50*SUM(E196:E197)+$G$1*Variables!$B$19*Variables!$E$50*SUM(D196:D197),0)</f>
        <v>0</v>
      </c>
      <c r="Q197" s="64">
        <f>IF(AND(B197="Autumn",AND((E197+E196)&lt;Variables!$B$20,(D196+D197)=0)),-Variables!$B$21*Variables!$E$50,0)</f>
        <v>0</v>
      </c>
      <c r="R197" s="64">
        <f>IF(B197="Autumn",(SUM(F196:F197)*$G$1*Variables!$B$22*Variables!$E$50),0)</f>
        <v>0</v>
      </c>
      <c r="S197" s="64">
        <f>IF(B197="Spring",($G$1*Variables!$E$50*SUM('Guts (MC)'!F196:F197)*Variables!$B$23),0)</f>
        <v>0</v>
      </c>
      <c r="T197" s="63">
        <f ca="1">IF((H196+SUM(J197:Q197))&lt;(Variables!$B$26*Variables!$E$50),$F$1*((Variables!$B$26*Variables!$E$50)-H196-SUM(J197:Q197)),0)</f>
        <v>1.9512130952612727E-2</v>
      </c>
      <c r="U197" s="64">
        <f ca="1">IF(AND(AND(B197="Autumn",SUM(D194:E197)&gt;Variables!$B$27),SUM(J197:Q197)&lt;Variables!$B$28*H196),$F$1*(Variables!$B$28*H196-SUM(J197:Q197)),0)</f>
        <v>0</v>
      </c>
      <c r="V197" s="96">
        <f ca="1">IF(AND((J197+K197)=0,(Q197+T197)=0),$H$1*H197*Variables!$I$23*0.25,0)</f>
        <v>0</v>
      </c>
      <c r="W197" s="97">
        <f ca="1">IF(AND((K197+J197)=0,(T197+Q197)=0),$I$1*H197*Variables!$Q$23*0.25,0)</f>
        <v>0</v>
      </c>
      <c r="X197" s="95">
        <f ca="1">IF(AND(NOT(K197=0),(H197-H196)&gt;0),(H197-H196)*(Variables!$M$5*$H$1+Variables!$U$5*$I$1),0)+IF(AND(NOT((J197+N197+Q197)=0),(H196-H197)&gt;0),(H196-H197)*(Variables!$M$4*$H$1+Variables!$U$4*$I$1),0)</f>
        <v>0</v>
      </c>
      <c r="Y197" s="95">
        <f ca="1">IF(SUM(T197,U196:U197)&gt;0,H197*Variables!$Y$11*0.25*(1-$J$1),0)</f>
        <v>-8.6666009437672749</v>
      </c>
      <c r="Z197" s="95">
        <f ca="1">IF(T197=0,H197*$J$1*Variables!$Y$5*0.25,0)</f>
        <v>0</v>
      </c>
      <c r="AA197" s="95">
        <f t="shared" ca="1" si="5"/>
        <v>-8.6666009437672749</v>
      </c>
      <c r="AB197" s="91">
        <f ca="1">AA197/Variables!$E$49</f>
        <v>-1.3978388618979476</v>
      </c>
    </row>
    <row r="198" spans="1:28" x14ac:dyDescent="0.25">
      <c r="A198" s="61">
        <f>'Water runs'!C205</f>
        <v>20058</v>
      </c>
      <c r="B198" s="61" t="str">
        <f>'Water runs'!B205</f>
        <v>Spring</v>
      </c>
      <c r="C198" s="54">
        <f>'Water runs'!D205/100</f>
        <v>0.75749999999999995</v>
      </c>
      <c r="D198" s="108">
        <f>VLOOKUP(ROW(D198)+4,'Water runs'!$BS$3:$CF$423,MATCH($B$1,Scenarios,0)+1)</f>
        <v>0.36046286985645176</v>
      </c>
      <c r="E198" s="54">
        <f>IF(B198=Variables!$D$8,C198-Variables!$E$8,IF(B198=Variables!$D$9,C198-Variables!$E$9,IF(B198=Variables!$D$10,C198-Variables!$E$10,IF(B198=Variables!$D$11,C198-Variables!$E$11,"ELSE"))))</f>
        <v>-6.4822089947091932E-3</v>
      </c>
      <c r="F198" s="108">
        <f>VLOOKUP(ROW(F198)+4,'Water runs'!$CH$3:$CU$423,MATCH($B$1,Scenarios,0)+1)</f>
        <v>0.33930909983451968</v>
      </c>
      <c r="G198" s="65">
        <f ca="1">H198/Variables!$E$49</f>
        <v>0.41977398320052933</v>
      </c>
      <c r="H198" s="62">
        <f ca="1">IF((H197+I198)&gt;(1.1*Variables!$E$50),(1.1*Variables!$E$50),IF((H197+I198)&gt;0,H197+I198,0))</f>
        <v>2.6025986958432821</v>
      </c>
      <c r="I198" s="64">
        <f t="shared" ca="1" si="6"/>
        <v>1.6043986958432819</v>
      </c>
      <c r="J198" s="63">
        <f>IF(SUM(E194:E197)&lt;Variables!$B$3,-H197,0)</f>
        <v>0</v>
      </c>
      <c r="K198" s="64">
        <f ca="1">IF(AND(H197&lt;Variables!$B$6*Variables!$E$50,OR(SUM(D195:D198)&gt;Variables!$B$5,SUM(E195:E198)&gt;Variables!$B$4)),Variables!$B$6*Variables!$E$50+Variables!$B$7*$G$1*Variables!$E$50*SUM(D195:D198),0)</f>
        <v>1.2436458396998322</v>
      </c>
      <c r="L198" s="64">
        <f>IF(B198="Winter",Variables!$B$8*H197,0)</f>
        <v>0</v>
      </c>
      <c r="M198" s="64">
        <f ca="1">IF(AND(B198="Spring",AND(NOT(H197=0),H197&lt;(Variables!$B$9*Variables!$E$50))),(Variables!$B$10*Variables!$E$50+Variables!$B$11*Variables!$E$50*SUM(E195:E198)+$G$1*SUM(D197:D198)*Variables!$E$50*Variables!$B$12),0)</f>
        <v>0.24240196122662025</v>
      </c>
      <c r="N198" s="64">
        <f>IF(AND(B198="Spring",AND(SUM(D195:D198)&gt;Variables!$B$13,SUM(D191:D194)&gt;Variables!$B$13)),-Variables!$B$14*Variables!$E$50,0)</f>
        <v>0</v>
      </c>
      <c r="O198" s="64">
        <f>IF(AND(B198="Summer",SUM(C194:D198)&gt;Variables!$B$15),(Variables!$B$16*Variables!$E$50*SUM(C194:C198)+$G$1*Variables!$B$16*Variables!$E$50*SUM(D194:D198)+$G$1*Variables!$E$50*Variables!$B$17*F198),0)</f>
        <v>0</v>
      </c>
      <c r="P198" s="64">
        <f ca="1">IF(AND(AND(B198="Autumn",SUM(D197:E198)&gt;0),NOT(H197=0)),Variables!$B$18*Variables!$E$50+Variables!$B$19*Variables!$E$50*SUM(E197:E198)+$G$1*Variables!$B$19*Variables!$E$50*SUM(D197:D198),0)</f>
        <v>0</v>
      </c>
      <c r="Q198" s="64">
        <f>IF(AND(B198="Autumn",AND((E198+E197)&lt;Variables!$B$20,(D197+D198)=0)),-Variables!$B$21*Variables!$E$50,0)</f>
        <v>0</v>
      </c>
      <c r="R198" s="64">
        <f>IF(B198="Autumn",(SUM(F197:F198)*$G$1*Variables!$B$22*Variables!$E$50),0)</f>
        <v>0</v>
      </c>
      <c r="S198" s="64">
        <f ca="1">IF(B198="Spring",($G$1*Variables!$E$50*SUM('Guts (MC)'!F197:F198)*Variables!$B$23),0)</f>
        <v>0.11835089491682946</v>
      </c>
      <c r="T198" s="63">
        <f ca="1">IF((H197+SUM(J198:Q198))&lt;(Variables!$B$26*Variables!$E$50),$F$1*((Variables!$B$26*Variables!$E$50)-H197-SUM(J198:Q198)),0)</f>
        <v>0</v>
      </c>
      <c r="U198" s="64">
        <f ca="1">IF(AND(AND(B198="Autumn",SUM(D195:E198)&gt;Variables!$B$27),SUM(J198:Q198)&lt;Variables!$B$28*H197),$F$1*(Variables!$B$28*H197-SUM(J198:Q198)),0)</f>
        <v>0</v>
      </c>
      <c r="V198" s="96">
        <f ca="1">IF(AND((J198+K198)=0,(Q198+T198)=0),$H$1*H198*Variables!$I$23*0.25,0)</f>
        <v>0</v>
      </c>
      <c r="W198" s="97">
        <f ca="1">IF(AND((K198+J198)=0,(T198+Q198)=0),$I$1*H198*Variables!$Q$23*0.25,0)</f>
        <v>0</v>
      </c>
      <c r="X198" s="95">
        <f ca="1">IF(AND(NOT(K198=0),(H198-H197)&gt;0),(H198-H197)*(Variables!$M$5*$H$1+Variables!$U$5*$I$1),0)+IF(AND(NOT((J198+N198+Q198)=0),(H197-H198)&gt;0),(H197-H198)*(Variables!$M$4*$H$1+Variables!$U$4*$I$1),0)</f>
        <v>-183.40598954867019</v>
      </c>
      <c r="Y198" s="95">
        <f ca="1">IF(SUM(T198,U197:U198)&gt;0,H198*Variables!$Y$11*0.25*(1-$J$1),0)</f>
        <v>0</v>
      </c>
      <c r="Z198" s="95">
        <f ca="1">IF(T198=0,H198*$J$1*Variables!$Y$5*0.25,0)</f>
        <v>2.9286700539867994</v>
      </c>
      <c r="AA198" s="95">
        <f t="shared" ca="1" si="5"/>
        <v>-180.4773194946834</v>
      </c>
      <c r="AB198" s="91">
        <f ca="1">AA198/Variables!$E$49</f>
        <v>-29.109245079787645</v>
      </c>
    </row>
    <row r="199" spans="1:28" x14ac:dyDescent="0.25">
      <c r="A199" s="61">
        <f>'Water runs'!C206</f>
        <v>20148</v>
      </c>
      <c r="B199" s="61" t="str">
        <f>'Water runs'!B206</f>
        <v>Summer</v>
      </c>
      <c r="C199" s="54">
        <f>'Water runs'!D206/100</f>
        <v>2.2707999999999999</v>
      </c>
      <c r="D199" s="108">
        <f>VLOOKUP(ROW(D199)+4,'Water runs'!$BS$3:$CF$423,MATCH($B$1,Scenarios,0)+1)</f>
        <v>1.7387311063428847E-3</v>
      </c>
      <c r="E199" s="54">
        <f>IF(B199=Variables!$D$8,C199-Variables!$E$8,IF(B199=Variables!$D$9,C199-Variables!$E$9,IF(B199=Variables!$D$10,C199-Variables!$E$10,IF(B199=Variables!$D$11,C199-Variables!$E$11,"ELSE"))))</f>
        <v>1.0124298639455782</v>
      </c>
      <c r="F199" s="108">
        <f>VLOOKUP(ROW(F199)+4,'Water runs'!$CH$3:$CU$423,MATCH($B$1,Scenarios,0)+1)</f>
        <v>0</v>
      </c>
      <c r="G199" s="65">
        <f ca="1">H199/Variables!$E$49</f>
        <v>0.85109966571832518</v>
      </c>
      <c r="H199" s="62">
        <f ca="1">IF((H198+I199)&gt;(1.1*Variables!$E$50),(1.1*Variables!$E$50),IF((H198+I199)&gt;0,H198+I199,0))</f>
        <v>5.2768179274536164</v>
      </c>
      <c r="I199" s="64">
        <f t="shared" ca="1" si="6"/>
        <v>2.6742192316103344</v>
      </c>
      <c r="J199" s="63">
        <f>IF(SUM(E195:E198)&lt;Variables!$B$3,-H198,0)</f>
        <v>0</v>
      </c>
      <c r="K199" s="64">
        <f ca="1">IF(AND(H198&lt;Variables!$B$6*Variables!$E$50,OR(SUM(D196:D199)&gt;Variables!$B$5,SUM(E196:E199)&gt;Variables!$B$4)),Variables!$B$6*Variables!$E$50+Variables!$B$7*$G$1*Variables!$E$50*SUM(D196:D199),0)</f>
        <v>0</v>
      </c>
      <c r="L199" s="64">
        <f>IF(B199="Winter",Variables!$B$8*H198,0)</f>
        <v>0</v>
      </c>
      <c r="M199" s="64">
        <f ca="1">IF(AND(B199="Spring",AND(NOT(H198=0),H198&lt;(Variables!$B$9*Variables!$E$50))),(Variables!$B$10*Variables!$E$50+Variables!$B$11*Variables!$E$50*SUM(E196:E199)+$G$1*SUM(D198:D199)*Variables!$E$50*Variables!$B$12),0)</f>
        <v>0</v>
      </c>
      <c r="N199" s="64">
        <f>IF(AND(B199="Spring",AND(SUM(D196:D199)&gt;Variables!$B$13,SUM(D192:D195)&gt;Variables!$B$13)),-Variables!$B$14*Variables!$E$50,0)</f>
        <v>0</v>
      </c>
      <c r="O199" s="64">
        <f ca="1">IF(AND(B199="Summer",SUM(C195:D199)&gt;Variables!$B$15),(Variables!$B$16*Variables!$E$50*SUM(C195:C199)+$G$1*Variables!$B$16*Variables!$E$50*SUM(D195:D199)+$G$1*Variables!$E$50*Variables!$B$17*F199),0)</f>
        <v>2.6742192316103344</v>
      </c>
      <c r="P199" s="64">
        <f ca="1">IF(AND(AND(B199="Autumn",SUM(D198:E199)&gt;0),NOT(H198=0)),Variables!$B$18*Variables!$E$50+Variables!$B$19*Variables!$E$50*SUM(E198:E199)+$G$1*Variables!$B$19*Variables!$E$50*SUM(D198:D199),0)</f>
        <v>0</v>
      </c>
      <c r="Q199" s="64">
        <f>IF(AND(B199="Autumn",AND((E199+E198)&lt;Variables!$B$20,(D198+D199)=0)),-Variables!$B$21*Variables!$E$50,0)</f>
        <v>0</v>
      </c>
      <c r="R199" s="64">
        <f>IF(B199="Autumn",(SUM(F198:F199)*$G$1*Variables!$B$22*Variables!$E$50),0)</f>
        <v>0</v>
      </c>
      <c r="S199" s="64">
        <f>IF(B199="Spring",($G$1*Variables!$E$50*SUM('Guts (MC)'!F198:F199)*Variables!$B$23),0)</f>
        <v>0</v>
      </c>
      <c r="T199" s="63">
        <f ca="1">IF((H198+SUM(J199:Q199))&lt;(Variables!$B$26*Variables!$E$50),$F$1*((Variables!$B$26*Variables!$E$50)-H198-SUM(J199:Q199)),0)</f>
        <v>0</v>
      </c>
      <c r="U199" s="64">
        <f ca="1">IF(AND(AND(B199="Autumn",SUM(D196:E199)&gt;Variables!$B$27),SUM(J199:Q199)&lt;Variables!$B$28*H198),$F$1*(Variables!$B$28*H198-SUM(J199:Q199)),0)</f>
        <v>0</v>
      </c>
      <c r="V199" s="96">
        <f ca="1">IF(AND((J199+K199)=0,(Q199+T199)=0),$H$1*H199*Variables!$I$23*0.25,0)</f>
        <v>64.319015870741751</v>
      </c>
      <c r="W199" s="97">
        <f ca="1">IF(AND((K199+J199)=0,(T199+Q199)=0),$I$1*H199*Variables!$Q$23*0.25,0)</f>
        <v>20.685827942018822</v>
      </c>
      <c r="X199" s="95">
        <f ca="1">IF(AND(NOT(K199=0),(H199-H198)&gt;0),(H199-H198)*(Variables!$M$5*$H$1+Variables!$U$5*$I$1),0)+IF(AND(NOT((J199+N199+Q199)=0),(H198-H199)&gt;0),(H198-H199)*(Variables!$M$4*$H$1+Variables!$U$4*$I$1),0)</f>
        <v>0</v>
      </c>
      <c r="Y199" s="95">
        <f ca="1">IF(SUM(T199,U198:U199)&gt;0,H199*Variables!$Y$11*0.25*(1-$J$1),0)</f>
        <v>0</v>
      </c>
      <c r="Z199" s="95">
        <f ca="1">IF(T199=0,H199*$J$1*Variables!$Y$5*0.25,0)</f>
        <v>5.9379337541190695</v>
      </c>
      <c r="AA199" s="95">
        <f t="shared" ca="1" si="5"/>
        <v>90.942777566879641</v>
      </c>
      <c r="AB199" s="91">
        <f ca="1">AA199/Variables!$E$49</f>
        <v>14.668189930141878</v>
      </c>
    </row>
    <row r="200" spans="1:28" x14ac:dyDescent="0.25">
      <c r="A200" s="61">
        <f>'Water runs'!C207</f>
        <v>20240</v>
      </c>
      <c r="B200" s="61" t="str">
        <f>'Water runs'!B207</f>
        <v>Autumn</v>
      </c>
      <c r="C200" s="54">
        <f>'Water runs'!D207/100</f>
        <v>1.0363571428571401</v>
      </c>
      <c r="D200" s="108">
        <f>VLOOKUP(ROW(D200)+4,'Water runs'!$BS$3:$CF$423,MATCH($B$1,Scenarios,0)+1)</f>
        <v>2.7457857940284564E-2</v>
      </c>
      <c r="E200" s="54">
        <f>IF(B200=Variables!$D$8,C200-Variables!$E$8,IF(B200=Variables!$D$9,C200-Variables!$E$9,IF(B200=Variables!$D$10,C200-Variables!$E$10,IF(B200=Variables!$D$11,C200-Variables!$E$11,"ELSE"))))</f>
        <v>4.1713843537412254E-2</v>
      </c>
      <c r="F200" s="108">
        <f>VLOOKUP(ROW(F200)+4,'Water runs'!$CH$3:$CU$423,MATCH($B$1,Scenarios,0)+1)</f>
        <v>0</v>
      </c>
      <c r="G200" s="65">
        <f ca="1">H200/Variables!$E$49</f>
        <v>1.2901839028097544</v>
      </c>
      <c r="H200" s="62">
        <f ca="1">IF((H199+I200)&gt;(1.1*Variables!$E$50),(1.1*Variables!$E$50),IF((H199+I200)&gt;0,H199+I200,0))</f>
        <v>7.9991401974204779</v>
      </c>
      <c r="I200" s="64">
        <f t="shared" ca="1" si="6"/>
        <v>2.7223222699668614</v>
      </c>
      <c r="J200" s="63">
        <f>IF(SUM(E196:E199)&lt;Variables!$B$3,-H199,0)</f>
        <v>0</v>
      </c>
      <c r="K200" s="64">
        <f ca="1">IF(AND(H199&lt;Variables!$B$6*Variables!$E$50,OR(SUM(D197:D200)&gt;Variables!$B$5,SUM(E197:E200)&gt;Variables!$B$4)),Variables!$B$6*Variables!$E$50+Variables!$B$7*$G$1*Variables!$E$50*SUM(D197:D200),0)</f>
        <v>0</v>
      </c>
      <c r="L200" s="64">
        <f>IF(B200="Winter",Variables!$B$8*H199,0)</f>
        <v>0</v>
      </c>
      <c r="M200" s="64">
        <f ca="1">IF(AND(B200="Spring",AND(NOT(H199=0),H199&lt;(Variables!$B$9*Variables!$E$50))),(Variables!$B$10*Variables!$E$50+Variables!$B$11*Variables!$E$50*SUM(E197:E200)+$G$1*SUM(D199:D200)*Variables!$E$50*Variables!$B$12),0)</f>
        <v>0</v>
      </c>
      <c r="N200" s="64">
        <f>IF(AND(B200="Spring",AND(SUM(D197:D200)&gt;Variables!$B$13,SUM(D193:D196)&gt;Variables!$B$13)),-Variables!$B$14*Variables!$E$50,0)</f>
        <v>0</v>
      </c>
      <c r="O200" s="64">
        <f>IF(AND(B200="Summer",SUM(C196:D200)&gt;Variables!$B$15),(Variables!$B$16*Variables!$E$50*SUM(C196:C200)+$G$1*Variables!$B$16*Variables!$E$50*SUM(D196:D200)+$G$1*Variables!$E$50*Variables!$B$17*F200),0)</f>
        <v>0</v>
      </c>
      <c r="P200" s="64">
        <f ca="1">IF(AND(AND(B200="Autumn",SUM(D199:E200)&gt;0),NOT(H199=0)),Variables!$B$18*Variables!$E$50+Variables!$B$19*Variables!$E$50*SUM(E199:E200)+$G$1*Variables!$B$19*Variables!$E$50*SUM(D199:D200),0)</f>
        <v>2.7223222699668614</v>
      </c>
      <c r="Q200" s="64">
        <f>IF(AND(B200="Autumn",AND((E200+E199)&lt;Variables!$B$20,(D199+D200)=0)),-Variables!$B$21*Variables!$E$50,0)</f>
        <v>0</v>
      </c>
      <c r="R200" s="64">
        <f ca="1">IF(B200="Autumn",(SUM(F199:F200)*$G$1*Variables!$B$22*Variables!$E$50),0)</f>
        <v>0</v>
      </c>
      <c r="S200" s="64">
        <f>IF(B200="Spring",($G$1*Variables!$E$50*SUM('Guts (MC)'!F199:F200)*Variables!$B$23),0)</f>
        <v>0</v>
      </c>
      <c r="T200" s="63">
        <f ca="1">IF((H199+SUM(J200:Q200))&lt;(Variables!$B$26*Variables!$E$50),$F$1*((Variables!$B$26*Variables!$E$50)-H199-SUM(J200:Q200)),0)</f>
        <v>0</v>
      </c>
      <c r="U200" s="64">
        <f ca="1">IF(AND(AND(B200="Autumn",SUM(D197:E200)&gt;Variables!$B$27),SUM(J200:Q200)&lt;Variables!$B$28*H199),$F$1*(Variables!$B$28*H199-SUM(J200:Q200)),0)</f>
        <v>0</v>
      </c>
      <c r="V200" s="96">
        <f ca="1">IF(AND((J200+K200)=0,(Q200+T200)=0),$H$1*H200*Variables!$I$23*0.25,0)</f>
        <v>97.501341221839709</v>
      </c>
      <c r="W200" s="97">
        <f ca="1">IF(AND((K200+J200)=0,(T200+Q200)=0),$I$1*H200*Variables!$Q$23*0.25,0)</f>
        <v>31.357693231567527</v>
      </c>
      <c r="X200" s="95">
        <f ca="1">IF(AND(NOT(K200=0),(H200-H199)&gt;0),(H200-H199)*(Variables!$M$5*$H$1+Variables!$U$5*$I$1),0)+IF(AND(NOT((J200+N200+Q200)=0),(H199-H200)&gt;0),(H199-H200)*(Variables!$M$4*$H$1+Variables!$U$4*$I$1),0)</f>
        <v>0</v>
      </c>
      <c r="Y200" s="95">
        <f ca="1">IF(SUM(T200,U199:U200)&gt;0,H200*Variables!$Y$11*0.25*(1-$J$1),0)</f>
        <v>0</v>
      </c>
      <c r="Z200" s="95">
        <f ca="1">IF(T200=0,H200*$J$1*Variables!$Y$5*0.25,0)</f>
        <v>9.0013271701255313</v>
      </c>
      <c r="AA200" s="95">
        <f t="shared" ca="1" si="5"/>
        <v>137.86036162353278</v>
      </c>
      <c r="AB200" s="91">
        <f ca="1">AA200/Variables!$E$49</f>
        <v>22.235542197343996</v>
      </c>
    </row>
    <row r="201" spans="1:28" x14ac:dyDescent="0.25">
      <c r="A201" s="61">
        <f>'Water runs'!C208</f>
        <v>20332</v>
      </c>
      <c r="B201" s="61" t="str">
        <f>'Water runs'!B208</f>
        <v>Winter</v>
      </c>
      <c r="C201" s="54">
        <f>'Water runs'!D208/100</f>
        <v>0.93116666666666703</v>
      </c>
      <c r="D201" s="108">
        <f>VLOOKUP(ROW(D201)+4,'Water runs'!$BS$3:$CF$423,MATCH($B$1,Scenarios,0)+1)</f>
        <v>0.27077411539283763</v>
      </c>
      <c r="E201" s="54">
        <f>IF(B201=Variables!$D$8,C201-Variables!$E$8,IF(B201=Variables!$D$9,C201-Variables!$E$9,IF(B201=Variables!$D$10,C201-Variables!$E$10,IF(B201=Variables!$D$11,C201-Variables!$E$11,"ELSE"))))</f>
        <v>0.3593990410052913</v>
      </c>
      <c r="F201" s="108">
        <f>VLOOKUP(ROW(F201)+4,'Water runs'!$CH$3:$CU$423,MATCH($B$1,Scenarios,0)+1)</f>
        <v>0.27233153073262656</v>
      </c>
      <c r="G201" s="65">
        <f ca="1">H201/Variables!$E$49</f>
        <v>0.64774296150748711</v>
      </c>
      <c r="H201" s="62">
        <f ca="1">IF((H200+I201)&gt;(1.1*Variables!$E$50),(1.1*Variables!$E$50),IF((H200+I201)&gt;0,H200+I201,0))</f>
        <v>4.0160063613464203</v>
      </c>
      <c r="I201" s="64">
        <f t="shared" ca="1" si="6"/>
        <v>-3.983133836074058</v>
      </c>
      <c r="J201" s="63">
        <f>IF(SUM(E197:E200)&lt;Variables!$B$3,-H200,0)</f>
        <v>0</v>
      </c>
      <c r="K201" s="64">
        <f ca="1">IF(AND(H200&lt;Variables!$B$6*Variables!$E$50,OR(SUM(D198:D201)&gt;Variables!$B$5,SUM(E198:E201)&gt;Variables!$B$4)),Variables!$B$6*Variables!$E$50+Variables!$B$7*$G$1*Variables!$E$50*SUM(D198:D201),0)</f>
        <v>0</v>
      </c>
      <c r="L201" s="64">
        <f ca="1">IF(B201="Winter",Variables!$B$8*H200,0)</f>
        <v>-3.983133836074058</v>
      </c>
      <c r="M201" s="64">
        <f ca="1">IF(AND(B201="Spring",AND(NOT(H200=0),H200&lt;(Variables!$B$9*Variables!$E$50))),(Variables!$B$10*Variables!$E$50+Variables!$B$11*Variables!$E$50*SUM(E198:E201)+$G$1*SUM(D200:D201)*Variables!$E$50*Variables!$B$12),0)</f>
        <v>0</v>
      </c>
      <c r="N201" s="64">
        <f>IF(AND(B201="Spring",AND(SUM(D198:D201)&gt;Variables!$B$13,SUM(D194:D197)&gt;Variables!$B$13)),-Variables!$B$14*Variables!$E$50,0)</f>
        <v>0</v>
      </c>
      <c r="O201" s="64">
        <f>IF(AND(B201="Summer",SUM(C197:D201)&gt;Variables!$B$15),(Variables!$B$16*Variables!$E$50*SUM(C197:C201)+$G$1*Variables!$B$16*Variables!$E$50*SUM(D197:D201)+$G$1*Variables!$E$50*Variables!$B$17*F201),0)</f>
        <v>0</v>
      </c>
      <c r="P201" s="64">
        <f ca="1">IF(AND(AND(B201="Autumn",SUM(D200:E201)&gt;0),NOT(H200=0)),Variables!$B$18*Variables!$E$50+Variables!$B$19*Variables!$E$50*SUM(E200:E201)+$G$1*Variables!$B$19*Variables!$E$50*SUM(D200:D201),0)</f>
        <v>0</v>
      </c>
      <c r="Q201" s="64">
        <f>IF(AND(B201="Autumn",AND((E201+E200)&lt;Variables!$B$20,(D200+D201)=0)),-Variables!$B$21*Variables!$E$50,0)</f>
        <v>0</v>
      </c>
      <c r="R201" s="64">
        <f>IF(B201="Autumn",(SUM(F200:F201)*$G$1*Variables!$B$22*Variables!$E$50),0)</f>
        <v>0</v>
      </c>
      <c r="S201" s="64">
        <f>IF(B201="Spring",($G$1*Variables!$E$50*SUM('Guts (MC)'!F200:F201)*Variables!$B$23),0)</f>
        <v>0</v>
      </c>
      <c r="T201" s="63">
        <f ca="1">IF((H200+SUM(J201:Q201))&lt;(Variables!$B$26*Variables!$E$50),$F$1*((Variables!$B$26*Variables!$E$50)-H200-SUM(J201:Q201)),0)</f>
        <v>0</v>
      </c>
      <c r="U201" s="64">
        <f ca="1">IF(AND(AND(B201="Autumn",SUM(D198:E201)&gt;Variables!$B$27),SUM(J201:Q201)&lt;Variables!$B$28*H200),$F$1*(Variables!$B$28*H200-SUM(J201:Q201)),0)</f>
        <v>0</v>
      </c>
      <c r="V201" s="96">
        <f ca="1">IF(AND((J201+K201)=0,(Q201+T201)=0),$H$1*H201*Variables!$I$23*0.25,0)</f>
        <v>48.951011849121791</v>
      </c>
      <c r="W201" s="97">
        <f ca="1">IF(AND((K201+J201)=0,(T201+Q201)=0),$I$1*H201*Variables!$Q$23*0.25,0)</f>
        <v>15.743278950872108</v>
      </c>
      <c r="X201" s="95">
        <f ca="1">IF(AND(NOT(K201=0),(H201-H200)&gt;0),(H201-H200)*(Variables!$M$5*$H$1+Variables!$U$5*$I$1),0)+IF(AND(NOT((J201+N201+Q201)=0),(H200-H201)&gt;0),(H200-H201)*(Variables!$M$4*$H$1+Variables!$U$4*$I$1),0)</f>
        <v>0</v>
      </c>
      <c r="Y201" s="95">
        <f ca="1">IF(SUM(T201,U200:U201)&gt;0,H201*Variables!$Y$11*0.25*(1-$J$1),0)</f>
        <v>0</v>
      </c>
      <c r="Z201" s="95">
        <f ca="1">IF(T201=0,H201*$J$1*Variables!$Y$5*0.25,0)</f>
        <v>4.5191590950539631</v>
      </c>
      <c r="AA201" s="95">
        <f t="shared" ca="1" si="5"/>
        <v>69.213449895047859</v>
      </c>
      <c r="AB201" s="91">
        <f ca="1">AA201/Variables!$E$49</f>
        <v>11.16345966049159</v>
      </c>
    </row>
    <row r="202" spans="1:28" x14ac:dyDescent="0.25">
      <c r="A202" s="61">
        <f>'Water runs'!C209</f>
        <v>20423</v>
      </c>
      <c r="B202" s="61" t="str">
        <f>'Water runs'!B209</f>
        <v>Spring</v>
      </c>
      <c r="C202" s="54">
        <f>'Water runs'!D209/100</f>
        <v>1.78571428571429</v>
      </c>
      <c r="D202" s="108">
        <f>VLOOKUP(ROW(D202)+4,'Water runs'!$BS$3:$CF$423,MATCH($B$1,Scenarios,0)+1)</f>
        <v>0</v>
      </c>
      <c r="E202" s="54">
        <f>IF(B202=Variables!$D$8,C202-Variables!$E$8,IF(B202=Variables!$D$9,C202-Variables!$E$9,IF(B202=Variables!$D$10,C202-Variables!$E$10,IF(B202=Variables!$D$11,C202-Variables!$E$11,"ELSE"))))</f>
        <v>1.021732076719581</v>
      </c>
      <c r="F202" s="108">
        <f>VLOOKUP(ROW(F202)+4,'Water runs'!$CH$3:$CU$423,MATCH($B$1,Scenarios,0)+1)</f>
        <v>0</v>
      </c>
      <c r="G202" s="65">
        <f ca="1">H202/Variables!$E$49</f>
        <v>0.65378250627985535</v>
      </c>
      <c r="H202" s="62">
        <f ca="1">IF((H201+I202)&gt;(1.1*Variables!$E$50),(1.1*Variables!$E$50),IF((H201+I202)&gt;0,H201+I202,0))</f>
        <v>4.0534515389351036</v>
      </c>
      <c r="I202" s="64">
        <f t="shared" ca="1" si="6"/>
        <v>3.744517758868314E-2</v>
      </c>
      <c r="J202" s="63">
        <f>IF(SUM(E198:E201)&lt;Variables!$B$3,-H201,0)</f>
        <v>0</v>
      </c>
      <c r="K202" s="64">
        <f ca="1">IF(AND(H201&lt;Variables!$B$6*Variables!$E$50,OR(SUM(D199:D202)&gt;Variables!$B$5,SUM(E199:E202)&gt;Variables!$B$4)),Variables!$B$6*Variables!$E$50+Variables!$B$7*$G$1*Variables!$E$50*SUM(D199:D202),0)</f>
        <v>0</v>
      </c>
      <c r="L202" s="64">
        <f>IF(B202="Winter",Variables!$B$8*H201,0)</f>
        <v>0</v>
      </c>
      <c r="M202" s="64">
        <f ca="1">IF(AND(B202="Spring",AND(NOT(H201=0),H201&lt;(Variables!$B$9*Variables!$E$50))),(Variables!$B$10*Variables!$E$50+Variables!$B$11*Variables!$E$50*SUM(E199:E202)+$G$1*SUM(D201:D202)*Variables!$E$50*Variables!$B$12),0)</f>
        <v>0</v>
      </c>
      <c r="N202" s="64">
        <f>IF(AND(B202="Spring",AND(SUM(D199:D202)&gt;Variables!$B$13,SUM(D195:D198)&gt;Variables!$B$13)),-Variables!$B$14*Variables!$E$50,0)</f>
        <v>0</v>
      </c>
      <c r="O202" s="64">
        <f>IF(AND(B202="Summer",SUM(C198:D202)&gt;Variables!$B$15),(Variables!$B$16*Variables!$E$50*SUM(C198:C202)+$G$1*Variables!$B$16*Variables!$E$50*SUM(D198:D202)+$G$1*Variables!$E$50*Variables!$B$17*F202),0)</f>
        <v>0</v>
      </c>
      <c r="P202" s="64">
        <f ca="1">IF(AND(AND(B202="Autumn",SUM(D201:E202)&gt;0),NOT(H201=0)),Variables!$B$18*Variables!$E$50+Variables!$B$19*Variables!$E$50*SUM(E201:E202)+$G$1*Variables!$B$19*Variables!$E$50*SUM(D201:D202),0)</f>
        <v>0</v>
      </c>
      <c r="Q202" s="64">
        <f>IF(AND(B202="Autumn",AND((E202+E201)&lt;Variables!$B$20,(D201+D202)=0)),-Variables!$B$21*Variables!$E$50,0)</f>
        <v>0</v>
      </c>
      <c r="R202" s="64">
        <f>IF(B202="Autumn",(SUM(F201:F202)*$G$1*Variables!$B$22*Variables!$E$50),0)</f>
        <v>0</v>
      </c>
      <c r="S202" s="64">
        <f ca="1">IF(B202="Spring",($G$1*Variables!$E$50*SUM('Guts (MC)'!F201:F202)*Variables!$B$23),0)</f>
        <v>3.744517758868314E-2</v>
      </c>
      <c r="T202" s="63">
        <f ca="1">IF((H201+SUM(J202:Q202))&lt;(Variables!$B$26*Variables!$E$50),$F$1*((Variables!$B$26*Variables!$E$50)-H201-SUM(J202:Q202)),0)</f>
        <v>0</v>
      </c>
      <c r="U202" s="64">
        <f ca="1">IF(AND(AND(B202="Autumn",SUM(D199:E202)&gt;Variables!$B$27),SUM(J202:Q202)&lt;Variables!$B$28*H201),$F$1*(Variables!$B$28*H201-SUM(J202:Q202)),0)</f>
        <v>0</v>
      </c>
      <c r="V202" s="96">
        <f ca="1">IF(AND((J202+K202)=0,(Q202+T202)=0),$H$1*H202*Variables!$I$23*0.25,0)</f>
        <v>49.407430282488406</v>
      </c>
      <c r="W202" s="97">
        <f ca="1">IF(AND((K202+J202)=0,(T202+Q202)=0),$I$1*H202*Variables!$Q$23*0.25,0)</f>
        <v>15.890069026161219</v>
      </c>
      <c r="X202" s="95">
        <f ca="1">IF(AND(NOT(K202=0),(H202-H201)&gt;0),(H202-H201)*(Variables!$M$5*$H$1+Variables!$U$5*$I$1),0)+IF(AND(NOT((J202+N202+Q202)=0),(H201-H202)&gt;0),(H201-H202)*(Variables!$M$4*$H$1+Variables!$U$4*$I$1),0)</f>
        <v>0</v>
      </c>
      <c r="Y202" s="95">
        <f ca="1">IF(SUM(T202,U201:U202)&gt;0,H202*Variables!$Y$11*0.25*(1-$J$1),0)</f>
        <v>0</v>
      </c>
      <c r="Z202" s="95">
        <f ca="1">IF(T202=0,H202*$J$1*Variables!$Y$5*0.25,0)</f>
        <v>4.5612956604973185</v>
      </c>
      <c r="AA202" s="95">
        <f t="shared" ca="1" si="5"/>
        <v>69.858794969146942</v>
      </c>
      <c r="AB202" s="91">
        <f ca="1">AA202/Variables!$E$49</f>
        <v>11.267547575668861</v>
      </c>
    </row>
    <row r="203" spans="1:28" x14ac:dyDescent="0.25">
      <c r="A203" s="61">
        <f>'Water runs'!C210</f>
        <v>20513</v>
      </c>
      <c r="B203" s="61" t="str">
        <f>'Water runs'!B210</f>
        <v>Summer</v>
      </c>
      <c r="C203" s="54">
        <f>'Water runs'!D210/100</f>
        <v>2.0403761904761897</v>
      </c>
      <c r="D203" s="108">
        <f>VLOOKUP(ROW(D203)+4,'Water runs'!$BS$3:$CF$423,MATCH($B$1,Scenarios,0)+1)</f>
        <v>1.5337381927014466</v>
      </c>
      <c r="E203" s="54">
        <f>IF(B203=Variables!$D$8,C203-Variables!$E$8,IF(B203=Variables!$D$9,C203-Variables!$E$9,IF(B203=Variables!$D$10,C203-Variables!$E$10,IF(B203=Variables!$D$11,C203-Variables!$E$11,"ELSE"))))</f>
        <v>0.78200605442176796</v>
      </c>
      <c r="F203" s="108">
        <f>VLOOKUP(ROW(F203)+4,'Water runs'!$CH$3:$CU$423,MATCH($B$1,Scenarios,0)+1)</f>
        <v>0</v>
      </c>
      <c r="G203" s="65">
        <f ca="1">H203/Variables!$E$49</f>
        <v>1.231948858673779</v>
      </c>
      <c r="H203" s="62">
        <f ca="1">IF((H202+I203)&gt;(1.1*Variables!$E$50),(1.1*Variables!$E$50),IF((H202+I203)&gt;0,H202+I203,0))</f>
        <v>7.6380829237774304</v>
      </c>
      <c r="I203" s="64">
        <f t="shared" ca="1" si="6"/>
        <v>3.5846313848423272</v>
      </c>
      <c r="J203" s="63">
        <f>IF(SUM(E199:E202)&lt;Variables!$B$3,-H202,0)</f>
        <v>0</v>
      </c>
      <c r="K203" s="64">
        <f ca="1">IF(AND(H202&lt;Variables!$B$6*Variables!$E$50,OR(SUM(D200:D203)&gt;Variables!$B$5,SUM(E200:E203)&gt;Variables!$B$4)),Variables!$B$6*Variables!$E$50+Variables!$B$7*$G$1*Variables!$E$50*SUM(D200:D203),0)</f>
        <v>0</v>
      </c>
      <c r="L203" s="64">
        <f>IF(B203="Winter",Variables!$B$8*H202,0)</f>
        <v>0</v>
      </c>
      <c r="M203" s="64">
        <f ca="1">IF(AND(B203="Spring",AND(NOT(H202=0),H202&lt;(Variables!$B$9*Variables!$E$50))),(Variables!$B$10*Variables!$E$50+Variables!$B$11*Variables!$E$50*SUM(E200:E203)+$G$1*SUM(D202:D203)*Variables!$E$50*Variables!$B$12),0)</f>
        <v>0</v>
      </c>
      <c r="N203" s="64">
        <f>IF(AND(B203="Spring",AND(SUM(D200:D203)&gt;Variables!$B$13,SUM(D196:D199)&gt;Variables!$B$13)),-Variables!$B$14*Variables!$E$50,0)</f>
        <v>0</v>
      </c>
      <c r="O203" s="64">
        <f ca="1">IF(AND(B203="Summer",SUM(C199:D203)&gt;Variables!$B$15),(Variables!$B$16*Variables!$E$50*SUM(C199:C203)+$G$1*Variables!$B$16*Variables!$E$50*SUM(D199:D203)+$G$1*Variables!$E$50*Variables!$B$17*F203),0)</f>
        <v>3.5846313848423272</v>
      </c>
      <c r="P203" s="64">
        <f ca="1">IF(AND(AND(B203="Autumn",SUM(D202:E203)&gt;0),NOT(H202=0)),Variables!$B$18*Variables!$E$50+Variables!$B$19*Variables!$E$50*SUM(E202:E203)+$G$1*Variables!$B$19*Variables!$E$50*SUM(D202:D203),0)</f>
        <v>0</v>
      </c>
      <c r="Q203" s="64">
        <f>IF(AND(B203="Autumn",AND((E203+E202)&lt;Variables!$B$20,(D202+D203)=0)),-Variables!$B$21*Variables!$E$50,0)</f>
        <v>0</v>
      </c>
      <c r="R203" s="64">
        <f>IF(B203="Autumn",(SUM(F202:F203)*$G$1*Variables!$B$22*Variables!$E$50),0)</f>
        <v>0</v>
      </c>
      <c r="S203" s="64">
        <f>IF(B203="Spring",($G$1*Variables!$E$50*SUM('Guts (MC)'!F202:F203)*Variables!$B$23),0)</f>
        <v>0</v>
      </c>
      <c r="T203" s="63">
        <f ca="1">IF((H202+SUM(J203:Q203))&lt;(Variables!$B$26*Variables!$E$50),$F$1*((Variables!$B$26*Variables!$E$50)-H202-SUM(J203:Q203)),0)</f>
        <v>0</v>
      </c>
      <c r="U203" s="64">
        <f ca="1">IF(AND(AND(B203="Autumn",SUM(D200:E203)&gt;Variables!$B$27),SUM(J203:Q203)&lt;Variables!$B$28*H202),$F$1*(Variables!$B$28*H202-SUM(J203:Q203)),0)</f>
        <v>0</v>
      </c>
      <c r="V203" s="96">
        <f ca="1">IF(AND((J203+K203)=0,(Q203+T203)=0),$H$1*H203*Variables!$I$23*0.25,0)</f>
        <v>93.100422176884067</v>
      </c>
      <c r="W203" s="97">
        <f ca="1">IF(AND((K203+J203)=0,(T203+Q203)=0),$I$1*H203*Variables!$Q$23*0.25,0)</f>
        <v>29.942300708559134</v>
      </c>
      <c r="X203" s="95">
        <f ca="1">IF(AND(NOT(K203=0),(H203-H202)&gt;0),(H203-H202)*(Variables!$M$5*$H$1+Variables!$U$5*$I$1),0)+IF(AND(NOT((J203+N203+Q203)=0),(H202-H203)&gt;0),(H202-H203)*(Variables!$M$4*$H$1+Variables!$U$4*$I$1),0)</f>
        <v>0</v>
      </c>
      <c r="Y203" s="95">
        <f ca="1">IF(SUM(T203,U202:U203)&gt;0,H203*Variables!$Y$11*0.25*(1-$J$1),0)</f>
        <v>0</v>
      </c>
      <c r="Z203" s="95">
        <f ca="1">IF(T203=0,H203*$J$1*Variables!$Y$5*0.25,0)</f>
        <v>8.5950341727528077</v>
      </c>
      <c r="AA203" s="95">
        <f t="shared" ca="1" si="5"/>
        <v>131.637757058196</v>
      </c>
      <c r="AB203" s="91">
        <f ca="1">AA203/Variables!$E$49</f>
        <v>21.231896299709032</v>
      </c>
    </row>
    <row r="204" spans="1:28" x14ac:dyDescent="0.25">
      <c r="A204" s="61">
        <f>'Water runs'!C211</f>
        <v>20606</v>
      </c>
      <c r="B204" s="61" t="str">
        <f>'Water runs'!B211</f>
        <v>Autumn</v>
      </c>
      <c r="C204" s="54">
        <f>'Water runs'!D211/100</f>
        <v>2.6358333333333297</v>
      </c>
      <c r="D204" s="108">
        <f>VLOOKUP(ROW(D204)+4,'Water runs'!$BS$3:$CF$423,MATCH($B$1,Scenarios,0)+1)</f>
        <v>1.2438499117174324</v>
      </c>
      <c r="E204" s="54">
        <f>IF(B204=Variables!$D$8,C204-Variables!$E$8,IF(B204=Variables!$D$9,C204-Variables!$E$9,IF(B204=Variables!$D$10,C204-Variables!$E$10,IF(B204=Variables!$D$11,C204-Variables!$E$11,"ELSE"))))</f>
        <v>1.6411900340136019</v>
      </c>
      <c r="F204" s="108">
        <f>VLOOKUP(ROW(F204)+4,'Water runs'!$CH$3:$CU$423,MATCH($B$1,Scenarios,0)+1)</f>
        <v>6.7927948756522225</v>
      </c>
      <c r="G204" s="65">
        <f ca="1">H204/Variables!$E$49</f>
        <v>2.5300000000000002</v>
      </c>
      <c r="H204" s="62">
        <f ca="1">IF((H203+I204)&gt;(1.1*Variables!$E$50),(1.1*Variables!$E$50),IF((H203+I204)&gt;0,H203+I204,0))</f>
        <v>15.686000000000002</v>
      </c>
      <c r="I204" s="64">
        <f t="shared" ca="1" si="6"/>
        <v>11.523479545217143</v>
      </c>
      <c r="J204" s="63">
        <f>IF(SUM(E200:E203)&lt;Variables!$B$3,-H203,0)</f>
        <v>0</v>
      </c>
      <c r="K204" s="64">
        <f ca="1">IF(AND(H203&lt;Variables!$B$6*Variables!$E$50,OR(SUM(D201:D204)&gt;Variables!$B$5,SUM(E201:E204)&gt;Variables!$B$4)),Variables!$B$6*Variables!$E$50+Variables!$B$7*$G$1*Variables!$E$50*SUM(D201:D204),0)</f>
        <v>0</v>
      </c>
      <c r="L204" s="64">
        <f>IF(B204="Winter",Variables!$B$8*H203,0)</f>
        <v>0</v>
      </c>
      <c r="M204" s="64">
        <f ca="1">IF(AND(B204="Spring",AND(NOT(H203=0),H203&lt;(Variables!$B$9*Variables!$E$50))),(Variables!$B$10*Variables!$E$50+Variables!$B$11*Variables!$E$50*SUM(E201:E204)+$G$1*SUM(D203:D204)*Variables!$E$50*Variables!$B$12),0)</f>
        <v>0</v>
      </c>
      <c r="N204" s="64">
        <f>IF(AND(B204="Spring",AND(SUM(D201:D204)&gt;Variables!$B$13,SUM(D197:D200)&gt;Variables!$B$13)),-Variables!$B$14*Variables!$E$50,0)</f>
        <v>0</v>
      </c>
      <c r="O204" s="64">
        <f>IF(AND(B204="Summer",SUM(C200:D204)&gt;Variables!$B$15),(Variables!$B$16*Variables!$E$50*SUM(C200:C204)+$G$1*Variables!$B$16*Variables!$E$50*SUM(D200:D204)+$G$1*Variables!$E$50*Variables!$B$17*F204),0)</f>
        <v>0</v>
      </c>
      <c r="P204" s="64">
        <f ca="1">IF(AND(AND(B204="Autumn",SUM(D203:E204)&gt;0),NOT(H203=0)),Variables!$B$18*Variables!$E$50+Variables!$B$19*Variables!$E$50*SUM(E203:E204)+$G$1*Variables!$B$19*Variables!$E$50*SUM(D203:D204),0)</f>
        <v>10.495103968449568</v>
      </c>
      <c r="Q204" s="64">
        <f>IF(AND(B204="Autumn",AND((E204+E203)&lt;Variables!$B$20,(D203+D204)=0)),-Variables!$B$21*Variables!$E$50,0)</f>
        <v>0</v>
      </c>
      <c r="R204" s="64">
        <f ca="1">IF(B204="Autumn",(SUM(F203:F204)*$G$1*Variables!$B$22*Variables!$E$50),0)</f>
        <v>1.0283755767675744</v>
      </c>
      <c r="S204" s="64">
        <f>IF(B204="Spring",($G$1*Variables!$E$50*SUM('Guts (MC)'!F203:F204)*Variables!$B$23),0)</f>
        <v>0</v>
      </c>
      <c r="T204" s="63">
        <f ca="1">IF((H203+SUM(J204:Q204))&lt;(Variables!$B$26*Variables!$E$50),$F$1*((Variables!$B$26*Variables!$E$50)-H203-SUM(J204:Q204)),0)</f>
        <v>0</v>
      </c>
      <c r="U204" s="64">
        <f ca="1">IF(AND(AND(B204="Autumn",SUM(D201:E204)&gt;Variables!$B$27),SUM(J204:Q204)&lt;Variables!$B$28*H203),$F$1*(Variables!$B$28*H203-SUM(J204:Q204)),0)</f>
        <v>0</v>
      </c>
      <c r="V204" s="96">
        <f ca="1">IF(AND((J204+K204)=0,(Q204+T204)=0),$H$1*H204*Variables!$I$23*0.25,0)</f>
        <v>191.19630368511017</v>
      </c>
      <c r="W204" s="97">
        <f ca="1">IF(AND((K204+J204)=0,(T204+Q204)=0),$I$1*H204*Variables!$Q$23*0.25,0)</f>
        <v>61.491205790965658</v>
      </c>
      <c r="X204" s="95">
        <f ca="1">IF(AND(NOT(K204=0),(H204-H203)&gt;0),(H204-H203)*(Variables!$M$5*$H$1+Variables!$U$5*$I$1),0)+IF(AND(NOT((J204+N204+Q204)=0),(H203-H204)&gt;0),(H203-H204)*(Variables!$M$4*$H$1+Variables!$U$4*$I$1),0)</f>
        <v>0</v>
      </c>
      <c r="Y204" s="95">
        <f ca="1">IF(SUM(T204,U203:U204)&gt;0,H204*Variables!$Y$11*0.25*(1-$J$1),0)</f>
        <v>0</v>
      </c>
      <c r="Z204" s="95">
        <f ca="1">IF(T204=0,H204*$J$1*Variables!$Y$5*0.25,0)</f>
        <v>17.651249322536053</v>
      </c>
      <c r="AA204" s="95">
        <f t="shared" ca="1" si="5"/>
        <v>270.33875879861188</v>
      </c>
      <c r="AB204" s="91">
        <f ca="1">AA204/Variables!$E$49</f>
        <v>43.603025612679332</v>
      </c>
    </row>
    <row r="205" spans="1:28" x14ac:dyDescent="0.25">
      <c r="A205" s="61">
        <f>'Water runs'!C212</f>
        <v>20698</v>
      </c>
      <c r="B205" s="61" t="str">
        <f>'Water runs'!B212</f>
        <v>Winter</v>
      </c>
      <c r="C205" s="54">
        <f>'Water runs'!D212/100</f>
        <v>1.1225000000000001</v>
      </c>
      <c r="D205" s="108">
        <f>VLOOKUP(ROW(D205)+4,'Water runs'!$BS$3:$CF$423,MATCH($B$1,Scenarios,0)+1)</f>
        <v>0.61746015407881294</v>
      </c>
      <c r="E205" s="54">
        <f>IF(B205=Variables!$D$8,C205-Variables!$E$8,IF(B205=Variables!$D$9,C205-Variables!$E$9,IF(B205=Variables!$D$10,C205-Variables!$E$10,IF(B205=Variables!$D$11,C205-Variables!$E$11,"ELSE"))))</f>
        <v>0.55073237433862432</v>
      </c>
      <c r="F205" s="108">
        <f>VLOOKUP(ROW(F205)+4,'Water runs'!$CH$3:$CU$423,MATCH($B$1,Scenarios,0)+1)</f>
        <v>0.59813062652910953</v>
      </c>
      <c r="G205" s="65">
        <f ca="1">H205/Variables!$E$49</f>
        <v>1.2701985267720333</v>
      </c>
      <c r="H205" s="62">
        <f ca="1">IF((H204+I205)&gt;(1.1*Variables!$E$50),(1.1*Variables!$E$50),IF((H204+I205)&gt;0,H204+I205,0))</f>
        <v>7.875230865986607</v>
      </c>
      <c r="I205" s="64">
        <f t="shared" ca="1" si="6"/>
        <v>-7.8107691340133947</v>
      </c>
      <c r="J205" s="63">
        <f>IF(SUM(E201:E204)&lt;Variables!$B$3,-H204,0)</f>
        <v>0</v>
      </c>
      <c r="K205" s="64">
        <f ca="1">IF(AND(H204&lt;Variables!$B$6*Variables!$E$50,OR(SUM(D202:D205)&gt;Variables!$B$5,SUM(E202:E205)&gt;Variables!$B$4)),Variables!$B$6*Variables!$E$50+Variables!$B$7*$G$1*Variables!$E$50*SUM(D202:D205),0)</f>
        <v>0</v>
      </c>
      <c r="L205" s="64">
        <f ca="1">IF(B205="Winter",Variables!$B$8*H204,0)</f>
        <v>-7.8107691340133947</v>
      </c>
      <c r="M205" s="64">
        <f ca="1">IF(AND(B205="Spring",AND(NOT(H204=0),H204&lt;(Variables!$B$9*Variables!$E$50))),(Variables!$B$10*Variables!$E$50+Variables!$B$11*Variables!$E$50*SUM(E202:E205)+$G$1*SUM(D204:D205)*Variables!$E$50*Variables!$B$12),0)</f>
        <v>0</v>
      </c>
      <c r="N205" s="64">
        <f>IF(AND(B205="Spring",AND(SUM(D202:D205)&gt;Variables!$B$13,SUM(D198:D201)&gt;Variables!$B$13)),-Variables!$B$14*Variables!$E$50,0)</f>
        <v>0</v>
      </c>
      <c r="O205" s="64">
        <f>IF(AND(B205="Summer",SUM(C201:D205)&gt;Variables!$B$15),(Variables!$B$16*Variables!$E$50*SUM(C201:C205)+$G$1*Variables!$B$16*Variables!$E$50*SUM(D201:D205)+$G$1*Variables!$E$50*Variables!$B$17*F205),0)</f>
        <v>0</v>
      </c>
      <c r="P205" s="64">
        <f ca="1">IF(AND(AND(B205="Autumn",SUM(D204:E205)&gt;0),NOT(H204=0)),Variables!$B$18*Variables!$E$50+Variables!$B$19*Variables!$E$50*SUM(E204:E205)+$G$1*Variables!$B$19*Variables!$E$50*SUM(D204:D205),0)</f>
        <v>0</v>
      </c>
      <c r="Q205" s="64">
        <f>IF(AND(B205="Autumn",AND((E205+E204)&lt;Variables!$B$20,(D204+D205)=0)),-Variables!$B$21*Variables!$E$50,0)</f>
        <v>0</v>
      </c>
      <c r="R205" s="64">
        <f>IF(B205="Autumn",(SUM(F204:F205)*$G$1*Variables!$B$22*Variables!$E$50),0)</f>
        <v>0</v>
      </c>
      <c r="S205" s="64">
        <f>IF(B205="Spring",($G$1*Variables!$E$50*SUM('Guts (MC)'!F204:F205)*Variables!$B$23),0)</f>
        <v>0</v>
      </c>
      <c r="T205" s="63">
        <f ca="1">IF((H204+SUM(J205:Q205))&lt;(Variables!$B$26*Variables!$E$50),$F$1*((Variables!$B$26*Variables!$E$50)-H204-SUM(J205:Q205)),0)</f>
        <v>0</v>
      </c>
      <c r="U205" s="64">
        <f ca="1">IF(AND(AND(B205="Autumn",SUM(D202:E205)&gt;Variables!$B$27),SUM(J205:Q205)&lt;Variables!$B$28*H204),$F$1*(Variables!$B$28*H204-SUM(J205:Q205)),0)</f>
        <v>0</v>
      </c>
      <c r="V205" s="96">
        <f ca="1">IF(AND((J205+K205)=0,(Q205+T205)=0),$H$1*H205*Variables!$I$23*0.25,0)</f>
        <v>95.991013148255021</v>
      </c>
      <c r="W205" s="97">
        <f ca="1">IF(AND((K205+J205)=0,(T205+Q205)=0),$I$1*H205*Variables!$Q$23*0.25,0)</f>
        <v>30.871952175936961</v>
      </c>
      <c r="X205" s="95">
        <f ca="1">IF(AND(NOT(K205=0),(H205-H204)&gt;0),(H205-H204)*(Variables!$M$5*$H$1+Variables!$U$5*$I$1),0)+IF(AND(NOT((J205+N205+Q205)=0),(H204-H205)&gt;0),(H204-H205)*(Variables!$M$4*$H$1+Variables!$U$4*$I$1),0)</f>
        <v>0</v>
      </c>
      <c r="Y205" s="95">
        <f ca="1">IF(SUM(T205,U204:U205)&gt;0,H205*Variables!$Y$11*0.25*(1-$J$1),0)</f>
        <v>0</v>
      </c>
      <c r="Z205" s="95">
        <f ca="1">IF(T205=0,H205*$J$1*Variables!$Y$5*0.25,0)</f>
        <v>8.8618936305024274</v>
      </c>
      <c r="AA205" s="95">
        <f t="shared" ca="1" si="5"/>
        <v>135.72485895469441</v>
      </c>
      <c r="AB205" s="91">
        <f ca="1">AA205/Variables!$E$49</f>
        <v>21.891106283015226</v>
      </c>
    </row>
    <row r="206" spans="1:28" x14ac:dyDescent="0.25">
      <c r="A206" s="61">
        <f>'Water runs'!C213</f>
        <v>20789</v>
      </c>
      <c r="B206" s="61" t="str">
        <f>'Water runs'!B213</f>
        <v>Spring</v>
      </c>
      <c r="C206" s="54">
        <f>'Water runs'!D213/100</f>
        <v>0.55366666666666697</v>
      </c>
      <c r="D206" s="108">
        <f>VLOOKUP(ROW(D206)+4,'Water runs'!$BS$3:$CF$423,MATCH($B$1,Scenarios,0)+1)</f>
        <v>0</v>
      </c>
      <c r="E206" s="54">
        <f>IF(B206=Variables!$D$8,C206-Variables!$E$8,IF(B206=Variables!$D$9,C206-Variables!$E$9,IF(B206=Variables!$D$10,C206-Variables!$E$10,IF(B206=Variables!$D$11,C206-Variables!$E$11,"ELSE"))))</f>
        <v>-0.21031554232804217</v>
      </c>
      <c r="F206" s="108">
        <f>VLOOKUP(ROW(F206)+4,'Water runs'!$CH$3:$CU$423,MATCH($B$1,Scenarios,0)+1)</f>
        <v>0</v>
      </c>
      <c r="G206" s="65">
        <f ca="1">H206/Variables!$E$49</f>
        <v>1.2834633760126961</v>
      </c>
      <c r="H206" s="62">
        <f ca="1">IF((H205+I206)&gt;(1.1*Variables!$E$50),(1.1*Variables!$E$50),IF((H205+I206)&gt;0,H205+I206,0))</f>
        <v>7.9574729312787165</v>
      </c>
      <c r="I206" s="64">
        <f t="shared" ca="1" si="6"/>
        <v>8.2242065292109562E-2</v>
      </c>
      <c r="J206" s="63">
        <f>IF(SUM(E202:E205)&lt;Variables!$B$3,-H205,0)</f>
        <v>0</v>
      </c>
      <c r="K206" s="64">
        <f ca="1">IF(AND(H205&lt;Variables!$B$6*Variables!$E$50,OR(SUM(D203:D206)&gt;Variables!$B$5,SUM(E203:E206)&gt;Variables!$B$4)),Variables!$B$6*Variables!$E$50+Variables!$B$7*$G$1*Variables!$E$50*SUM(D203:D206),0)</f>
        <v>0</v>
      </c>
      <c r="L206" s="64">
        <f>IF(B206="Winter",Variables!$B$8*H205,0)</f>
        <v>0</v>
      </c>
      <c r="M206" s="64">
        <f ca="1">IF(AND(B206="Spring",AND(NOT(H205=0),H205&lt;(Variables!$B$9*Variables!$E$50))),(Variables!$B$10*Variables!$E$50+Variables!$B$11*Variables!$E$50*SUM(E203:E206)+$G$1*SUM(D205:D206)*Variables!$E$50*Variables!$B$12),0)</f>
        <v>0</v>
      </c>
      <c r="N206" s="64">
        <f>IF(AND(B206="Spring",AND(SUM(D203:D206)&gt;Variables!$B$13,SUM(D199:D202)&gt;Variables!$B$13)),-Variables!$B$14*Variables!$E$50,0)</f>
        <v>0</v>
      </c>
      <c r="O206" s="64">
        <f>IF(AND(B206="Summer",SUM(C202:D206)&gt;Variables!$B$15),(Variables!$B$16*Variables!$E$50*SUM(C202:C206)+$G$1*Variables!$B$16*Variables!$E$50*SUM(D202:D206)+$G$1*Variables!$E$50*Variables!$B$17*F206),0)</f>
        <v>0</v>
      </c>
      <c r="P206" s="64">
        <f ca="1">IF(AND(AND(B206="Autumn",SUM(D205:E206)&gt;0),NOT(H205=0)),Variables!$B$18*Variables!$E$50+Variables!$B$19*Variables!$E$50*SUM(E205:E206)+$G$1*Variables!$B$19*Variables!$E$50*SUM(D205:D206),0)</f>
        <v>0</v>
      </c>
      <c r="Q206" s="64">
        <f>IF(AND(B206="Autumn",AND((E206+E205)&lt;Variables!$B$20,(D205+D206)=0)),-Variables!$B$21*Variables!$E$50,0)</f>
        <v>0</v>
      </c>
      <c r="R206" s="64">
        <f>IF(B206="Autumn",(SUM(F205:F206)*$G$1*Variables!$B$22*Variables!$E$50),0)</f>
        <v>0</v>
      </c>
      <c r="S206" s="64">
        <f ca="1">IF(B206="Spring",($G$1*Variables!$E$50*SUM('Guts (MC)'!F205:F206)*Variables!$B$23),0)</f>
        <v>8.2242065292109562E-2</v>
      </c>
      <c r="T206" s="63">
        <f ca="1">IF((H205+SUM(J206:Q206))&lt;(Variables!$B$26*Variables!$E$50),$F$1*((Variables!$B$26*Variables!$E$50)-H205-SUM(J206:Q206)),0)</f>
        <v>0</v>
      </c>
      <c r="U206" s="64">
        <f ca="1">IF(AND(AND(B206="Autumn",SUM(D203:E206)&gt;Variables!$B$27),SUM(J206:Q206)&lt;Variables!$B$28*H205),$F$1*(Variables!$B$28*H205-SUM(J206:Q206)),0)</f>
        <v>0</v>
      </c>
      <c r="V206" s="96">
        <f ca="1">IF(AND((J206+K206)=0,(Q206+T206)=0),$H$1*H206*Variables!$I$23*0.25,0)</f>
        <v>96.993459845391371</v>
      </c>
      <c r="W206" s="97">
        <f ca="1">IF(AND((K206+J206)=0,(T206+Q206)=0),$I$1*H206*Variables!$Q$23*0.25,0)</f>
        <v>31.194352007732899</v>
      </c>
      <c r="X206" s="95">
        <f ca="1">IF(AND(NOT(K206=0),(H206-H205)&gt;0),(H206-H205)*(Variables!$M$5*$H$1+Variables!$U$5*$I$1),0)+IF(AND(NOT((J206+N206+Q206)=0),(H205-H206)&gt;0),(H205-H206)*(Variables!$M$4*$H$1+Variables!$U$4*$I$1),0)</f>
        <v>0</v>
      </c>
      <c r="Y206" s="95">
        <f ca="1">IF(SUM(T206,U205:U206)&gt;0,H206*Variables!$Y$11*0.25*(1-$J$1),0)</f>
        <v>0</v>
      </c>
      <c r="Z206" s="95">
        <f ca="1">IF(T206=0,H206*$J$1*Variables!$Y$5*0.25,0)</f>
        <v>8.9544395440094586</v>
      </c>
      <c r="AA206" s="95">
        <f t="shared" ca="1" si="5"/>
        <v>137.14225139713372</v>
      </c>
      <c r="AB206" s="91">
        <f ca="1">AA206/Variables!$E$49</f>
        <v>22.11971796727963</v>
      </c>
    </row>
    <row r="207" spans="1:28" x14ac:dyDescent="0.25">
      <c r="A207" s="61">
        <f>'Water runs'!C214</f>
        <v>20879</v>
      </c>
      <c r="B207" s="61" t="str">
        <f>'Water runs'!B214</f>
        <v>Summer</v>
      </c>
      <c r="C207" s="54">
        <f>'Water runs'!D214/100</f>
        <v>1.0714333333333301</v>
      </c>
      <c r="D207" s="108">
        <f>VLOOKUP(ROW(D207)+4,'Water runs'!$BS$3:$CF$423,MATCH($B$1,Scenarios,0)+1)</f>
        <v>0.11529703323066691</v>
      </c>
      <c r="E207" s="54">
        <f>IF(B207=Variables!$D$8,C207-Variables!$E$8,IF(B207=Variables!$D$9,C207-Variables!$E$9,IF(B207=Variables!$D$10,C207-Variables!$E$10,IF(B207=Variables!$D$11,C207-Variables!$E$11,"ELSE"))))</f>
        <v>-0.18693680272109159</v>
      </c>
      <c r="F207" s="108">
        <f>VLOOKUP(ROW(F207)+4,'Water runs'!$CH$3:$CU$423,MATCH($B$1,Scenarios,0)+1)</f>
        <v>8.5910418926515644E-2</v>
      </c>
      <c r="G207" s="65">
        <f ca="1">H207/Variables!$E$49</f>
        <v>1.9205935527438724</v>
      </c>
      <c r="H207" s="62">
        <f ca="1">IF((H206+I207)&gt;(1.1*Variables!$E$50),(1.1*Variables!$E$50),IF((H206+I207)&gt;0,H206+I207,0))</f>
        <v>11.90768002701201</v>
      </c>
      <c r="I207" s="64">
        <f t="shared" ca="1" si="6"/>
        <v>3.9502070957332935</v>
      </c>
      <c r="J207" s="63">
        <f>IF(SUM(E203:E206)&lt;Variables!$B$3,-H206,0)</f>
        <v>0</v>
      </c>
      <c r="K207" s="64">
        <f ca="1">IF(AND(H206&lt;Variables!$B$6*Variables!$E$50,OR(SUM(D204:D207)&gt;Variables!$B$5,SUM(E204:E207)&gt;Variables!$B$4)),Variables!$B$6*Variables!$E$50+Variables!$B$7*$G$1*Variables!$E$50*SUM(D204:D207),0)</f>
        <v>0</v>
      </c>
      <c r="L207" s="64">
        <f>IF(B207="Winter",Variables!$B$8*H206,0)</f>
        <v>0</v>
      </c>
      <c r="M207" s="64">
        <f ca="1">IF(AND(B207="Spring",AND(NOT(H206=0),H206&lt;(Variables!$B$9*Variables!$E$50))),(Variables!$B$10*Variables!$E$50+Variables!$B$11*Variables!$E$50*SUM(E204:E207)+$G$1*SUM(D206:D207)*Variables!$E$50*Variables!$B$12),0)</f>
        <v>0</v>
      </c>
      <c r="N207" s="64">
        <f>IF(AND(B207="Spring",AND(SUM(D204:D207)&gt;Variables!$B$13,SUM(D200:D203)&gt;Variables!$B$13)),-Variables!$B$14*Variables!$E$50,0)</f>
        <v>0</v>
      </c>
      <c r="O207" s="64">
        <f ca="1">IF(AND(B207="Summer",SUM(C203:D207)&gt;Variables!$B$15),(Variables!$B$16*Variables!$E$50*SUM(C203:C207)+$G$1*Variables!$B$16*Variables!$E$50*SUM(D203:D207)+$G$1*Variables!$E$50*Variables!$B$17*F207),0)</f>
        <v>3.9502070957332935</v>
      </c>
      <c r="P207" s="64">
        <f ca="1">IF(AND(AND(B207="Autumn",SUM(D206:E207)&gt;0),NOT(H206=0)),Variables!$B$18*Variables!$E$50+Variables!$B$19*Variables!$E$50*SUM(E206:E207)+$G$1*Variables!$B$19*Variables!$E$50*SUM(D206:D207),0)</f>
        <v>0</v>
      </c>
      <c r="Q207" s="64">
        <f>IF(AND(B207="Autumn",AND((E207+E206)&lt;Variables!$B$20,(D206+D207)=0)),-Variables!$B$21*Variables!$E$50,0)</f>
        <v>0</v>
      </c>
      <c r="R207" s="64">
        <f>IF(B207="Autumn",(SUM(F206:F207)*$G$1*Variables!$B$22*Variables!$E$50),0)</f>
        <v>0</v>
      </c>
      <c r="S207" s="64">
        <f>IF(B207="Spring",($G$1*Variables!$E$50*SUM('Guts (MC)'!F206:F207)*Variables!$B$23),0)</f>
        <v>0</v>
      </c>
      <c r="T207" s="63">
        <f ca="1">IF((H206+SUM(J207:Q207))&lt;(Variables!$B$26*Variables!$E$50),$F$1*((Variables!$B$26*Variables!$E$50)-H206-SUM(J207:Q207)),0)</f>
        <v>0</v>
      </c>
      <c r="U207" s="64">
        <f ca="1">IF(AND(AND(B207="Autumn",SUM(D204:E207)&gt;Variables!$B$27),SUM(J207:Q207)&lt;Variables!$B$28*H206),$F$1*(Variables!$B$28*H206-SUM(J207:Q207)),0)</f>
        <v>0</v>
      </c>
      <c r="V207" s="96">
        <f ca="1">IF(AND((J207+K207)=0,(Q207+T207)=0),$H$1*H207*Variables!$I$23*0.25,0)</f>
        <v>145.14244591544744</v>
      </c>
      <c r="W207" s="97">
        <f ca="1">IF(AND((K207+J207)=0,(T207+Q207)=0),$I$1*H207*Variables!$Q$23*0.25,0)</f>
        <v>46.679689087974438</v>
      </c>
      <c r="X207" s="95">
        <f ca="1">IF(AND(NOT(K207=0),(H207-H206)&gt;0),(H207-H206)*(Variables!$M$5*$H$1+Variables!$U$5*$I$1),0)+IF(AND(NOT((J207+N207+Q207)=0),(H206-H207)&gt;0),(H206-H207)*(Variables!$M$4*$H$1+Variables!$U$4*$I$1),0)</f>
        <v>0</v>
      </c>
      <c r="Y207" s="95">
        <f ca="1">IF(SUM(T207,U206:U207)&gt;0,H207*Variables!$Y$11*0.25*(1-$J$1),0)</f>
        <v>0</v>
      </c>
      <c r="Z207" s="95">
        <f ca="1">IF(T207=0,H207*$J$1*Variables!$Y$5*0.25,0)</f>
        <v>13.399555591595803</v>
      </c>
      <c r="AA207" s="95">
        <f t="shared" ca="1" si="5"/>
        <v>205.22169059501766</v>
      </c>
      <c r="AB207" s="91">
        <f ca="1">AA207/Variables!$E$49</f>
        <v>33.100272676615752</v>
      </c>
    </row>
    <row r="208" spans="1:28" x14ac:dyDescent="0.25">
      <c r="A208" s="61">
        <f>'Water runs'!C215</f>
        <v>20971</v>
      </c>
      <c r="B208" s="61" t="str">
        <f>'Water runs'!B215</f>
        <v>Autumn</v>
      </c>
      <c r="C208" s="54">
        <f>'Water runs'!D215/100</f>
        <v>0.47133333333333299</v>
      </c>
      <c r="D208" s="108">
        <f>VLOOKUP(ROW(D208)+4,'Water runs'!$BS$3:$CF$423,MATCH($B$1,Scenarios,0)+1)</f>
        <v>0</v>
      </c>
      <c r="E208" s="54">
        <f>IF(B208=Variables!$D$8,C208-Variables!$E$8,IF(B208=Variables!$D$9,C208-Variables!$E$9,IF(B208=Variables!$D$10,C208-Variables!$E$10,IF(B208=Variables!$D$11,C208-Variables!$E$11,"ELSE"))))</f>
        <v>-0.5233099659863949</v>
      </c>
      <c r="F208" s="108">
        <f>VLOOKUP(ROW(F208)+4,'Water runs'!$CH$3:$CU$423,MATCH($B$1,Scenarios,0)+1)</f>
        <v>0</v>
      </c>
      <c r="G208" s="65">
        <f ca="1">H208/Variables!$E$49</f>
        <v>1.9226913204766423</v>
      </c>
      <c r="H208" s="62">
        <f ca="1">IF((H207+I208)&gt;(1.1*Variables!$E$50),(1.1*Variables!$E$50),IF((H207+I208)&gt;0,H207+I208,0))</f>
        <v>11.920686186955182</v>
      </c>
      <c r="I208" s="64">
        <f t="shared" ca="1" si="6"/>
        <v>1.3006159943173105E-2</v>
      </c>
      <c r="J208" s="63">
        <f>IF(SUM(E204:E207)&lt;Variables!$B$3,-H207,0)</f>
        <v>0</v>
      </c>
      <c r="K208" s="64">
        <f ca="1">IF(AND(H207&lt;Variables!$B$6*Variables!$E$50,OR(SUM(D205:D208)&gt;Variables!$B$5,SUM(E205:E208)&gt;Variables!$B$4)),Variables!$B$6*Variables!$E$50+Variables!$B$7*$G$1*Variables!$E$50*SUM(D205:D208),0)</f>
        <v>0</v>
      </c>
      <c r="L208" s="64">
        <f>IF(B208="Winter",Variables!$B$8*H207,0)</f>
        <v>0</v>
      </c>
      <c r="M208" s="64">
        <f ca="1">IF(AND(B208="Spring",AND(NOT(H207=0),H207&lt;(Variables!$B$9*Variables!$E$50))),(Variables!$B$10*Variables!$E$50+Variables!$B$11*Variables!$E$50*SUM(E205:E208)+$G$1*SUM(D207:D208)*Variables!$E$50*Variables!$B$12),0)</f>
        <v>0</v>
      </c>
      <c r="N208" s="64">
        <f>IF(AND(B208="Spring",AND(SUM(D205:D208)&gt;Variables!$B$13,SUM(D201:D204)&gt;Variables!$B$13)),-Variables!$B$14*Variables!$E$50,0)</f>
        <v>0</v>
      </c>
      <c r="O208" s="64">
        <f>IF(AND(B208="Summer",SUM(C204:D208)&gt;Variables!$B$15),(Variables!$B$16*Variables!$E$50*SUM(C204:C208)+$G$1*Variables!$B$16*Variables!$E$50*SUM(D204:D208)+$G$1*Variables!$E$50*Variables!$B$17*F208),0)</f>
        <v>0</v>
      </c>
      <c r="P208" s="64">
        <f ca="1">IF(AND(AND(B208="Autumn",SUM(D207:E208)&gt;0),NOT(H207=0)),Variables!$B$18*Variables!$E$50+Variables!$B$19*Variables!$E$50*SUM(E207:E208)+$G$1*Variables!$B$19*Variables!$E$50*SUM(D207:D208),0)</f>
        <v>0</v>
      </c>
      <c r="Q208" s="64">
        <f>IF(AND(B208="Autumn",AND((E208+E207)&lt;Variables!$B$20,(D207+D208)=0)),-Variables!$B$21*Variables!$E$50,0)</f>
        <v>0</v>
      </c>
      <c r="R208" s="64">
        <f ca="1">IF(B208="Autumn",(SUM(F207:F208)*$G$1*Variables!$B$22*Variables!$E$50),0)</f>
        <v>1.3006159943173105E-2</v>
      </c>
      <c r="S208" s="64">
        <f>IF(B208="Spring",($G$1*Variables!$E$50*SUM('Guts (MC)'!F207:F208)*Variables!$B$23),0)</f>
        <v>0</v>
      </c>
      <c r="T208" s="63">
        <f ca="1">IF((H207+SUM(J208:Q208))&lt;(Variables!$B$26*Variables!$E$50),$F$1*((Variables!$B$26*Variables!$E$50)-H207-SUM(J208:Q208)),0)</f>
        <v>0</v>
      </c>
      <c r="U208" s="64">
        <f ca="1">IF(AND(AND(B208="Autumn",SUM(D205:E208)&gt;Variables!$B$27),SUM(J208:Q208)&lt;Variables!$B$28*H207),$F$1*(Variables!$B$28*H207-SUM(J208:Q208)),0)</f>
        <v>0</v>
      </c>
      <c r="V208" s="96">
        <f ca="1">IF(AND((J208+K208)=0,(Q208+T208)=0),$H$1*H208*Variables!$I$23*0.25,0)</f>
        <v>145.30097770852868</v>
      </c>
      <c r="W208" s="97">
        <f ca="1">IF(AND((K208+J208)=0,(T208+Q208)=0),$I$1*H208*Variables!$Q$23*0.25,0)</f>
        <v>46.730674964400279</v>
      </c>
      <c r="X208" s="95">
        <f ca="1">IF(AND(NOT(K208=0),(H208-H207)&gt;0),(H208-H207)*(Variables!$M$5*$H$1+Variables!$U$5*$I$1),0)+IF(AND(NOT((J208+N208+Q208)=0),(H207-H208)&gt;0),(H207-H208)*(Variables!$M$4*$H$1+Variables!$U$4*$I$1),0)</f>
        <v>0</v>
      </c>
      <c r="Y208" s="95">
        <f ca="1">IF(SUM(T208,U207:U208)&gt;0,H208*Variables!$Y$11*0.25*(1-$J$1),0)</f>
        <v>0</v>
      </c>
      <c r="Z208" s="95">
        <f ca="1">IF(T208=0,H208*$J$1*Variables!$Y$5*0.25,0)</f>
        <v>13.414191252177577</v>
      </c>
      <c r="AA208" s="95">
        <f t="shared" ref="AA208:AA271" ca="1" si="7">SUM(V208:Z208)</f>
        <v>205.44584392510652</v>
      </c>
      <c r="AB208" s="91">
        <f ca="1">AA208/Variables!$E$49</f>
        <v>33.136426439533309</v>
      </c>
    </row>
    <row r="209" spans="1:28" x14ac:dyDescent="0.25">
      <c r="A209" s="61">
        <f>'Water runs'!C216</f>
        <v>21063</v>
      </c>
      <c r="B209" s="61" t="str">
        <f>'Water runs'!B216</f>
        <v>Winter</v>
      </c>
      <c r="C209" s="54">
        <f>'Water runs'!D216/100</f>
        <v>0.36816666666666698</v>
      </c>
      <c r="D209" s="108">
        <f>VLOOKUP(ROW(D209)+4,'Water runs'!$BS$3:$CF$423,MATCH($B$1,Scenarios,0)+1)</f>
        <v>0</v>
      </c>
      <c r="E209" s="54">
        <f>IF(B209=Variables!$D$8,C209-Variables!$E$8,IF(B209=Variables!$D$9,C209-Variables!$E$9,IF(B209=Variables!$D$10,C209-Variables!$E$10,IF(B209=Variables!$D$11,C209-Variables!$E$11,"ELSE"))))</f>
        <v>-0.20360095899470876</v>
      </c>
      <c r="F209" s="108">
        <f>VLOOKUP(ROW(F209)+4,'Water runs'!$CH$3:$CU$423,MATCH($B$1,Scenarios,0)+1)</f>
        <v>0</v>
      </c>
      <c r="G209" s="65">
        <f ca="1">H209/Variables!$E$49</f>
        <v>0.96529631727541743</v>
      </c>
      <c r="H209" s="62">
        <f ca="1">IF((H208+I209)&gt;(1.1*Variables!$E$50),(1.1*Variables!$E$50),IF((H208+I209)&gt;0,H208+I209,0))</f>
        <v>5.984837167107588</v>
      </c>
      <c r="I209" s="64">
        <f t="shared" ca="1" si="6"/>
        <v>-5.9358490198475939</v>
      </c>
      <c r="J209" s="63">
        <f>IF(SUM(E205:E208)&lt;Variables!$B$3,-H208,0)</f>
        <v>0</v>
      </c>
      <c r="K209" s="64">
        <f ca="1">IF(AND(H208&lt;Variables!$B$6*Variables!$E$50,OR(SUM(D206:D209)&gt;Variables!$B$5,SUM(E206:E209)&gt;Variables!$B$4)),Variables!$B$6*Variables!$E$50+Variables!$B$7*$G$1*Variables!$E$50*SUM(D206:D209),0)</f>
        <v>0</v>
      </c>
      <c r="L209" s="64">
        <f ca="1">IF(B209="Winter",Variables!$B$8*H208,0)</f>
        <v>-5.9358490198475939</v>
      </c>
      <c r="M209" s="64">
        <f ca="1">IF(AND(B209="Spring",AND(NOT(H208=0),H208&lt;(Variables!$B$9*Variables!$E$50))),(Variables!$B$10*Variables!$E$50+Variables!$B$11*Variables!$E$50*SUM(E206:E209)+$G$1*SUM(D208:D209)*Variables!$E$50*Variables!$B$12),0)</f>
        <v>0</v>
      </c>
      <c r="N209" s="64">
        <f>IF(AND(B209="Spring",AND(SUM(D206:D209)&gt;Variables!$B$13,SUM(D202:D205)&gt;Variables!$B$13)),-Variables!$B$14*Variables!$E$50,0)</f>
        <v>0</v>
      </c>
      <c r="O209" s="64">
        <f>IF(AND(B209="Summer",SUM(C205:D209)&gt;Variables!$B$15),(Variables!$B$16*Variables!$E$50*SUM(C205:C209)+$G$1*Variables!$B$16*Variables!$E$50*SUM(D205:D209)+$G$1*Variables!$E$50*Variables!$B$17*F209),0)</f>
        <v>0</v>
      </c>
      <c r="P209" s="64">
        <f ca="1">IF(AND(AND(B209="Autumn",SUM(D208:E209)&gt;0),NOT(H208=0)),Variables!$B$18*Variables!$E$50+Variables!$B$19*Variables!$E$50*SUM(E208:E209)+$G$1*Variables!$B$19*Variables!$E$50*SUM(D208:D209),0)</f>
        <v>0</v>
      </c>
      <c r="Q209" s="64">
        <f>IF(AND(B209="Autumn",AND((E209+E208)&lt;Variables!$B$20,(D208+D209)=0)),-Variables!$B$21*Variables!$E$50,0)</f>
        <v>0</v>
      </c>
      <c r="R209" s="64">
        <f>IF(B209="Autumn",(SUM(F208:F209)*$G$1*Variables!$B$22*Variables!$E$50),0)</f>
        <v>0</v>
      </c>
      <c r="S209" s="64">
        <f>IF(B209="Spring",($G$1*Variables!$E$50*SUM('Guts (MC)'!F208:F209)*Variables!$B$23),0)</f>
        <v>0</v>
      </c>
      <c r="T209" s="63">
        <f ca="1">IF((H208+SUM(J209:Q209))&lt;(Variables!$B$26*Variables!$E$50),$F$1*((Variables!$B$26*Variables!$E$50)-H208-SUM(J209:Q209)),0)</f>
        <v>0</v>
      </c>
      <c r="U209" s="64">
        <f ca="1">IF(AND(AND(B209="Autumn",SUM(D206:E209)&gt;Variables!$B$27),SUM(J209:Q209)&lt;Variables!$B$28*H208),$F$1*(Variables!$B$28*H208-SUM(J209:Q209)),0)</f>
        <v>0</v>
      </c>
      <c r="V209" s="96">
        <f ca="1">IF(AND((J209+K209)=0,(Q209+T209)=0),$H$1*H209*Variables!$I$23*0.25,0)</f>
        <v>72.949046570715069</v>
      </c>
      <c r="W209" s="97">
        <f ca="1">IF(AND((K209+J209)=0,(T209+Q209)=0),$I$1*H209*Variables!$Q$23*0.25,0)</f>
        <v>23.461357507843463</v>
      </c>
      <c r="X209" s="95">
        <f ca="1">IF(AND(NOT(K209=0),(H209-H208)&gt;0),(H209-H208)*(Variables!$M$5*$H$1+Variables!$U$5*$I$1),0)+IF(AND(NOT((J209+N209+Q209)=0),(H208-H209)&gt;0),(H208-H209)*(Variables!$M$4*$H$1+Variables!$U$4*$I$1),0)</f>
        <v>0</v>
      </c>
      <c r="Y209" s="95">
        <f ca="1">IF(SUM(T209,U208:U209)&gt;0,H209*Variables!$Y$11*0.25*(1-$J$1),0)</f>
        <v>0</v>
      </c>
      <c r="Z209" s="95">
        <f ca="1">IF(T209=0,H209*$J$1*Variables!$Y$5*0.25,0)</f>
        <v>6.7346584847250011</v>
      </c>
      <c r="AA209" s="95">
        <f t="shared" ca="1" si="7"/>
        <v>103.14506256328353</v>
      </c>
      <c r="AB209" s="91">
        <f ca="1">AA209/Variables!$E$49</f>
        <v>16.636300413432828</v>
      </c>
    </row>
    <row r="210" spans="1:28" x14ac:dyDescent="0.25">
      <c r="A210" s="61">
        <f>'Water runs'!C217</f>
        <v>21154</v>
      </c>
      <c r="B210" s="61" t="str">
        <f>'Water runs'!B217</f>
        <v>Spring</v>
      </c>
      <c r="C210" s="54">
        <f>'Water runs'!D217/100</f>
        <v>0</v>
      </c>
      <c r="D210" s="108">
        <f>VLOOKUP(ROW(D210)+4,'Water runs'!$BS$3:$CF$423,MATCH($B$1,Scenarios,0)+1)</f>
        <v>0</v>
      </c>
      <c r="E210" s="54">
        <f>IF(B210=Variables!$D$8,C210-Variables!$E$8,IF(B210=Variables!$D$9,C210-Variables!$E$9,IF(B210=Variables!$D$10,C210-Variables!$E$10,IF(B210=Variables!$D$11,C210-Variables!$E$11,"ELSE"))))</f>
        <v>-0.76398220899470914</v>
      </c>
      <c r="F210" s="108">
        <f>VLOOKUP(ROW(F210)+4,'Water runs'!$CH$3:$CU$423,MATCH($B$1,Scenarios,0)+1)</f>
        <v>0</v>
      </c>
      <c r="G210" s="65">
        <f ca="1">H210/Variables!$E$49</f>
        <v>0.96529631727541743</v>
      </c>
      <c r="H210" s="62">
        <f ca="1">IF((H209+I210)&gt;(1.1*Variables!$E$50),(1.1*Variables!$E$50),IF((H209+I210)&gt;0,H209+I210,0))</f>
        <v>5.984837167107588</v>
      </c>
      <c r="I210" s="64">
        <f t="shared" ca="1" si="6"/>
        <v>0</v>
      </c>
      <c r="J210" s="63">
        <f>IF(SUM(E206:E209)&lt;Variables!$B$3,-H209,0)</f>
        <v>0</v>
      </c>
      <c r="K210" s="64">
        <f ca="1">IF(AND(H209&lt;Variables!$B$6*Variables!$E$50,OR(SUM(D207:D210)&gt;Variables!$B$5,SUM(E207:E210)&gt;Variables!$B$4)),Variables!$B$6*Variables!$E$50+Variables!$B$7*$G$1*Variables!$E$50*SUM(D207:D210),0)</f>
        <v>0</v>
      </c>
      <c r="L210" s="64">
        <f>IF(B210="Winter",Variables!$B$8*H209,0)</f>
        <v>0</v>
      </c>
      <c r="M210" s="64">
        <f ca="1">IF(AND(B210="Spring",AND(NOT(H209=0),H209&lt;(Variables!$B$9*Variables!$E$50))),(Variables!$B$10*Variables!$E$50+Variables!$B$11*Variables!$E$50*SUM(E207:E210)+$G$1*SUM(D209:D210)*Variables!$E$50*Variables!$B$12),0)</f>
        <v>0</v>
      </c>
      <c r="N210" s="64">
        <f>IF(AND(B210="Spring",AND(SUM(D207:D210)&gt;Variables!$B$13,SUM(D203:D206)&gt;Variables!$B$13)),-Variables!$B$14*Variables!$E$50,0)</f>
        <v>0</v>
      </c>
      <c r="O210" s="64">
        <f>IF(AND(B210="Summer",SUM(C206:D210)&gt;Variables!$B$15),(Variables!$B$16*Variables!$E$50*SUM(C206:C210)+$G$1*Variables!$B$16*Variables!$E$50*SUM(D206:D210)+$G$1*Variables!$E$50*Variables!$B$17*F210),0)</f>
        <v>0</v>
      </c>
      <c r="P210" s="64">
        <f ca="1">IF(AND(AND(B210="Autumn",SUM(D209:E210)&gt;0),NOT(H209=0)),Variables!$B$18*Variables!$E$50+Variables!$B$19*Variables!$E$50*SUM(E209:E210)+$G$1*Variables!$B$19*Variables!$E$50*SUM(D209:D210),0)</f>
        <v>0</v>
      </c>
      <c r="Q210" s="64">
        <f>IF(AND(B210="Autumn",AND((E210+E209)&lt;Variables!$B$20,(D209+D210)=0)),-Variables!$B$21*Variables!$E$50,0)</f>
        <v>0</v>
      </c>
      <c r="R210" s="64">
        <f>IF(B210="Autumn",(SUM(F209:F210)*$G$1*Variables!$B$22*Variables!$E$50),0)</f>
        <v>0</v>
      </c>
      <c r="S210" s="64">
        <f ca="1">IF(B210="Spring",($G$1*Variables!$E$50*SUM('Guts (MC)'!F209:F210)*Variables!$B$23),0)</f>
        <v>0</v>
      </c>
      <c r="T210" s="63">
        <f ca="1">IF((H209+SUM(J210:Q210))&lt;(Variables!$B$26*Variables!$E$50),$F$1*((Variables!$B$26*Variables!$E$50)-H209-SUM(J210:Q210)),0)</f>
        <v>0</v>
      </c>
      <c r="U210" s="64">
        <f ca="1">IF(AND(AND(B210="Autumn",SUM(D207:E210)&gt;Variables!$B$27),SUM(J210:Q210)&lt;Variables!$B$28*H209),$F$1*(Variables!$B$28*H209-SUM(J210:Q210)),0)</f>
        <v>0</v>
      </c>
      <c r="V210" s="96">
        <f ca="1">IF(AND((J210+K210)=0,(Q210+T210)=0),$H$1*H210*Variables!$I$23*0.25,0)</f>
        <v>72.949046570715069</v>
      </c>
      <c r="W210" s="97">
        <f ca="1">IF(AND((K210+J210)=0,(T210+Q210)=0),$I$1*H210*Variables!$Q$23*0.25,0)</f>
        <v>23.461357507843463</v>
      </c>
      <c r="X210" s="95">
        <f ca="1">IF(AND(NOT(K210=0),(H210-H209)&gt;0),(H210-H209)*(Variables!$M$5*$H$1+Variables!$U$5*$I$1),0)+IF(AND(NOT((J210+N210+Q210)=0),(H209-H210)&gt;0),(H209-H210)*(Variables!$M$4*$H$1+Variables!$U$4*$I$1),0)</f>
        <v>0</v>
      </c>
      <c r="Y210" s="95">
        <f ca="1">IF(SUM(T210,U209:U210)&gt;0,H210*Variables!$Y$11*0.25*(1-$J$1),0)</f>
        <v>0</v>
      </c>
      <c r="Z210" s="95">
        <f ca="1">IF(T210=0,H210*$J$1*Variables!$Y$5*0.25,0)</f>
        <v>6.7346584847250011</v>
      </c>
      <c r="AA210" s="95">
        <f t="shared" ca="1" si="7"/>
        <v>103.14506256328353</v>
      </c>
      <c r="AB210" s="91">
        <f ca="1">AA210/Variables!$E$49</f>
        <v>16.636300413432828</v>
      </c>
    </row>
    <row r="211" spans="1:28" x14ac:dyDescent="0.25">
      <c r="A211" s="61">
        <f>'Water runs'!C218</f>
        <v>21244</v>
      </c>
      <c r="B211" s="61" t="str">
        <f>'Water runs'!B218</f>
        <v>Summer</v>
      </c>
      <c r="C211" s="54">
        <f>'Water runs'!D218/100</f>
        <v>0.82142857142857095</v>
      </c>
      <c r="D211" s="108">
        <f>VLOOKUP(ROW(D211)+4,'Water runs'!$BS$3:$CF$423,MATCH($B$1,Scenarios,0)+1)</f>
        <v>0</v>
      </c>
      <c r="E211" s="54">
        <f>IF(B211=Variables!$D$8,C211-Variables!$E$8,IF(B211=Variables!$D$9,C211-Variables!$E$9,IF(B211=Variables!$D$10,C211-Variables!$E$10,IF(B211=Variables!$D$11,C211-Variables!$E$11,"ELSE"))))</f>
        <v>-0.43694156462585076</v>
      </c>
      <c r="F211" s="108">
        <f>VLOOKUP(ROW(F211)+4,'Water runs'!$CH$3:$CU$423,MATCH($B$1,Scenarios,0)+1)</f>
        <v>0</v>
      </c>
      <c r="G211" s="65">
        <f ca="1">H211/Variables!$E$49</f>
        <v>0.96529631727541743</v>
      </c>
      <c r="H211" s="62">
        <f ca="1">IF((H210+I211)&gt;(1.1*Variables!$E$50),(1.1*Variables!$E$50),IF((H210+I211)&gt;0,H210+I211,0))</f>
        <v>5.984837167107588</v>
      </c>
      <c r="I211" s="64">
        <f t="shared" ca="1" si="6"/>
        <v>0</v>
      </c>
      <c r="J211" s="63">
        <f>IF(SUM(E207:E210)&lt;Variables!$B$3,-H210,0)</f>
        <v>0</v>
      </c>
      <c r="K211" s="64">
        <f ca="1">IF(AND(H210&lt;Variables!$B$6*Variables!$E$50,OR(SUM(D208:D211)&gt;Variables!$B$5,SUM(E208:E211)&gt;Variables!$B$4)),Variables!$B$6*Variables!$E$50+Variables!$B$7*$G$1*Variables!$E$50*SUM(D208:D211),0)</f>
        <v>0</v>
      </c>
      <c r="L211" s="64">
        <f>IF(B211="Winter",Variables!$B$8*H210,0)</f>
        <v>0</v>
      </c>
      <c r="M211" s="64">
        <f ca="1">IF(AND(B211="Spring",AND(NOT(H210=0),H210&lt;(Variables!$B$9*Variables!$E$50))),(Variables!$B$10*Variables!$E$50+Variables!$B$11*Variables!$E$50*SUM(E208:E211)+$G$1*SUM(D210:D211)*Variables!$E$50*Variables!$B$12),0)</f>
        <v>0</v>
      </c>
      <c r="N211" s="64">
        <f>IF(AND(B211="Spring",AND(SUM(D208:D211)&gt;Variables!$B$13,SUM(D204:D207)&gt;Variables!$B$13)),-Variables!$B$14*Variables!$E$50,0)</f>
        <v>0</v>
      </c>
      <c r="O211" s="64">
        <f>IF(AND(B211="Summer",SUM(C207:D211)&gt;Variables!$B$15),(Variables!$B$16*Variables!$E$50*SUM(C207:C211)+$G$1*Variables!$B$16*Variables!$E$50*SUM(D207:D211)+$G$1*Variables!$E$50*Variables!$B$17*F211),0)</f>
        <v>0</v>
      </c>
      <c r="P211" s="64">
        <f ca="1">IF(AND(AND(B211="Autumn",SUM(D210:E211)&gt;0),NOT(H210=0)),Variables!$B$18*Variables!$E$50+Variables!$B$19*Variables!$E$50*SUM(E210:E211)+$G$1*Variables!$B$19*Variables!$E$50*SUM(D210:D211),0)</f>
        <v>0</v>
      </c>
      <c r="Q211" s="64">
        <f>IF(AND(B211="Autumn",AND((E211+E210)&lt;Variables!$B$20,(D210+D211)=0)),-Variables!$B$21*Variables!$E$50,0)</f>
        <v>0</v>
      </c>
      <c r="R211" s="64">
        <f>IF(B211="Autumn",(SUM(F210:F211)*$G$1*Variables!$B$22*Variables!$E$50),0)</f>
        <v>0</v>
      </c>
      <c r="S211" s="64">
        <f>IF(B211="Spring",($G$1*Variables!$E$50*SUM('Guts (MC)'!F210:F211)*Variables!$B$23),0)</f>
        <v>0</v>
      </c>
      <c r="T211" s="63">
        <f ca="1">IF((H210+SUM(J211:Q211))&lt;(Variables!$B$26*Variables!$E$50),$F$1*((Variables!$B$26*Variables!$E$50)-H210-SUM(J211:Q211)),0)</f>
        <v>0</v>
      </c>
      <c r="U211" s="64">
        <f ca="1">IF(AND(AND(B211="Autumn",SUM(D208:E211)&gt;Variables!$B$27),SUM(J211:Q211)&lt;Variables!$B$28*H210),$F$1*(Variables!$B$28*H210-SUM(J211:Q211)),0)</f>
        <v>0</v>
      </c>
      <c r="V211" s="96">
        <f ca="1">IF(AND((J211+K211)=0,(Q211+T211)=0),$H$1*H211*Variables!$I$23*0.25,0)</f>
        <v>72.949046570715069</v>
      </c>
      <c r="W211" s="97">
        <f ca="1">IF(AND((K211+J211)=0,(T211+Q211)=0),$I$1*H211*Variables!$Q$23*0.25,0)</f>
        <v>23.461357507843463</v>
      </c>
      <c r="X211" s="95">
        <f ca="1">IF(AND(NOT(K211=0),(H211-H210)&gt;0),(H211-H210)*(Variables!$M$5*$H$1+Variables!$U$5*$I$1),0)+IF(AND(NOT((J211+N211+Q211)=0),(H210-H211)&gt;0),(H210-H211)*(Variables!$M$4*$H$1+Variables!$U$4*$I$1),0)</f>
        <v>0</v>
      </c>
      <c r="Y211" s="95">
        <f ca="1">IF(SUM(T211,U210:U211)&gt;0,H211*Variables!$Y$11*0.25*(1-$J$1),0)</f>
        <v>0</v>
      </c>
      <c r="Z211" s="95">
        <f ca="1">IF(T211=0,H211*$J$1*Variables!$Y$5*0.25,0)</f>
        <v>6.7346584847250011</v>
      </c>
      <c r="AA211" s="95">
        <f t="shared" ca="1" si="7"/>
        <v>103.14506256328353</v>
      </c>
      <c r="AB211" s="91">
        <f ca="1">AA211/Variables!$E$49</f>
        <v>16.636300413432828</v>
      </c>
    </row>
    <row r="212" spans="1:28" x14ac:dyDescent="0.25">
      <c r="A212" s="61">
        <f>'Water runs'!C219</f>
        <v>21336</v>
      </c>
      <c r="B212" s="61" t="str">
        <f>'Water runs'!B219</f>
        <v>Autumn</v>
      </c>
      <c r="C212" s="54">
        <f>'Water runs'!D219/100</f>
        <v>0.78257142857142792</v>
      </c>
      <c r="D212" s="108">
        <f>VLOOKUP(ROW(D212)+4,'Water runs'!$BS$3:$CF$423,MATCH($B$1,Scenarios,0)+1)</f>
        <v>0</v>
      </c>
      <c r="E212" s="54">
        <f>IF(B212=Variables!$D$8,C212-Variables!$E$8,IF(B212=Variables!$D$9,C212-Variables!$E$9,IF(B212=Variables!$D$10,C212-Variables!$E$10,IF(B212=Variables!$D$11,C212-Variables!$E$11,"ELSE"))))</f>
        <v>-0.21207187074829992</v>
      </c>
      <c r="F212" s="108">
        <f>VLOOKUP(ROW(F212)+4,'Water runs'!$CH$3:$CU$423,MATCH($B$1,Scenarios,0)+1)</f>
        <v>0</v>
      </c>
      <c r="G212" s="65">
        <f ca="1">H212/Variables!$E$49</f>
        <v>0.16099999999999995</v>
      </c>
      <c r="H212" s="62">
        <f ca="1">IF((H211+I212)&gt;(1.1*Variables!$E$50),(1.1*Variables!$E$50),IF((H211+I212)&gt;0,H211+I212,0))</f>
        <v>0.99819999999999975</v>
      </c>
      <c r="I212" s="64">
        <f t="shared" ca="1" si="6"/>
        <v>-4.9866371671075882</v>
      </c>
      <c r="J212" s="63">
        <f ca="1">IF(SUM(E208:E211)&lt;Variables!$B$3,-H211,0)</f>
        <v>-5.984837167107588</v>
      </c>
      <c r="K212" s="64">
        <f ca="1">IF(AND(H211&lt;Variables!$B$6*Variables!$E$50,OR(SUM(D209:D212)&gt;Variables!$B$5,SUM(E209:E212)&gt;Variables!$B$4)),Variables!$B$6*Variables!$E$50+Variables!$B$7*$G$1*Variables!$E$50*SUM(D209:D212),0)</f>
        <v>0</v>
      </c>
      <c r="L212" s="64">
        <f>IF(B212="Winter",Variables!$B$8*H211,0)</f>
        <v>0</v>
      </c>
      <c r="M212" s="64">
        <f ca="1">IF(AND(B212="Spring",AND(NOT(H211=0),H211&lt;(Variables!$B$9*Variables!$E$50))),(Variables!$B$10*Variables!$E$50+Variables!$B$11*Variables!$E$50*SUM(E209:E212)+$G$1*SUM(D211:D212)*Variables!$E$50*Variables!$B$12),0)</f>
        <v>0</v>
      </c>
      <c r="N212" s="64">
        <f>IF(AND(B212="Spring",AND(SUM(D209:D212)&gt;Variables!$B$13,SUM(D205:D208)&gt;Variables!$B$13)),-Variables!$B$14*Variables!$E$50,0)</f>
        <v>0</v>
      </c>
      <c r="O212" s="64">
        <f>IF(AND(B212="Summer",SUM(C208:D212)&gt;Variables!$B$15),(Variables!$B$16*Variables!$E$50*SUM(C208:C212)+$G$1*Variables!$B$16*Variables!$E$50*SUM(D208:D212)+$G$1*Variables!$E$50*Variables!$B$17*F212),0)</f>
        <v>0</v>
      </c>
      <c r="P212" s="64">
        <f ca="1">IF(AND(AND(B212="Autumn",SUM(D211:E212)&gt;0),NOT(H211=0)),Variables!$B$18*Variables!$E$50+Variables!$B$19*Variables!$E$50*SUM(E211:E212)+$G$1*Variables!$B$19*Variables!$E$50*SUM(D211:D212),0)</f>
        <v>0</v>
      </c>
      <c r="Q212" s="64">
        <f>IF(AND(B212="Autumn",AND((E212+E211)&lt;Variables!$B$20,(D211+D212)=0)),-Variables!$B$21*Variables!$E$50,0)</f>
        <v>0</v>
      </c>
      <c r="R212" s="64">
        <f ca="1">IF(B212="Autumn",(SUM(F211:F212)*$G$1*Variables!$B$22*Variables!$E$50),0)</f>
        <v>0</v>
      </c>
      <c r="S212" s="64">
        <f>IF(B212="Spring",($G$1*Variables!$E$50*SUM('Guts (MC)'!F211:F212)*Variables!$B$23),0)</f>
        <v>0</v>
      </c>
      <c r="T212" s="63">
        <f ca="1">IF((H211+SUM(J212:Q212))&lt;(Variables!$B$26*Variables!$E$50),$F$1*((Variables!$B$26*Variables!$E$50)-H211-SUM(J212:Q212)),0)</f>
        <v>0.99819999999999975</v>
      </c>
      <c r="U212" s="64">
        <f ca="1">IF(AND(AND(B212="Autumn",SUM(D209:E212)&gt;Variables!$B$27),SUM(J212:Q212)&lt;Variables!$B$28*H211),$F$1*(Variables!$B$28*H211-SUM(J212:Q212)),0)</f>
        <v>0</v>
      </c>
      <c r="V212" s="96">
        <f ca="1">IF(AND((J212+K212)=0,(Q212+T212)=0),$H$1*H212*Variables!$I$23*0.25,0)</f>
        <v>0</v>
      </c>
      <c r="W212" s="97">
        <f ca="1">IF(AND((K212+J212)=0,(T212+Q212)=0),$I$1*H212*Variables!$Q$23*0.25,0)</f>
        <v>0</v>
      </c>
      <c r="X212" s="95">
        <f ca="1">IF(AND(NOT(K212=0),(H212-H211)&gt;0),(H212-H211)*(Variables!$M$5*$H$1+Variables!$U$5*$I$1),0)+IF(AND(NOT((J212+N212+Q212)=0),(H211-H212)&gt;0),(H211-H212)*(Variables!$M$4*$H$1+Variables!$U$4*$I$1),0)</f>
        <v>285.02239702732874</v>
      </c>
      <c r="Y212" s="95">
        <f ca="1">IF(SUM(T212,U211:U212)&gt;0,H212*Variables!$Y$11*0.25*(1-$J$1),0)</f>
        <v>-8.6666009437672731</v>
      </c>
      <c r="Z212" s="95">
        <f ca="1">IF(T212=0,H212*$J$1*Variables!$Y$5*0.25,0)</f>
        <v>0</v>
      </c>
      <c r="AA212" s="95">
        <f t="shared" ca="1" si="7"/>
        <v>276.35579608356147</v>
      </c>
      <c r="AB212" s="91">
        <f ca="1">AA212/Variables!$E$49</f>
        <v>44.573515497348623</v>
      </c>
    </row>
    <row r="213" spans="1:28" x14ac:dyDescent="0.25">
      <c r="A213" s="61">
        <f>'Water runs'!C220</f>
        <v>21428</v>
      </c>
      <c r="B213" s="61" t="str">
        <f>'Water runs'!B220</f>
        <v>Winter</v>
      </c>
      <c r="C213" s="54">
        <f>'Water runs'!D220/100</f>
        <v>0.45857142857142896</v>
      </c>
      <c r="D213" s="108">
        <f>VLOOKUP(ROW(D213)+4,'Water runs'!$BS$3:$CF$423,MATCH($B$1,Scenarios,0)+1)</f>
        <v>8.2326859278379086E-2</v>
      </c>
      <c r="E213" s="54">
        <f>IF(B213=Variables!$D$8,C213-Variables!$E$8,IF(B213=Variables!$D$9,C213-Variables!$E$9,IF(B213=Variables!$D$10,C213-Variables!$E$10,IF(B213=Variables!$D$11,C213-Variables!$E$11,"ELSE"))))</f>
        <v>-0.11319619708994677</v>
      </c>
      <c r="F213" s="108">
        <f>VLOOKUP(ROW(F213)+4,'Water runs'!$CH$3:$CU$423,MATCH($B$1,Scenarios,0)+1)</f>
        <v>7.0752737551366199E-2</v>
      </c>
      <c r="G213" s="65">
        <f ca="1">H213/Variables!$E$49</f>
        <v>0.161</v>
      </c>
      <c r="H213" s="62">
        <f ca="1">IF((H212+I213)&gt;(1.1*Variables!$E$50),(1.1*Variables!$E$50),IF((H212+I213)&gt;0,H212+I213,0))</f>
        <v>0.99820000000000009</v>
      </c>
      <c r="I213" s="64">
        <f t="shared" ca="1" si="6"/>
        <v>3.3306690738754696E-16</v>
      </c>
      <c r="J213" s="63">
        <f>IF(SUM(E209:E212)&lt;Variables!$B$3,-H212,0)</f>
        <v>0</v>
      </c>
      <c r="K213" s="64">
        <f ca="1">IF(AND(H212&lt;Variables!$B$6*Variables!$E$50,OR(SUM(D210:D213)&gt;Variables!$B$5,SUM(E210:E213)&gt;Variables!$B$4)),Variables!$B$6*Variables!$E$50+Variables!$B$7*$G$1*Variables!$E$50*SUM(D210:D213),0)</f>
        <v>0</v>
      </c>
      <c r="L213" s="64">
        <f ca="1">IF(B213="Winter",Variables!$B$8*H212,0)</f>
        <v>-0.49704894489176132</v>
      </c>
      <c r="M213" s="64">
        <f ca="1">IF(AND(B213="Spring",AND(NOT(H212=0),H212&lt;(Variables!$B$9*Variables!$E$50))),(Variables!$B$10*Variables!$E$50+Variables!$B$11*Variables!$E$50*SUM(E210:E213)+$G$1*SUM(D212:D213)*Variables!$E$50*Variables!$B$12),0)</f>
        <v>0</v>
      </c>
      <c r="N213" s="64">
        <f>IF(AND(B213="Spring",AND(SUM(D210:D213)&gt;Variables!$B$13,SUM(D206:D209)&gt;Variables!$B$13)),-Variables!$B$14*Variables!$E$50,0)</f>
        <v>0</v>
      </c>
      <c r="O213" s="64">
        <f>IF(AND(B213="Summer",SUM(C209:D213)&gt;Variables!$B$15),(Variables!$B$16*Variables!$E$50*SUM(C209:C213)+$G$1*Variables!$B$16*Variables!$E$50*SUM(D209:D213)+$G$1*Variables!$E$50*Variables!$B$17*F213),0)</f>
        <v>0</v>
      </c>
      <c r="P213" s="64">
        <f ca="1">IF(AND(AND(B213="Autumn",SUM(D212:E213)&gt;0),NOT(H212=0)),Variables!$B$18*Variables!$E$50+Variables!$B$19*Variables!$E$50*SUM(E212:E213)+$G$1*Variables!$B$19*Variables!$E$50*SUM(D212:D213),0)</f>
        <v>0</v>
      </c>
      <c r="Q213" s="64">
        <f>IF(AND(B213="Autumn",AND((E213+E212)&lt;Variables!$B$20,(D212+D213)=0)),-Variables!$B$21*Variables!$E$50,0)</f>
        <v>0</v>
      </c>
      <c r="R213" s="64">
        <f>IF(B213="Autumn",(SUM(F212:F213)*$G$1*Variables!$B$22*Variables!$E$50),0)</f>
        <v>0</v>
      </c>
      <c r="S213" s="64">
        <f>IF(B213="Spring",($G$1*Variables!$E$50*SUM('Guts (MC)'!F212:F213)*Variables!$B$23),0)</f>
        <v>0</v>
      </c>
      <c r="T213" s="63">
        <f ca="1">IF((H212+SUM(J213:Q213))&lt;(Variables!$B$26*Variables!$E$50),$F$1*((Variables!$B$26*Variables!$E$50)-H212-SUM(J213:Q213)),0)</f>
        <v>0.49704894489176166</v>
      </c>
      <c r="U213" s="64">
        <f ca="1">IF(AND(AND(B213="Autumn",SUM(D210:E213)&gt;Variables!$B$27),SUM(J213:Q213)&lt;Variables!$B$28*H212),$F$1*(Variables!$B$28*H212-SUM(J213:Q213)),0)</f>
        <v>0</v>
      </c>
      <c r="V213" s="96">
        <f ca="1">IF(AND((J213+K213)=0,(Q213+T213)=0),$H$1*H213*Variables!$I$23*0.25,0)</f>
        <v>0</v>
      </c>
      <c r="W213" s="97">
        <f ca="1">IF(AND((K213+J213)=0,(T213+Q213)=0),$I$1*H213*Variables!$Q$23*0.25,0)</f>
        <v>0</v>
      </c>
      <c r="X213" s="95">
        <f ca="1">IF(AND(NOT(K213=0),(H213-H212)&gt;0),(H213-H212)*(Variables!$M$5*$H$1+Variables!$U$5*$I$1),0)+IF(AND(NOT((J213+N213+Q213)=0),(H212-H213)&gt;0),(H212-H213)*(Variables!$M$4*$H$1+Variables!$U$4*$I$1),0)</f>
        <v>0</v>
      </c>
      <c r="Y213" s="95">
        <f ca="1">IF(SUM(T213,U212:U213)&gt;0,H213*Variables!$Y$11*0.25*(1-$J$1),0)</f>
        <v>-8.6666009437672749</v>
      </c>
      <c r="Z213" s="95">
        <f ca="1">IF(T213=0,H213*$J$1*Variables!$Y$5*0.25,0)</f>
        <v>0</v>
      </c>
      <c r="AA213" s="95">
        <f t="shared" ca="1" si="7"/>
        <v>-8.6666009437672749</v>
      </c>
      <c r="AB213" s="91">
        <f ca="1">AA213/Variables!$E$49</f>
        <v>-1.3978388618979476</v>
      </c>
    </row>
    <row r="214" spans="1:28" x14ac:dyDescent="0.25">
      <c r="A214" s="61">
        <f>'Water runs'!C221</f>
        <v>21519</v>
      </c>
      <c r="B214" s="61" t="str">
        <f>'Water runs'!B221</f>
        <v>Spring</v>
      </c>
      <c r="C214" s="54">
        <f>'Water runs'!D221/100</f>
        <v>0.89776190476190498</v>
      </c>
      <c r="D214" s="108">
        <f>VLOOKUP(ROW(D214)+4,'Water runs'!$BS$3:$CF$423,MATCH($B$1,Scenarios,0)+1)</f>
        <v>0</v>
      </c>
      <c r="E214" s="54">
        <f>IF(B214=Variables!$D$8,C214-Variables!$E$8,IF(B214=Variables!$D$9,C214-Variables!$E$9,IF(B214=Variables!$D$10,C214-Variables!$E$10,IF(B214=Variables!$D$11,C214-Variables!$E$11,"ELSE"))))</f>
        <v>0.13377969576719584</v>
      </c>
      <c r="F214" s="108">
        <f>VLOOKUP(ROW(F214)+4,'Water runs'!$CH$3:$CU$423,MATCH($B$1,Scenarios,0)+1)</f>
        <v>0</v>
      </c>
      <c r="G214" s="65">
        <f ca="1">H214/Variables!$E$49</f>
        <v>0.16256909603915323</v>
      </c>
      <c r="H214" s="62">
        <f ca="1">IF((H213+I214)&gt;(1.1*Variables!$E$50),(1.1*Variables!$E$50),IF((H213+I214)&gt;0,H213+I214,0))</f>
        <v>1.00792839544275</v>
      </c>
      <c r="I214" s="64">
        <f t="shared" ca="1" si="6"/>
        <v>9.7283954427499486E-3</v>
      </c>
      <c r="J214" s="63">
        <f>IF(SUM(E210:E213)&lt;Variables!$B$3,-H213,0)</f>
        <v>0</v>
      </c>
      <c r="K214" s="64">
        <f ca="1">IF(AND(H213&lt;Variables!$B$6*Variables!$E$50,OR(SUM(D211:D214)&gt;Variables!$B$5,SUM(E211:E214)&gt;Variables!$B$4)),Variables!$B$6*Variables!$E$50+Variables!$B$7*$G$1*Variables!$E$50*SUM(D211:D214),0)</f>
        <v>0</v>
      </c>
      <c r="L214" s="64">
        <f>IF(B214="Winter",Variables!$B$8*H213,0)</f>
        <v>0</v>
      </c>
      <c r="M214" s="64">
        <f ca="1">IF(AND(B214="Spring",AND(NOT(H213=0),H213&lt;(Variables!$B$9*Variables!$E$50))),(Variables!$B$10*Variables!$E$50+Variables!$B$11*Variables!$E$50*SUM(E211:E214)+$G$1*SUM(D213:D214)*Variables!$E$50*Variables!$B$12),0)</f>
        <v>-0.39525080521646982</v>
      </c>
      <c r="N214" s="64">
        <f>IF(AND(B214="Spring",AND(SUM(D211:D214)&gt;Variables!$B$13,SUM(D207:D210)&gt;Variables!$B$13)),-Variables!$B$14*Variables!$E$50,0)</f>
        <v>0</v>
      </c>
      <c r="O214" s="64">
        <f>IF(AND(B214="Summer",SUM(C210:D214)&gt;Variables!$B$15),(Variables!$B$16*Variables!$E$50*SUM(C210:C214)+$G$1*Variables!$B$16*Variables!$E$50*SUM(D210:D214)+$G$1*Variables!$E$50*Variables!$B$17*F214),0)</f>
        <v>0</v>
      </c>
      <c r="P214" s="64">
        <f ca="1">IF(AND(AND(B214="Autumn",SUM(D213:E214)&gt;0),NOT(H213=0)),Variables!$B$18*Variables!$E$50+Variables!$B$19*Variables!$E$50*SUM(E213:E214)+$G$1*Variables!$B$19*Variables!$E$50*SUM(D213:D214),0)</f>
        <v>0</v>
      </c>
      <c r="Q214" s="64">
        <f>IF(AND(B214="Autumn",AND((E214+E213)&lt;Variables!$B$20,(D213+D214)=0)),-Variables!$B$21*Variables!$E$50,0)</f>
        <v>0</v>
      </c>
      <c r="R214" s="64">
        <f>IF(B214="Autumn",(SUM(F213:F214)*$G$1*Variables!$B$22*Variables!$E$50),0)</f>
        <v>0</v>
      </c>
      <c r="S214" s="64">
        <f ca="1">IF(B214="Spring",($G$1*Variables!$E$50*SUM('Guts (MC)'!F213:F214)*Variables!$B$23),0)</f>
        <v>9.7283954427499347E-3</v>
      </c>
      <c r="T214" s="63">
        <f ca="1">IF((H213+SUM(J214:Q214))&lt;(Variables!$B$26*Variables!$E$50),$F$1*((Variables!$B$26*Variables!$E$50)-H213-SUM(J214:Q214)),0)</f>
        <v>0.39525080521646982</v>
      </c>
      <c r="U214" s="64">
        <f ca="1">IF(AND(AND(B214="Autumn",SUM(D211:E214)&gt;Variables!$B$27),SUM(J214:Q214)&lt;Variables!$B$28*H213),$F$1*(Variables!$B$28*H213-SUM(J214:Q214)),0)</f>
        <v>0</v>
      </c>
      <c r="V214" s="96">
        <f ca="1">IF(AND((J214+K214)=0,(Q214+T214)=0),$H$1*H214*Variables!$I$23*0.25,0)</f>
        <v>0</v>
      </c>
      <c r="W214" s="97">
        <f ca="1">IF(AND((K214+J214)=0,(T214+Q214)=0),$I$1*H214*Variables!$Q$23*0.25,0)</f>
        <v>0</v>
      </c>
      <c r="X214" s="95">
        <f ca="1">IF(AND(NOT(K214=0),(H214-H213)&gt;0),(H214-H213)*(Variables!$M$5*$H$1+Variables!$U$5*$I$1),0)+IF(AND(NOT((J214+N214+Q214)=0),(H213-H214)&gt;0),(H213-H214)*(Variables!$M$4*$H$1+Variables!$U$4*$I$1),0)</f>
        <v>0</v>
      </c>
      <c r="Y214" s="95">
        <f ca="1">IF(SUM(T214,U213:U214)&gt;0,H214*Variables!$Y$11*0.25*(1-$J$1),0)</f>
        <v>-8.751065100374646</v>
      </c>
      <c r="Z214" s="95">
        <f ca="1">IF(T214=0,H214*$J$1*Variables!$Y$5*0.25,0)</f>
        <v>0</v>
      </c>
      <c r="AA214" s="95">
        <f t="shared" ca="1" si="7"/>
        <v>-8.751065100374646</v>
      </c>
      <c r="AB214" s="91">
        <f ca="1">AA214/Variables!$E$49</f>
        <v>-1.4114621129636526</v>
      </c>
    </row>
    <row r="215" spans="1:28" x14ac:dyDescent="0.25">
      <c r="A215" s="61">
        <f>'Water runs'!C222</f>
        <v>21609</v>
      </c>
      <c r="B215" s="61" t="str">
        <f>'Water runs'!B222</f>
        <v>Summer</v>
      </c>
      <c r="C215" s="54">
        <f>'Water runs'!D222/100</f>
        <v>2.4277380952380998</v>
      </c>
      <c r="D215" s="108">
        <f>VLOOKUP(ROW(D215)+4,'Water runs'!$BS$3:$CF$423,MATCH($B$1,Scenarios,0)+1)</f>
        <v>8.9705381673647458E-2</v>
      </c>
      <c r="E215" s="54">
        <f>IF(B215=Variables!$D$8,C215-Variables!$E$8,IF(B215=Variables!$D$9,C215-Variables!$E$9,IF(B215=Variables!$D$10,C215-Variables!$E$10,IF(B215=Variables!$D$11,C215-Variables!$E$11,"ELSE"))))</f>
        <v>1.1693679591836781</v>
      </c>
      <c r="F215" s="108">
        <f>VLOOKUP(ROW(F215)+4,'Water runs'!$CH$3:$CU$423,MATCH($B$1,Scenarios,0)+1)</f>
        <v>0</v>
      </c>
      <c r="G215" s="65">
        <f ca="1">H215/Variables!$E$49</f>
        <v>0.34814220381394817</v>
      </c>
      <c r="H215" s="62">
        <f ca="1">IF((H214+I215)&gt;(1.1*Variables!$E$50),(1.1*Variables!$E$50),IF((H214+I215)&gt;0,H214+I215,0))</f>
        <v>2.1584816636464788</v>
      </c>
      <c r="I215" s="64">
        <f t="shared" ca="1" si="6"/>
        <v>1.1505532682037287</v>
      </c>
      <c r="J215" s="63">
        <f>IF(SUM(E211:E214)&lt;Variables!$B$3,-H214,0)</f>
        <v>0</v>
      </c>
      <c r="K215" s="64">
        <f ca="1">IF(AND(H214&lt;Variables!$B$6*Variables!$E$50,OR(SUM(D212:D215)&gt;Variables!$B$5,SUM(E212:E215)&gt;Variables!$B$4)),Variables!$B$6*Variables!$E$50+Variables!$B$7*$G$1*Variables!$E$50*SUM(D212:D215),0)</f>
        <v>1.1505532682037287</v>
      </c>
      <c r="L215" s="64">
        <f>IF(B215="Winter",Variables!$B$8*H214,0)</f>
        <v>0</v>
      </c>
      <c r="M215" s="64">
        <f ca="1">IF(AND(B215="Spring",AND(NOT(H214=0),H214&lt;(Variables!$B$9*Variables!$E$50))),(Variables!$B$10*Variables!$E$50+Variables!$B$11*Variables!$E$50*SUM(E212:E215)+$G$1*SUM(D214:D215)*Variables!$E$50*Variables!$B$12),0)</f>
        <v>0</v>
      </c>
      <c r="N215" s="64">
        <f>IF(AND(B215="Spring",AND(SUM(D212:D215)&gt;Variables!$B$13,SUM(D208:D211)&gt;Variables!$B$13)),-Variables!$B$14*Variables!$E$50,0)</f>
        <v>0</v>
      </c>
      <c r="O215" s="64">
        <f>IF(AND(B215="Summer",SUM(C211:D215)&gt;Variables!$B$15),(Variables!$B$16*Variables!$E$50*SUM(C211:C215)+$G$1*Variables!$B$16*Variables!$E$50*SUM(D211:D215)+$G$1*Variables!$E$50*Variables!$B$17*F215),0)</f>
        <v>0</v>
      </c>
      <c r="P215" s="64">
        <f ca="1">IF(AND(AND(B215="Autumn",SUM(D214:E215)&gt;0),NOT(H214=0)),Variables!$B$18*Variables!$E$50+Variables!$B$19*Variables!$E$50*SUM(E214:E215)+$G$1*Variables!$B$19*Variables!$E$50*SUM(D214:D215),0)</f>
        <v>0</v>
      </c>
      <c r="Q215" s="64">
        <f>IF(AND(B215="Autumn",AND((E215+E214)&lt;Variables!$B$20,(D214+D215)=0)),-Variables!$B$21*Variables!$E$50,0)</f>
        <v>0</v>
      </c>
      <c r="R215" s="64">
        <f>IF(B215="Autumn",(SUM(F214:F215)*$G$1*Variables!$B$22*Variables!$E$50),0)</f>
        <v>0</v>
      </c>
      <c r="S215" s="64">
        <f>IF(B215="Spring",($G$1*Variables!$E$50*SUM('Guts (MC)'!F214:F215)*Variables!$B$23),0)</f>
        <v>0</v>
      </c>
      <c r="T215" s="63">
        <f ca="1">IF((H214+SUM(J215:Q215))&lt;(Variables!$B$26*Variables!$E$50),$F$1*((Variables!$B$26*Variables!$E$50)-H214-SUM(J215:Q215)),0)</f>
        <v>0</v>
      </c>
      <c r="U215" s="64">
        <f ca="1">IF(AND(AND(B215="Autumn",SUM(D212:E215)&gt;Variables!$B$27),SUM(J215:Q215)&lt;Variables!$B$28*H214),$F$1*(Variables!$B$28*H214-SUM(J215:Q215)),0)</f>
        <v>0</v>
      </c>
      <c r="V215" s="96">
        <f ca="1">IF(AND((J215+K215)=0,(Q215+T215)=0),$H$1*H215*Variables!$I$23*0.25,0)</f>
        <v>0</v>
      </c>
      <c r="W215" s="97">
        <f ca="1">IF(AND((K215+J215)=0,(T215+Q215)=0),$I$1*H215*Variables!$Q$23*0.25,0)</f>
        <v>0</v>
      </c>
      <c r="X215" s="95">
        <f ca="1">IF(AND(NOT(K215=0),(H215-H214)&gt;0),(H215-H214)*(Variables!$M$5*$H$1+Variables!$U$5*$I$1),0)+IF(AND(NOT((J215+N215+Q215)=0),(H214-H215)&gt;0),(H214-H215)*(Variables!$M$4*$H$1+Variables!$U$4*$I$1),0)</f>
        <v>-131.52488918750265</v>
      </c>
      <c r="Y215" s="95">
        <f ca="1">IF(SUM(T215,U214:U215)&gt;0,H215*Variables!$Y$11*0.25*(1-$J$1),0)</f>
        <v>0</v>
      </c>
      <c r="Z215" s="95">
        <f ca="1">IF(T215=0,H215*$J$1*Variables!$Y$5*0.25,0)</f>
        <v>2.428911003643146</v>
      </c>
      <c r="AA215" s="95">
        <f t="shared" ca="1" si="7"/>
        <v>-129.0959781838595</v>
      </c>
      <c r="AB215" s="91">
        <f ca="1">AA215/Variables!$E$49</f>
        <v>-20.821931965138628</v>
      </c>
    </row>
    <row r="216" spans="1:28" x14ac:dyDescent="0.25">
      <c r="A216" s="61">
        <f>'Water runs'!C223</f>
        <v>21701</v>
      </c>
      <c r="B216" s="61" t="str">
        <f>'Water runs'!B223</f>
        <v>Autumn</v>
      </c>
      <c r="C216" s="54">
        <f>'Water runs'!D223/100</f>
        <v>2.0217380952381001</v>
      </c>
      <c r="D216" s="108">
        <f>VLOOKUP(ROW(D216)+4,'Water runs'!$BS$3:$CF$423,MATCH($B$1,Scenarios,0)+1)</f>
        <v>0.51091299218521125</v>
      </c>
      <c r="E216" s="54">
        <f>IF(B216=Variables!$D$8,C216-Variables!$E$8,IF(B216=Variables!$D$9,C216-Variables!$E$9,IF(B216=Variables!$D$10,C216-Variables!$E$10,IF(B216=Variables!$D$11,C216-Variables!$E$11,"ELSE"))))</f>
        <v>1.0270947959183723</v>
      </c>
      <c r="F216" s="108">
        <f>VLOOKUP(ROW(F216)+4,'Water runs'!$CH$3:$CU$423,MATCH($B$1,Scenarios,0)+1)</f>
        <v>0.59285980094854274</v>
      </c>
      <c r="G216" s="65">
        <f ca="1">H216/Variables!$E$49</f>
        <v>1.3648642263167696</v>
      </c>
      <c r="H216" s="62">
        <f ca="1">IF((H215+I216)&gt;(1.1*Variables!$E$50),(1.1*Variables!$E$50),IF((H215+I216)&gt;0,H215+I216,0))</f>
        <v>8.4621582031639715</v>
      </c>
      <c r="I216" s="64">
        <f t="shared" ca="1" si="6"/>
        <v>6.3036765395174923</v>
      </c>
      <c r="J216" s="63">
        <f>IF(SUM(E212:E215)&lt;Variables!$B$3,-H215,0)</f>
        <v>0</v>
      </c>
      <c r="K216" s="64">
        <f ca="1">IF(AND(H215&lt;Variables!$B$6*Variables!$E$50,OR(SUM(D213:D216)&gt;Variables!$B$5,SUM(E213:E216)&gt;Variables!$B$4)),Variables!$B$6*Variables!$E$50+Variables!$B$7*$G$1*Variables!$E$50*SUM(D213:D216),0)</f>
        <v>0</v>
      </c>
      <c r="L216" s="64">
        <f>IF(B216="Winter",Variables!$B$8*H215,0)</f>
        <v>0</v>
      </c>
      <c r="M216" s="64">
        <f ca="1">IF(AND(B216="Spring",AND(NOT(H215=0),H215&lt;(Variables!$B$9*Variables!$E$50))),(Variables!$B$10*Variables!$E$50+Variables!$B$11*Variables!$E$50*SUM(E213:E216)+$G$1*SUM(D215:D216)*Variables!$E$50*Variables!$B$12),0)</f>
        <v>0</v>
      </c>
      <c r="N216" s="64">
        <f>IF(AND(B216="Spring",AND(SUM(D213:D216)&gt;Variables!$B$13,SUM(D209:D212)&gt;Variables!$B$13)),-Variables!$B$14*Variables!$E$50,0)</f>
        <v>0</v>
      </c>
      <c r="O216" s="64">
        <f>IF(AND(B216="Summer",SUM(C212:D216)&gt;Variables!$B$15),(Variables!$B$16*Variables!$E$50*SUM(C212:C216)+$G$1*Variables!$B$16*Variables!$E$50*SUM(D212:D216)+$G$1*Variables!$E$50*Variables!$B$17*F216),0)</f>
        <v>0</v>
      </c>
      <c r="P216" s="64">
        <f ca="1">IF(AND(AND(B216="Autumn",SUM(D215:E216)&gt;0),NOT(H215=0)),Variables!$B$18*Variables!$E$50+Variables!$B$19*Variables!$E$50*SUM(E215:E216)+$G$1*Variables!$B$19*Variables!$E$50*SUM(D215:D216),0)</f>
        <v>6.2139222408961565</v>
      </c>
      <c r="Q216" s="64">
        <f>IF(AND(B216="Autumn",AND((E216+E215)&lt;Variables!$B$20,(D215+D216)=0)),-Variables!$B$21*Variables!$E$50,0)</f>
        <v>0</v>
      </c>
      <c r="R216" s="64">
        <f ca="1">IF(B216="Autumn",(SUM(F215:F216)*$G$1*Variables!$B$22*Variables!$E$50),0)</f>
        <v>8.9754298621335479E-2</v>
      </c>
      <c r="S216" s="64">
        <f>IF(B216="Spring",($G$1*Variables!$E$50*SUM('Guts (MC)'!F215:F216)*Variables!$B$23),0)</f>
        <v>0</v>
      </c>
      <c r="T216" s="63">
        <f ca="1">IF((H215+SUM(J216:Q216))&lt;(Variables!$B$26*Variables!$E$50),$F$1*((Variables!$B$26*Variables!$E$50)-H215-SUM(J216:Q216)),0)</f>
        <v>0</v>
      </c>
      <c r="U216" s="64">
        <f ca="1">IF(AND(AND(B216="Autumn",SUM(D213:E216)&gt;Variables!$B$27),SUM(J216:Q216)&lt;Variables!$B$28*H215),$F$1*(Variables!$B$28*H215-SUM(J216:Q216)),0)</f>
        <v>0</v>
      </c>
      <c r="V216" s="96">
        <f ca="1">IF(AND((J216+K216)=0,(Q216+T216)=0),$H$1*H216*Variables!$I$23*0.25,0)</f>
        <v>103.1450573532822</v>
      </c>
      <c r="W216" s="97">
        <f ca="1">IF(AND((K216+J216)=0,(T216+Q216)=0),$I$1*H216*Variables!$Q$23*0.25,0)</f>
        <v>33.172785382281269</v>
      </c>
      <c r="X216" s="95">
        <f ca="1">IF(AND(NOT(K216=0),(H216-H215)&gt;0),(H216-H215)*(Variables!$M$5*$H$1+Variables!$U$5*$I$1),0)+IF(AND(NOT((J216+N216+Q216)=0),(H215-H216)&gt;0),(H215-H216)*(Variables!$M$4*$H$1+Variables!$U$4*$I$1),0)</f>
        <v>0</v>
      </c>
      <c r="Y216" s="95">
        <f ca="1">IF(SUM(T216,U215:U216)&gt;0,H216*Variables!$Y$11*0.25*(1-$J$1),0)</f>
        <v>0</v>
      </c>
      <c r="Z216" s="95">
        <f ca="1">IF(T216=0,H216*$J$1*Variables!$Y$5*0.25,0)</f>
        <v>9.5223552372045717</v>
      </c>
      <c r="AA216" s="95">
        <f t="shared" ca="1" si="7"/>
        <v>145.84019797276804</v>
      </c>
      <c r="AB216" s="91">
        <f ca="1">AA216/Variables!$E$49</f>
        <v>23.522612576252907</v>
      </c>
    </row>
    <row r="217" spans="1:28" x14ac:dyDescent="0.25">
      <c r="A217" s="61">
        <f>'Water runs'!C224</f>
        <v>21793</v>
      </c>
      <c r="B217" s="61" t="str">
        <f>'Water runs'!B224</f>
        <v>Winter</v>
      </c>
      <c r="C217" s="54">
        <f>'Water runs'!D224/100</f>
        <v>0.38400000000000001</v>
      </c>
      <c r="D217" s="108">
        <f>VLOOKUP(ROW(D217)+4,'Water runs'!$BS$3:$CF$423,MATCH($B$1,Scenarios,0)+1)</f>
        <v>0</v>
      </c>
      <c r="E217" s="54">
        <f>IF(B217=Variables!$D$8,C217-Variables!$E$8,IF(B217=Variables!$D$9,C217-Variables!$E$9,IF(B217=Variables!$D$10,C217-Variables!$E$10,IF(B217=Variables!$D$11,C217-Variables!$E$11,"ELSE"))))</f>
        <v>-0.18776762566137573</v>
      </c>
      <c r="F217" s="108">
        <f>VLOOKUP(ROW(F217)+4,'Water runs'!$CH$3:$CU$423,MATCH($B$1,Scenarios,0)+1)</f>
        <v>0</v>
      </c>
      <c r="G217" s="65">
        <f ca="1">H217/Variables!$E$49</f>
        <v>0.68523657292941165</v>
      </c>
      <c r="H217" s="62">
        <f ca="1">IF((H216+I217)&gt;(1.1*Variables!$E$50),(1.1*Variables!$E$50),IF((H216+I217)&gt;0,H216+I217,0))</f>
        <v>4.2484667521623525</v>
      </c>
      <c r="I217" s="64">
        <f t="shared" ca="1" si="6"/>
        <v>-4.213691451001619</v>
      </c>
      <c r="J217" s="63">
        <f>IF(SUM(E213:E216)&lt;Variables!$B$3,-H216,0)</f>
        <v>0</v>
      </c>
      <c r="K217" s="64">
        <f ca="1">IF(AND(H216&lt;Variables!$B$6*Variables!$E$50,OR(SUM(D214:D217)&gt;Variables!$B$5,SUM(E214:E217)&gt;Variables!$B$4)),Variables!$B$6*Variables!$E$50+Variables!$B$7*$G$1*Variables!$E$50*SUM(D214:D217),0)</f>
        <v>0</v>
      </c>
      <c r="L217" s="64">
        <f ca="1">IF(B217="Winter",Variables!$B$8*H216,0)</f>
        <v>-4.213691451001619</v>
      </c>
      <c r="M217" s="64">
        <f ca="1">IF(AND(B217="Spring",AND(NOT(H216=0),H216&lt;(Variables!$B$9*Variables!$E$50))),(Variables!$B$10*Variables!$E$50+Variables!$B$11*Variables!$E$50*SUM(E214:E217)+$G$1*SUM(D216:D217)*Variables!$E$50*Variables!$B$12),0)</f>
        <v>0</v>
      </c>
      <c r="N217" s="64">
        <f>IF(AND(B217="Spring",AND(SUM(D214:D217)&gt;Variables!$B$13,SUM(D210:D213)&gt;Variables!$B$13)),-Variables!$B$14*Variables!$E$50,0)</f>
        <v>0</v>
      </c>
      <c r="O217" s="64">
        <f>IF(AND(B217="Summer",SUM(C213:D217)&gt;Variables!$B$15),(Variables!$B$16*Variables!$E$50*SUM(C213:C217)+$G$1*Variables!$B$16*Variables!$E$50*SUM(D213:D217)+$G$1*Variables!$E$50*Variables!$B$17*F217),0)</f>
        <v>0</v>
      </c>
      <c r="P217" s="64">
        <f ca="1">IF(AND(AND(B217="Autumn",SUM(D216:E217)&gt;0),NOT(H216=0)),Variables!$B$18*Variables!$E$50+Variables!$B$19*Variables!$E$50*SUM(E216:E217)+$G$1*Variables!$B$19*Variables!$E$50*SUM(D216:D217),0)</f>
        <v>0</v>
      </c>
      <c r="Q217" s="64">
        <f>IF(AND(B217="Autumn",AND((E217+E216)&lt;Variables!$B$20,(D216+D217)=0)),-Variables!$B$21*Variables!$E$50,0)</f>
        <v>0</v>
      </c>
      <c r="R217" s="64">
        <f>IF(B217="Autumn",(SUM(F216:F217)*$G$1*Variables!$B$22*Variables!$E$50),0)</f>
        <v>0</v>
      </c>
      <c r="S217" s="64">
        <f>IF(B217="Spring",($G$1*Variables!$E$50*SUM('Guts (MC)'!F216:F217)*Variables!$B$23),0)</f>
        <v>0</v>
      </c>
      <c r="T217" s="63">
        <f ca="1">IF((H216+SUM(J217:Q217))&lt;(Variables!$B$26*Variables!$E$50),$F$1*((Variables!$B$26*Variables!$E$50)-H216-SUM(J217:Q217)),0)</f>
        <v>0</v>
      </c>
      <c r="U217" s="64">
        <f ca="1">IF(AND(AND(B217="Autumn",SUM(D214:E217)&gt;Variables!$B$27),SUM(J217:Q217)&lt;Variables!$B$28*H216),$F$1*(Variables!$B$28*H216-SUM(J217:Q217)),0)</f>
        <v>0</v>
      </c>
      <c r="V217" s="96">
        <f ca="1">IF(AND((J217+K217)=0,(Q217+T217)=0),$H$1*H217*Variables!$I$23*0.25,0)</f>
        <v>51.784466361247397</v>
      </c>
      <c r="W217" s="97">
        <f ca="1">IF(AND((K217+J217)=0,(T217+Q217)=0),$I$1*H217*Variables!$Q$23*0.25,0)</f>
        <v>16.654554593477666</v>
      </c>
      <c r="X217" s="95">
        <f ca="1">IF(AND(NOT(K217=0),(H217-H216)&gt;0),(H217-H216)*(Variables!$M$5*$H$1+Variables!$U$5*$I$1),0)+IF(AND(NOT((J217+N217+Q217)=0),(H216-H217)&gt;0),(H216-H217)*(Variables!$M$4*$H$1+Variables!$U$4*$I$1),0)</f>
        <v>0</v>
      </c>
      <c r="Y217" s="95">
        <f ca="1">IF(SUM(T217,U216:U217)&gt;0,H217*Variables!$Y$11*0.25*(1-$J$1),0)</f>
        <v>0</v>
      </c>
      <c r="Z217" s="95">
        <f ca="1">IF(T217=0,H217*$J$1*Variables!$Y$5*0.25,0)</f>
        <v>4.7807437129237949</v>
      </c>
      <c r="AA217" s="95">
        <f t="shared" ca="1" si="7"/>
        <v>73.21976466764886</v>
      </c>
      <c r="AB217" s="91">
        <f ca="1">AA217/Variables!$E$49</f>
        <v>11.809639462524009</v>
      </c>
    </row>
    <row r="218" spans="1:28" x14ac:dyDescent="0.25">
      <c r="A218" s="61">
        <f>'Water runs'!C225</f>
        <v>21884</v>
      </c>
      <c r="B218" s="61" t="str">
        <f>'Water runs'!B225</f>
        <v>Spring</v>
      </c>
      <c r="C218" s="54">
        <f>'Water runs'!D225/100</f>
        <v>0.46314285714285702</v>
      </c>
      <c r="D218" s="108">
        <f>VLOOKUP(ROW(D218)+4,'Water runs'!$BS$3:$CF$423,MATCH($B$1,Scenarios,0)+1)</f>
        <v>7.1235718414239223E-3</v>
      </c>
      <c r="E218" s="54">
        <f>IF(B218=Variables!$D$8,C218-Variables!$E$8,IF(B218=Variables!$D$9,C218-Variables!$E$9,IF(B218=Variables!$D$10,C218-Variables!$E$10,IF(B218=Variables!$D$11,C218-Variables!$E$11,"ELSE"))))</f>
        <v>-0.30083935185185212</v>
      </c>
      <c r="F218" s="108">
        <f>VLOOKUP(ROW(F218)+4,'Water runs'!$CH$3:$CU$423,MATCH($B$1,Scenarios,0)+1)</f>
        <v>0</v>
      </c>
      <c r="G218" s="65">
        <f ca="1">H218/Variables!$E$49</f>
        <v>0.68523657292941165</v>
      </c>
      <c r="H218" s="62">
        <f ca="1">IF((H217+I218)&gt;(1.1*Variables!$E$50),(1.1*Variables!$E$50),IF((H217+I218)&gt;0,H217+I218,0))</f>
        <v>4.2484667521623525</v>
      </c>
      <c r="I218" s="64">
        <f t="shared" ca="1" si="6"/>
        <v>0</v>
      </c>
      <c r="J218" s="63">
        <f>IF(SUM(E214:E217)&lt;Variables!$B$3,-H217,0)</f>
        <v>0</v>
      </c>
      <c r="K218" s="64">
        <f ca="1">IF(AND(H217&lt;Variables!$B$6*Variables!$E$50,OR(SUM(D215:D218)&gt;Variables!$B$5,SUM(E215:E218)&gt;Variables!$B$4)),Variables!$B$6*Variables!$E$50+Variables!$B$7*$G$1*Variables!$E$50*SUM(D215:D218),0)</f>
        <v>0</v>
      </c>
      <c r="L218" s="64">
        <f>IF(B218="Winter",Variables!$B$8*H217,0)</f>
        <v>0</v>
      </c>
      <c r="M218" s="64">
        <f ca="1">IF(AND(B218="Spring",AND(NOT(H217=0),H217&lt;(Variables!$B$9*Variables!$E$50))),(Variables!$B$10*Variables!$E$50+Variables!$B$11*Variables!$E$50*SUM(E215:E218)+$G$1*SUM(D217:D218)*Variables!$E$50*Variables!$B$12),0)</f>
        <v>0</v>
      </c>
      <c r="N218" s="64">
        <f>IF(AND(B218="Spring",AND(SUM(D215:D218)&gt;Variables!$B$13,SUM(D211:D214)&gt;Variables!$B$13)),-Variables!$B$14*Variables!$E$50,0)</f>
        <v>0</v>
      </c>
      <c r="O218" s="64">
        <f>IF(AND(B218="Summer",SUM(C214:D218)&gt;Variables!$B$15),(Variables!$B$16*Variables!$E$50*SUM(C214:C218)+$G$1*Variables!$B$16*Variables!$E$50*SUM(D214:D218)+$G$1*Variables!$E$50*Variables!$B$17*F218),0)</f>
        <v>0</v>
      </c>
      <c r="P218" s="64">
        <f ca="1">IF(AND(AND(B218="Autumn",SUM(D217:E218)&gt;0),NOT(H217=0)),Variables!$B$18*Variables!$E$50+Variables!$B$19*Variables!$E$50*SUM(E217:E218)+$G$1*Variables!$B$19*Variables!$E$50*SUM(D217:D218),0)</f>
        <v>0</v>
      </c>
      <c r="Q218" s="64">
        <f>IF(AND(B218="Autumn",AND((E218+E217)&lt;Variables!$B$20,(D217+D218)=0)),-Variables!$B$21*Variables!$E$50,0)</f>
        <v>0</v>
      </c>
      <c r="R218" s="64">
        <f>IF(B218="Autumn",(SUM(F217:F218)*$G$1*Variables!$B$22*Variables!$E$50),0)</f>
        <v>0</v>
      </c>
      <c r="S218" s="64">
        <f ca="1">IF(B218="Spring",($G$1*Variables!$E$50*SUM('Guts (MC)'!F217:F218)*Variables!$B$23),0)</f>
        <v>0</v>
      </c>
      <c r="T218" s="63">
        <f ca="1">IF((H217+SUM(J218:Q218))&lt;(Variables!$B$26*Variables!$E$50),$F$1*((Variables!$B$26*Variables!$E$50)-H217-SUM(J218:Q218)),0)</f>
        <v>0</v>
      </c>
      <c r="U218" s="64">
        <f ca="1">IF(AND(AND(B218="Autumn",SUM(D215:E218)&gt;Variables!$B$27),SUM(J218:Q218)&lt;Variables!$B$28*H217),$F$1*(Variables!$B$28*H217-SUM(J218:Q218)),0)</f>
        <v>0</v>
      </c>
      <c r="V218" s="96">
        <f ca="1">IF(AND((J218+K218)=0,(Q218+T218)=0),$H$1*H218*Variables!$I$23*0.25,0)</f>
        <v>51.784466361247397</v>
      </c>
      <c r="W218" s="97">
        <f ca="1">IF(AND((K218+J218)=0,(T218+Q218)=0),$I$1*H218*Variables!$Q$23*0.25,0)</f>
        <v>16.654554593477666</v>
      </c>
      <c r="X218" s="95">
        <f ca="1">IF(AND(NOT(K218=0),(H218-H217)&gt;0),(H218-H217)*(Variables!$M$5*$H$1+Variables!$U$5*$I$1),0)+IF(AND(NOT((J218+N218+Q218)=0),(H217-H218)&gt;0),(H217-H218)*(Variables!$M$4*$H$1+Variables!$U$4*$I$1),0)</f>
        <v>0</v>
      </c>
      <c r="Y218" s="95">
        <f ca="1">IF(SUM(T218,U217:U218)&gt;0,H218*Variables!$Y$11*0.25*(1-$J$1),0)</f>
        <v>0</v>
      </c>
      <c r="Z218" s="95">
        <f ca="1">IF(T218=0,H218*$J$1*Variables!$Y$5*0.25,0)</f>
        <v>4.7807437129237949</v>
      </c>
      <c r="AA218" s="95">
        <f t="shared" ca="1" si="7"/>
        <v>73.21976466764886</v>
      </c>
      <c r="AB218" s="91">
        <f ca="1">AA218/Variables!$E$49</f>
        <v>11.809639462524009</v>
      </c>
    </row>
    <row r="219" spans="1:28" x14ac:dyDescent="0.25">
      <c r="A219" s="61">
        <f>'Water runs'!C226</f>
        <v>21974</v>
      </c>
      <c r="B219" s="61" t="str">
        <f>'Water runs'!B226</f>
        <v>Summer</v>
      </c>
      <c r="C219" s="54">
        <f>'Water runs'!D226/100</f>
        <v>0.41399999999999998</v>
      </c>
      <c r="D219" s="108">
        <f>VLOOKUP(ROW(D219)+4,'Water runs'!$BS$3:$CF$423,MATCH($B$1,Scenarios,0)+1)</f>
        <v>2.2715935993159089E-2</v>
      </c>
      <c r="E219" s="54">
        <f>IF(B219=Variables!$D$8,C219-Variables!$E$8,IF(B219=Variables!$D$9,C219-Variables!$E$9,IF(B219=Variables!$D$10,C219-Variables!$E$10,IF(B219=Variables!$D$11,C219-Variables!$E$11,"ELSE"))))</f>
        <v>-0.84437013605442179</v>
      </c>
      <c r="F219" s="108">
        <f>VLOOKUP(ROW(F219)+4,'Water runs'!$CH$3:$CU$423,MATCH($B$1,Scenarios,0)+1)</f>
        <v>0</v>
      </c>
      <c r="G219" s="65">
        <f ca="1">H219/Variables!$E$49</f>
        <v>1.062399194508524</v>
      </c>
      <c r="H219" s="62">
        <f ca="1">IF((H218+I219)&gt;(1.1*Variables!$E$50),(1.1*Variables!$E$50),IF((H218+I219)&gt;0,H218+I219,0))</f>
        <v>6.5868750059528498</v>
      </c>
      <c r="I219" s="64">
        <f t="shared" ca="1" si="6"/>
        <v>2.3384082537904978</v>
      </c>
      <c r="J219" s="63">
        <f>IF(SUM(E215:E218)&lt;Variables!$B$3,-H218,0)</f>
        <v>0</v>
      </c>
      <c r="K219" s="64">
        <f ca="1">IF(AND(H218&lt;Variables!$B$6*Variables!$E$50,OR(SUM(D216:D219)&gt;Variables!$B$5,SUM(E216:E219)&gt;Variables!$B$4)),Variables!$B$6*Variables!$E$50+Variables!$B$7*$G$1*Variables!$E$50*SUM(D216:D219),0)</f>
        <v>0</v>
      </c>
      <c r="L219" s="64">
        <f>IF(B219="Winter",Variables!$B$8*H218,0)</f>
        <v>0</v>
      </c>
      <c r="M219" s="64">
        <f ca="1">IF(AND(B219="Spring",AND(NOT(H218=0),H218&lt;(Variables!$B$9*Variables!$E$50))),(Variables!$B$10*Variables!$E$50+Variables!$B$11*Variables!$E$50*SUM(E216:E219)+$G$1*SUM(D218:D219)*Variables!$E$50*Variables!$B$12),0)</f>
        <v>0</v>
      </c>
      <c r="N219" s="64">
        <f>IF(AND(B219="Spring",AND(SUM(D216:D219)&gt;Variables!$B$13,SUM(D212:D215)&gt;Variables!$B$13)),-Variables!$B$14*Variables!$E$50,0)</f>
        <v>0</v>
      </c>
      <c r="O219" s="64">
        <f ca="1">IF(AND(B219="Summer",SUM(C215:D219)&gt;Variables!$B$15),(Variables!$B$16*Variables!$E$50*SUM(C215:C219)+$G$1*Variables!$B$16*Variables!$E$50*SUM(D215:D219)+$G$1*Variables!$E$50*Variables!$B$17*F219),0)</f>
        <v>2.3384082537904978</v>
      </c>
      <c r="P219" s="64">
        <f ca="1">IF(AND(AND(B219="Autumn",SUM(D218:E219)&gt;0),NOT(H218=0)),Variables!$B$18*Variables!$E$50+Variables!$B$19*Variables!$E$50*SUM(E218:E219)+$G$1*Variables!$B$19*Variables!$E$50*SUM(D218:D219),0)</f>
        <v>0</v>
      </c>
      <c r="Q219" s="64">
        <f>IF(AND(B219="Autumn",AND((E219+E218)&lt;Variables!$B$20,(D218+D219)=0)),-Variables!$B$21*Variables!$E$50,0)</f>
        <v>0</v>
      </c>
      <c r="R219" s="64">
        <f>IF(B219="Autumn",(SUM(F218:F219)*$G$1*Variables!$B$22*Variables!$E$50),0)</f>
        <v>0</v>
      </c>
      <c r="S219" s="64">
        <f>IF(B219="Spring",($G$1*Variables!$E$50*SUM('Guts (MC)'!F218:F219)*Variables!$B$23),0)</f>
        <v>0</v>
      </c>
      <c r="T219" s="63">
        <f ca="1">IF((H218+SUM(J219:Q219))&lt;(Variables!$B$26*Variables!$E$50),$F$1*((Variables!$B$26*Variables!$E$50)-H218-SUM(J219:Q219)),0)</f>
        <v>0</v>
      </c>
      <c r="U219" s="64">
        <f ca="1">IF(AND(AND(B219="Autumn",SUM(D216:E219)&gt;Variables!$B$27),SUM(J219:Q219)&lt;Variables!$B$28*H218),$F$1*(Variables!$B$28*H218-SUM(J219:Q219)),0)</f>
        <v>0</v>
      </c>
      <c r="V219" s="96">
        <f ca="1">IF(AND((J219+K219)=0,(Q219+T219)=0),$H$1*H219*Variables!$I$23*0.25,0)</f>
        <v>80.287272343109947</v>
      </c>
      <c r="W219" s="97">
        <f ca="1">IF(AND((K219+J219)=0,(T219+Q219)=0),$I$1*H219*Variables!$Q$23*0.25,0)</f>
        <v>25.821425889992021</v>
      </c>
      <c r="X219" s="95">
        <f ca="1">IF(AND(NOT(K219=0),(H219-H218)&gt;0),(H219-H218)*(Variables!$M$5*$H$1+Variables!$U$5*$I$1),0)+IF(AND(NOT((J219+N219+Q219)=0),(H218-H219)&gt;0),(H218-H219)*(Variables!$M$4*$H$1+Variables!$U$4*$I$1),0)</f>
        <v>0</v>
      </c>
      <c r="Y219" s="95">
        <f ca="1">IF(SUM(T219,U218:U219)&gt;0,H219*Variables!$Y$11*0.25*(1-$J$1),0)</f>
        <v>0</v>
      </c>
      <c r="Z219" s="95">
        <f ca="1">IF(T219=0,H219*$J$1*Variables!$Y$5*0.25,0)</f>
        <v>7.4121237400519489</v>
      </c>
      <c r="AA219" s="95">
        <f t="shared" ca="1" si="7"/>
        <v>113.52082197315391</v>
      </c>
      <c r="AB219" s="91">
        <f ca="1">AA219/Variables!$E$49</f>
        <v>18.309809995669987</v>
      </c>
    </row>
    <row r="220" spans="1:28" x14ac:dyDescent="0.25">
      <c r="A220" s="61">
        <f>'Water runs'!C227</f>
        <v>22067</v>
      </c>
      <c r="B220" s="61" t="str">
        <f>'Water runs'!B227</f>
        <v>Autumn</v>
      </c>
      <c r="C220" s="54">
        <f>'Water runs'!D227/100</f>
        <v>0.58371428571428607</v>
      </c>
      <c r="D220" s="108">
        <f>VLOOKUP(ROW(D220)+4,'Water runs'!$BS$3:$CF$423,MATCH($B$1,Scenarios,0)+1)</f>
        <v>0</v>
      </c>
      <c r="E220" s="54">
        <f>IF(B220=Variables!$D$8,C220-Variables!$E$8,IF(B220=Variables!$D$9,C220-Variables!$E$9,IF(B220=Variables!$D$10,C220-Variables!$E$10,IF(B220=Variables!$D$11,C220-Variables!$E$11,"ELSE"))))</f>
        <v>-0.41092901360544176</v>
      </c>
      <c r="F220" s="108">
        <f>VLOOKUP(ROW(F220)+4,'Water runs'!$CH$3:$CU$423,MATCH($B$1,Scenarios,0)+1)</f>
        <v>0</v>
      </c>
      <c r="G220" s="65">
        <f ca="1">H220/Variables!$E$49</f>
        <v>1.062399194508524</v>
      </c>
      <c r="H220" s="62">
        <f ca="1">IF((H219+I220)&gt;(1.1*Variables!$E$50),(1.1*Variables!$E$50),IF((H219+I220)&gt;0,H219+I220,0))</f>
        <v>6.5868750059528498</v>
      </c>
      <c r="I220" s="64">
        <f t="shared" ca="1" si="6"/>
        <v>0</v>
      </c>
      <c r="J220" s="63">
        <f>IF(SUM(E216:E219)&lt;Variables!$B$3,-H219,0)</f>
        <v>0</v>
      </c>
      <c r="K220" s="64">
        <f ca="1">IF(AND(H219&lt;Variables!$B$6*Variables!$E$50,OR(SUM(D217:D220)&gt;Variables!$B$5,SUM(E217:E220)&gt;Variables!$B$4)),Variables!$B$6*Variables!$E$50+Variables!$B$7*$G$1*Variables!$E$50*SUM(D217:D220),0)</f>
        <v>0</v>
      </c>
      <c r="L220" s="64">
        <f>IF(B220="Winter",Variables!$B$8*H219,0)</f>
        <v>0</v>
      </c>
      <c r="M220" s="64">
        <f ca="1">IF(AND(B220="Spring",AND(NOT(H219=0),H219&lt;(Variables!$B$9*Variables!$E$50))),(Variables!$B$10*Variables!$E$50+Variables!$B$11*Variables!$E$50*SUM(E217:E220)+$G$1*SUM(D219:D220)*Variables!$E$50*Variables!$B$12),0)</f>
        <v>0</v>
      </c>
      <c r="N220" s="64">
        <f>IF(AND(B220="Spring",AND(SUM(D217:D220)&gt;Variables!$B$13,SUM(D213:D216)&gt;Variables!$B$13)),-Variables!$B$14*Variables!$E$50,0)</f>
        <v>0</v>
      </c>
      <c r="O220" s="64">
        <f>IF(AND(B220="Summer",SUM(C216:D220)&gt;Variables!$B$15),(Variables!$B$16*Variables!$E$50*SUM(C216:C220)+$G$1*Variables!$B$16*Variables!$E$50*SUM(D216:D220)+$G$1*Variables!$E$50*Variables!$B$17*F220),0)</f>
        <v>0</v>
      </c>
      <c r="P220" s="64">
        <f ca="1">IF(AND(AND(B220="Autumn",SUM(D219:E220)&gt;0),NOT(H219=0)),Variables!$B$18*Variables!$E$50+Variables!$B$19*Variables!$E$50*SUM(E219:E220)+$G$1*Variables!$B$19*Variables!$E$50*SUM(D219:D220),0)</f>
        <v>0</v>
      </c>
      <c r="Q220" s="64">
        <f>IF(AND(B220="Autumn",AND((E220+E219)&lt;Variables!$B$20,(D219+D220)=0)),-Variables!$B$21*Variables!$E$50,0)</f>
        <v>0</v>
      </c>
      <c r="R220" s="64">
        <f ca="1">IF(B220="Autumn",(SUM(F219:F220)*$G$1*Variables!$B$22*Variables!$E$50),0)</f>
        <v>0</v>
      </c>
      <c r="S220" s="64">
        <f>IF(B220="Spring",($G$1*Variables!$E$50*SUM('Guts (MC)'!F219:F220)*Variables!$B$23),0)</f>
        <v>0</v>
      </c>
      <c r="T220" s="63">
        <f ca="1">IF((H219+SUM(J220:Q220))&lt;(Variables!$B$26*Variables!$E$50),$F$1*((Variables!$B$26*Variables!$E$50)-H219-SUM(J220:Q220)),0)</f>
        <v>0</v>
      </c>
      <c r="U220" s="64">
        <f ca="1">IF(AND(AND(B220="Autumn",SUM(D217:E220)&gt;Variables!$B$27),SUM(J220:Q220)&lt;Variables!$B$28*H219),$F$1*(Variables!$B$28*H219-SUM(J220:Q220)),0)</f>
        <v>0</v>
      </c>
      <c r="V220" s="96">
        <f ca="1">IF(AND((J220+K220)=0,(Q220+T220)=0),$H$1*H220*Variables!$I$23*0.25,0)</f>
        <v>80.287272343109947</v>
      </c>
      <c r="W220" s="97">
        <f ca="1">IF(AND((K220+J220)=0,(T220+Q220)=0),$I$1*H220*Variables!$Q$23*0.25,0)</f>
        <v>25.821425889992021</v>
      </c>
      <c r="X220" s="95">
        <f ca="1">IF(AND(NOT(K220=0),(H220-H219)&gt;0),(H220-H219)*(Variables!$M$5*$H$1+Variables!$U$5*$I$1),0)+IF(AND(NOT((J220+N220+Q220)=0),(H219-H220)&gt;0),(H219-H220)*(Variables!$M$4*$H$1+Variables!$U$4*$I$1),0)</f>
        <v>0</v>
      </c>
      <c r="Y220" s="95">
        <f ca="1">IF(SUM(T220,U219:U220)&gt;0,H220*Variables!$Y$11*0.25*(1-$J$1),0)</f>
        <v>0</v>
      </c>
      <c r="Z220" s="95">
        <f ca="1">IF(T220=0,H220*$J$1*Variables!$Y$5*0.25,0)</f>
        <v>7.4121237400519489</v>
      </c>
      <c r="AA220" s="95">
        <f t="shared" ca="1" si="7"/>
        <v>113.52082197315391</v>
      </c>
      <c r="AB220" s="91">
        <f ca="1">AA220/Variables!$E$49</f>
        <v>18.309809995669987</v>
      </c>
    </row>
    <row r="221" spans="1:28" x14ac:dyDescent="0.25">
      <c r="A221" s="61">
        <f>'Water runs'!C228</f>
        <v>22159</v>
      </c>
      <c r="B221" s="61" t="str">
        <f>'Water runs'!B228</f>
        <v>Winter</v>
      </c>
      <c r="C221" s="54">
        <f>'Water runs'!D228/100</f>
        <v>0.39642857142857102</v>
      </c>
      <c r="D221" s="108">
        <f>VLOOKUP(ROW(D221)+4,'Water runs'!$BS$3:$CF$423,MATCH($B$1,Scenarios,0)+1)</f>
        <v>0</v>
      </c>
      <c r="E221" s="54">
        <f>IF(B221=Variables!$D$8,C221-Variables!$E$8,IF(B221=Variables!$D$9,C221-Variables!$E$9,IF(B221=Variables!$D$10,C221-Variables!$E$10,IF(B221=Variables!$D$11,C221-Variables!$E$11,"ELSE"))))</f>
        <v>-0.17533905423280471</v>
      </c>
      <c r="F221" s="108">
        <f>VLOOKUP(ROW(F221)+4,'Water runs'!$CH$3:$CU$423,MATCH($B$1,Scenarios,0)+1)</f>
        <v>0</v>
      </c>
      <c r="G221" s="65">
        <f ca="1">H221/Variables!$E$49</f>
        <v>0.16099999999999995</v>
      </c>
      <c r="H221" s="62">
        <f ca="1">IF((H220+I221)&gt;(1.1*Variables!$E$50),(1.1*Variables!$E$50),IF((H220+I221)&gt;0,H220+I221,0))</f>
        <v>0.99819999999999975</v>
      </c>
      <c r="I221" s="64">
        <f t="shared" ca="1" si="6"/>
        <v>-5.5886750059528501</v>
      </c>
      <c r="J221" s="63">
        <f ca="1">IF(SUM(E217:E220)&lt;Variables!$B$3,-H220,0)</f>
        <v>-6.5868750059528498</v>
      </c>
      <c r="K221" s="64">
        <f ca="1">IF(AND(H220&lt;Variables!$B$6*Variables!$E$50,OR(SUM(D218:D221)&gt;Variables!$B$5,SUM(E218:E221)&gt;Variables!$B$4)),Variables!$B$6*Variables!$E$50+Variables!$B$7*$G$1*Variables!$E$50*SUM(D218:D221),0)</f>
        <v>0</v>
      </c>
      <c r="L221" s="64">
        <f ca="1">IF(B221="Winter",Variables!$B$8*H220,0)</f>
        <v>-3.2799030974181314</v>
      </c>
      <c r="M221" s="64">
        <f ca="1">IF(AND(B221="Spring",AND(NOT(H220=0),H220&lt;(Variables!$B$9*Variables!$E$50))),(Variables!$B$10*Variables!$E$50+Variables!$B$11*Variables!$E$50*SUM(E218:E221)+$G$1*SUM(D220:D221)*Variables!$E$50*Variables!$B$12),0)</f>
        <v>0</v>
      </c>
      <c r="N221" s="64">
        <f>IF(AND(B221="Spring",AND(SUM(D218:D221)&gt;Variables!$B$13,SUM(D214:D217)&gt;Variables!$B$13)),-Variables!$B$14*Variables!$E$50,0)</f>
        <v>0</v>
      </c>
      <c r="O221" s="64">
        <f>IF(AND(B221="Summer",SUM(C217:D221)&gt;Variables!$B$15),(Variables!$B$16*Variables!$E$50*SUM(C217:C221)+$G$1*Variables!$B$16*Variables!$E$50*SUM(D217:D221)+$G$1*Variables!$E$50*Variables!$B$17*F221),0)</f>
        <v>0</v>
      </c>
      <c r="P221" s="64">
        <f ca="1">IF(AND(AND(B221="Autumn",SUM(D220:E221)&gt;0),NOT(H220=0)),Variables!$B$18*Variables!$E$50+Variables!$B$19*Variables!$E$50*SUM(E220:E221)+$G$1*Variables!$B$19*Variables!$E$50*SUM(D220:D221),0)</f>
        <v>0</v>
      </c>
      <c r="Q221" s="64">
        <f>IF(AND(B221="Autumn",AND((E221+E220)&lt;Variables!$B$20,(D220+D221)=0)),-Variables!$B$21*Variables!$E$50,0)</f>
        <v>0</v>
      </c>
      <c r="R221" s="64">
        <f>IF(B221="Autumn",(SUM(F220:F221)*$G$1*Variables!$B$22*Variables!$E$50),0)</f>
        <v>0</v>
      </c>
      <c r="S221" s="64">
        <f>IF(B221="Spring",($G$1*Variables!$E$50*SUM('Guts (MC)'!F220:F221)*Variables!$B$23),0)</f>
        <v>0</v>
      </c>
      <c r="T221" s="63">
        <f ca="1">IF((H220+SUM(J221:Q221))&lt;(Variables!$B$26*Variables!$E$50),$F$1*((Variables!$B$26*Variables!$E$50)-H220-SUM(J221:Q221)),0)</f>
        <v>4.2781030974181311</v>
      </c>
      <c r="U221" s="64">
        <f ca="1">IF(AND(AND(B221="Autumn",SUM(D218:E221)&gt;Variables!$B$27),SUM(J221:Q221)&lt;Variables!$B$28*H220),$F$1*(Variables!$B$28*H220-SUM(J221:Q221)),0)</f>
        <v>0</v>
      </c>
      <c r="V221" s="96">
        <f ca="1">IF(AND((J221+K221)=0,(Q221+T221)=0),$H$1*H221*Variables!$I$23*0.25,0)</f>
        <v>0</v>
      </c>
      <c r="W221" s="97">
        <f ca="1">IF(AND((K221+J221)=0,(T221+Q221)=0),$I$1*H221*Variables!$Q$23*0.25,0)</f>
        <v>0</v>
      </c>
      <c r="X221" s="95">
        <f ca="1">IF(AND(NOT(K221=0),(H221-H220)&gt;0),(H221-H220)*(Variables!$M$5*$H$1+Variables!$U$5*$I$1),0)+IF(AND(NOT((J221+N221+Q221)=0),(H220-H221)&gt;0),(H220-H221)*(Variables!$M$4*$H$1+Variables!$U$4*$I$1),0)</f>
        <v>319.43321581733096</v>
      </c>
      <c r="Y221" s="95">
        <f ca="1">IF(SUM(T221,U220:U221)&gt;0,H221*Variables!$Y$11*0.25*(1-$J$1),0)</f>
        <v>-8.6666009437672731</v>
      </c>
      <c r="Z221" s="95">
        <f ca="1">IF(T221=0,H221*$J$1*Variables!$Y$5*0.25,0)</f>
        <v>0</v>
      </c>
      <c r="AA221" s="95">
        <f t="shared" ca="1" si="7"/>
        <v>310.7666148735637</v>
      </c>
      <c r="AB221" s="91">
        <f ca="1">AA221/Variables!$E$49</f>
        <v>50.123647560252209</v>
      </c>
    </row>
    <row r="222" spans="1:28" x14ac:dyDescent="0.25">
      <c r="A222" s="61">
        <f>'Water runs'!C229</f>
        <v>22250</v>
      </c>
      <c r="B222" s="61" t="str">
        <f>'Water runs'!B229</f>
        <v>Spring</v>
      </c>
      <c r="C222" s="54">
        <f>'Water runs'!D229/100</f>
        <v>0.61185714285714299</v>
      </c>
      <c r="D222" s="108">
        <f>VLOOKUP(ROW(D222)+4,'Water runs'!$BS$3:$CF$423,MATCH($B$1,Scenarios,0)+1)</f>
        <v>0</v>
      </c>
      <c r="E222" s="54">
        <f>IF(B222=Variables!$D$8,C222-Variables!$E$8,IF(B222=Variables!$D$9,C222-Variables!$E$9,IF(B222=Variables!$D$10,C222-Variables!$E$10,IF(B222=Variables!$D$11,C222-Variables!$E$11,"ELSE"))))</f>
        <v>-0.15212506613756616</v>
      </c>
      <c r="F222" s="108">
        <f>VLOOKUP(ROW(F222)+4,'Water runs'!$CH$3:$CU$423,MATCH($B$1,Scenarios,0)+1)</f>
        <v>0</v>
      </c>
      <c r="G222" s="65">
        <f ca="1">H222/Variables!$E$49</f>
        <v>0.16100000000000003</v>
      </c>
      <c r="H222" s="62">
        <f ca="1">IF((H221+I222)&gt;(1.1*Variables!$E$50),(1.1*Variables!$E$50),IF((H221+I222)&gt;0,H221+I222,0))</f>
        <v>0.9982000000000002</v>
      </c>
      <c r="I222" s="64">
        <f t="shared" ca="1" si="6"/>
        <v>4.4408920985006262E-16</v>
      </c>
      <c r="J222" s="63">
        <f ca="1">IF(SUM(E218:E221)&lt;Variables!$B$3,-H221,0)</f>
        <v>-0.99819999999999975</v>
      </c>
      <c r="K222" s="64">
        <f ca="1">IF(AND(H221&lt;Variables!$B$6*Variables!$E$50,OR(SUM(D219:D222)&gt;Variables!$B$5,SUM(E219:E222)&gt;Variables!$B$4)),Variables!$B$6*Variables!$E$50+Variables!$B$7*$G$1*Variables!$E$50*SUM(D219:D222),0)</f>
        <v>0</v>
      </c>
      <c r="L222" s="64">
        <f>IF(B222="Winter",Variables!$B$8*H221,0)</f>
        <v>0</v>
      </c>
      <c r="M222" s="64">
        <f ca="1">IF(AND(B222="Spring",AND(NOT(H221=0),H221&lt;(Variables!$B$9*Variables!$E$50))),(Variables!$B$10*Variables!$E$50+Variables!$B$11*Variables!$E$50*SUM(E219:E222)+$G$1*SUM(D221:D222)*Variables!$E$50*Variables!$B$12),0)</f>
        <v>-1.0779594212895094</v>
      </c>
      <c r="N222" s="64">
        <f>IF(AND(B222="Spring",AND(SUM(D219:D222)&gt;Variables!$B$13,SUM(D215:D218)&gt;Variables!$B$13)),-Variables!$B$14*Variables!$E$50,0)</f>
        <v>0</v>
      </c>
      <c r="O222" s="64">
        <f>IF(AND(B222="Summer",SUM(C218:D222)&gt;Variables!$B$15),(Variables!$B$16*Variables!$E$50*SUM(C218:C222)+$G$1*Variables!$B$16*Variables!$E$50*SUM(D218:D222)+$G$1*Variables!$E$50*Variables!$B$17*F222),0)</f>
        <v>0</v>
      </c>
      <c r="P222" s="64">
        <f ca="1">IF(AND(AND(B222="Autumn",SUM(D221:E222)&gt;0),NOT(H221=0)),Variables!$B$18*Variables!$E$50+Variables!$B$19*Variables!$E$50*SUM(E221:E222)+$G$1*Variables!$B$19*Variables!$E$50*SUM(D221:D222),0)</f>
        <v>0</v>
      </c>
      <c r="Q222" s="64">
        <f>IF(AND(B222="Autumn",AND((E222+E221)&lt;Variables!$B$20,(D221+D222)=0)),-Variables!$B$21*Variables!$E$50,0)</f>
        <v>0</v>
      </c>
      <c r="R222" s="64">
        <f>IF(B222="Autumn",(SUM(F221:F222)*$G$1*Variables!$B$22*Variables!$E$50),0)</f>
        <v>0</v>
      </c>
      <c r="S222" s="64">
        <f ca="1">IF(B222="Spring",($G$1*Variables!$E$50*SUM('Guts (MC)'!F221:F222)*Variables!$B$23),0)</f>
        <v>0</v>
      </c>
      <c r="T222" s="63">
        <f ca="1">IF((H221+SUM(J222:Q222))&lt;(Variables!$B$26*Variables!$E$50),$F$1*((Variables!$B$26*Variables!$E$50)-H221-SUM(J222:Q222)),0)</f>
        <v>2.0761594212895096</v>
      </c>
      <c r="U222" s="64">
        <f ca="1">IF(AND(AND(B222="Autumn",SUM(D219:E222)&gt;Variables!$B$27),SUM(J222:Q222)&lt;Variables!$B$28*H221),$F$1*(Variables!$B$28*H221-SUM(J222:Q222)),0)</f>
        <v>0</v>
      </c>
      <c r="V222" s="96">
        <f ca="1">IF(AND((J222+K222)=0,(Q222+T222)=0),$H$1*H222*Variables!$I$23*0.25,0)</f>
        <v>0</v>
      </c>
      <c r="W222" s="97">
        <f ca="1">IF(AND((K222+J222)=0,(T222+Q222)=0),$I$1*H222*Variables!$Q$23*0.25,0)</f>
        <v>0</v>
      </c>
      <c r="X222" s="95">
        <f ca="1">IF(AND(NOT(K222=0),(H222-H221)&gt;0),(H222-H221)*(Variables!$M$5*$H$1+Variables!$U$5*$I$1),0)+IF(AND(NOT((J222+N222+Q222)=0),(H221-H222)&gt;0),(H221-H222)*(Variables!$M$4*$H$1+Variables!$U$4*$I$1),0)</f>
        <v>0</v>
      </c>
      <c r="Y222" s="95">
        <f ca="1">IF(SUM(T222,U221:U222)&gt;0,H222*Variables!$Y$11*0.25*(1-$J$1),0)</f>
        <v>-8.6666009437672749</v>
      </c>
      <c r="Z222" s="95">
        <f ca="1">IF(T222=0,H222*$J$1*Variables!$Y$5*0.25,0)</f>
        <v>0</v>
      </c>
      <c r="AA222" s="95">
        <f t="shared" ca="1" si="7"/>
        <v>-8.6666009437672749</v>
      </c>
      <c r="AB222" s="91">
        <f ca="1">AA222/Variables!$E$49</f>
        <v>-1.3978388618979476</v>
      </c>
    </row>
    <row r="223" spans="1:28" x14ac:dyDescent="0.25">
      <c r="A223" s="61">
        <f>'Water runs'!C230</f>
        <v>22340</v>
      </c>
      <c r="B223" s="61" t="str">
        <f>'Water runs'!B230</f>
        <v>Summer</v>
      </c>
      <c r="C223" s="54">
        <f>'Water runs'!D230/100</f>
        <v>1.3024285714285699</v>
      </c>
      <c r="D223" s="108">
        <f>VLOOKUP(ROW(D223)+4,'Water runs'!$BS$3:$CF$423,MATCH($B$1,Scenarios,0)+1)</f>
        <v>0</v>
      </c>
      <c r="E223" s="54">
        <f>IF(B223=Variables!$D$8,C223-Variables!$E$8,IF(B223=Variables!$D$9,C223-Variables!$E$9,IF(B223=Variables!$D$10,C223-Variables!$E$10,IF(B223=Variables!$D$11,C223-Variables!$E$11,"ELSE"))))</f>
        <v>4.4058435374148219E-2</v>
      </c>
      <c r="F223" s="108">
        <f>VLOOKUP(ROW(F223)+4,'Water runs'!$CH$3:$CU$423,MATCH($B$1,Scenarios,0)+1)</f>
        <v>0</v>
      </c>
      <c r="G223" s="65">
        <f ca="1">H223/Variables!$E$49</f>
        <v>0.16100000000000003</v>
      </c>
      <c r="H223" s="62">
        <f ca="1">IF((H222+I223)&gt;(1.1*Variables!$E$50),(1.1*Variables!$E$50),IF((H222+I223)&gt;0,H222+I223,0))</f>
        <v>0.9982000000000002</v>
      </c>
      <c r="I223" s="64">
        <f t="shared" ca="1" si="6"/>
        <v>0</v>
      </c>
      <c r="J223" s="63">
        <f>IF(SUM(E219:E222)&lt;Variables!$B$3,-H222,0)</f>
        <v>0</v>
      </c>
      <c r="K223" s="64">
        <f ca="1">IF(AND(H222&lt;Variables!$B$6*Variables!$E$50,OR(SUM(D220:D223)&gt;Variables!$B$5,SUM(E220:E223)&gt;Variables!$B$4)),Variables!$B$6*Variables!$E$50+Variables!$B$7*$G$1*Variables!$E$50*SUM(D220:D223),0)</f>
        <v>0</v>
      </c>
      <c r="L223" s="64">
        <f>IF(B223="Winter",Variables!$B$8*H222,0)</f>
        <v>0</v>
      </c>
      <c r="M223" s="64">
        <f ca="1">IF(AND(B223="Spring",AND(NOT(H222=0),H222&lt;(Variables!$B$9*Variables!$E$50))),(Variables!$B$10*Variables!$E$50+Variables!$B$11*Variables!$E$50*SUM(E220:E223)+$G$1*SUM(D222:D223)*Variables!$E$50*Variables!$B$12),0)</f>
        <v>0</v>
      </c>
      <c r="N223" s="64">
        <f>IF(AND(B223="Spring",AND(SUM(D220:D223)&gt;Variables!$B$13,SUM(D216:D219)&gt;Variables!$B$13)),-Variables!$B$14*Variables!$E$50,0)</f>
        <v>0</v>
      </c>
      <c r="O223" s="64">
        <f>IF(AND(B223="Summer",SUM(C219:D223)&gt;Variables!$B$15),(Variables!$B$16*Variables!$E$50*SUM(C219:C223)+$G$1*Variables!$B$16*Variables!$E$50*SUM(D219:D223)+$G$1*Variables!$E$50*Variables!$B$17*F223),0)</f>
        <v>0</v>
      </c>
      <c r="P223" s="64">
        <f ca="1">IF(AND(AND(B223="Autumn",SUM(D222:E223)&gt;0),NOT(H222=0)),Variables!$B$18*Variables!$E$50+Variables!$B$19*Variables!$E$50*SUM(E222:E223)+$G$1*Variables!$B$19*Variables!$E$50*SUM(D222:D223),0)</f>
        <v>0</v>
      </c>
      <c r="Q223" s="64">
        <f>IF(AND(B223="Autumn",AND((E223+E222)&lt;Variables!$B$20,(D222+D223)=0)),-Variables!$B$21*Variables!$E$50,0)</f>
        <v>0</v>
      </c>
      <c r="R223" s="64">
        <f>IF(B223="Autumn",(SUM(F222:F223)*$G$1*Variables!$B$22*Variables!$E$50),0)</f>
        <v>0</v>
      </c>
      <c r="S223" s="64">
        <f>IF(B223="Spring",($G$1*Variables!$E$50*SUM('Guts (MC)'!F222:F223)*Variables!$B$23),0)</f>
        <v>0</v>
      </c>
      <c r="T223" s="63">
        <f ca="1">IF((H222+SUM(J223:Q223))&lt;(Variables!$B$26*Variables!$E$50),$F$1*((Variables!$B$26*Variables!$E$50)-H222-SUM(J223:Q223)),0)</f>
        <v>0</v>
      </c>
      <c r="U223" s="64">
        <f ca="1">IF(AND(AND(B223="Autumn",SUM(D220:E223)&gt;Variables!$B$27),SUM(J223:Q223)&lt;Variables!$B$28*H222),$F$1*(Variables!$B$28*H222-SUM(J223:Q223)),0)</f>
        <v>0</v>
      </c>
      <c r="V223" s="96">
        <f ca="1">IF(AND((J223+K223)=0,(Q223+T223)=0),$H$1*H223*Variables!$I$23*0.25,0)</f>
        <v>12.167037507234285</v>
      </c>
      <c r="W223" s="97">
        <f ca="1">IF(AND((K223+J223)=0,(T223+Q223)=0),$I$1*H223*Variables!$Q$23*0.25,0)</f>
        <v>3.9130767321523607</v>
      </c>
      <c r="X223" s="95">
        <f ca="1">IF(AND(NOT(K223=0),(H223-H222)&gt;0),(H223-H222)*(Variables!$M$5*$H$1+Variables!$U$5*$I$1),0)+IF(AND(NOT((J223+N223+Q223)=0),(H222-H223)&gt;0),(H222-H223)*(Variables!$M$4*$H$1+Variables!$U$4*$I$1),0)</f>
        <v>0</v>
      </c>
      <c r="Y223" s="95">
        <f ca="1">IF(SUM(T223,U222:U223)&gt;0,H223*Variables!$Y$11*0.25*(1-$J$1),0)</f>
        <v>0</v>
      </c>
      <c r="Z223" s="95">
        <f ca="1">IF(T223=0,H223*$J$1*Variables!$Y$5*0.25,0)</f>
        <v>1.1232613205250215</v>
      </c>
      <c r="AA223" s="95">
        <f t="shared" ca="1" si="7"/>
        <v>17.203375559911667</v>
      </c>
      <c r="AB223" s="91">
        <f ca="1">AA223/Variables!$E$49</f>
        <v>2.7747379935341399</v>
      </c>
    </row>
    <row r="224" spans="1:28" x14ac:dyDescent="0.25">
      <c r="A224" s="61">
        <f>'Water runs'!C231</f>
        <v>22432</v>
      </c>
      <c r="B224" s="61" t="str">
        <f>'Water runs'!B231</f>
        <v>Autumn</v>
      </c>
      <c r="C224" s="54">
        <f>'Water runs'!D231/100</f>
        <v>1.1864285714285701</v>
      </c>
      <c r="D224" s="108">
        <f>VLOOKUP(ROW(D224)+4,'Water runs'!$BS$3:$CF$423,MATCH($B$1,Scenarios,0)+1)</f>
        <v>4.9178536647162686E-2</v>
      </c>
      <c r="E224" s="54">
        <f>IF(B224=Variables!$D$8,C224-Variables!$E$8,IF(B224=Variables!$D$9,C224-Variables!$E$9,IF(B224=Variables!$D$10,C224-Variables!$E$10,IF(B224=Variables!$D$11,C224-Variables!$E$11,"ELSE"))))</f>
        <v>0.19178527210884222</v>
      </c>
      <c r="F224" s="108">
        <f>VLOOKUP(ROW(F224)+4,'Water runs'!$CH$3:$CU$423,MATCH($B$1,Scenarios,0)+1)</f>
        <v>0</v>
      </c>
      <c r="G224" s="65">
        <f ca="1">H224/Variables!$E$49</f>
        <v>0.50151854074411484</v>
      </c>
      <c r="H224" s="62">
        <f ca="1">IF((H223+I224)&gt;(1.1*Variables!$E$50),(1.1*Variables!$E$50),IF((H223+I224)&gt;0,H223+I224,0))</f>
        <v>3.1094149526135118</v>
      </c>
      <c r="I224" s="64">
        <f t="shared" ca="1" si="6"/>
        <v>2.1112149526135116</v>
      </c>
      <c r="J224" s="63">
        <f>IF(SUM(E220:E223)&lt;Variables!$B$3,-H223,0)</f>
        <v>0</v>
      </c>
      <c r="K224" s="64">
        <f ca="1">IF(AND(H223&lt;Variables!$B$6*Variables!$E$50,OR(SUM(D221:D224)&gt;Variables!$B$5,SUM(E221:E224)&gt;Variables!$B$4)),Variables!$B$6*Variables!$E$50+Variables!$B$7*$G$1*Variables!$E$50*SUM(D221:D224),0)</f>
        <v>1.1435881486350017</v>
      </c>
      <c r="L224" s="64">
        <f>IF(B224="Winter",Variables!$B$8*H223,0)</f>
        <v>0</v>
      </c>
      <c r="M224" s="64">
        <f ca="1">IF(AND(B224="Spring",AND(NOT(H223=0),H223&lt;(Variables!$B$9*Variables!$E$50))),(Variables!$B$10*Variables!$E$50+Variables!$B$11*Variables!$E$50*SUM(E221:E224)+$G$1*SUM(D223:D224)*Variables!$E$50*Variables!$B$12),0)</f>
        <v>0</v>
      </c>
      <c r="N224" s="64">
        <f>IF(AND(B224="Spring",AND(SUM(D221:D224)&gt;Variables!$B$13,SUM(D217:D220)&gt;Variables!$B$13)),-Variables!$B$14*Variables!$E$50,0)</f>
        <v>0</v>
      </c>
      <c r="O224" s="64">
        <f>IF(AND(B224="Summer",SUM(C220:D224)&gt;Variables!$B$15),(Variables!$B$16*Variables!$E$50*SUM(C220:C224)+$G$1*Variables!$B$16*Variables!$E$50*SUM(D220:D224)+$G$1*Variables!$E$50*Variables!$B$17*F224),0)</f>
        <v>0</v>
      </c>
      <c r="P224" s="64">
        <f ca="1">IF(AND(AND(B224="Autumn",SUM(D223:E224)&gt;0),NOT(H223=0)),Variables!$B$18*Variables!$E$50+Variables!$B$19*Variables!$E$50*SUM(E223:E224)+$G$1*Variables!$B$19*Variables!$E$50*SUM(D223:D224),0)</f>
        <v>0.96762680397850986</v>
      </c>
      <c r="Q224" s="64">
        <f>IF(AND(B224="Autumn",AND((E224+E223)&lt;Variables!$B$20,(D223+D224)=0)),-Variables!$B$21*Variables!$E$50,0)</f>
        <v>0</v>
      </c>
      <c r="R224" s="64">
        <f ca="1">IF(B224="Autumn",(SUM(F223:F224)*$G$1*Variables!$B$22*Variables!$E$50),0)</f>
        <v>0</v>
      </c>
      <c r="S224" s="64">
        <f>IF(B224="Spring",($G$1*Variables!$E$50*SUM('Guts (MC)'!F223:F224)*Variables!$B$23),0)</f>
        <v>0</v>
      </c>
      <c r="T224" s="63">
        <f ca="1">IF((H223+SUM(J224:Q224))&lt;(Variables!$B$26*Variables!$E$50),$F$1*((Variables!$B$26*Variables!$E$50)-H223-SUM(J224:Q224)),0)</f>
        <v>0</v>
      </c>
      <c r="U224" s="64">
        <f ca="1">IF(AND(AND(B224="Autumn",SUM(D221:E224)&gt;Variables!$B$27),SUM(J224:Q224)&lt;Variables!$B$28*H223),$F$1*(Variables!$B$28*H223-SUM(J224:Q224)),0)</f>
        <v>0</v>
      </c>
      <c r="V224" s="96">
        <f ca="1">IF(AND((J224+K224)=0,(Q224+T224)=0),$H$1*H224*Variables!$I$23*0.25,0)</f>
        <v>0</v>
      </c>
      <c r="W224" s="97">
        <f ca="1">IF(AND((K224+J224)=0,(T224+Q224)=0),$I$1*H224*Variables!$Q$23*0.25,0)</f>
        <v>0</v>
      </c>
      <c r="X224" s="95">
        <f ca="1">IF(AND(NOT(K224=0),(H224-H223)&gt;0),(H224-H223)*(Variables!$M$5*$H$1+Variables!$U$5*$I$1),0)+IF(AND(NOT((J224+N224+Q224)=0),(H223-H224)&gt;0),(H223-H224)*(Variables!$M$4*$H$1+Variables!$U$4*$I$1),0)</f>
        <v>-241.34242226525262</v>
      </c>
      <c r="Y224" s="95">
        <f ca="1">IF(SUM(T224,U223:U224)&gt;0,H224*Variables!$Y$11*0.25*(1-$J$1),0)</f>
        <v>0</v>
      </c>
      <c r="Z224" s="95">
        <f ca="1">IF(T224=0,H224*$J$1*Variables!$Y$5*0.25,0)</f>
        <v>3.49898371642246</v>
      </c>
      <c r="AA224" s="95">
        <f t="shared" ca="1" si="7"/>
        <v>-237.84343854883016</v>
      </c>
      <c r="AB224" s="91">
        <f ca="1">AA224/Variables!$E$49</f>
        <v>-38.361844927230671</v>
      </c>
    </row>
    <row r="225" spans="1:28" x14ac:dyDescent="0.25">
      <c r="A225" s="61">
        <f>'Water runs'!C232</f>
        <v>22524</v>
      </c>
      <c r="B225" s="61" t="str">
        <f>'Water runs'!B232</f>
        <v>Winter</v>
      </c>
      <c r="C225" s="54">
        <f>'Water runs'!D232/100</f>
        <v>0.41826190476190495</v>
      </c>
      <c r="D225" s="108">
        <f>VLOOKUP(ROW(D225)+4,'Water runs'!$BS$3:$CF$423,MATCH($B$1,Scenarios,0)+1)</f>
        <v>0</v>
      </c>
      <c r="E225" s="54">
        <f>IF(B225=Variables!$D$8,C225-Variables!$E$8,IF(B225=Variables!$D$9,C225-Variables!$E$9,IF(B225=Variables!$D$10,C225-Variables!$E$10,IF(B225=Variables!$D$11,C225-Variables!$E$11,"ELSE"))))</f>
        <v>-0.15350572089947079</v>
      </c>
      <c r="F225" s="108">
        <f>VLOOKUP(ROW(F225)+4,'Water runs'!$CH$3:$CU$423,MATCH($B$1,Scenarios,0)+1)</f>
        <v>0</v>
      </c>
      <c r="G225" s="65">
        <f ca="1">H225/Variables!$E$49</f>
        <v>0.25178976743163417</v>
      </c>
      <c r="H225" s="62">
        <f ca="1">IF((H224+I225)&gt;(1.1*Variables!$E$50),(1.1*Variables!$E$50),IF((H224+I225)&gt;0,H224+I225,0))</f>
        <v>1.561096558076132</v>
      </c>
      <c r="I225" s="64">
        <f t="shared" ca="1" si="6"/>
        <v>-1.5483183945373797</v>
      </c>
      <c r="J225" s="63">
        <f>IF(SUM(E221:E224)&lt;Variables!$B$3,-H224,0)</f>
        <v>0</v>
      </c>
      <c r="K225" s="64">
        <f ca="1">IF(AND(H224&lt;Variables!$B$6*Variables!$E$50,OR(SUM(D222:D225)&gt;Variables!$B$5,SUM(E222:E225)&gt;Variables!$B$4)),Variables!$B$6*Variables!$E$50+Variables!$B$7*$G$1*Variables!$E$50*SUM(D222:D225),0)</f>
        <v>0</v>
      </c>
      <c r="L225" s="64">
        <f ca="1">IF(B225="Winter",Variables!$B$8*H224,0)</f>
        <v>-1.5483183945373797</v>
      </c>
      <c r="M225" s="64">
        <f ca="1">IF(AND(B225="Spring",AND(NOT(H224=0),H224&lt;(Variables!$B$9*Variables!$E$50))),(Variables!$B$10*Variables!$E$50+Variables!$B$11*Variables!$E$50*SUM(E222:E225)+$G$1*SUM(D224:D225)*Variables!$E$50*Variables!$B$12),0)</f>
        <v>0</v>
      </c>
      <c r="N225" s="64">
        <f>IF(AND(B225="Spring",AND(SUM(D222:D225)&gt;Variables!$B$13,SUM(D218:D221)&gt;Variables!$B$13)),-Variables!$B$14*Variables!$E$50,0)</f>
        <v>0</v>
      </c>
      <c r="O225" s="64">
        <f>IF(AND(B225="Summer",SUM(C221:D225)&gt;Variables!$B$15),(Variables!$B$16*Variables!$E$50*SUM(C221:C225)+$G$1*Variables!$B$16*Variables!$E$50*SUM(D221:D225)+$G$1*Variables!$E$50*Variables!$B$17*F225),0)</f>
        <v>0</v>
      </c>
      <c r="P225" s="64">
        <f ca="1">IF(AND(AND(B225="Autumn",SUM(D224:E225)&gt;0),NOT(H224=0)),Variables!$B$18*Variables!$E$50+Variables!$B$19*Variables!$E$50*SUM(E224:E225)+$G$1*Variables!$B$19*Variables!$E$50*SUM(D224:D225),0)</f>
        <v>0</v>
      </c>
      <c r="Q225" s="64">
        <f>IF(AND(B225="Autumn",AND((E225+E224)&lt;Variables!$B$20,(D224+D225)=0)),-Variables!$B$21*Variables!$E$50,0)</f>
        <v>0</v>
      </c>
      <c r="R225" s="64">
        <f>IF(B225="Autumn",(SUM(F224:F225)*$G$1*Variables!$B$22*Variables!$E$50),0)</f>
        <v>0</v>
      </c>
      <c r="S225" s="64">
        <f>IF(B225="Spring",($G$1*Variables!$E$50*SUM('Guts (MC)'!F224:F225)*Variables!$B$23),0)</f>
        <v>0</v>
      </c>
      <c r="T225" s="63">
        <f ca="1">IF((H224+SUM(J225:Q225))&lt;(Variables!$B$26*Variables!$E$50),$F$1*((Variables!$B$26*Variables!$E$50)-H224-SUM(J225:Q225)),0)</f>
        <v>0</v>
      </c>
      <c r="U225" s="64">
        <f ca="1">IF(AND(AND(B225="Autumn",SUM(D222:E225)&gt;Variables!$B$27),SUM(J225:Q225)&lt;Variables!$B$28*H224),$F$1*(Variables!$B$28*H224-SUM(J225:Q225)),0)</f>
        <v>0</v>
      </c>
      <c r="V225" s="96">
        <f ca="1">IF(AND((J225+K225)=0,(Q225+T225)=0),$H$1*H225*Variables!$I$23*0.25,0)</f>
        <v>19.028171082475094</v>
      </c>
      <c r="W225" s="97">
        <f ca="1">IF(AND((K225+J225)=0,(T225+Q225)=0),$I$1*H225*Variables!$Q$23*0.25,0)</f>
        <v>6.1197060890110677</v>
      </c>
      <c r="X225" s="95">
        <f ca="1">IF(AND(NOT(K225=0),(H225-H224)&gt;0),(H225-H224)*(Variables!$M$5*$H$1+Variables!$U$5*$I$1),0)+IF(AND(NOT((J225+N225+Q225)=0),(H224-H225)&gt;0),(H224-H225)*(Variables!$M$4*$H$1+Variables!$U$4*$I$1),0)</f>
        <v>0</v>
      </c>
      <c r="Y225" s="95">
        <f ca="1">IF(SUM(T225,U224:U225)&gt;0,H225*Variables!$Y$11*0.25*(1-$J$1),0)</f>
        <v>0</v>
      </c>
      <c r="Z225" s="95">
        <f ca="1">IF(T225=0,H225*$J$1*Variables!$Y$5*0.25,0)</f>
        <v>1.7566814078257478</v>
      </c>
      <c r="AA225" s="95">
        <f t="shared" ca="1" si="7"/>
        <v>26.90455857931191</v>
      </c>
      <c r="AB225" s="91">
        <f ca="1">AA225/Variables!$E$49</f>
        <v>4.3394449321470825</v>
      </c>
    </row>
    <row r="226" spans="1:28" x14ac:dyDescent="0.25">
      <c r="A226" s="61">
        <f>'Water runs'!C233</f>
        <v>22615</v>
      </c>
      <c r="B226" s="61" t="str">
        <f>'Water runs'!B233</f>
        <v>Spring</v>
      </c>
      <c r="C226" s="54">
        <f>'Water runs'!D233/100</f>
        <v>0.35257142857142904</v>
      </c>
      <c r="D226" s="108">
        <f>VLOOKUP(ROW(D226)+4,'Water runs'!$BS$3:$CF$423,MATCH($B$1,Scenarios,0)+1)</f>
        <v>9.4220856855557051E-4</v>
      </c>
      <c r="E226" s="54">
        <f>IF(B226=Variables!$D$8,C226-Variables!$E$8,IF(B226=Variables!$D$9,C226-Variables!$E$9,IF(B226=Variables!$D$10,C226-Variables!$E$10,IF(B226=Variables!$D$11,C226-Variables!$E$11,"ELSE"))))</f>
        <v>-0.41141078042328011</v>
      </c>
      <c r="F226" s="108">
        <f>VLOOKUP(ROW(F226)+4,'Water runs'!$CH$3:$CU$423,MATCH($B$1,Scenarios,0)+1)</f>
        <v>0</v>
      </c>
      <c r="G226" s="65">
        <f ca="1">H226/Variables!$E$49</f>
        <v>0.21570201399973948</v>
      </c>
      <c r="H226" s="62">
        <f ca="1">IF((H225+I226)&gt;(1.1*Variables!$E$50),(1.1*Variables!$E$50),IF((H225+I226)&gt;0,H225+I226,0))</f>
        <v>1.3373524867983848</v>
      </c>
      <c r="I226" s="64">
        <f t="shared" ca="1" si="6"/>
        <v>-0.22374407127774712</v>
      </c>
      <c r="J226" s="63">
        <f>IF(SUM(E222:E225)&lt;Variables!$B$3,-H225,0)</f>
        <v>0</v>
      </c>
      <c r="K226" s="64">
        <f ca="1">IF(AND(H225&lt;Variables!$B$6*Variables!$E$50,OR(SUM(D223:D226)&gt;Variables!$B$5,SUM(E223:E226)&gt;Variables!$B$4)),Variables!$B$6*Variables!$E$50+Variables!$B$7*$G$1*Variables!$E$50*SUM(D223:D226),0)</f>
        <v>0</v>
      </c>
      <c r="L226" s="64">
        <f>IF(B226="Winter",Variables!$B$8*H225,0)</f>
        <v>0</v>
      </c>
      <c r="M226" s="64">
        <f ca="1">IF(AND(B226="Spring",AND(NOT(H225=0),H225&lt;(Variables!$B$9*Variables!$E$50))),(Variables!$B$10*Variables!$E$50+Variables!$B$11*Variables!$E$50*SUM(E223:E226)+$G$1*SUM(D225:D226)*Variables!$E$50*Variables!$B$12),0)</f>
        <v>-0.22374407127774712</v>
      </c>
      <c r="N226" s="64">
        <f>IF(AND(B226="Spring",AND(SUM(D223:D226)&gt;Variables!$B$13,SUM(D219:D222)&gt;Variables!$B$13)),-Variables!$B$14*Variables!$E$50,0)</f>
        <v>0</v>
      </c>
      <c r="O226" s="64">
        <f>IF(AND(B226="Summer",SUM(C222:D226)&gt;Variables!$B$15),(Variables!$B$16*Variables!$E$50*SUM(C222:C226)+$G$1*Variables!$B$16*Variables!$E$50*SUM(D222:D226)+$G$1*Variables!$E$50*Variables!$B$17*F226),0)</f>
        <v>0</v>
      </c>
      <c r="P226" s="64">
        <f ca="1">IF(AND(AND(B226="Autumn",SUM(D225:E226)&gt;0),NOT(H225=0)),Variables!$B$18*Variables!$E$50+Variables!$B$19*Variables!$E$50*SUM(E225:E226)+$G$1*Variables!$B$19*Variables!$E$50*SUM(D225:D226),0)</f>
        <v>0</v>
      </c>
      <c r="Q226" s="64">
        <f>IF(AND(B226="Autumn",AND((E226+E225)&lt;Variables!$B$20,(D225+D226)=0)),-Variables!$B$21*Variables!$E$50,0)</f>
        <v>0</v>
      </c>
      <c r="R226" s="64">
        <f>IF(B226="Autumn",(SUM(F225:F226)*$G$1*Variables!$B$22*Variables!$E$50),0)</f>
        <v>0</v>
      </c>
      <c r="S226" s="64">
        <f ca="1">IF(B226="Spring",($G$1*Variables!$E$50*SUM('Guts (MC)'!F225:F226)*Variables!$B$23),0)</f>
        <v>0</v>
      </c>
      <c r="T226" s="63">
        <f ca="1">IF((H225+SUM(J226:Q226))&lt;(Variables!$B$26*Variables!$E$50),$F$1*((Variables!$B$26*Variables!$E$50)-H225-SUM(J226:Q226)),0)</f>
        <v>0</v>
      </c>
      <c r="U226" s="64">
        <f ca="1">IF(AND(AND(B226="Autumn",SUM(D223:E226)&gt;Variables!$B$27),SUM(J226:Q226)&lt;Variables!$B$28*H225),$F$1*(Variables!$B$28*H225-SUM(J226:Q226)),0)</f>
        <v>0</v>
      </c>
      <c r="V226" s="96">
        <f ca="1">IF(AND((J226+K226)=0,(Q226+T226)=0),$H$1*H226*Variables!$I$23*0.25,0)</f>
        <v>16.300959594539158</v>
      </c>
      <c r="W226" s="97">
        <f ca="1">IF(AND((K226+J226)=0,(T226+Q226)=0),$I$1*H226*Variables!$Q$23*0.25,0)</f>
        <v>5.2425995780172867</v>
      </c>
      <c r="X226" s="95">
        <f ca="1">IF(AND(NOT(K226=0),(H226-H225)&gt;0),(H226-H225)*(Variables!$M$5*$H$1+Variables!$U$5*$I$1),0)+IF(AND(NOT((J226+N226+Q226)=0),(H225-H226)&gt;0),(H225-H226)*(Variables!$M$4*$H$1+Variables!$U$4*$I$1),0)</f>
        <v>0</v>
      </c>
      <c r="Y226" s="95">
        <f ca="1">IF(SUM(T226,U225:U226)&gt;0,H226*Variables!$Y$11*0.25*(1-$J$1),0)</f>
        <v>0</v>
      </c>
      <c r="Z226" s="95">
        <f ca="1">IF(T226=0,H226*$J$1*Variables!$Y$5*0.25,0)</f>
        <v>1.5049051495978509</v>
      </c>
      <c r="AA226" s="95">
        <f t="shared" ca="1" si="7"/>
        <v>23.048464322154295</v>
      </c>
      <c r="AB226" s="91">
        <f ca="1">AA226/Variables!$E$49</f>
        <v>3.7174942455087572</v>
      </c>
    </row>
    <row r="227" spans="1:28" x14ac:dyDescent="0.25">
      <c r="A227" s="61">
        <f>'Water runs'!C234</f>
        <v>22705</v>
      </c>
      <c r="B227" s="61" t="str">
        <f>'Water runs'!B234</f>
        <v>Summer</v>
      </c>
      <c r="C227" s="54">
        <f>'Water runs'!D234/100</f>
        <v>1.65533333333333</v>
      </c>
      <c r="D227" s="108">
        <f>VLOOKUP(ROW(D227)+4,'Water runs'!$BS$3:$CF$423,MATCH($B$1,Scenarios,0)+1)</f>
        <v>0.36476931725508516</v>
      </c>
      <c r="E227" s="54">
        <f>IF(B227=Variables!$D$8,C227-Variables!$E$8,IF(B227=Variables!$D$9,C227-Variables!$E$9,IF(B227=Variables!$D$10,C227-Variables!$E$10,IF(B227=Variables!$D$11,C227-Variables!$E$11,"ELSE"))))</f>
        <v>0.39696319727890828</v>
      </c>
      <c r="F227" s="108">
        <f>VLOOKUP(ROW(F227)+4,'Water runs'!$CH$3:$CU$423,MATCH($B$1,Scenarios,0)+1)</f>
        <v>0.80409187721201281</v>
      </c>
      <c r="G227" s="65">
        <f ca="1">H227/Variables!$E$49</f>
        <v>0.21570201399973948</v>
      </c>
      <c r="H227" s="62">
        <f ca="1">IF((H226+I227)&gt;(1.1*Variables!$E$50),(1.1*Variables!$E$50),IF((H226+I227)&gt;0,H226+I227,0))</f>
        <v>1.3373524867983848</v>
      </c>
      <c r="I227" s="64">
        <f t="shared" ca="1" si="6"/>
        <v>0</v>
      </c>
      <c r="J227" s="63">
        <f>IF(SUM(E223:E226)&lt;Variables!$B$3,-H226,0)</f>
        <v>0</v>
      </c>
      <c r="K227" s="64">
        <f ca="1">IF(AND(H226&lt;Variables!$B$6*Variables!$E$50,OR(SUM(D224:D227)&gt;Variables!$B$5,SUM(E224:E227)&gt;Variables!$B$4)),Variables!$B$6*Variables!$E$50+Variables!$B$7*$G$1*Variables!$E$50*SUM(D224:D227),0)</f>
        <v>0</v>
      </c>
      <c r="L227" s="64">
        <f>IF(B227="Winter",Variables!$B$8*H226,0)</f>
        <v>0</v>
      </c>
      <c r="M227" s="64">
        <f ca="1">IF(AND(B227="Spring",AND(NOT(H226=0),H226&lt;(Variables!$B$9*Variables!$E$50))),(Variables!$B$10*Variables!$E$50+Variables!$B$11*Variables!$E$50*SUM(E224:E227)+$G$1*SUM(D226:D227)*Variables!$E$50*Variables!$B$12),0)</f>
        <v>0</v>
      </c>
      <c r="N227" s="64">
        <f>IF(AND(B227="Spring",AND(SUM(D224:D227)&gt;Variables!$B$13,SUM(D220:D223)&gt;Variables!$B$13)),-Variables!$B$14*Variables!$E$50,0)</f>
        <v>0</v>
      </c>
      <c r="O227" s="64">
        <f>IF(AND(B227="Summer",SUM(C223:D227)&gt;Variables!$B$15),(Variables!$B$16*Variables!$E$50*SUM(C223:C227)+$G$1*Variables!$B$16*Variables!$E$50*SUM(D223:D227)+$G$1*Variables!$E$50*Variables!$B$17*F227),0)</f>
        <v>0</v>
      </c>
      <c r="P227" s="64">
        <f ca="1">IF(AND(AND(B227="Autumn",SUM(D226:E227)&gt;0),NOT(H226=0)),Variables!$B$18*Variables!$E$50+Variables!$B$19*Variables!$E$50*SUM(E226:E227)+$G$1*Variables!$B$19*Variables!$E$50*SUM(D226:D227),0)</f>
        <v>0</v>
      </c>
      <c r="Q227" s="64">
        <f>IF(AND(B227="Autumn",AND((E227+E226)&lt;Variables!$B$20,(D226+D227)=0)),-Variables!$B$21*Variables!$E$50,0)</f>
        <v>0</v>
      </c>
      <c r="R227" s="64">
        <f>IF(B227="Autumn",(SUM(F226:F227)*$G$1*Variables!$B$22*Variables!$E$50),0)</f>
        <v>0</v>
      </c>
      <c r="S227" s="64">
        <f>IF(B227="Spring",($G$1*Variables!$E$50*SUM('Guts (MC)'!F226:F227)*Variables!$B$23),0)</f>
        <v>0</v>
      </c>
      <c r="T227" s="63">
        <f ca="1">IF((H226+SUM(J227:Q227))&lt;(Variables!$B$26*Variables!$E$50),$F$1*((Variables!$B$26*Variables!$E$50)-H226-SUM(J227:Q227)),0)</f>
        <v>0</v>
      </c>
      <c r="U227" s="64">
        <f ca="1">IF(AND(AND(B227="Autumn",SUM(D224:E227)&gt;Variables!$B$27),SUM(J227:Q227)&lt;Variables!$B$28*H226),$F$1*(Variables!$B$28*H226-SUM(J227:Q227)),0)</f>
        <v>0</v>
      </c>
      <c r="V227" s="96">
        <f ca="1">IF(AND((J227+K227)=0,(Q227+T227)=0),$H$1*H227*Variables!$I$23*0.25,0)</f>
        <v>16.300959594539158</v>
      </c>
      <c r="W227" s="97">
        <f ca="1">IF(AND((K227+J227)=0,(T227+Q227)=0),$I$1*H227*Variables!$Q$23*0.25,0)</f>
        <v>5.2425995780172867</v>
      </c>
      <c r="X227" s="95">
        <f ca="1">IF(AND(NOT(K227=0),(H227-H226)&gt;0),(H227-H226)*(Variables!$M$5*$H$1+Variables!$U$5*$I$1),0)+IF(AND(NOT((J227+N227+Q227)=0),(H226-H227)&gt;0),(H226-H227)*(Variables!$M$4*$H$1+Variables!$U$4*$I$1),0)</f>
        <v>0</v>
      </c>
      <c r="Y227" s="95">
        <f ca="1">IF(SUM(T227,U226:U227)&gt;0,H227*Variables!$Y$11*0.25*(1-$J$1),0)</f>
        <v>0</v>
      </c>
      <c r="Z227" s="95">
        <f ca="1">IF(T227=0,H227*$J$1*Variables!$Y$5*0.25,0)</f>
        <v>1.5049051495978509</v>
      </c>
      <c r="AA227" s="95">
        <f t="shared" ca="1" si="7"/>
        <v>23.048464322154295</v>
      </c>
      <c r="AB227" s="91">
        <f ca="1">AA227/Variables!$E$49</f>
        <v>3.7174942455087572</v>
      </c>
    </row>
    <row r="228" spans="1:28" x14ac:dyDescent="0.25">
      <c r="A228" s="61">
        <f>'Water runs'!C235</f>
        <v>22797</v>
      </c>
      <c r="B228" s="61" t="str">
        <f>'Water runs'!B235</f>
        <v>Autumn</v>
      </c>
      <c r="C228" s="54">
        <f>'Water runs'!D235/100</f>
        <v>1.34814285714286</v>
      </c>
      <c r="D228" s="108">
        <f>VLOOKUP(ROW(D228)+4,'Water runs'!$BS$3:$CF$423,MATCH($B$1,Scenarios,0)+1)</f>
        <v>0.11555990150357486</v>
      </c>
      <c r="E228" s="54">
        <f>IF(B228=Variables!$D$8,C228-Variables!$E$8,IF(B228=Variables!$D$9,C228-Variables!$E$9,IF(B228=Variables!$D$10,C228-Variables!$E$10,IF(B228=Variables!$D$11,C228-Variables!$E$11,"ELSE"))))</f>
        <v>0.35349955782313214</v>
      </c>
      <c r="F228" s="108">
        <f>VLOOKUP(ROW(F228)+4,'Water runs'!$CH$3:$CU$423,MATCH($B$1,Scenarios,0)+1)</f>
        <v>0.21415213105408593</v>
      </c>
      <c r="G228" s="65">
        <f ca="1">H228/Variables!$E$49</f>
        <v>0.69906226508477531</v>
      </c>
      <c r="H228" s="62">
        <f ca="1">IF((H227+I228)&gt;(1.1*Variables!$E$50),(1.1*Variables!$E$50),IF((H227+I228)&gt;0,H227+I228,0))</f>
        <v>4.334186043525607</v>
      </c>
      <c r="I228" s="64">
        <f t="shared" ca="1" si="6"/>
        <v>2.9968335567272226</v>
      </c>
      <c r="J228" s="63">
        <f>IF(SUM(E224:E227)&lt;Variables!$B$3,-H227,0)</f>
        <v>0</v>
      </c>
      <c r="K228" s="64">
        <f ca="1">IF(AND(H227&lt;Variables!$B$6*Variables!$E$50,OR(SUM(D225:D228)&gt;Variables!$B$5,SUM(E225:E228)&gt;Variables!$B$4)),Variables!$B$6*Variables!$E$50+Variables!$B$7*$G$1*Variables!$E$50*SUM(D225:D228),0)</f>
        <v>0</v>
      </c>
      <c r="L228" s="64">
        <f>IF(B228="Winter",Variables!$B$8*H227,0)</f>
        <v>0</v>
      </c>
      <c r="M228" s="64">
        <f ca="1">IF(AND(B228="Spring",AND(NOT(H227=0),H227&lt;(Variables!$B$9*Variables!$E$50))),(Variables!$B$10*Variables!$E$50+Variables!$B$11*Variables!$E$50*SUM(E225:E228)+$G$1*SUM(D227:D228)*Variables!$E$50*Variables!$B$12),0)</f>
        <v>0</v>
      </c>
      <c r="N228" s="64">
        <f>IF(AND(B228="Spring",AND(SUM(D225:D228)&gt;Variables!$B$13,SUM(D221:D224)&gt;Variables!$B$13)),-Variables!$B$14*Variables!$E$50,0)</f>
        <v>0</v>
      </c>
      <c r="O228" s="64">
        <f>IF(AND(B228="Summer",SUM(C224:D228)&gt;Variables!$B$15),(Variables!$B$16*Variables!$E$50*SUM(C224:C228)+$G$1*Variables!$B$16*Variables!$E$50*SUM(D224:D228)+$G$1*Variables!$E$50*Variables!$B$17*F228),0)</f>
        <v>0</v>
      </c>
      <c r="P228" s="64">
        <f ca="1">IF(AND(AND(B228="Autumn",SUM(D227:E228)&gt;0),NOT(H227=0)),Variables!$B$18*Variables!$E$50+Variables!$B$19*Variables!$E$50*SUM(E227:E228)+$G$1*Variables!$B$19*Variables!$E$50*SUM(D227:D228),0)</f>
        <v>2.8426794436619089</v>
      </c>
      <c r="Q228" s="64">
        <f>IF(AND(B228="Autumn",AND((E228+E227)&lt;Variables!$B$20,(D227+D228)=0)),-Variables!$B$21*Variables!$E$50,0)</f>
        <v>0</v>
      </c>
      <c r="R228" s="64">
        <f ca="1">IF(B228="Autumn",(SUM(F227:F228)*$G$1*Variables!$B$22*Variables!$E$50),0)</f>
        <v>0.15415411306531368</v>
      </c>
      <c r="S228" s="64">
        <f>IF(B228="Spring",($G$1*Variables!$E$50*SUM('Guts (MC)'!F227:F228)*Variables!$B$23),0)</f>
        <v>0</v>
      </c>
      <c r="T228" s="63">
        <f ca="1">IF((H227+SUM(J228:Q228))&lt;(Variables!$B$26*Variables!$E$50),$F$1*((Variables!$B$26*Variables!$E$50)-H227-SUM(J228:Q228)),0)</f>
        <v>0</v>
      </c>
      <c r="U228" s="64">
        <f ca="1">IF(AND(AND(B228="Autumn",SUM(D225:E228)&gt;Variables!$B$27),SUM(J228:Q228)&lt;Variables!$B$28*H227),$F$1*(Variables!$B$28*H227-SUM(J228:Q228)),0)</f>
        <v>0</v>
      </c>
      <c r="V228" s="96">
        <f ca="1">IF(AND((J228+K228)=0,(Q228+T228)=0),$H$1*H228*Variables!$I$23*0.25,0)</f>
        <v>52.829296889308175</v>
      </c>
      <c r="W228" s="97">
        <f ca="1">IF(AND((K228+J228)=0,(T228+Q228)=0),$I$1*H228*Variables!$Q$23*0.25,0)</f>
        <v>16.990585613844466</v>
      </c>
      <c r="X228" s="95">
        <f ca="1">IF(AND(NOT(K228=0),(H228-H227)&gt;0),(H228-H227)*(Variables!$M$5*$H$1+Variables!$U$5*$I$1),0)+IF(AND(NOT((J228+N228+Q228)=0),(H227-H228)&gt;0),(H227-H228)*(Variables!$M$4*$H$1+Variables!$U$4*$I$1),0)</f>
        <v>0</v>
      </c>
      <c r="Y228" s="95">
        <f ca="1">IF(SUM(T228,U227:U228)&gt;0,H228*Variables!$Y$11*0.25*(1-$J$1),0)</f>
        <v>0</v>
      </c>
      <c r="Z228" s="95">
        <f ca="1">IF(T228=0,H228*$J$1*Variables!$Y$5*0.25,0)</f>
        <v>4.877202503157374</v>
      </c>
      <c r="AA228" s="95">
        <f t="shared" ca="1" si="7"/>
        <v>74.697085006310019</v>
      </c>
      <c r="AB228" s="91">
        <f ca="1">AA228/Variables!$E$49</f>
        <v>12.047916936501615</v>
      </c>
    </row>
    <row r="229" spans="1:28" x14ac:dyDescent="0.25">
      <c r="A229" s="61">
        <f>'Water runs'!C236</f>
        <v>22889</v>
      </c>
      <c r="B229" s="61" t="str">
        <f>'Water runs'!B236</f>
        <v>Winter</v>
      </c>
      <c r="C229" s="54">
        <f>'Water runs'!D236/100</f>
        <v>0.65585714285714303</v>
      </c>
      <c r="D229" s="108">
        <f>VLOOKUP(ROW(D229)+4,'Water runs'!$BS$3:$CF$423,MATCH($B$1,Scenarios,0)+1)</f>
        <v>0</v>
      </c>
      <c r="E229" s="54">
        <f>IF(B229=Variables!$D$8,C229-Variables!$E$8,IF(B229=Variables!$D$9,C229-Variables!$E$9,IF(B229=Variables!$D$10,C229-Variables!$E$10,IF(B229=Variables!$D$11,C229-Variables!$E$11,"ELSE"))))</f>
        <v>8.4089517195767294E-2</v>
      </c>
      <c r="F229" s="108">
        <f>VLOOKUP(ROW(F229)+4,'Water runs'!$CH$3:$CU$423,MATCH($B$1,Scenarios,0)+1)</f>
        <v>0</v>
      </c>
      <c r="G229" s="65">
        <f ca="1">H229/Variables!$E$49</f>
        <v>0.3509675332935186</v>
      </c>
      <c r="H229" s="62">
        <f ca="1">IF((H228+I229)&gt;(1.1*Variables!$E$50),(1.1*Variables!$E$50),IF((H228+I229)&gt;0,H228+I229,0))</f>
        <v>2.1759987064198154</v>
      </c>
      <c r="I229" s="64">
        <f t="shared" ca="1" si="6"/>
        <v>-2.1581873371057916</v>
      </c>
      <c r="J229" s="63">
        <f>IF(SUM(E225:E228)&lt;Variables!$B$3,-H228,0)</f>
        <v>0</v>
      </c>
      <c r="K229" s="64">
        <f ca="1">IF(AND(H228&lt;Variables!$B$6*Variables!$E$50,OR(SUM(D226:D229)&gt;Variables!$B$5,SUM(E226:E229)&gt;Variables!$B$4)),Variables!$B$6*Variables!$E$50+Variables!$B$7*$G$1*Variables!$E$50*SUM(D226:D229),0)</f>
        <v>0</v>
      </c>
      <c r="L229" s="64">
        <f ca="1">IF(B229="Winter",Variables!$B$8*H228,0)</f>
        <v>-2.1581873371057916</v>
      </c>
      <c r="M229" s="64">
        <f ca="1">IF(AND(B229="Spring",AND(NOT(H228=0),H228&lt;(Variables!$B$9*Variables!$E$50))),(Variables!$B$10*Variables!$E$50+Variables!$B$11*Variables!$E$50*SUM(E226:E229)+$G$1*SUM(D228:D229)*Variables!$E$50*Variables!$B$12),0)</f>
        <v>0</v>
      </c>
      <c r="N229" s="64">
        <f>IF(AND(B229="Spring",AND(SUM(D226:D229)&gt;Variables!$B$13,SUM(D222:D225)&gt;Variables!$B$13)),-Variables!$B$14*Variables!$E$50,0)</f>
        <v>0</v>
      </c>
      <c r="O229" s="64">
        <f>IF(AND(B229="Summer",SUM(C225:D229)&gt;Variables!$B$15),(Variables!$B$16*Variables!$E$50*SUM(C225:C229)+$G$1*Variables!$B$16*Variables!$E$50*SUM(D225:D229)+$G$1*Variables!$E$50*Variables!$B$17*F229),0)</f>
        <v>0</v>
      </c>
      <c r="P229" s="64">
        <f ca="1">IF(AND(AND(B229="Autumn",SUM(D228:E229)&gt;0),NOT(H228=0)),Variables!$B$18*Variables!$E$50+Variables!$B$19*Variables!$E$50*SUM(E228:E229)+$G$1*Variables!$B$19*Variables!$E$50*SUM(D228:D229),0)</f>
        <v>0</v>
      </c>
      <c r="Q229" s="64">
        <f>IF(AND(B229="Autumn",AND((E229+E228)&lt;Variables!$B$20,(D228+D229)=0)),-Variables!$B$21*Variables!$E$50,0)</f>
        <v>0</v>
      </c>
      <c r="R229" s="64">
        <f>IF(B229="Autumn",(SUM(F228:F229)*$G$1*Variables!$B$22*Variables!$E$50),0)</f>
        <v>0</v>
      </c>
      <c r="S229" s="64">
        <f>IF(B229="Spring",($G$1*Variables!$E$50*SUM('Guts (MC)'!F228:F229)*Variables!$B$23),0)</f>
        <v>0</v>
      </c>
      <c r="T229" s="63">
        <f ca="1">IF((H228+SUM(J229:Q229))&lt;(Variables!$B$26*Variables!$E$50),$F$1*((Variables!$B$26*Variables!$E$50)-H228-SUM(J229:Q229)),0)</f>
        <v>0</v>
      </c>
      <c r="U229" s="64">
        <f ca="1">IF(AND(AND(B229="Autumn",SUM(D226:E229)&gt;Variables!$B$27),SUM(J229:Q229)&lt;Variables!$B$28*H228),$F$1*(Variables!$B$28*H228-SUM(J229:Q229)),0)</f>
        <v>0</v>
      </c>
      <c r="V229" s="96">
        <f ca="1">IF(AND((J229+K229)=0,(Q229+T229)=0),$H$1*H229*Variables!$I$23*0.25,0)</f>
        <v>26.523199636048059</v>
      </c>
      <c r="W229" s="97">
        <f ca="1">IF(AND((K229+J229)=0,(T229+Q229)=0),$I$1*H229*Variables!$Q$23*0.25,0)</f>
        <v>8.5302042749799778</v>
      </c>
      <c r="X229" s="95">
        <f ca="1">IF(AND(NOT(K229=0),(H229-H228)&gt;0),(H229-H228)*(Variables!$M$5*$H$1+Variables!$U$5*$I$1),0)+IF(AND(NOT((J229+N229+Q229)=0),(H228-H229)&gt;0),(H228-H229)*(Variables!$M$4*$H$1+Variables!$U$4*$I$1),0)</f>
        <v>0</v>
      </c>
      <c r="Y229" s="95">
        <f ca="1">IF(SUM(T229,U228:U229)&gt;0,H229*Variables!$Y$11*0.25*(1-$J$1),0)</f>
        <v>0</v>
      </c>
      <c r="Z229" s="95">
        <f ca="1">IF(T229=0,H229*$J$1*Variables!$Y$5*0.25,0)</f>
        <v>2.448622701296193</v>
      </c>
      <c r="AA229" s="95">
        <f t="shared" ca="1" si="7"/>
        <v>37.502026612324229</v>
      </c>
      <c r="AB229" s="91">
        <f ca="1">AA229/Variables!$E$49</f>
        <v>6.0487139697297145</v>
      </c>
    </row>
    <row r="230" spans="1:28" x14ac:dyDescent="0.25">
      <c r="A230" s="61">
        <f>'Water runs'!C237</f>
        <v>22980</v>
      </c>
      <c r="B230" s="61" t="str">
        <f>'Water runs'!B237</f>
        <v>Spring</v>
      </c>
      <c r="C230" s="54">
        <f>'Water runs'!D237/100</f>
        <v>0.58485714285714296</v>
      </c>
      <c r="D230" s="108">
        <f>VLOOKUP(ROW(D230)+4,'Water runs'!$BS$3:$CF$423,MATCH($B$1,Scenarios,0)+1)</f>
        <v>0</v>
      </c>
      <c r="E230" s="54">
        <f>IF(B230=Variables!$D$8,C230-Variables!$E$8,IF(B230=Variables!$D$9,C230-Variables!$E$9,IF(B230=Variables!$D$10,C230-Variables!$E$10,IF(B230=Variables!$D$11,C230-Variables!$E$11,"ELSE"))))</f>
        <v>-0.17912506613756618</v>
      </c>
      <c r="F230" s="108">
        <f>VLOOKUP(ROW(F230)+4,'Water runs'!$CH$3:$CU$423,MATCH($B$1,Scenarios,0)+1)</f>
        <v>0</v>
      </c>
      <c r="G230" s="65">
        <f ca="1">H230/Variables!$E$49</f>
        <v>0.42296533298774475</v>
      </c>
      <c r="H230" s="62">
        <f ca="1">IF((H229+I230)&gt;(1.1*Variables!$E$50),(1.1*Variables!$E$50),IF((H229+I230)&gt;0,H229+I230,0))</f>
        <v>2.6223850645240177</v>
      </c>
      <c r="I230" s="64">
        <f t="shared" ca="1" si="6"/>
        <v>0.44638635810420202</v>
      </c>
      <c r="J230" s="63">
        <f>IF(SUM(E226:E229)&lt;Variables!$B$3,-H229,0)</f>
        <v>0</v>
      </c>
      <c r="K230" s="64">
        <f ca="1">IF(AND(H229&lt;Variables!$B$6*Variables!$E$50,OR(SUM(D227:D230)&gt;Variables!$B$5,SUM(E227:E230)&gt;Variables!$B$4)),Variables!$B$6*Variables!$E$50+Variables!$B$7*$G$1*Variables!$E$50*SUM(D227:D230),0)</f>
        <v>0</v>
      </c>
      <c r="L230" s="64">
        <f>IF(B230="Winter",Variables!$B$8*H229,0)</f>
        <v>0</v>
      </c>
      <c r="M230" s="64">
        <f ca="1">IF(AND(B230="Spring",AND(NOT(H229=0),H229&lt;(Variables!$B$9*Variables!$E$50))),(Variables!$B$10*Variables!$E$50+Variables!$B$11*Variables!$E$50*SUM(E227:E230)+$G$1*SUM(D229:D230)*Variables!$E$50*Variables!$B$12),0)</f>
        <v>0.44638635810420202</v>
      </c>
      <c r="N230" s="64">
        <f>IF(AND(B230="Spring",AND(SUM(D227:D230)&gt;Variables!$B$13,SUM(D223:D226)&gt;Variables!$B$13)),-Variables!$B$14*Variables!$E$50,0)</f>
        <v>0</v>
      </c>
      <c r="O230" s="64">
        <f>IF(AND(B230="Summer",SUM(C226:D230)&gt;Variables!$B$15),(Variables!$B$16*Variables!$E$50*SUM(C226:C230)+$G$1*Variables!$B$16*Variables!$E$50*SUM(D226:D230)+$G$1*Variables!$E$50*Variables!$B$17*F230),0)</f>
        <v>0</v>
      </c>
      <c r="P230" s="64">
        <f ca="1">IF(AND(AND(B230="Autumn",SUM(D229:E230)&gt;0),NOT(H229=0)),Variables!$B$18*Variables!$E$50+Variables!$B$19*Variables!$E$50*SUM(E229:E230)+$G$1*Variables!$B$19*Variables!$E$50*SUM(D229:D230),0)</f>
        <v>0</v>
      </c>
      <c r="Q230" s="64">
        <f>IF(AND(B230="Autumn",AND((E230+E229)&lt;Variables!$B$20,(D229+D230)=0)),-Variables!$B$21*Variables!$E$50,0)</f>
        <v>0</v>
      </c>
      <c r="R230" s="64">
        <f>IF(B230="Autumn",(SUM(F229:F230)*$G$1*Variables!$B$22*Variables!$E$50),0)</f>
        <v>0</v>
      </c>
      <c r="S230" s="64">
        <f ca="1">IF(B230="Spring",($G$1*Variables!$E$50*SUM('Guts (MC)'!F229:F230)*Variables!$B$23),0)</f>
        <v>0</v>
      </c>
      <c r="T230" s="63">
        <f ca="1">IF((H229+SUM(J230:Q230))&lt;(Variables!$B$26*Variables!$E$50),$F$1*((Variables!$B$26*Variables!$E$50)-H229-SUM(J230:Q230)),0)</f>
        <v>0</v>
      </c>
      <c r="U230" s="64">
        <f ca="1">IF(AND(AND(B230="Autumn",SUM(D227:E230)&gt;Variables!$B$27),SUM(J230:Q230)&lt;Variables!$B$28*H229),$F$1*(Variables!$B$28*H229-SUM(J230:Q230)),0)</f>
        <v>0</v>
      </c>
      <c r="V230" s="96">
        <f ca="1">IF(AND((J230+K230)=0,(Q230+T230)=0),$H$1*H230*Variables!$I$23*0.25,0)</f>
        <v>31.964192985849241</v>
      </c>
      <c r="W230" s="97">
        <f ca="1">IF(AND((K230+J230)=0,(T230+Q230)=0),$I$1*H230*Variables!$Q$23*0.25,0)</f>
        <v>10.280098155412542</v>
      </c>
      <c r="X230" s="95">
        <f ca="1">IF(AND(NOT(K230=0),(H230-H229)&gt;0),(H230-H229)*(Variables!$M$5*$H$1+Variables!$U$5*$I$1),0)+IF(AND(NOT((J230+N230+Q230)=0),(H229-H230)&gt;0),(H229-H230)*(Variables!$M$4*$H$1+Variables!$U$4*$I$1),0)</f>
        <v>0</v>
      </c>
      <c r="Y230" s="95">
        <f ca="1">IF(SUM(T230,U229:U230)&gt;0,H230*Variables!$Y$11*0.25*(1-$J$1),0)</f>
        <v>0</v>
      </c>
      <c r="Z230" s="95">
        <f ca="1">IF(T230=0,H230*$J$1*Variables!$Y$5*0.25,0)</f>
        <v>2.9509353942119225</v>
      </c>
      <c r="AA230" s="95">
        <f t="shared" ca="1" si="7"/>
        <v>45.195226535473708</v>
      </c>
      <c r="AB230" s="91">
        <f ca="1">AA230/Variables!$E$49</f>
        <v>7.289552667011888</v>
      </c>
    </row>
    <row r="231" spans="1:28" x14ac:dyDescent="0.25">
      <c r="A231" s="61">
        <f>'Water runs'!C238</f>
        <v>23070</v>
      </c>
      <c r="B231" s="61" t="str">
        <f>'Water runs'!B238</f>
        <v>Summer</v>
      </c>
      <c r="C231" s="54">
        <f>'Water runs'!D238/100</f>
        <v>2.6327857142857103</v>
      </c>
      <c r="D231" s="108">
        <f>VLOOKUP(ROW(D231)+4,'Water runs'!$BS$3:$CF$423,MATCH($B$1,Scenarios,0)+1)</f>
        <v>0.12800338878375916</v>
      </c>
      <c r="E231" s="54">
        <f>IF(B231=Variables!$D$8,C231-Variables!$E$8,IF(B231=Variables!$D$9,C231-Variables!$E$9,IF(B231=Variables!$D$10,C231-Variables!$E$10,IF(B231=Variables!$D$11,C231-Variables!$E$11,"ELSE"))))</f>
        <v>1.3744155782312886</v>
      </c>
      <c r="F231" s="108">
        <f>VLOOKUP(ROW(F231)+4,'Water runs'!$CH$3:$CU$423,MATCH($B$1,Scenarios,0)+1)</f>
        <v>0.11961694075170824</v>
      </c>
      <c r="G231" s="65">
        <f ca="1">H231/Variables!$E$49</f>
        <v>0.89342538591212739</v>
      </c>
      <c r="H231" s="62">
        <f ca="1">IF((H230+I231)&gt;(1.1*Variables!$E$50),(1.1*Variables!$E$50),IF((H230+I231)&gt;0,H230+I231,0))</f>
        <v>5.5392373926551901</v>
      </c>
      <c r="I231" s="64">
        <f t="shared" ca="1" si="6"/>
        <v>2.916852328131172</v>
      </c>
      <c r="J231" s="63">
        <f>IF(SUM(E227:E230)&lt;Variables!$B$3,-H230,0)</f>
        <v>0</v>
      </c>
      <c r="K231" s="64">
        <f ca="1">IF(AND(H230&lt;Variables!$B$6*Variables!$E$50,OR(SUM(D228:D231)&gt;Variables!$B$5,SUM(E228:E231)&gt;Variables!$B$4)),Variables!$B$6*Variables!$E$50+Variables!$B$7*$G$1*Variables!$E$50*SUM(D228:D231),0)</f>
        <v>0</v>
      </c>
      <c r="L231" s="64">
        <f>IF(B231="Winter",Variables!$B$8*H230,0)</f>
        <v>0</v>
      </c>
      <c r="M231" s="64">
        <f ca="1">IF(AND(B231="Spring",AND(NOT(H230=0),H230&lt;(Variables!$B$9*Variables!$E$50))),(Variables!$B$10*Variables!$E$50+Variables!$B$11*Variables!$E$50*SUM(E228:E231)+$G$1*SUM(D230:D231)*Variables!$E$50*Variables!$B$12),0)</f>
        <v>0</v>
      </c>
      <c r="N231" s="64">
        <f>IF(AND(B231="Spring",AND(SUM(D228:D231)&gt;Variables!$B$13,SUM(D224:D227)&gt;Variables!$B$13)),-Variables!$B$14*Variables!$E$50,0)</f>
        <v>0</v>
      </c>
      <c r="O231" s="64">
        <f ca="1">IF(AND(B231="Summer",SUM(C227:D231)&gt;Variables!$B$15),(Variables!$B$16*Variables!$E$50*SUM(C227:C231)+$G$1*Variables!$B$16*Variables!$E$50*SUM(D227:D231)+$G$1*Variables!$E$50*Variables!$B$17*F231),0)</f>
        <v>2.916852328131172</v>
      </c>
      <c r="P231" s="64">
        <f ca="1">IF(AND(AND(B231="Autumn",SUM(D230:E231)&gt;0),NOT(H230=0)),Variables!$B$18*Variables!$E$50+Variables!$B$19*Variables!$E$50*SUM(E230:E231)+$G$1*Variables!$B$19*Variables!$E$50*SUM(D230:D231),0)</f>
        <v>0</v>
      </c>
      <c r="Q231" s="64">
        <f>IF(AND(B231="Autumn",AND((E231+E230)&lt;Variables!$B$20,(D230+D231)=0)),-Variables!$B$21*Variables!$E$50,0)</f>
        <v>0</v>
      </c>
      <c r="R231" s="64">
        <f>IF(B231="Autumn",(SUM(F230:F231)*$G$1*Variables!$B$22*Variables!$E$50),0)</f>
        <v>0</v>
      </c>
      <c r="S231" s="64">
        <f>IF(B231="Spring",($G$1*Variables!$E$50*SUM('Guts (MC)'!F230:F231)*Variables!$B$23),0)</f>
        <v>0</v>
      </c>
      <c r="T231" s="63">
        <f ca="1">IF((H230+SUM(J231:Q231))&lt;(Variables!$B$26*Variables!$E$50),$F$1*((Variables!$B$26*Variables!$E$50)-H230-SUM(J231:Q231)),0)</f>
        <v>0</v>
      </c>
      <c r="U231" s="64">
        <f ca="1">IF(AND(AND(B231="Autumn",SUM(D228:E231)&gt;Variables!$B$27),SUM(J231:Q231)&lt;Variables!$B$28*H230),$F$1*(Variables!$B$28*H230-SUM(J231:Q231)),0)</f>
        <v>0</v>
      </c>
      <c r="V231" s="96">
        <f ca="1">IF(AND((J231+K231)=0,(Q231+T231)=0),$H$1*H231*Variables!$I$23*0.25,0)</f>
        <v>67.517640871478989</v>
      </c>
      <c r="W231" s="97">
        <f ca="1">IF(AND((K231+J231)=0,(T231+Q231)=0),$I$1*H231*Variables!$Q$23*0.25,0)</f>
        <v>21.714547139919183</v>
      </c>
      <c r="X231" s="95">
        <f ca="1">IF(AND(NOT(K231=0),(H231-H230)&gt;0),(H231-H230)*(Variables!$M$5*$H$1+Variables!$U$5*$I$1),0)+IF(AND(NOT((J231+N231+Q231)=0),(H230-H231)&gt;0),(H230-H231)*(Variables!$M$4*$H$1+Variables!$U$4*$I$1),0)</f>
        <v>0</v>
      </c>
      <c r="Y231" s="95">
        <f ca="1">IF(SUM(T231,U230:U231)&gt;0,H231*Variables!$Y$11*0.25*(1-$J$1),0)</f>
        <v>0</v>
      </c>
      <c r="Z231" s="95">
        <f ca="1">IF(T231=0,H231*$J$1*Variables!$Y$5*0.25,0)</f>
        <v>6.2332309240387138</v>
      </c>
      <c r="AA231" s="95">
        <f t="shared" ca="1" si="7"/>
        <v>95.465418935436873</v>
      </c>
      <c r="AB231" s="91">
        <f ca="1">AA231/Variables!$E$49</f>
        <v>15.397648215393044</v>
      </c>
    </row>
    <row r="232" spans="1:28" x14ac:dyDescent="0.25">
      <c r="A232" s="61">
        <f>'Water runs'!C239</f>
        <v>23162</v>
      </c>
      <c r="B232" s="61" t="str">
        <f>'Water runs'!B239</f>
        <v>Autumn</v>
      </c>
      <c r="C232" s="54">
        <f>'Water runs'!D239/100</f>
        <v>1.63854761904762</v>
      </c>
      <c r="D232" s="108">
        <f>VLOOKUP(ROW(D232)+4,'Water runs'!$BS$3:$CF$423,MATCH($B$1,Scenarios,0)+1)</f>
        <v>0.35136066002106114</v>
      </c>
      <c r="E232" s="54">
        <f>IF(B232=Variables!$D$8,C232-Variables!$E$8,IF(B232=Variables!$D$9,C232-Variables!$E$9,IF(B232=Variables!$D$10,C232-Variables!$E$10,IF(B232=Variables!$D$11,C232-Variables!$E$11,"ELSE"))))</f>
        <v>0.64390431972789219</v>
      </c>
      <c r="F232" s="108">
        <f>VLOOKUP(ROW(F232)+4,'Water runs'!$CH$3:$CU$423,MATCH($B$1,Scenarios,0)+1)</f>
        <v>0.35778668081299142</v>
      </c>
      <c r="G232" s="65">
        <f ca="1">H232/Variables!$E$49</f>
        <v>1.8104896768713421</v>
      </c>
      <c r="H232" s="62">
        <f ca="1">IF((H231+I232)&gt;(1.1*Variables!$E$50),(1.1*Variables!$E$50),IF((H231+I232)&gt;0,H231+I232,0))</f>
        <v>11.225035996602321</v>
      </c>
      <c r="I232" s="64">
        <f t="shared" ca="1" si="6"/>
        <v>5.6857986039471307</v>
      </c>
      <c r="J232" s="63">
        <f>IF(SUM(E228:E231)&lt;Variables!$B$3,-H231,0)</f>
        <v>0</v>
      </c>
      <c r="K232" s="64">
        <f ca="1">IF(AND(H231&lt;Variables!$B$6*Variables!$E$50,OR(SUM(D229:D232)&gt;Variables!$B$5,SUM(E229:E232)&gt;Variables!$B$4)),Variables!$B$6*Variables!$E$50+Variables!$B$7*$G$1*Variables!$E$50*SUM(D229:D232),0)</f>
        <v>0</v>
      </c>
      <c r="L232" s="64">
        <f>IF(B232="Winter",Variables!$B$8*H231,0)</f>
        <v>0</v>
      </c>
      <c r="M232" s="64">
        <f ca="1">IF(AND(B232="Spring",AND(NOT(H231=0),H231&lt;(Variables!$B$9*Variables!$E$50))),(Variables!$B$10*Variables!$E$50+Variables!$B$11*Variables!$E$50*SUM(E229:E232)+$G$1*SUM(D231:D232)*Variables!$E$50*Variables!$B$12),0)</f>
        <v>0</v>
      </c>
      <c r="N232" s="64">
        <f>IF(AND(B232="Spring",AND(SUM(D229:D232)&gt;Variables!$B$13,SUM(D225:D228)&gt;Variables!$B$13)),-Variables!$B$14*Variables!$E$50,0)</f>
        <v>0</v>
      </c>
      <c r="O232" s="64">
        <f>IF(AND(B232="Summer",SUM(C228:D232)&gt;Variables!$B$15),(Variables!$B$16*Variables!$E$50*SUM(C228:C232)+$G$1*Variables!$B$16*Variables!$E$50*SUM(D228:D232)+$G$1*Variables!$E$50*Variables!$B$17*F232),0)</f>
        <v>0</v>
      </c>
      <c r="P232" s="64">
        <f ca="1">IF(AND(AND(B232="Autumn",SUM(D231:E232)&gt;0),NOT(H231=0)),Variables!$B$18*Variables!$E$50+Variables!$B$19*Variables!$E$50*SUM(E231:E232)+$G$1*Variables!$B$19*Variables!$E$50*SUM(D231:D232),0)</f>
        <v>5.6135234604068387</v>
      </c>
      <c r="Q232" s="64">
        <f>IF(AND(B232="Autumn",AND((E232+E231)&lt;Variables!$B$20,(D231+D232)=0)),-Variables!$B$21*Variables!$E$50,0)</f>
        <v>0</v>
      </c>
      <c r="R232" s="64">
        <f ca="1">IF(B232="Autumn",(SUM(F231:F232)*$G$1*Variables!$B$22*Variables!$E$50),0)</f>
        <v>7.227514354029238E-2</v>
      </c>
      <c r="S232" s="64">
        <f>IF(B232="Spring",($G$1*Variables!$E$50*SUM('Guts (MC)'!F231:F232)*Variables!$B$23),0)</f>
        <v>0</v>
      </c>
      <c r="T232" s="63">
        <f ca="1">IF((H231+SUM(J232:Q232))&lt;(Variables!$B$26*Variables!$E$50),$F$1*((Variables!$B$26*Variables!$E$50)-H231-SUM(J232:Q232)),0)</f>
        <v>0</v>
      </c>
      <c r="U232" s="64">
        <f ca="1">IF(AND(AND(B232="Autumn",SUM(D229:E232)&gt;Variables!$B$27),SUM(J232:Q232)&lt;Variables!$B$28*H231),$F$1*(Variables!$B$28*H231-SUM(J232:Q232)),0)</f>
        <v>0</v>
      </c>
      <c r="V232" s="96">
        <f ca="1">IF(AND((J232+K232)=0,(Q232+T232)=0),$H$1*H232*Variables!$I$23*0.25,0)</f>
        <v>136.82171307424903</v>
      </c>
      <c r="W232" s="97">
        <f ca="1">IF(AND((K232+J232)=0,(T232+Q232)=0),$I$1*H232*Variables!$Q$23*0.25,0)</f>
        <v>44.003633716567037</v>
      </c>
      <c r="X232" s="95">
        <f ca="1">IF(AND(NOT(K232=0),(H232-H231)&gt;0),(H232-H231)*(Variables!$M$5*$H$1+Variables!$U$5*$I$1),0)+IF(AND(NOT((J232+N232+Q232)=0),(H231-H232)&gt;0),(H231-H232)*(Variables!$M$4*$H$1+Variables!$U$4*$I$1),0)</f>
        <v>0</v>
      </c>
      <c r="Y232" s="95">
        <f ca="1">IF(SUM(T232,U231:U232)&gt;0,H232*Variables!$Y$11*0.25*(1-$J$1),0)</f>
        <v>0</v>
      </c>
      <c r="Z232" s="95">
        <f ca="1">IF(T232=0,H232*$J$1*Variables!$Y$5*0.25,0)</f>
        <v>12.631385249934302</v>
      </c>
      <c r="AA232" s="95">
        <f t="shared" ca="1" si="7"/>
        <v>193.45673204075038</v>
      </c>
      <c r="AB232" s="91">
        <f ca="1">AA232/Variables!$E$49</f>
        <v>31.202698716250062</v>
      </c>
    </row>
    <row r="233" spans="1:28" x14ac:dyDescent="0.25">
      <c r="A233" s="61">
        <f>'Water runs'!C240</f>
        <v>23254</v>
      </c>
      <c r="B233" s="61" t="str">
        <f>'Water runs'!B240</f>
        <v>Winter</v>
      </c>
      <c r="C233" s="54">
        <f>'Water runs'!D240/100</f>
        <v>0.313285714285714</v>
      </c>
      <c r="D233" s="108">
        <f>VLOOKUP(ROW(D233)+4,'Water runs'!$BS$3:$CF$423,MATCH($B$1,Scenarios,0)+1)</f>
        <v>0</v>
      </c>
      <c r="E233" s="54">
        <f>IF(B233=Variables!$D$8,C233-Variables!$E$8,IF(B233=Variables!$D$9,C233-Variables!$E$9,IF(B233=Variables!$D$10,C233-Variables!$E$10,IF(B233=Variables!$D$11,C233-Variables!$E$11,"ELSE"))))</f>
        <v>-0.25848191137566173</v>
      </c>
      <c r="F233" s="108">
        <f>VLOOKUP(ROW(F233)+4,'Water runs'!$CH$3:$CU$423,MATCH($B$1,Scenarios,0)+1)</f>
        <v>0</v>
      </c>
      <c r="G233" s="65">
        <f ca="1">H233/Variables!$E$49</f>
        <v>0.90896494873436873</v>
      </c>
      <c r="H233" s="62">
        <f ca="1">IF((H232+I233)&gt;(1.1*Variables!$E$50),(1.1*Variables!$E$50),IF((H232+I233)&gt;0,H232+I233,0))</f>
        <v>5.6355826821530863</v>
      </c>
      <c r="I233" s="64">
        <f t="shared" ca="1" si="6"/>
        <v>-5.5894533144492344</v>
      </c>
      <c r="J233" s="63">
        <f>IF(SUM(E229:E232)&lt;Variables!$B$3,-H232,0)</f>
        <v>0</v>
      </c>
      <c r="K233" s="64">
        <f ca="1">IF(AND(H232&lt;Variables!$B$6*Variables!$E$50,OR(SUM(D230:D233)&gt;Variables!$B$5,SUM(E230:E233)&gt;Variables!$B$4)),Variables!$B$6*Variables!$E$50+Variables!$B$7*$G$1*Variables!$E$50*SUM(D230:D233),0)</f>
        <v>0</v>
      </c>
      <c r="L233" s="64">
        <f ca="1">IF(B233="Winter",Variables!$B$8*H232,0)</f>
        <v>-5.5894533144492344</v>
      </c>
      <c r="M233" s="64">
        <f ca="1">IF(AND(B233="Spring",AND(NOT(H232=0),H232&lt;(Variables!$B$9*Variables!$E$50))),(Variables!$B$10*Variables!$E$50+Variables!$B$11*Variables!$E$50*SUM(E230:E233)+$G$1*SUM(D232:D233)*Variables!$E$50*Variables!$B$12),0)</f>
        <v>0</v>
      </c>
      <c r="N233" s="64">
        <f>IF(AND(B233="Spring",AND(SUM(D230:D233)&gt;Variables!$B$13,SUM(D226:D229)&gt;Variables!$B$13)),-Variables!$B$14*Variables!$E$50,0)</f>
        <v>0</v>
      </c>
      <c r="O233" s="64">
        <f>IF(AND(B233="Summer",SUM(C229:D233)&gt;Variables!$B$15),(Variables!$B$16*Variables!$E$50*SUM(C229:C233)+$G$1*Variables!$B$16*Variables!$E$50*SUM(D229:D233)+$G$1*Variables!$E$50*Variables!$B$17*F233),0)</f>
        <v>0</v>
      </c>
      <c r="P233" s="64">
        <f ca="1">IF(AND(AND(B233="Autumn",SUM(D232:E233)&gt;0),NOT(H232=0)),Variables!$B$18*Variables!$E$50+Variables!$B$19*Variables!$E$50*SUM(E232:E233)+$G$1*Variables!$B$19*Variables!$E$50*SUM(D232:D233),0)</f>
        <v>0</v>
      </c>
      <c r="Q233" s="64">
        <f>IF(AND(B233="Autumn",AND((E233+E232)&lt;Variables!$B$20,(D232+D233)=0)),-Variables!$B$21*Variables!$E$50,0)</f>
        <v>0</v>
      </c>
      <c r="R233" s="64">
        <f>IF(B233="Autumn",(SUM(F232:F233)*$G$1*Variables!$B$22*Variables!$E$50),0)</f>
        <v>0</v>
      </c>
      <c r="S233" s="64">
        <f>IF(B233="Spring",($G$1*Variables!$E$50*SUM('Guts (MC)'!F232:F233)*Variables!$B$23),0)</f>
        <v>0</v>
      </c>
      <c r="T233" s="63">
        <f ca="1">IF((H232+SUM(J233:Q233))&lt;(Variables!$B$26*Variables!$E$50),$F$1*((Variables!$B$26*Variables!$E$50)-H232-SUM(J233:Q233)),0)</f>
        <v>0</v>
      </c>
      <c r="U233" s="64">
        <f ca="1">IF(AND(AND(B233="Autumn",SUM(D230:E233)&gt;Variables!$B$27),SUM(J233:Q233)&lt;Variables!$B$28*H232),$F$1*(Variables!$B$28*H232-SUM(J233:Q233)),0)</f>
        <v>0</v>
      </c>
      <c r="V233" s="96">
        <f ca="1">IF(AND((J233+K233)=0,(Q233+T233)=0),$H$1*H233*Variables!$I$23*0.25,0)</f>
        <v>68.691991453492861</v>
      </c>
      <c r="W233" s="97">
        <f ca="1">IF(AND((K233+J233)=0,(T233+Q233)=0),$I$1*H233*Variables!$Q$23*0.25,0)</f>
        <v>22.092233485928702</v>
      </c>
      <c r="X233" s="95">
        <f ca="1">IF(AND(NOT(K233=0),(H233-H232)&gt;0),(H233-H232)*(Variables!$M$5*$H$1+Variables!$U$5*$I$1),0)+IF(AND(NOT((J233+N233+Q233)=0),(H232-H233)&gt;0),(H232-H233)*(Variables!$M$4*$H$1+Variables!$U$4*$I$1),0)</f>
        <v>0</v>
      </c>
      <c r="Y233" s="95">
        <f ca="1">IF(SUM(T233,U232:U233)&gt;0,H233*Variables!$Y$11*0.25*(1-$J$1),0)</f>
        <v>0</v>
      </c>
      <c r="Z233" s="95">
        <f ca="1">IF(T233=0,H233*$J$1*Variables!$Y$5*0.25,0)</f>
        <v>6.3416470101013998</v>
      </c>
      <c r="AA233" s="95">
        <f t="shared" ca="1" si="7"/>
        <v>97.12587194952296</v>
      </c>
      <c r="AB233" s="91">
        <f ca="1">AA233/Variables!$E$49</f>
        <v>15.665463217664993</v>
      </c>
    </row>
    <row r="234" spans="1:28" x14ac:dyDescent="0.25">
      <c r="A234" s="61">
        <f>'Water runs'!C241</f>
        <v>23345</v>
      </c>
      <c r="B234" s="61" t="str">
        <f>'Water runs'!B241</f>
        <v>Spring</v>
      </c>
      <c r="C234" s="54">
        <f>'Water runs'!D241/100</f>
        <v>0.73328571428571399</v>
      </c>
      <c r="D234" s="108">
        <f>VLOOKUP(ROW(D234)+4,'Water runs'!$BS$3:$CF$423,MATCH($B$1,Scenarios,0)+1)</f>
        <v>0</v>
      </c>
      <c r="E234" s="54">
        <f>IF(B234=Variables!$D$8,C234-Variables!$E$8,IF(B234=Variables!$D$9,C234-Variables!$E$9,IF(B234=Variables!$D$10,C234-Variables!$E$10,IF(B234=Variables!$D$11,C234-Variables!$E$11,"ELSE"))))</f>
        <v>-3.0696494708995159E-2</v>
      </c>
      <c r="F234" s="108">
        <f>VLOOKUP(ROW(F234)+4,'Water runs'!$CH$3:$CU$423,MATCH($B$1,Scenarios,0)+1)</f>
        <v>0</v>
      </c>
      <c r="G234" s="65">
        <f ca="1">H234/Variables!$E$49</f>
        <v>0.90896494873436873</v>
      </c>
      <c r="H234" s="62">
        <f ca="1">IF((H233+I234)&gt;(1.1*Variables!$E$50),(1.1*Variables!$E$50),IF((H233+I234)&gt;0,H233+I234,0))</f>
        <v>5.6355826821530863</v>
      </c>
      <c r="I234" s="64">
        <f t="shared" ca="1" si="6"/>
        <v>0</v>
      </c>
      <c r="J234" s="63">
        <f>IF(SUM(E230:E233)&lt;Variables!$B$3,-H233,0)</f>
        <v>0</v>
      </c>
      <c r="K234" s="64">
        <f ca="1">IF(AND(H233&lt;Variables!$B$6*Variables!$E$50,OR(SUM(D231:D234)&gt;Variables!$B$5,SUM(E231:E234)&gt;Variables!$B$4)),Variables!$B$6*Variables!$E$50+Variables!$B$7*$G$1*Variables!$E$50*SUM(D231:D234),0)</f>
        <v>0</v>
      </c>
      <c r="L234" s="64">
        <f>IF(B234="Winter",Variables!$B$8*H233,0)</f>
        <v>0</v>
      </c>
      <c r="M234" s="64">
        <f ca="1">IF(AND(B234="Spring",AND(NOT(H233=0),H233&lt;(Variables!$B$9*Variables!$E$50))),(Variables!$B$10*Variables!$E$50+Variables!$B$11*Variables!$E$50*SUM(E231:E234)+$G$1*SUM(D233:D234)*Variables!$E$50*Variables!$B$12),0)</f>
        <v>0</v>
      </c>
      <c r="N234" s="64">
        <f>IF(AND(B234="Spring",AND(SUM(D231:D234)&gt;Variables!$B$13,SUM(D227:D230)&gt;Variables!$B$13)),-Variables!$B$14*Variables!$E$50,0)</f>
        <v>0</v>
      </c>
      <c r="O234" s="64">
        <f>IF(AND(B234="Summer",SUM(C230:D234)&gt;Variables!$B$15),(Variables!$B$16*Variables!$E$50*SUM(C230:C234)+$G$1*Variables!$B$16*Variables!$E$50*SUM(D230:D234)+$G$1*Variables!$E$50*Variables!$B$17*F234),0)</f>
        <v>0</v>
      </c>
      <c r="P234" s="64">
        <f ca="1">IF(AND(AND(B234="Autumn",SUM(D233:E234)&gt;0),NOT(H233=0)),Variables!$B$18*Variables!$E$50+Variables!$B$19*Variables!$E$50*SUM(E233:E234)+$G$1*Variables!$B$19*Variables!$E$50*SUM(D233:D234),0)</f>
        <v>0</v>
      </c>
      <c r="Q234" s="64">
        <f>IF(AND(B234="Autumn",AND((E234+E233)&lt;Variables!$B$20,(D233+D234)=0)),-Variables!$B$21*Variables!$E$50,0)</f>
        <v>0</v>
      </c>
      <c r="R234" s="64">
        <f>IF(B234="Autumn",(SUM(F233:F234)*$G$1*Variables!$B$22*Variables!$E$50),0)</f>
        <v>0</v>
      </c>
      <c r="S234" s="64">
        <f ca="1">IF(B234="Spring",($G$1*Variables!$E$50*SUM('Guts (MC)'!F233:F234)*Variables!$B$23),0)</f>
        <v>0</v>
      </c>
      <c r="T234" s="63">
        <f ca="1">IF((H233+SUM(J234:Q234))&lt;(Variables!$B$26*Variables!$E$50),$F$1*((Variables!$B$26*Variables!$E$50)-H233-SUM(J234:Q234)),0)</f>
        <v>0</v>
      </c>
      <c r="U234" s="64">
        <f ca="1">IF(AND(AND(B234="Autumn",SUM(D231:E234)&gt;Variables!$B$27),SUM(J234:Q234)&lt;Variables!$B$28*H233),$F$1*(Variables!$B$28*H233-SUM(J234:Q234)),0)</f>
        <v>0</v>
      </c>
      <c r="V234" s="96">
        <f ca="1">IF(AND((J234+K234)=0,(Q234+T234)=0),$H$1*H234*Variables!$I$23*0.25,0)</f>
        <v>68.691991453492861</v>
      </c>
      <c r="W234" s="97">
        <f ca="1">IF(AND((K234+J234)=0,(T234+Q234)=0),$I$1*H234*Variables!$Q$23*0.25,0)</f>
        <v>22.092233485928702</v>
      </c>
      <c r="X234" s="95">
        <f ca="1">IF(AND(NOT(K234=0),(H234-H233)&gt;0),(H234-H233)*(Variables!$M$5*$H$1+Variables!$U$5*$I$1),0)+IF(AND(NOT((J234+N234+Q234)=0),(H233-H234)&gt;0),(H233-H234)*(Variables!$M$4*$H$1+Variables!$U$4*$I$1),0)</f>
        <v>0</v>
      </c>
      <c r="Y234" s="95">
        <f ca="1">IF(SUM(T234,U233:U234)&gt;0,H234*Variables!$Y$11*0.25*(1-$J$1),0)</f>
        <v>0</v>
      </c>
      <c r="Z234" s="95">
        <f ca="1">IF(T234=0,H234*$J$1*Variables!$Y$5*0.25,0)</f>
        <v>6.3416470101013998</v>
      </c>
      <c r="AA234" s="95">
        <f t="shared" ca="1" si="7"/>
        <v>97.12587194952296</v>
      </c>
      <c r="AB234" s="91">
        <f ca="1">AA234/Variables!$E$49</f>
        <v>15.665463217664993</v>
      </c>
    </row>
    <row r="235" spans="1:28" x14ac:dyDescent="0.25">
      <c r="A235" s="61">
        <f>'Water runs'!C242</f>
        <v>23435</v>
      </c>
      <c r="B235" s="61" t="str">
        <f>'Water runs'!B242</f>
        <v>Summer</v>
      </c>
      <c r="C235" s="54">
        <f>'Water runs'!D242/100</f>
        <v>1.7191904761904799</v>
      </c>
      <c r="D235" s="108">
        <f>VLOOKUP(ROW(D235)+4,'Water runs'!$BS$3:$CF$423,MATCH($B$1,Scenarios,0)+1)</f>
        <v>0</v>
      </c>
      <c r="E235" s="54">
        <f>IF(B235=Variables!$D$8,C235-Variables!$E$8,IF(B235=Variables!$D$9,C235-Variables!$E$9,IF(B235=Variables!$D$10,C235-Variables!$E$10,IF(B235=Variables!$D$11,C235-Variables!$E$11,"ELSE"))))</f>
        <v>0.46082034013605822</v>
      </c>
      <c r="F235" s="108">
        <f>VLOOKUP(ROW(F235)+4,'Water runs'!$CH$3:$CU$423,MATCH($B$1,Scenarios,0)+1)</f>
        <v>0</v>
      </c>
      <c r="G235" s="65">
        <f ca="1">H235/Variables!$E$49</f>
        <v>1.3593711378425859</v>
      </c>
      <c r="H235" s="62">
        <f ca="1">IF((H234+I235)&gt;(1.1*Variables!$E$50),(1.1*Variables!$E$50),IF((H234+I235)&gt;0,H234+I235,0))</f>
        <v>8.4281010546240331</v>
      </c>
      <c r="I235" s="64">
        <f t="shared" ca="1" si="6"/>
        <v>2.7925183724709477</v>
      </c>
      <c r="J235" s="63">
        <f>IF(SUM(E231:E234)&lt;Variables!$B$3,-H234,0)</f>
        <v>0</v>
      </c>
      <c r="K235" s="64">
        <f ca="1">IF(AND(H234&lt;Variables!$B$6*Variables!$E$50,OR(SUM(D232:D235)&gt;Variables!$B$5,SUM(E232:E235)&gt;Variables!$B$4)),Variables!$B$6*Variables!$E$50+Variables!$B$7*$G$1*Variables!$E$50*SUM(D232:D235),0)</f>
        <v>0</v>
      </c>
      <c r="L235" s="64">
        <f>IF(B235="Winter",Variables!$B$8*H234,0)</f>
        <v>0</v>
      </c>
      <c r="M235" s="64">
        <f ca="1">IF(AND(B235="Spring",AND(NOT(H234=0),H234&lt;(Variables!$B$9*Variables!$E$50))),(Variables!$B$10*Variables!$E$50+Variables!$B$11*Variables!$E$50*SUM(E232:E235)+$G$1*SUM(D234:D235)*Variables!$E$50*Variables!$B$12),0)</f>
        <v>0</v>
      </c>
      <c r="N235" s="64">
        <f>IF(AND(B235="Spring",AND(SUM(D232:D235)&gt;Variables!$B$13,SUM(D228:D231)&gt;Variables!$B$13)),-Variables!$B$14*Variables!$E$50,0)</f>
        <v>0</v>
      </c>
      <c r="O235" s="64">
        <f ca="1">IF(AND(B235="Summer",SUM(C231:D235)&gt;Variables!$B$15),(Variables!$B$16*Variables!$E$50*SUM(C231:C235)+$G$1*Variables!$B$16*Variables!$E$50*SUM(D231:D235)+$G$1*Variables!$E$50*Variables!$B$17*F235),0)</f>
        <v>2.7925183724709477</v>
      </c>
      <c r="P235" s="64">
        <f ca="1">IF(AND(AND(B235="Autumn",SUM(D234:E235)&gt;0),NOT(H234=0)),Variables!$B$18*Variables!$E$50+Variables!$B$19*Variables!$E$50*SUM(E234:E235)+$G$1*Variables!$B$19*Variables!$E$50*SUM(D234:D235),0)</f>
        <v>0</v>
      </c>
      <c r="Q235" s="64">
        <f>IF(AND(B235="Autumn",AND((E235+E234)&lt;Variables!$B$20,(D234+D235)=0)),-Variables!$B$21*Variables!$E$50,0)</f>
        <v>0</v>
      </c>
      <c r="R235" s="64">
        <f>IF(B235="Autumn",(SUM(F234:F235)*$G$1*Variables!$B$22*Variables!$E$50),0)</f>
        <v>0</v>
      </c>
      <c r="S235" s="64">
        <f>IF(B235="Spring",($G$1*Variables!$E$50*SUM('Guts (MC)'!F234:F235)*Variables!$B$23),0)</f>
        <v>0</v>
      </c>
      <c r="T235" s="63">
        <f ca="1">IF((H234+SUM(J235:Q235))&lt;(Variables!$B$26*Variables!$E$50),$F$1*((Variables!$B$26*Variables!$E$50)-H234-SUM(J235:Q235)),0)</f>
        <v>0</v>
      </c>
      <c r="U235" s="64">
        <f ca="1">IF(AND(AND(B235="Autumn",SUM(D232:E235)&gt;Variables!$B$27),SUM(J235:Q235)&lt;Variables!$B$28*H234),$F$1*(Variables!$B$28*H234-SUM(J235:Q235)),0)</f>
        <v>0</v>
      </c>
      <c r="V235" s="96">
        <f ca="1">IF(AND((J235+K235)=0,(Q235+T235)=0),$H$1*H235*Variables!$I$23*0.25,0)</f>
        <v>102.729935530326</v>
      </c>
      <c r="W235" s="97">
        <f ca="1">IF(AND((K235+J235)=0,(T235+Q235)=0),$I$1*H235*Variables!$Q$23*0.25,0)</f>
        <v>33.039276831374544</v>
      </c>
      <c r="X235" s="95">
        <f ca="1">IF(AND(NOT(K235=0),(H235-H234)&gt;0),(H235-H234)*(Variables!$M$5*$H$1+Variables!$U$5*$I$1),0)+IF(AND(NOT((J235+N235+Q235)=0),(H234-H235)&gt;0),(H234-H235)*(Variables!$M$4*$H$1+Variables!$U$4*$I$1),0)</f>
        <v>0</v>
      </c>
      <c r="Y235" s="95">
        <f ca="1">IF(SUM(T235,U234:U235)&gt;0,H235*Variables!$Y$11*0.25*(1-$J$1),0)</f>
        <v>0</v>
      </c>
      <c r="Z235" s="95">
        <f ca="1">IF(T235=0,H235*$J$1*Variables!$Y$5*0.25,0)</f>
        <v>9.4840311762525715</v>
      </c>
      <c r="AA235" s="95">
        <f t="shared" ca="1" si="7"/>
        <v>145.2532435379531</v>
      </c>
      <c r="AB235" s="91">
        <f ca="1">AA235/Variables!$E$49</f>
        <v>23.427942506121468</v>
      </c>
    </row>
    <row r="236" spans="1:28" x14ac:dyDescent="0.25">
      <c r="A236" s="61">
        <f>'Water runs'!C243</f>
        <v>23528</v>
      </c>
      <c r="B236" s="61" t="str">
        <f>'Water runs'!B243</f>
        <v>Autumn</v>
      </c>
      <c r="C236" s="54">
        <f>'Water runs'!D243/100</f>
        <v>0.28728571428571398</v>
      </c>
      <c r="D236" s="108">
        <f>VLOOKUP(ROW(D236)+4,'Water runs'!$BS$3:$CF$423,MATCH($B$1,Scenarios,0)+1)</f>
        <v>2.1852904615238443E-2</v>
      </c>
      <c r="E236" s="54">
        <f>IF(B236=Variables!$D$8,C236-Variables!$E$8,IF(B236=Variables!$D$9,C236-Variables!$E$9,IF(B236=Variables!$D$10,C236-Variables!$E$10,IF(B236=Variables!$D$11,C236-Variables!$E$11,"ELSE"))))</f>
        <v>-0.70735758503401391</v>
      </c>
      <c r="F236" s="108">
        <f>VLOOKUP(ROW(F236)+4,'Water runs'!$CH$3:$CU$423,MATCH($B$1,Scenarios,0)+1)</f>
        <v>0</v>
      </c>
      <c r="G236" s="65">
        <f ca="1">H236/Variables!$E$49</f>
        <v>1.3593711378425859</v>
      </c>
      <c r="H236" s="62">
        <f ca="1">IF((H235+I236)&gt;(1.1*Variables!$E$50),(1.1*Variables!$E$50),IF((H235+I236)&gt;0,H235+I236,0))</f>
        <v>8.4281010546240331</v>
      </c>
      <c r="I236" s="64">
        <f t="shared" ca="1" si="6"/>
        <v>0</v>
      </c>
      <c r="J236" s="63">
        <f>IF(SUM(E232:E235)&lt;Variables!$B$3,-H235,0)</f>
        <v>0</v>
      </c>
      <c r="K236" s="64">
        <f ca="1">IF(AND(H235&lt;Variables!$B$6*Variables!$E$50,OR(SUM(D233:D236)&gt;Variables!$B$5,SUM(E233:E236)&gt;Variables!$B$4)),Variables!$B$6*Variables!$E$50+Variables!$B$7*$G$1*Variables!$E$50*SUM(D233:D236),0)</f>
        <v>0</v>
      </c>
      <c r="L236" s="64">
        <f>IF(B236="Winter",Variables!$B$8*H235,0)</f>
        <v>0</v>
      </c>
      <c r="M236" s="64">
        <f ca="1">IF(AND(B236="Spring",AND(NOT(H235=0),H235&lt;(Variables!$B$9*Variables!$E$50))),(Variables!$B$10*Variables!$E$50+Variables!$B$11*Variables!$E$50*SUM(E233:E236)+$G$1*SUM(D235:D236)*Variables!$E$50*Variables!$B$12),0)</f>
        <v>0</v>
      </c>
      <c r="N236" s="64">
        <f>IF(AND(B236="Spring",AND(SUM(D233:D236)&gt;Variables!$B$13,SUM(D229:D232)&gt;Variables!$B$13)),-Variables!$B$14*Variables!$E$50,0)</f>
        <v>0</v>
      </c>
      <c r="O236" s="64">
        <f>IF(AND(B236="Summer",SUM(C232:D236)&gt;Variables!$B$15),(Variables!$B$16*Variables!$E$50*SUM(C232:C236)+$G$1*Variables!$B$16*Variables!$E$50*SUM(D232:D236)+$G$1*Variables!$E$50*Variables!$B$17*F236),0)</f>
        <v>0</v>
      </c>
      <c r="P236" s="64">
        <f ca="1">IF(AND(AND(B236="Autumn",SUM(D235:E236)&gt;0),NOT(H235=0)),Variables!$B$18*Variables!$E$50+Variables!$B$19*Variables!$E$50*SUM(E235:E236)+$G$1*Variables!$B$19*Variables!$E$50*SUM(D235:D236),0)</f>
        <v>0</v>
      </c>
      <c r="Q236" s="64">
        <f>IF(AND(B236="Autumn",AND((E236+E235)&lt;Variables!$B$20,(D235+D236)=0)),-Variables!$B$21*Variables!$E$50,0)</f>
        <v>0</v>
      </c>
      <c r="R236" s="64">
        <f ca="1">IF(B236="Autumn",(SUM(F235:F236)*$G$1*Variables!$B$22*Variables!$E$50),0)</f>
        <v>0</v>
      </c>
      <c r="S236" s="64">
        <f>IF(B236="Spring",($G$1*Variables!$E$50*SUM('Guts (MC)'!F235:F236)*Variables!$B$23),0)</f>
        <v>0</v>
      </c>
      <c r="T236" s="63">
        <f ca="1">IF((H235+SUM(J236:Q236))&lt;(Variables!$B$26*Variables!$E$50),$F$1*((Variables!$B$26*Variables!$E$50)-H235-SUM(J236:Q236)),0)</f>
        <v>0</v>
      </c>
      <c r="U236" s="64">
        <f ca="1">IF(AND(AND(B236="Autumn",SUM(D233:E236)&gt;Variables!$B$27),SUM(J236:Q236)&lt;Variables!$B$28*H235),$F$1*(Variables!$B$28*H235-SUM(J236:Q236)),0)</f>
        <v>0</v>
      </c>
      <c r="V236" s="96">
        <f ca="1">IF(AND((J236+K236)=0,(Q236+T236)=0),$H$1*H236*Variables!$I$23*0.25,0)</f>
        <v>102.729935530326</v>
      </c>
      <c r="W236" s="97">
        <f ca="1">IF(AND((K236+J236)=0,(T236+Q236)=0),$I$1*H236*Variables!$Q$23*0.25,0)</f>
        <v>33.039276831374544</v>
      </c>
      <c r="X236" s="95">
        <f ca="1">IF(AND(NOT(K236=0),(H236-H235)&gt;0),(H236-H235)*(Variables!$M$5*$H$1+Variables!$U$5*$I$1),0)+IF(AND(NOT((J236+N236+Q236)=0),(H235-H236)&gt;0),(H235-H236)*(Variables!$M$4*$H$1+Variables!$U$4*$I$1),0)</f>
        <v>0</v>
      </c>
      <c r="Y236" s="95">
        <f ca="1">IF(SUM(T236,U235:U236)&gt;0,H236*Variables!$Y$11*0.25*(1-$J$1),0)</f>
        <v>0</v>
      </c>
      <c r="Z236" s="95">
        <f ca="1">IF(T236=0,H236*$J$1*Variables!$Y$5*0.25,0)</f>
        <v>9.4840311762525715</v>
      </c>
      <c r="AA236" s="95">
        <f t="shared" ca="1" si="7"/>
        <v>145.2532435379531</v>
      </c>
      <c r="AB236" s="91">
        <f ca="1">AA236/Variables!$E$49</f>
        <v>23.427942506121468</v>
      </c>
    </row>
    <row r="237" spans="1:28" x14ac:dyDescent="0.25">
      <c r="A237" s="61">
        <f>'Water runs'!C244</f>
        <v>23620</v>
      </c>
      <c r="B237" s="61" t="str">
        <f>'Water runs'!B244</f>
        <v>Winter</v>
      </c>
      <c r="C237" s="54">
        <f>'Water runs'!D244/100</f>
        <v>0.42814285714285705</v>
      </c>
      <c r="D237" s="108">
        <f>VLOOKUP(ROW(D237)+4,'Water runs'!$BS$3:$CF$423,MATCH($B$1,Scenarios,0)+1)</f>
        <v>0</v>
      </c>
      <c r="E237" s="54">
        <f>IF(B237=Variables!$D$8,C237-Variables!$E$8,IF(B237=Variables!$D$9,C237-Variables!$E$9,IF(B237=Variables!$D$10,C237-Variables!$E$10,IF(B237=Variables!$D$11,C237-Variables!$E$11,"ELSE"))))</f>
        <v>-0.14362476851851869</v>
      </c>
      <c r="F237" s="108">
        <f>VLOOKUP(ROW(F237)+4,'Water runs'!$CH$3:$CU$423,MATCH($B$1,Scenarios,0)+1)</f>
        <v>0</v>
      </c>
      <c r="G237" s="65">
        <f ca="1">H237/Variables!$E$49</f>
        <v>0.68247874174864631</v>
      </c>
      <c r="H237" s="62">
        <f ca="1">IF((H236+I237)&gt;(1.1*Variables!$E$50),(1.1*Variables!$E$50),IF((H236+I237)&gt;0,H236+I237,0))</f>
        <v>4.231368198841607</v>
      </c>
      <c r="I237" s="64">
        <f t="shared" ca="1" si="6"/>
        <v>-4.1967328557824262</v>
      </c>
      <c r="J237" s="63">
        <f>IF(SUM(E233:E236)&lt;Variables!$B$3,-H236,0)</f>
        <v>0</v>
      </c>
      <c r="K237" s="64">
        <f ca="1">IF(AND(H236&lt;Variables!$B$6*Variables!$E$50,OR(SUM(D234:D237)&gt;Variables!$B$5,SUM(E234:E237)&gt;Variables!$B$4)),Variables!$B$6*Variables!$E$50+Variables!$B$7*$G$1*Variables!$E$50*SUM(D234:D237),0)</f>
        <v>0</v>
      </c>
      <c r="L237" s="64">
        <f ca="1">IF(B237="Winter",Variables!$B$8*H236,0)</f>
        <v>-4.1967328557824262</v>
      </c>
      <c r="M237" s="64">
        <f ca="1">IF(AND(B237="Spring",AND(NOT(H236=0),H236&lt;(Variables!$B$9*Variables!$E$50))),(Variables!$B$10*Variables!$E$50+Variables!$B$11*Variables!$E$50*SUM(E234:E237)+$G$1*SUM(D236:D237)*Variables!$E$50*Variables!$B$12),0)</f>
        <v>0</v>
      </c>
      <c r="N237" s="64">
        <f>IF(AND(B237="Spring",AND(SUM(D234:D237)&gt;Variables!$B$13,SUM(D230:D233)&gt;Variables!$B$13)),-Variables!$B$14*Variables!$E$50,0)</f>
        <v>0</v>
      </c>
      <c r="O237" s="64">
        <f>IF(AND(B237="Summer",SUM(C233:D237)&gt;Variables!$B$15),(Variables!$B$16*Variables!$E$50*SUM(C233:C237)+$G$1*Variables!$B$16*Variables!$E$50*SUM(D233:D237)+$G$1*Variables!$E$50*Variables!$B$17*F237),0)</f>
        <v>0</v>
      </c>
      <c r="P237" s="64">
        <f ca="1">IF(AND(AND(B237="Autumn",SUM(D236:E237)&gt;0),NOT(H236=0)),Variables!$B$18*Variables!$E$50+Variables!$B$19*Variables!$E$50*SUM(E236:E237)+$G$1*Variables!$B$19*Variables!$E$50*SUM(D236:D237),0)</f>
        <v>0</v>
      </c>
      <c r="Q237" s="64">
        <f>IF(AND(B237="Autumn",AND((E237+E236)&lt;Variables!$B$20,(D236+D237)=0)),-Variables!$B$21*Variables!$E$50,0)</f>
        <v>0</v>
      </c>
      <c r="R237" s="64">
        <f>IF(B237="Autumn",(SUM(F236:F237)*$G$1*Variables!$B$22*Variables!$E$50),0)</f>
        <v>0</v>
      </c>
      <c r="S237" s="64">
        <f>IF(B237="Spring",($G$1*Variables!$E$50*SUM('Guts (MC)'!F236:F237)*Variables!$B$23),0)</f>
        <v>0</v>
      </c>
      <c r="T237" s="63">
        <f ca="1">IF((H236+SUM(J237:Q237))&lt;(Variables!$B$26*Variables!$E$50),$F$1*((Variables!$B$26*Variables!$E$50)-H236-SUM(J237:Q237)),0)</f>
        <v>0</v>
      </c>
      <c r="U237" s="64">
        <f ca="1">IF(AND(AND(B237="Autumn",SUM(D234:E237)&gt;Variables!$B$27),SUM(J237:Q237)&lt;Variables!$B$28*H236),$F$1*(Variables!$B$28*H236-SUM(J237:Q237)),0)</f>
        <v>0</v>
      </c>
      <c r="V237" s="96">
        <f ca="1">IF(AND((J237+K237)=0,(Q237+T237)=0),$H$1*H237*Variables!$I$23*0.25,0)</f>
        <v>51.576052476682229</v>
      </c>
      <c r="W237" s="97">
        <f ca="1">IF(AND((K237+J237)=0,(T237+Q237)=0),$I$1*H237*Variables!$Q$23*0.25,0)</f>
        <v>16.587525990840042</v>
      </c>
      <c r="X237" s="95">
        <f ca="1">IF(AND(NOT(K237=0),(H237-H236)&gt;0),(H237-H236)*(Variables!$M$5*$H$1+Variables!$U$5*$I$1),0)+IF(AND(NOT((J237+N237+Q237)=0),(H236-H237)&gt;0),(H236-H237)*(Variables!$M$4*$H$1+Variables!$U$4*$I$1),0)</f>
        <v>0</v>
      </c>
      <c r="Y237" s="95">
        <f ca="1">IF(SUM(T237,U236:U237)&gt;0,H237*Variables!$Y$11*0.25*(1-$J$1),0)</f>
        <v>0</v>
      </c>
      <c r="Z237" s="95">
        <f ca="1">IF(T237=0,H237*$J$1*Variables!$Y$5*0.25,0)</f>
        <v>4.7615029359431018</v>
      </c>
      <c r="AA237" s="95">
        <f t="shared" ca="1" si="7"/>
        <v>72.92508140346537</v>
      </c>
      <c r="AB237" s="91">
        <f ca="1">AA237/Variables!$E$49</f>
        <v>11.762109903784737</v>
      </c>
    </row>
    <row r="238" spans="1:28" x14ac:dyDescent="0.25">
      <c r="A238" s="61">
        <f>'Water runs'!C245</f>
        <v>23711</v>
      </c>
      <c r="B238" s="61" t="str">
        <f>'Water runs'!B245</f>
        <v>Spring</v>
      </c>
      <c r="C238" s="54">
        <f>'Water runs'!D245/100</f>
        <v>1.4167619047618998</v>
      </c>
      <c r="D238" s="108">
        <f>VLOOKUP(ROW(D238)+4,'Water runs'!$BS$3:$CF$423,MATCH($B$1,Scenarios,0)+1)</f>
        <v>0</v>
      </c>
      <c r="E238" s="54">
        <f>IF(B238=Variables!$D$8,C238-Variables!$E$8,IF(B238=Variables!$D$9,C238-Variables!$E$9,IF(B238=Variables!$D$10,C238-Variables!$E$10,IF(B238=Variables!$D$11,C238-Variables!$E$11,"ELSE"))))</f>
        <v>0.65277969576719064</v>
      </c>
      <c r="F238" s="108">
        <f>VLOOKUP(ROW(F238)+4,'Water runs'!$CH$3:$CU$423,MATCH($B$1,Scenarios,0)+1)</f>
        <v>0</v>
      </c>
      <c r="G238" s="65">
        <f ca="1">H238/Variables!$E$49</f>
        <v>0.68247874174864631</v>
      </c>
      <c r="H238" s="62">
        <f ca="1">IF((H237+I238)&gt;(1.1*Variables!$E$50),(1.1*Variables!$E$50),IF((H237+I238)&gt;0,H237+I238,0))</f>
        <v>4.231368198841607</v>
      </c>
      <c r="I238" s="64">
        <f t="shared" ca="1" si="6"/>
        <v>0</v>
      </c>
      <c r="J238" s="63">
        <f>IF(SUM(E234:E237)&lt;Variables!$B$3,-H237,0)</f>
        <v>0</v>
      </c>
      <c r="K238" s="64">
        <f ca="1">IF(AND(H237&lt;Variables!$B$6*Variables!$E$50,OR(SUM(D235:D238)&gt;Variables!$B$5,SUM(E235:E238)&gt;Variables!$B$4)),Variables!$B$6*Variables!$E$50+Variables!$B$7*$G$1*Variables!$E$50*SUM(D235:D238),0)</f>
        <v>0</v>
      </c>
      <c r="L238" s="64">
        <f>IF(B238="Winter",Variables!$B$8*H237,0)</f>
        <v>0</v>
      </c>
      <c r="M238" s="64">
        <f ca="1">IF(AND(B238="Spring",AND(NOT(H237=0),H237&lt;(Variables!$B$9*Variables!$E$50))),(Variables!$B$10*Variables!$E$50+Variables!$B$11*Variables!$E$50*SUM(E235:E238)+$G$1*SUM(D237:D238)*Variables!$E$50*Variables!$B$12),0)</f>
        <v>0</v>
      </c>
      <c r="N238" s="64">
        <f>IF(AND(B238="Spring",AND(SUM(D235:D238)&gt;Variables!$B$13,SUM(D231:D234)&gt;Variables!$B$13)),-Variables!$B$14*Variables!$E$50,0)</f>
        <v>0</v>
      </c>
      <c r="O238" s="64">
        <f>IF(AND(B238="Summer",SUM(C234:D238)&gt;Variables!$B$15),(Variables!$B$16*Variables!$E$50*SUM(C234:C238)+$G$1*Variables!$B$16*Variables!$E$50*SUM(D234:D238)+$G$1*Variables!$E$50*Variables!$B$17*F238),0)</f>
        <v>0</v>
      </c>
      <c r="P238" s="64">
        <f ca="1">IF(AND(AND(B238="Autumn",SUM(D237:E238)&gt;0),NOT(H237=0)),Variables!$B$18*Variables!$E$50+Variables!$B$19*Variables!$E$50*SUM(E237:E238)+$G$1*Variables!$B$19*Variables!$E$50*SUM(D237:D238),0)</f>
        <v>0</v>
      </c>
      <c r="Q238" s="64">
        <f>IF(AND(B238="Autumn",AND((E238+E237)&lt;Variables!$B$20,(D237+D238)=0)),-Variables!$B$21*Variables!$E$50,0)</f>
        <v>0</v>
      </c>
      <c r="R238" s="64">
        <f>IF(B238="Autumn",(SUM(F237:F238)*$G$1*Variables!$B$22*Variables!$E$50),0)</f>
        <v>0</v>
      </c>
      <c r="S238" s="64">
        <f ca="1">IF(B238="Spring",($G$1*Variables!$E$50*SUM('Guts (MC)'!F237:F238)*Variables!$B$23),0)</f>
        <v>0</v>
      </c>
      <c r="T238" s="63">
        <f ca="1">IF((H237+SUM(J238:Q238))&lt;(Variables!$B$26*Variables!$E$50),$F$1*((Variables!$B$26*Variables!$E$50)-H237-SUM(J238:Q238)),0)</f>
        <v>0</v>
      </c>
      <c r="U238" s="64">
        <f ca="1">IF(AND(AND(B238="Autumn",SUM(D235:E238)&gt;Variables!$B$27),SUM(J238:Q238)&lt;Variables!$B$28*H237),$F$1*(Variables!$B$28*H237-SUM(J238:Q238)),0)</f>
        <v>0</v>
      </c>
      <c r="V238" s="96">
        <f ca="1">IF(AND((J238+K238)=0,(Q238+T238)=0),$H$1*H238*Variables!$I$23*0.25,0)</f>
        <v>51.576052476682229</v>
      </c>
      <c r="W238" s="97">
        <f ca="1">IF(AND((K238+J238)=0,(T238+Q238)=0),$I$1*H238*Variables!$Q$23*0.25,0)</f>
        <v>16.587525990840042</v>
      </c>
      <c r="X238" s="95">
        <f ca="1">IF(AND(NOT(K238=0),(H238-H237)&gt;0),(H238-H237)*(Variables!$M$5*$H$1+Variables!$U$5*$I$1),0)+IF(AND(NOT((J238+N238+Q238)=0),(H237-H238)&gt;0),(H237-H238)*(Variables!$M$4*$H$1+Variables!$U$4*$I$1),0)</f>
        <v>0</v>
      </c>
      <c r="Y238" s="95">
        <f ca="1">IF(SUM(T238,U237:U238)&gt;0,H238*Variables!$Y$11*0.25*(1-$J$1),0)</f>
        <v>0</v>
      </c>
      <c r="Z238" s="95">
        <f ca="1">IF(T238=0,H238*$J$1*Variables!$Y$5*0.25,0)</f>
        <v>4.7615029359431018</v>
      </c>
      <c r="AA238" s="95">
        <f t="shared" ca="1" si="7"/>
        <v>72.92508140346537</v>
      </c>
      <c r="AB238" s="91">
        <f ca="1">AA238/Variables!$E$49</f>
        <v>11.762109903784737</v>
      </c>
    </row>
    <row r="239" spans="1:28" x14ac:dyDescent="0.25">
      <c r="A239" s="61">
        <f>'Water runs'!C246</f>
        <v>23801</v>
      </c>
      <c r="B239" s="61" t="str">
        <f>'Water runs'!B246</f>
        <v>Summer</v>
      </c>
      <c r="C239" s="54">
        <f>'Water runs'!D246/100</f>
        <v>0.44814285714285701</v>
      </c>
      <c r="D239" s="108">
        <f>VLOOKUP(ROW(D239)+4,'Water runs'!$BS$3:$CF$423,MATCH($B$1,Scenarios,0)+1)</f>
        <v>0</v>
      </c>
      <c r="E239" s="54">
        <f>IF(B239=Variables!$D$8,C239-Variables!$E$8,IF(B239=Variables!$D$9,C239-Variables!$E$9,IF(B239=Variables!$D$10,C239-Variables!$E$10,IF(B239=Variables!$D$11,C239-Variables!$E$11,"ELSE"))))</f>
        <v>-0.81022727891156476</v>
      </c>
      <c r="F239" s="108">
        <f>VLOOKUP(ROW(F239)+4,'Water runs'!$CH$3:$CU$423,MATCH($B$1,Scenarios,0)+1)</f>
        <v>0</v>
      </c>
      <c r="G239" s="65">
        <f ca="1">H239/Variables!$E$49</f>
        <v>0.68247874174864631</v>
      </c>
      <c r="H239" s="62">
        <f ca="1">IF((H238+I239)&gt;(1.1*Variables!$E$50),(1.1*Variables!$E$50),IF((H238+I239)&gt;0,H238+I239,0))</f>
        <v>4.231368198841607</v>
      </c>
      <c r="I239" s="64">
        <f t="shared" ca="1" si="6"/>
        <v>0</v>
      </c>
      <c r="J239" s="63">
        <f>IF(SUM(E235:E238)&lt;Variables!$B$3,-H238,0)</f>
        <v>0</v>
      </c>
      <c r="K239" s="64">
        <f ca="1">IF(AND(H238&lt;Variables!$B$6*Variables!$E$50,OR(SUM(D236:D239)&gt;Variables!$B$5,SUM(E236:E239)&gt;Variables!$B$4)),Variables!$B$6*Variables!$E$50+Variables!$B$7*$G$1*Variables!$E$50*SUM(D236:D239),0)</f>
        <v>0</v>
      </c>
      <c r="L239" s="64">
        <f>IF(B239="Winter",Variables!$B$8*H238,0)</f>
        <v>0</v>
      </c>
      <c r="M239" s="64">
        <f ca="1">IF(AND(B239="Spring",AND(NOT(H238=0),H238&lt;(Variables!$B$9*Variables!$E$50))),(Variables!$B$10*Variables!$E$50+Variables!$B$11*Variables!$E$50*SUM(E236:E239)+$G$1*SUM(D238:D239)*Variables!$E$50*Variables!$B$12),0)</f>
        <v>0</v>
      </c>
      <c r="N239" s="64">
        <f>IF(AND(B239="Spring",AND(SUM(D236:D239)&gt;Variables!$B$13,SUM(D232:D235)&gt;Variables!$B$13)),-Variables!$B$14*Variables!$E$50,0)</f>
        <v>0</v>
      </c>
      <c r="O239" s="64">
        <f>IF(AND(B239="Summer",SUM(C235:D239)&gt;Variables!$B$15),(Variables!$B$16*Variables!$E$50*SUM(C235:C239)+$G$1*Variables!$B$16*Variables!$E$50*SUM(D235:D239)+$G$1*Variables!$E$50*Variables!$B$17*F239),0)</f>
        <v>0</v>
      </c>
      <c r="P239" s="64">
        <f ca="1">IF(AND(AND(B239="Autumn",SUM(D238:E239)&gt;0),NOT(H238=0)),Variables!$B$18*Variables!$E$50+Variables!$B$19*Variables!$E$50*SUM(E238:E239)+$G$1*Variables!$B$19*Variables!$E$50*SUM(D238:D239),0)</f>
        <v>0</v>
      </c>
      <c r="Q239" s="64">
        <f>IF(AND(B239="Autumn",AND((E239+E238)&lt;Variables!$B$20,(D238+D239)=0)),-Variables!$B$21*Variables!$E$50,0)</f>
        <v>0</v>
      </c>
      <c r="R239" s="64">
        <f>IF(B239="Autumn",(SUM(F238:F239)*$G$1*Variables!$B$22*Variables!$E$50),0)</f>
        <v>0</v>
      </c>
      <c r="S239" s="64">
        <f>IF(B239="Spring",($G$1*Variables!$E$50*SUM('Guts (MC)'!F238:F239)*Variables!$B$23),0)</f>
        <v>0</v>
      </c>
      <c r="T239" s="63">
        <f ca="1">IF((H238+SUM(J239:Q239))&lt;(Variables!$B$26*Variables!$E$50),$F$1*((Variables!$B$26*Variables!$E$50)-H238-SUM(J239:Q239)),0)</f>
        <v>0</v>
      </c>
      <c r="U239" s="64">
        <f ca="1">IF(AND(AND(B239="Autumn",SUM(D236:E239)&gt;Variables!$B$27),SUM(J239:Q239)&lt;Variables!$B$28*H238),$F$1*(Variables!$B$28*H238-SUM(J239:Q239)),0)</f>
        <v>0</v>
      </c>
      <c r="V239" s="96">
        <f ca="1">IF(AND((J239+K239)=0,(Q239+T239)=0),$H$1*H239*Variables!$I$23*0.25,0)</f>
        <v>51.576052476682229</v>
      </c>
      <c r="W239" s="97">
        <f ca="1">IF(AND((K239+J239)=0,(T239+Q239)=0),$I$1*H239*Variables!$Q$23*0.25,0)</f>
        <v>16.587525990840042</v>
      </c>
      <c r="X239" s="95">
        <f ca="1">IF(AND(NOT(K239=0),(H239-H238)&gt;0),(H239-H238)*(Variables!$M$5*$H$1+Variables!$U$5*$I$1),0)+IF(AND(NOT((J239+N239+Q239)=0),(H238-H239)&gt;0),(H238-H239)*(Variables!$M$4*$H$1+Variables!$U$4*$I$1),0)</f>
        <v>0</v>
      </c>
      <c r="Y239" s="95">
        <f ca="1">IF(SUM(T239,U238:U239)&gt;0,H239*Variables!$Y$11*0.25*(1-$J$1),0)</f>
        <v>0</v>
      </c>
      <c r="Z239" s="95">
        <f ca="1">IF(T239=0,H239*$J$1*Variables!$Y$5*0.25,0)</f>
        <v>4.7615029359431018</v>
      </c>
      <c r="AA239" s="95">
        <f t="shared" ca="1" si="7"/>
        <v>72.92508140346537</v>
      </c>
      <c r="AB239" s="91">
        <f ca="1">AA239/Variables!$E$49</f>
        <v>11.762109903784737</v>
      </c>
    </row>
    <row r="240" spans="1:28" x14ac:dyDescent="0.25">
      <c r="A240" s="61">
        <f>'Water runs'!C247</f>
        <v>23893</v>
      </c>
      <c r="B240" s="61" t="str">
        <f>'Water runs'!B247</f>
        <v>Autumn</v>
      </c>
      <c r="C240" s="54">
        <f>'Water runs'!D247/100</f>
        <v>0.25</v>
      </c>
      <c r="D240" s="108">
        <f>VLOOKUP(ROW(D240)+4,'Water runs'!$BS$3:$CF$423,MATCH($B$1,Scenarios,0)+1)</f>
        <v>0</v>
      </c>
      <c r="E240" s="54">
        <f>IF(B240=Variables!$D$8,C240-Variables!$E$8,IF(B240=Variables!$D$9,C240-Variables!$E$9,IF(B240=Variables!$D$10,C240-Variables!$E$10,IF(B240=Variables!$D$11,C240-Variables!$E$11,"ELSE"))))</f>
        <v>-0.74464329931972784</v>
      </c>
      <c r="F240" s="108">
        <f>VLOOKUP(ROW(F240)+4,'Water runs'!$CH$3:$CU$423,MATCH($B$1,Scenarios,0)+1)</f>
        <v>0</v>
      </c>
      <c r="G240" s="65">
        <f ca="1">H240/Variables!$E$49</f>
        <v>0.68247874174864631</v>
      </c>
      <c r="H240" s="62">
        <f ca="1">IF((H239+I240)&gt;(1.1*Variables!$E$50),(1.1*Variables!$E$50),IF((H239+I240)&gt;0,H239+I240,0))</f>
        <v>4.231368198841607</v>
      </c>
      <c r="I240" s="64">
        <f t="shared" ca="1" si="6"/>
        <v>0</v>
      </c>
      <c r="J240" s="63">
        <f>IF(SUM(E236:E239)&lt;Variables!$B$3,-H239,0)</f>
        <v>0</v>
      </c>
      <c r="K240" s="64">
        <f ca="1">IF(AND(H239&lt;Variables!$B$6*Variables!$E$50,OR(SUM(D237:D240)&gt;Variables!$B$5,SUM(E237:E240)&gt;Variables!$B$4)),Variables!$B$6*Variables!$E$50+Variables!$B$7*$G$1*Variables!$E$50*SUM(D237:D240),0)</f>
        <v>0</v>
      </c>
      <c r="L240" s="64">
        <f>IF(B240="Winter",Variables!$B$8*H239,0)</f>
        <v>0</v>
      </c>
      <c r="M240" s="64">
        <f ca="1">IF(AND(B240="Spring",AND(NOT(H239=0),H239&lt;(Variables!$B$9*Variables!$E$50))),(Variables!$B$10*Variables!$E$50+Variables!$B$11*Variables!$E$50*SUM(E237:E240)+$G$1*SUM(D239:D240)*Variables!$E$50*Variables!$B$12),0)</f>
        <v>0</v>
      </c>
      <c r="N240" s="64">
        <f>IF(AND(B240="Spring",AND(SUM(D237:D240)&gt;Variables!$B$13,SUM(D233:D236)&gt;Variables!$B$13)),-Variables!$B$14*Variables!$E$50,0)</f>
        <v>0</v>
      </c>
      <c r="O240" s="64">
        <f>IF(AND(B240="Summer",SUM(C236:D240)&gt;Variables!$B$15),(Variables!$B$16*Variables!$E$50*SUM(C236:C240)+$G$1*Variables!$B$16*Variables!$E$50*SUM(D236:D240)+$G$1*Variables!$E$50*Variables!$B$17*F240),0)</f>
        <v>0</v>
      </c>
      <c r="P240" s="64">
        <f ca="1">IF(AND(AND(B240="Autumn",SUM(D239:E240)&gt;0),NOT(H239=0)),Variables!$B$18*Variables!$E$50+Variables!$B$19*Variables!$E$50*SUM(E239:E240)+$G$1*Variables!$B$19*Variables!$E$50*SUM(D239:D240),0)</f>
        <v>0</v>
      </c>
      <c r="Q240" s="64">
        <f>IF(AND(B240="Autumn",AND((E240+E239)&lt;Variables!$B$20,(D239+D240)=0)),-Variables!$B$21*Variables!$E$50,0)</f>
        <v>0</v>
      </c>
      <c r="R240" s="64">
        <f ca="1">IF(B240="Autumn",(SUM(F239:F240)*$G$1*Variables!$B$22*Variables!$E$50),0)</f>
        <v>0</v>
      </c>
      <c r="S240" s="64">
        <f>IF(B240="Spring",($G$1*Variables!$E$50*SUM('Guts (MC)'!F239:F240)*Variables!$B$23),0)</f>
        <v>0</v>
      </c>
      <c r="T240" s="63">
        <f ca="1">IF((H239+SUM(J240:Q240))&lt;(Variables!$B$26*Variables!$E$50),$F$1*((Variables!$B$26*Variables!$E$50)-H239-SUM(J240:Q240)),0)</f>
        <v>0</v>
      </c>
      <c r="U240" s="64">
        <f ca="1">IF(AND(AND(B240="Autumn",SUM(D237:E240)&gt;Variables!$B$27),SUM(J240:Q240)&lt;Variables!$B$28*H239),$F$1*(Variables!$B$28*H239-SUM(J240:Q240)),0)</f>
        <v>0</v>
      </c>
      <c r="V240" s="96">
        <f ca="1">IF(AND((J240+K240)=0,(Q240+T240)=0),$H$1*H240*Variables!$I$23*0.25,0)</f>
        <v>51.576052476682229</v>
      </c>
      <c r="W240" s="97">
        <f ca="1">IF(AND((K240+J240)=0,(T240+Q240)=0),$I$1*H240*Variables!$Q$23*0.25,0)</f>
        <v>16.587525990840042</v>
      </c>
      <c r="X240" s="95">
        <f ca="1">IF(AND(NOT(K240=0),(H240-H239)&gt;0),(H240-H239)*(Variables!$M$5*$H$1+Variables!$U$5*$I$1),0)+IF(AND(NOT((J240+N240+Q240)=0),(H239-H240)&gt;0),(H239-H240)*(Variables!$M$4*$H$1+Variables!$U$4*$I$1),0)</f>
        <v>0</v>
      </c>
      <c r="Y240" s="95">
        <f ca="1">IF(SUM(T240,U239:U240)&gt;0,H240*Variables!$Y$11*0.25*(1-$J$1),0)</f>
        <v>0</v>
      </c>
      <c r="Z240" s="95">
        <f ca="1">IF(T240=0,H240*$J$1*Variables!$Y$5*0.25,0)</f>
        <v>4.7615029359431018</v>
      </c>
      <c r="AA240" s="95">
        <f t="shared" ca="1" si="7"/>
        <v>72.92508140346537</v>
      </c>
      <c r="AB240" s="91">
        <f ca="1">AA240/Variables!$E$49</f>
        <v>11.762109903784737</v>
      </c>
    </row>
    <row r="241" spans="1:28" x14ac:dyDescent="0.25">
      <c r="A241" s="61">
        <f>'Water runs'!C248</f>
        <v>23985</v>
      </c>
      <c r="B241" s="61" t="str">
        <f>'Water runs'!B248</f>
        <v>Winter</v>
      </c>
      <c r="C241" s="54">
        <f>'Water runs'!D248/100</f>
        <v>0.14199999999999999</v>
      </c>
      <c r="D241" s="108">
        <f>VLOOKUP(ROW(D241)+4,'Water runs'!$BS$3:$CF$423,MATCH($B$1,Scenarios,0)+1)</f>
        <v>1.1871036191893839E-2</v>
      </c>
      <c r="E241" s="54">
        <f>IF(B241=Variables!$D$8,C241-Variables!$E$8,IF(B241=Variables!$D$9,C241-Variables!$E$9,IF(B241=Variables!$D$10,C241-Variables!$E$10,IF(B241=Variables!$D$11,C241-Variables!$E$11,"ELSE"))))</f>
        <v>-0.42976762566137572</v>
      </c>
      <c r="F241" s="108">
        <f>VLOOKUP(ROW(F241)+4,'Water runs'!$CH$3:$CU$423,MATCH($B$1,Scenarios,0)+1)</f>
        <v>0</v>
      </c>
      <c r="G241" s="65">
        <f ca="1">H241/Variables!$E$49</f>
        <v>0.34264169657010335</v>
      </c>
      <c r="H241" s="62">
        <f ca="1">IF((H240+I241)&gt;(1.1*Variables!$E$50),(1.1*Variables!$E$50),IF((H240+I241)&gt;0,H240+I241,0))</f>
        <v>2.1243785187346407</v>
      </c>
      <c r="I241" s="64">
        <f t="shared" ca="1" si="6"/>
        <v>-2.1069896801069663</v>
      </c>
      <c r="J241" s="63">
        <f>IF(SUM(E237:E240)&lt;Variables!$B$3,-H240,0)</f>
        <v>0</v>
      </c>
      <c r="K241" s="64">
        <f ca="1">IF(AND(H240&lt;Variables!$B$6*Variables!$E$50,OR(SUM(D238:D241)&gt;Variables!$B$5,SUM(E238:E241)&gt;Variables!$B$4)),Variables!$B$6*Variables!$E$50+Variables!$B$7*$G$1*Variables!$E$50*SUM(D238:D241),0)</f>
        <v>0</v>
      </c>
      <c r="L241" s="64">
        <f ca="1">IF(B241="Winter",Variables!$B$8*H240,0)</f>
        <v>-2.1069896801069663</v>
      </c>
      <c r="M241" s="64">
        <f ca="1">IF(AND(B241="Spring",AND(NOT(H240=0),H240&lt;(Variables!$B$9*Variables!$E$50))),(Variables!$B$10*Variables!$E$50+Variables!$B$11*Variables!$E$50*SUM(E238:E241)+$G$1*SUM(D240:D241)*Variables!$E$50*Variables!$B$12),0)</f>
        <v>0</v>
      </c>
      <c r="N241" s="64">
        <f>IF(AND(B241="Spring",AND(SUM(D238:D241)&gt;Variables!$B$13,SUM(D234:D237)&gt;Variables!$B$13)),-Variables!$B$14*Variables!$E$50,0)</f>
        <v>0</v>
      </c>
      <c r="O241" s="64">
        <f>IF(AND(B241="Summer",SUM(C237:D241)&gt;Variables!$B$15),(Variables!$B$16*Variables!$E$50*SUM(C237:C241)+$G$1*Variables!$B$16*Variables!$E$50*SUM(D237:D241)+$G$1*Variables!$E$50*Variables!$B$17*F241),0)</f>
        <v>0</v>
      </c>
      <c r="P241" s="64">
        <f ca="1">IF(AND(AND(B241="Autumn",SUM(D240:E241)&gt;0),NOT(H240=0)),Variables!$B$18*Variables!$E$50+Variables!$B$19*Variables!$E$50*SUM(E240:E241)+$G$1*Variables!$B$19*Variables!$E$50*SUM(D240:D241),0)</f>
        <v>0</v>
      </c>
      <c r="Q241" s="64">
        <f>IF(AND(B241="Autumn",AND((E241+E240)&lt;Variables!$B$20,(D240+D241)=0)),-Variables!$B$21*Variables!$E$50,0)</f>
        <v>0</v>
      </c>
      <c r="R241" s="64">
        <f>IF(B241="Autumn",(SUM(F240:F241)*$G$1*Variables!$B$22*Variables!$E$50),0)</f>
        <v>0</v>
      </c>
      <c r="S241" s="64">
        <f>IF(B241="Spring",($G$1*Variables!$E$50*SUM('Guts (MC)'!F240:F241)*Variables!$B$23),0)</f>
        <v>0</v>
      </c>
      <c r="T241" s="63">
        <f ca="1">IF((H240+SUM(J241:Q241))&lt;(Variables!$B$26*Variables!$E$50),$F$1*((Variables!$B$26*Variables!$E$50)-H240-SUM(J241:Q241)),0)</f>
        <v>0</v>
      </c>
      <c r="U241" s="64">
        <f ca="1">IF(AND(AND(B241="Autumn",SUM(D238:E241)&gt;Variables!$B$27),SUM(J241:Q241)&lt;Variables!$B$28*H240),$F$1*(Variables!$B$28*H240-SUM(J241:Q241)),0)</f>
        <v>0</v>
      </c>
      <c r="V241" s="96">
        <f ca="1">IF(AND((J241+K241)=0,(Q241+T241)=0),$H$1*H241*Variables!$I$23*0.25,0)</f>
        <v>25.894002321185312</v>
      </c>
      <c r="W241" s="97">
        <f ca="1">IF(AND((K241+J241)=0,(T241+Q241)=0),$I$1*H241*Variables!$Q$23*0.25,0)</f>
        <v>8.3278462752402511</v>
      </c>
      <c r="X241" s="95">
        <f ca="1">IF(AND(NOT(K241=0),(H241-H240)&gt;0),(H241-H240)*(Variables!$M$5*$H$1+Variables!$U$5*$I$1),0)+IF(AND(NOT((J241+N241+Q241)=0),(H240-H241)&gt;0),(H240-H241)*(Variables!$M$4*$H$1+Variables!$U$4*$I$1),0)</f>
        <v>0</v>
      </c>
      <c r="Y241" s="95">
        <f ca="1">IF(SUM(T241,U240:U241)&gt;0,H241*Variables!$Y$11*0.25*(1-$J$1),0)</f>
        <v>0</v>
      </c>
      <c r="Z241" s="95">
        <f ca="1">IF(T241=0,H241*$J$1*Variables!$Y$5*0.25,0)</f>
        <v>2.3905351835793041</v>
      </c>
      <c r="AA241" s="95">
        <f t="shared" ca="1" si="7"/>
        <v>36.612383780004862</v>
      </c>
      <c r="AB241" s="91">
        <f ca="1">AA241/Variables!$E$49</f>
        <v>5.9052231903233645</v>
      </c>
    </row>
    <row r="242" spans="1:28" x14ac:dyDescent="0.25">
      <c r="A242" s="61">
        <f>'Water runs'!C249</f>
        <v>24076</v>
      </c>
      <c r="B242" s="61" t="str">
        <f>'Water runs'!B249</f>
        <v>Spring</v>
      </c>
      <c r="C242" s="54">
        <f>'Water runs'!D249/100</f>
        <v>0.121</v>
      </c>
      <c r="D242" s="108">
        <f>VLOOKUP(ROW(D242)+4,'Water runs'!$BS$3:$CF$423,MATCH($B$1,Scenarios,0)+1)</f>
        <v>0</v>
      </c>
      <c r="E242" s="54">
        <f>IF(B242=Variables!$D$8,C242-Variables!$E$8,IF(B242=Variables!$D$9,C242-Variables!$E$9,IF(B242=Variables!$D$10,C242-Variables!$E$10,IF(B242=Variables!$D$11,C242-Variables!$E$11,"ELSE"))))</f>
        <v>-0.64298220899470915</v>
      </c>
      <c r="F242" s="108">
        <f>VLOOKUP(ROW(F242)+4,'Water runs'!$CH$3:$CU$423,MATCH($B$1,Scenarios,0)+1)</f>
        <v>0</v>
      </c>
      <c r="G242" s="65">
        <f ca="1">H242/Variables!$E$49</f>
        <v>0.16100000000000003</v>
      </c>
      <c r="H242" s="62">
        <f ca="1">IF((H241+I242)&gt;(1.1*Variables!$E$50),(1.1*Variables!$E$50),IF((H241+I242)&gt;0,H241+I242,0))</f>
        <v>0.9982000000000002</v>
      </c>
      <c r="I242" s="64">
        <f t="shared" ca="1" si="6"/>
        <v>-1.1261785187346405</v>
      </c>
      <c r="J242" s="63">
        <f>IF(SUM(E238:E241)&lt;Variables!$B$3,-H241,0)</f>
        <v>0</v>
      </c>
      <c r="K242" s="64">
        <f ca="1">IF(AND(H241&lt;Variables!$B$6*Variables!$E$50,OR(SUM(D239:D242)&gt;Variables!$B$5,SUM(E239:E242)&gt;Variables!$B$4)),Variables!$B$6*Variables!$E$50+Variables!$B$7*$G$1*Variables!$E$50*SUM(D239:D242),0)</f>
        <v>0</v>
      </c>
      <c r="L242" s="64">
        <f>IF(B242="Winter",Variables!$B$8*H241,0)</f>
        <v>0</v>
      </c>
      <c r="M242" s="64">
        <f ca="1">IF(AND(B242="Spring",AND(NOT(H241=0),H241&lt;(Variables!$B$9*Variables!$E$50))),(Variables!$B$10*Variables!$E$50+Variables!$B$11*Variables!$E$50*SUM(E239:E242)+$G$1*SUM(D241:D242)*Variables!$E$50*Variables!$B$12),0)</f>
        <v>-1.7848494170214759</v>
      </c>
      <c r="N242" s="64">
        <f>IF(AND(B242="Spring",AND(SUM(D239:D242)&gt;Variables!$B$13,SUM(D235:D238)&gt;Variables!$B$13)),-Variables!$B$14*Variables!$E$50,0)</f>
        <v>0</v>
      </c>
      <c r="O242" s="64">
        <f>IF(AND(B242="Summer",SUM(C238:D242)&gt;Variables!$B$15),(Variables!$B$16*Variables!$E$50*SUM(C238:C242)+$G$1*Variables!$B$16*Variables!$E$50*SUM(D238:D242)+$G$1*Variables!$E$50*Variables!$B$17*F242),0)</f>
        <v>0</v>
      </c>
      <c r="P242" s="64">
        <f ca="1">IF(AND(AND(B242="Autumn",SUM(D241:E242)&gt;0),NOT(H241=0)),Variables!$B$18*Variables!$E$50+Variables!$B$19*Variables!$E$50*SUM(E241:E242)+$G$1*Variables!$B$19*Variables!$E$50*SUM(D241:D242),0)</f>
        <v>0</v>
      </c>
      <c r="Q242" s="64">
        <f>IF(AND(B242="Autumn",AND((E242+E241)&lt;Variables!$B$20,(D241+D242)=0)),-Variables!$B$21*Variables!$E$50,0)</f>
        <v>0</v>
      </c>
      <c r="R242" s="64">
        <f>IF(B242="Autumn",(SUM(F241:F242)*$G$1*Variables!$B$22*Variables!$E$50),0)</f>
        <v>0</v>
      </c>
      <c r="S242" s="64">
        <f ca="1">IF(B242="Spring",($G$1*Variables!$E$50*SUM('Guts (MC)'!F241:F242)*Variables!$B$23),0)</f>
        <v>0</v>
      </c>
      <c r="T242" s="63">
        <f ca="1">IF((H241+SUM(J242:Q242))&lt;(Variables!$B$26*Variables!$E$50),$F$1*((Variables!$B$26*Variables!$E$50)-H241-SUM(J242:Q242)),0)</f>
        <v>0.65867089828683545</v>
      </c>
      <c r="U242" s="64">
        <f ca="1">IF(AND(AND(B242="Autumn",SUM(D239:E242)&gt;Variables!$B$27),SUM(J242:Q242)&lt;Variables!$B$28*H241),$F$1*(Variables!$B$28*H241-SUM(J242:Q242)),0)</f>
        <v>0</v>
      </c>
      <c r="V242" s="96">
        <f ca="1">IF(AND((J242+K242)=0,(Q242+T242)=0),$H$1*H242*Variables!$I$23*0.25,0)</f>
        <v>0</v>
      </c>
      <c r="W242" s="97">
        <f ca="1">IF(AND((K242+J242)=0,(T242+Q242)=0),$I$1*H242*Variables!$Q$23*0.25,0)</f>
        <v>0</v>
      </c>
      <c r="X242" s="95">
        <f ca="1">IF(AND(NOT(K242=0),(H242-H241)&gt;0),(H242-H241)*(Variables!$M$5*$H$1+Variables!$U$5*$I$1),0)+IF(AND(NOT((J242+N242+Q242)=0),(H241-H242)&gt;0),(H241-H242)*(Variables!$M$4*$H$1+Variables!$U$4*$I$1),0)</f>
        <v>0</v>
      </c>
      <c r="Y242" s="95">
        <f ca="1">IF(SUM(T242,U241:U242)&gt;0,H242*Variables!$Y$11*0.25*(1-$J$1),0)</f>
        <v>-8.6666009437672749</v>
      </c>
      <c r="Z242" s="95">
        <f ca="1">IF(T242=0,H242*$J$1*Variables!$Y$5*0.25,0)</f>
        <v>0</v>
      </c>
      <c r="AA242" s="95">
        <f t="shared" ca="1" si="7"/>
        <v>-8.6666009437672749</v>
      </c>
      <c r="AB242" s="91">
        <f ca="1">AA242/Variables!$E$49</f>
        <v>-1.3978388618979476</v>
      </c>
    </row>
    <row r="243" spans="1:28" x14ac:dyDescent="0.25">
      <c r="A243" s="61">
        <f>'Water runs'!C250</f>
        <v>24166</v>
      </c>
      <c r="B243" s="61" t="str">
        <f>'Water runs'!B250</f>
        <v>Summer</v>
      </c>
      <c r="C243" s="54">
        <f>'Water runs'!D250/100</f>
        <v>1.3325714285714301</v>
      </c>
      <c r="D243" s="108">
        <f>VLOOKUP(ROW(D243)+4,'Water runs'!$BS$3:$CF$423,MATCH($B$1,Scenarios,0)+1)</f>
        <v>7.3721882200175767E-2</v>
      </c>
      <c r="E243" s="54">
        <f>IF(B243=Variables!$D$8,C243-Variables!$E$8,IF(B243=Variables!$D$9,C243-Variables!$E$9,IF(B243=Variables!$D$10,C243-Variables!$E$10,IF(B243=Variables!$D$11,C243-Variables!$E$11,"ELSE"))))</f>
        <v>7.4201292517008355E-2</v>
      </c>
      <c r="F243" s="108">
        <f>VLOOKUP(ROW(F243)+4,'Water runs'!$CH$3:$CU$423,MATCH($B$1,Scenarios,0)+1)</f>
        <v>0</v>
      </c>
      <c r="G243" s="65">
        <f ca="1">H243/Variables!$E$49</f>
        <v>0.161</v>
      </c>
      <c r="H243" s="62">
        <f ca="1">IF((H242+I243)&gt;(1.1*Variables!$E$50),(1.1*Variables!$E$50),IF((H242+I243)&gt;0,H242+I243,0))</f>
        <v>0.99820000000000009</v>
      </c>
      <c r="I243" s="64">
        <f t="shared" ca="1" si="6"/>
        <v>-1.1102230246251565E-16</v>
      </c>
      <c r="J243" s="63">
        <f ca="1">IF(SUM(E239:E242)&lt;Variables!$B$3,-H242,0)</f>
        <v>-0.9982000000000002</v>
      </c>
      <c r="K243" s="64">
        <f ca="1">IF(AND(H242&lt;Variables!$B$6*Variables!$E$50,OR(SUM(D240:D243)&gt;Variables!$B$5,SUM(E240:E243)&gt;Variables!$B$4)),Variables!$B$6*Variables!$E$50+Variables!$B$7*$G$1*Variables!$E$50*SUM(D240:D243),0)</f>
        <v>0</v>
      </c>
      <c r="L243" s="64">
        <f>IF(B243="Winter",Variables!$B$8*H242,0)</f>
        <v>0</v>
      </c>
      <c r="M243" s="64">
        <f ca="1">IF(AND(B243="Spring",AND(NOT(H242=0),H242&lt;(Variables!$B$9*Variables!$E$50))),(Variables!$B$10*Variables!$E$50+Variables!$B$11*Variables!$E$50*SUM(E240:E243)+$G$1*SUM(D242:D243)*Variables!$E$50*Variables!$B$12),0)</f>
        <v>0</v>
      </c>
      <c r="N243" s="64">
        <f>IF(AND(B243="Spring",AND(SUM(D240:D243)&gt;Variables!$B$13,SUM(D236:D239)&gt;Variables!$B$13)),-Variables!$B$14*Variables!$E$50,0)</f>
        <v>0</v>
      </c>
      <c r="O243" s="64">
        <f>IF(AND(B243="Summer",SUM(C239:D243)&gt;Variables!$B$15),(Variables!$B$16*Variables!$E$50*SUM(C239:C243)+$G$1*Variables!$B$16*Variables!$E$50*SUM(D239:D243)+$G$1*Variables!$E$50*Variables!$B$17*F243),0)</f>
        <v>0</v>
      </c>
      <c r="P243" s="64">
        <f ca="1">IF(AND(AND(B243="Autumn",SUM(D242:E243)&gt;0),NOT(H242=0)),Variables!$B$18*Variables!$E$50+Variables!$B$19*Variables!$E$50*SUM(E242:E243)+$G$1*Variables!$B$19*Variables!$E$50*SUM(D242:D243),0)</f>
        <v>0</v>
      </c>
      <c r="Q243" s="64">
        <f>IF(AND(B243="Autumn",AND((E243+E242)&lt;Variables!$B$20,(D242+D243)=0)),-Variables!$B$21*Variables!$E$50,0)</f>
        <v>0</v>
      </c>
      <c r="R243" s="64">
        <f>IF(B243="Autumn",(SUM(F242:F243)*$G$1*Variables!$B$22*Variables!$E$50),0)</f>
        <v>0</v>
      </c>
      <c r="S243" s="64">
        <f>IF(B243="Spring",($G$1*Variables!$E$50*SUM('Guts (MC)'!F242:F243)*Variables!$B$23),0)</f>
        <v>0</v>
      </c>
      <c r="T243" s="63">
        <f ca="1">IF((H242+SUM(J243:Q243))&lt;(Variables!$B$26*Variables!$E$50),$F$1*((Variables!$B$26*Variables!$E$50)-H242-SUM(J243:Q243)),0)</f>
        <v>0.99820000000000009</v>
      </c>
      <c r="U243" s="64">
        <f ca="1">IF(AND(AND(B243="Autumn",SUM(D240:E243)&gt;Variables!$B$27),SUM(J243:Q243)&lt;Variables!$B$28*H242),$F$1*(Variables!$B$28*H242-SUM(J243:Q243)),0)</f>
        <v>0</v>
      </c>
      <c r="V243" s="96">
        <f ca="1">IF(AND((J243+K243)=0,(Q243+T243)=0),$H$1*H243*Variables!$I$23*0.25,0)</f>
        <v>0</v>
      </c>
      <c r="W243" s="97">
        <f ca="1">IF(AND((K243+J243)=0,(T243+Q243)=0),$I$1*H243*Variables!$Q$23*0.25,0)</f>
        <v>0</v>
      </c>
      <c r="X243" s="95">
        <f ca="1">IF(AND(NOT(K243=0),(H243-H242)&gt;0),(H243-H242)*(Variables!$M$5*$H$1+Variables!$U$5*$I$1),0)+IF(AND(NOT((J243+N243+Q243)=0),(H242-H243)&gt;0),(H242-H243)*(Variables!$M$4*$H$1+Variables!$U$4*$I$1),0)</f>
        <v>6.3457279346661938E-15</v>
      </c>
      <c r="Y243" s="95">
        <f ca="1">IF(SUM(T243,U242:U243)&gt;0,H243*Variables!$Y$11*0.25*(1-$J$1),0)</f>
        <v>-8.6666009437672749</v>
      </c>
      <c r="Z243" s="95">
        <f ca="1">IF(T243=0,H243*$J$1*Variables!$Y$5*0.25,0)</f>
        <v>0</v>
      </c>
      <c r="AA243" s="95">
        <f t="shared" ca="1" si="7"/>
        <v>-8.6666009437672678</v>
      </c>
      <c r="AB243" s="91">
        <f ca="1">AA243/Variables!$E$49</f>
        <v>-1.3978388618979463</v>
      </c>
    </row>
    <row r="244" spans="1:28" x14ac:dyDescent="0.25">
      <c r="A244" s="61">
        <f>'Water runs'!C251</f>
        <v>24258</v>
      </c>
      <c r="B244" s="61" t="str">
        <f>'Water runs'!B251</f>
        <v>Autumn</v>
      </c>
      <c r="C244" s="54">
        <f>'Water runs'!D251/100</f>
        <v>0.51557142857142901</v>
      </c>
      <c r="D244" s="108">
        <f>VLOOKUP(ROW(D244)+4,'Water runs'!$BS$3:$CF$423,MATCH($B$1,Scenarios,0)+1)</f>
        <v>0</v>
      </c>
      <c r="E244" s="54">
        <f>IF(B244=Variables!$D$8,C244-Variables!$E$8,IF(B244=Variables!$D$9,C244-Variables!$E$9,IF(B244=Variables!$D$10,C244-Variables!$E$10,IF(B244=Variables!$D$11,C244-Variables!$E$11,"ELSE"))))</f>
        <v>-0.47907187074829882</v>
      </c>
      <c r="F244" s="108">
        <f>VLOOKUP(ROW(F244)+4,'Water runs'!$CH$3:$CU$423,MATCH($B$1,Scenarios,0)+1)</f>
        <v>0</v>
      </c>
      <c r="G244" s="65">
        <f ca="1">H244/Variables!$E$49</f>
        <v>0.161</v>
      </c>
      <c r="H244" s="62">
        <f ca="1">IF((H243+I244)&gt;(1.1*Variables!$E$50),(1.1*Variables!$E$50),IF((H243+I244)&gt;0,H243+I244,0))</f>
        <v>0.99820000000000009</v>
      </c>
      <c r="I244" s="64">
        <f t="shared" ca="1" si="6"/>
        <v>0</v>
      </c>
      <c r="J244" s="63">
        <f ca="1">IF(SUM(E240:E243)&lt;Variables!$B$3,-H243,0)</f>
        <v>-0.99820000000000009</v>
      </c>
      <c r="K244" s="64">
        <f ca="1">IF(AND(H243&lt;Variables!$B$6*Variables!$E$50,OR(SUM(D241:D244)&gt;Variables!$B$5,SUM(E241:E244)&gt;Variables!$B$4)),Variables!$B$6*Variables!$E$50+Variables!$B$7*$G$1*Variables!$E$50*SUM(D241:D244),0)</f>
        <v>0</v>
      </c>
      <c r="L244" s="64">
        <f>IF(B244="Winter",Variables!$B$8*H243,0)</f>
        <v>0</v>
      </c>
      <c r="M244" s="64">
        <f ca="1">IF(AND(B244="Spring",AND(NOT(H243=0),H243&lt;(Variables!$B$9*Variables!$E$50))),(Variables!$B$10*Variables!$E$50+Variables!$B$11*Variables!$E$50*SUM(E241:E244)+$G$1*SUM(D243:D244)*Variables!$E$50*Variables!$B$12),0)</f>
        <v>0</v>
      </c>
      <c r="N244" s="64">
        <f>IF(AND(B244="Spring",AND(SUM(D241:D244)&gt;Variables!$B$13,SUM(D237:D240)&gt;Variables!$B$13)),-Variables!$B$14*Variables!$E$50,0)</f>
        <v>0</v>
      </c>
      <c r="O244" s="64">
        <f>IF(AND(B244="Summer",SUM(C240:D244)&gt;Variables!$B$15),(Variables!$B$16*Variables!$E$50*SUM(C240:C244)+$G$1*Variables!$B$16*Variables!$E$50*SUM(D240:D244)+$G$1*Variables!$E$50*Variables!$B$17*F244),0)</f>
        <v>0</v>
      </c>
      <c r="P244" s="64">
        <f ca="1">IF(AND(AND(B244="Autumn",SUM(D243:E244)&gt;0),NOT(H243=0)),Variables!$B$18*Variables!$E$50+Variables!$B$19*Variables!$E$50*SUM(E243:E244)+$G$1*Variables!$B$19*Variables!$E$50*SUM(D243:D244),0)</f>
        <v>0</v>
      </c>
      <c r="Q244" s="64">
        <f>IF(AND(B244="Autumn",AND((E244+E243)&lt;Variables!$B$20,(D243+D244)=0)),-Variables!$B$21*Variables!$E$50,0)</f>
        <v>0</v>
      </c>
      <c r="R244" s="64">
        <f ca="1">IF(B244="Autumn",(SUM(F243:F244)*$G$1*Variables!$B$22*Variables!$E$50),0)</f>
        <v>0</v>
      </c>
      <c r="S244" s="64">
        <f>IF(B244="Spring",($G$1*Variables!$E$50*SUM('Guts (MC)'!F243:F244)*Variables!$B$23),0)</f>
        <v>0</v>
      </c>
      <c r="T244" s="63">
        <f ca="1">IF((H243+SUM(J244:Q244))&lt;(Variables!$B$26*Variables!$E$50),$F$1*((Variables!$B$26*Variables!$E$50)-H243-SUM(J244:Q244)),0)</f>
        <v>0.99820000000000009</v>
      </c>
      <c r="U244" s="64">
        <f ca="1">IF(AND(AND(B244="Autumn",SUM(D241:E244)&gt;Variables!$B$27),SUM(J244:Q244)&lt;Variables!$B$28*H243),$F$1*(Variables!$B$28*H243-SUM(J244:Q244)),0)</f>
        <v>0</v>
      </c>
      <c r="V244" s="96">
        <f ca="1">IF(AND((J244+K244)=0,(Q244+T244)=0),$H$1*H244*Variables!$I$23*0.25,0)</f>
        <v>0</v>
      </c>
      <c r="W244" s="97">
        <f ca="1">IF(AND((K244+J244)=0,(T244+Q244)=0),$I$1*H244*Variables!$Q$23*0.25,0)</f>
        <v>0</v>
      </c>
      <c r="X244" s="95">
        <f ca="1">IF(AND(NOT(K244=0),(H244-H243)&gt;0),(H244-H243)*(Variables!$M$5*$H$1+Variables!$U$5*$I$1),0)+IF(AND(NOT((J244+N244+Q244)=0),(H243-H244)&gt;0),(H243-H244)*(Variables!$M$4*$H$1+Variables!$U$4*$I$1),0)</f>
        <v>0</v>
      </c>
      <c r="Y244" s="95">
        <f ca="1">IF(SUM(T244,U243:U244)&gt;0,H244*Variables!$Y$11*0.25*(1-$J$1),0)</f>
        <v>-8.6666009437672749</v>
      </c>
      <c r="Z244" s="95">
        <f ca="1">IF(T244=0,H244*$J$1*Variables!$Y$5*0.25,0)</f>
        <v>0</v>
      </c>
      <c r="AA244" s="95">
        <f t="shared" ca="1" si="7"/>
        <v>-8.6666009437672749</v>
      </c>
      <c r="AB244" s="91">
        <f ca="1">AA244/Variables!$E$49</f>
        <v>-1.3978388618979476</v>
      </c>
    </row>
    <row r="245" spans="1:28" x14ac:dyDescent="0.25">
      <c r="A245" s="61">
        <f>'Water runs'!C252</f>
        <v>24350</v>
      </c>
      <c r="B245" s="61" t="str">
        <f>'Water runs'!B252</f>
        <v>Winter</v>
      </c>
      <c r="C245" s="54">
        <f>'Water runs'!D252/100</f>
        <v>0.98185714285714298</v>
      </c>
      <c r="D245" s="108">
        <f>VLOOKUP(ROW(D245)+4,'Water runs'!$BS$3:$CF$423,MATCH($B$1,Scenarios,0)+1)</f>
        <v>0</v>
      </c>
      <c r="E245" s="54">
        <f>IF(B245=Variables!$D$8,C245-Variables!$E$8,IF(B245=Variables!$D$9,C245-Variables!$E$9,IF(B245=Variables!$D$10,C245-Variables!$E$10,IF(B245=Variables!$D$11,C245-Variables!$E$11,"ELSE"))))</f>
        <v>0.41008951719576725</v>
      </c>
      <c r="F245" s="108">
        <f>VLOOKUP(ROW(F245)+4,'Water runs'!$CH$3:$CU$423,MATCH($B$1,Scenarios,0)+1)</f>
        <v>0</v>
      </c>
      <c r="G245" s="65">
        <f ca="1">H245/Variables!$E$49</f>
        <v>0.161</v>
      </c>
      <c r="H245" s="62">
        <f ca="1">IF((H244+I245)&gt;(1.1*Variables!$E$50),(1.1*Variables!$E$50),IF((H244+I245)&gt;0,H244+I245,0))</f>
        <v>0.99820000000000009</v>
      </c>
      <c r="I245" s="64">
        <f t="shared" ca="1" si="6"/>
        <v>0</v>
      </c>
      <c r="J245" s="63">
        <f>IF(SUM(E241:E244)&lt;Variables!$B$3,-H244,0)</f>
        <v>0</v>
      </c>
      <c r="K245" s="64">
        <f ca="1">IF(AND(H244&lt;Variables!$B$6*Variables!$E$50,OR(SUM(D242:D245)&gt;Variables!$B$5,SUM(E242:E245)&gt;Variables!$B$4)),Variables!$B$6*Variables!$E$50+Variables!$B$7*$G$1*Variables!$E$50*SUM(D242:D245),0)</f>
        <v>0</v>
      </c>
      <c r="L245" s="64">
        <f ca="1">IF(B245="Winter",Variables!$B$8*H244,0)</f>
        <v>-0.49704894489176149</v>
      </c>
      <c r="M245" s="64">
        <f ca="1">IF(AND(B245="Spring",AND(NOT(H244=0),H244&lt;(Variables!$B$9*Variables!$E$50))),(Variables!$B$10*Variables!$E$50+Variables!$B$11*Variables!$E$50*SUM(E242:E245)+$G$1*SUM(D244:D245)*Variables!$E$50*Variables!$B$12),0)</f>
        <v>0</v>
      </c>
      <c r="N245" s="64">
        <f>IF(AND(B245="Spring",AND(SUM(D242:D245)&gt;Variables!$B$13,SUM(D238:D241)&gt;Variables!$B$13)),-Variables!$B$14*Variables!$E$50,0)</f>
        <v>0</v>
      </c>
      <c r="O245" s="64">
        <f>IF(AND(B245="Summer",SUM(C241:D245)&gt;Variables!$B$15),(Variables!$B$16*Variables!$E$50*SUM(C241:C245)+$G$1*Variables!$B$16*Variables!$E$50*SUM(D241:D245)+$G$1*Variables!$E$50*Variables!$B$17*F245),0)</f>
        <v>0</v>
      </c>
      <c r="P245" s="64">
        <f ca="1">IF(AND(AND(B245="Autumn",SUM(D244:E245)&gt;0),NOT(H244=0)),Variables!$B$18*Variables!$E$50+Variables!$B$19*Variables!$E$50*SUM(E244:E245)+$G$1*Variables!$B$19*Variables!$E$50*SUM(D244:D245),0)</f>
        <v>0</v>
      </c>
      <c r="Q245" s="64">
        <f>IF(AND(B245="Autumn",AND((E245+E244)&lt;Variables!$B$20,(D244+D245)=0)),-Variables!$B$21*Variables!$E$50,0)</f>
        <v>0</v>
      </c>
      <c r="R245" s="64">
        <f>IF(B245="Autumn",(SUM(F244:F245)*$G$1*Variables!$B$22*Variables!$E$50),0)</f>
        <v>0</v>
      </c>
      <c r="S245" s="64">
        <f>IF(B245="Spring",($G$1*Variables!$E$50*SUM('Guts (MC)'!F244:F245)*Variables!$B$23),0)</f>
        <v>0</v>
      </c>
      <c r="T245" s="63">
        <f ca="1">IF((H244+SUM(J245:Q245))&lt;(Variables!$B$26*Variables!$E$50),$F$1*((Variables!$B$26*Variables!$E$50)-H244-SUM(J245:Q245)),0)</f>
        <v>0.49704894489176149</v>
      </c>
      <c r="U245" s="64">
        <f ca="1">IF(AND(AND(B245="Autumn",SUM(D242:E245)&gt;Variables!$B$27),SUM(J245:Q245)&lt;Variables!$B$28*H244),$F$1*(Variables!$B$28*H244-SUM(J245:Q245)),0)</f>
        <v>0</v>
      </c>
      <c r="V245" s="96">
        <f ca="1">IF(AND((J245+K245)=0,(Q245+T245)=0),$H$1*H245*Variables!$I$23*0.25,0)</f>
        <v>0</v>
      </c>
      <c r="W245" s="97">
        <f ca="1">IF(AND((K245+J245)=0,(T245+Q245)=0),$I$1*H245*Variables!$Q$23*0.25,0)</f>
        <v>0</v>
      </c>
      <c r="X245" s="95">
        <f ca="1">IF(AND(NOT(K245=0),(H245-H244)&gt;0),(H245-H244)*(Variables!$M$5*$H$1+Variables!$U$5*$I$1),0)+IF(AND(NOT((J245+N245+Q245)=0),(H244-H245)&gt;0),(H244-H245)*(Variables!$M$4*$H$1+Variables!$U$4*$I$1),0)</f>
        <v>0</v>
      </c>
      <c r="Y245" s="95">
        <f ca="1">IF(SUM(T245,U244:U245)&gt;0,H245*Variables!$Y$11*0.25*(1-$J$1),0)</f>
        <v>-8.6666009437672749</v>
      </c>
      <c r="Z245" s="95">
        <f ca="1">IF(T245=0,H245*$J$1*Variables!$Y$5*0.25,0)</f>
        <v>0</v>
      </c>
      <c r="AA245" s="95">
        <f t="shared" ca="1" si="7"/>
        <v>-8.6666009437672749</v>
      </c>
      <c r="AB245" s="91">
        <f ca="1">AA245/Variables!$E$49</f>
        <v>-1.3978388618979476</v>
      </c>
    </row>
    <row r="246" spans="1:28" x14ac:dyDescent="0.25">
      <c r="A246" s="61">
        <f>'Water runs'!C253</f>
        <v>24441</v>
      </c>
      <c r="B246" s="61" t="str">
        <f>'Water runs'!B253</f>
        <v>Spring</v>
      </c>
      <c r="C246" s="54">
        <f>'Water runs'!D253/100</f>
        <v>0.77500000000000002</v>
      </c>
      <c r="D246" s="108">
        <f>VLOOKUP(ROW(D246)+4,'Water runs'!$BS$3:$CF$423,MATCH($B$1,Scenarios,0)+1)</f>
        <v>0</v>
      </c>
      <c r="E246" s="54">
        <f>IF(B246=Variables!$D$8,C246-Variables!$E$8,IF(B246=Variables!$D$9,C246-Variables!$E$9,IF(B246=Variables!$D$10,C246-Variables!$E$10,IF(B246=Variables!$D$11,C246-Variables!$E$11,"ELSE"))))</f>
        <v>1.1017791005290878E-2</v>
      </c>
      <c r="F246" s="108">
        <f>VLOOKUP(ROW(F246)+4,'Water runs'!$CH$3:$CU$423,MATCH($B$1,Scenarios,0)+1)</f>
        <v>0</v>
      </c>
      <c r="G246" s="65">
        <f ca="1">H246/Variables!$E$49</f>
        <v>0.34745771517365009</v>
      </c>
      <c r="H246" s="62">
        <f ca="1">IF((H245+I246)&gt;(1.1*Variables!$E$50),(1.1*Variables!$E$50),IF((H245+I246)&gt;0,H245+I246,0))</f>
        <v>2.1542378340766306</v>
      </c>
      <c r="I246" s="64">
        <f t="shared" ca="1" si="6"/>
        <v>1.1560378340766304</v>
      </c>
      <c r="J246" s="63">
        <f>IF(SUM(E242:E245)&lt;Variables!$B$3,-H245,0)</f>
        <v>0</v>
      </c>
      <c r="K246" s="64">
        <f ca="1">IF(AND(H245&lt;Variables!$B$6*Variables!$E$50,OR(SUM(D243:D246)&gt;Variables!$B$5,SUM(E243:E246)&gt;Variables!$B$4)),Variables!$B$6*Variables!$E$50+Variables!$B$7*$G$1*Variables!$E$50*SUM(D243:D246),0)</f>
        <v>1.1449796193876387</v>
      </c>
      <c r="L246" s="64">
        <f>IF(B246="Winter",Variables!$B$8*H245,0)</f>
        <v>0</v>
      </c>
      <c r="M246" s="64">
        <f ca="1">IF(AND(B246="Spring",AND(NOT(H245=0),H245&lt;(Variables!$B$9*Variables!$E$50))),(Variables!$B$10*Variables!$E$50+Variables!$B$11*Variables!$E$50*SUM(E243:E246)+$G$1*SUM(D245:D246)*Variables!$E$50*Variables!$B$12),0)</f>
        <v>1.1058214688991642E-2</v>
      </c>
      <c r="N246" s="64">
        <f>IF(AND(B246="Spring",AND(SUM(D243:D246)&gt;Variables!$B$13,SUM(D239:D242)&gt;Variables!$B$13)),-Variables!$B$14*Variables!$E$50,0)</f>
        <v>0</v>
      </c>
      <c r="O246" s="64">
        <f>IF(AND(B246="Summer",SUM(C242:D246)&gt;Variables!$B$15),(Variables!$B$16*Variables!$E$50*SUM(C242:C246)+$G$1*Variables!$B$16*Variables!$E$50*SUM(D242:D246)+$G$1*Variables!$E$50*Variables!$B$17*F246),0)</f>
        <v>0</v>
      </c>
      <c r="P246" s="64">
        <f ca="1">IF(AND(AND(B246="Autumn",SUM(D245:E246)&gt;0),NOT(H245=0)),Variables!$B$18*Variables!$E$50+Variables!$B$19*Variables!$E$50*SUM(E245:E246)+$G$1*Variables!$B$19*Variables!$E$50*SUM(D245:D246),0)</f>
        <v>0</v>
      </c>
      <c r="Q246" s="64">
        <f>IF(AND(B246="Autumn",AND((E246+E245)&lt;Variables!$B$20,(D245+D246)=0)),-Variables!$B$21*Variables!$E$50,0)</f>
        <v>0</v>
      </c>
      <c r="R246" s="64">
        <f>IF(B246="Autumn",(SUM(F245:F246)*$G$1*Variables!$B$22*Variables!$E$50),0)</f>
        <v>0</v>
      </c>
      <c r="S246" s="64">
        <f ca="1">IF(B246="Spring",($G$1*Variables!$E$50*SUM('Guts (MC)'!F245:F246)*Variables!$B$23),0)</f>
        <v>0</v>
      </c>
      <c r="T246" s="63">
        <f ca="1">IF((H245+SUM(J246:Q246))&lt;(Variables!$B$26*Variables!$E$50),$F$1*((Variables!$B$26*Variables!$E$50)-H245-SUM(J246:Q246)),0)</f>
        <v>0</v>
      </c>
      <c r="U246" s="64">
        <f ca="1">IF(AND(AND(B246="Autumn",SUM(D243:E246)&gt;Variables!$B$27),SUM(J246:Q246)&lt;Variables!$B$28*H245),$F$1*(Variables!$B$28*H245-SUM(J246:Q246)),0)</f>
        <v>0</v>
      </c>
      <c r="V246" s="96">
        <f ca="1">IF(AND((J246+K246)=0,(Q246+T246)=0),$H$1*H246*Variables!$I$23*0.25,0)</f>
        <v>0</v>
      </c>
      <c r="W246" s="97">
        <f ca="1">IF(AND((K246+J246)=0,(T246+Q246)=0),$I$1*H246*Variables!$Q$23*0.25,0)</f>
        <v>0</v>
      </c>
      <c r="X246" s="95">
        <f ca="1">IF(AND(NOT(K246=0),(H246-H245)&gt;0),(H246-H245)*(Variables!$M$5*$H$1+Variables!$U$5*$I$1),0)+IF(AND(NOT((J246+N246+Q246)=0),(H245-H246)&gt;0),(H245-H246)*(Variables!$M$4*$H$1+Variables!$U$4*$I$1),0)</f>
        <v>-132.15185443857803</v>
      </c>
      <c r="Y246" s="95">
        <f ca="1">IF(SUM(T246,U245:U246)&gt;0,H246*Variables!$Y$11*0.25*(1-$J$1),0)</f>
        <v>0</v>
      </c>
      <c r="Z246" s="95">
        <f ca="1">IF(T246=0,H246*$J$1*Variables!$Y$5*0.25,0)</f>
        <v>2.4241354780904403</v>
      </c>
      <c r="AA246" s="95">
        <f t="shared" ca="1" si="7"/>
        <v>-129.72771896048758</v>
      </c>
      <c r="AB246" s="91">
        <f ca="1">AA246/Variables!$E$49</f>
        <v>-20.923825638788319</v>
      </c>
    </row>
    <row r="247" spans="1:28" x14ac:dyDescent="0.25">
      <c r="A247" s="61">
        <f>'Water runs'!C254</f>
        <v>24531</v>
      </c>
      <c r="B247" s="61" t="str">
        <f>'Water runs'!B254</f>
        <v>Summer</v>
      </c>
      <c r="C247" s="54">
        <f>'Water runs'!D254/100</f>
        <v>0.78137500000000004</v>
      </c>
      <c r="D247" s="108">
        <f>VLOOKUP(ROW(D247)+4,'Water runs'!$BS$3:$CF$423,MATCH($B$1,Scenarios,0)+1)</f>
        <v>0</v>
      </c>
      <c r="E247" s="54">
        <f>IF(B247=Variables!$D$8,C247-Variables!$E$8,IF(B247=Variables!$D$9,C247-Variables!$E$9,IF(B247=Variables!$D$10,C247-Variables!$E$10,IF(B247=Variables!$D$11,C247-Variables!$E$11,"ELSE"))))</f>
        <v>-0.47699513605442168</v>
      </c>
      <c r="F247" s="108">
        <f>VLOOKUP(ROW(F247)+4,'Water runs'!$CH$3:$CU$423,MATCH($B$1,Scenarios,0)+1)</f>
        <v>0</v>
      </c>
      <c r="G247" s="65">
        <f ca="1">H247/Variables!$E$49</f>
        <v>0.34745771517365009</v>
      </c>
      <c r="H247" s="62">
        <f ca="1">IF((H246+I247)&gt;(1.1*Variables!$E$50),(1.1*Variables!$E$50),IF((H246+I247)&gt;0,H246+I247,0))</f>
        <v>2.1542378340766306</v>
      </c>
      <c r="I247" s="64">
        <f t="shared" ca="1" si="6"/>
        <v>0</v>
      </c>
      <c r="J247" s="63">
        <f>IF(SUM(E243:E246)&lt;Variables!$B$3,-H246,0)</f>
        <v>0</v>
      </c>
      <c r="K247" s="64">
        <f ca="1">IF(AND(H246&lt;Variables!$B$6*Variables!$E$50,OR(SUM(D244:D247)&gt;Variables!$B$5,SUM(E244:E247)&gt;Variables!$B$4)),Variables!$B$6*Variables!$E$50+Variables!$B$7*$G$1*Variables!$E$50*SUM(D244:D247),0)</f>
        <v>0</v>
      </c>
      <c r="L247" s="64">
        <f>IF(B247="Winter",Variables!$B$8*H246,0)</f>
        <v>0</v>
      </c>
      <c r="M247" s="64">
        <f ca="1">IF(AND(B247="Spring",AND(NOT(H246=0),H246&lt;(Variables!$B$9*Variables!$E$50))),(Variables!$B$10*Variables!$E$50+Variables!$B$11*Variables!$E$50*SUM(E244:E247)+$G$1*SUM(D246:D247)*Variables!$E$50*Variables!$B$12),0)</f>
        <v>0</v>
      </c>
      <c r="N247" s="64">
        <f>IF(AND(B247="Spring",AND(SUM(D244:D247)&gt;Variables!$B$13,SUM(D240:D243)&gt;Variables!$B$13)),-Variables!$B$14*Variables!$E$50,0)</f>
        <v>0</v>
      </c>
      <c r="O247" s="64">
        <f>IF(AND(B247="Summer",SUM(C243:D247)&gt;Variables!$B$15),(Variables!$B$16*Variables!$E$50*SUM(C243:C247)+$G$1*Variables!$B$16*Variables!$E$50*SUM(D243:D247)+$G$1*Variables!$E$50*Variables!$B$17*F247),0)</f>
        <v>0</v>
      </c>
      <c r="P247" s="64">
        <f ca="1">IF(AND(AND(B247="Autumn",SUM(D246:E247)&gt;0),NOT(H246=0)),Variables!$B$18*Variables!$E$50+Variables!$B$19*Variables!$E$50*SUM(E246:E247)+$G$1*Variables!$B$19*Variables!$E$50*SUM(D246:D247),0)</f>
        <v>0</v>
      </c>
      <c r="Q247" s="64">
        <f>IF(AND(B247="Autumn",AND((E247+E246)&lt;Variables!$B$20,(D246+D247)=0)),-Variables!$B$21*Variables!$E$50,0)</f>
        <v>0</v>
      </c>
      <c r="R247" s="64">
        <f>IF(B247="Autumn",(SUM(F246:F247)*$G$1*Variables!$B$22*Variables!$E$50),0)</f>
        <v>0</v>
      </c>
      <c r="S247" s="64">
        <f>IF(B247="Spring",($G$1*Variables!$E$50*SUM('Guts (MC)'!F246:F247)*Variables!$B$23),0)</f>
        <v>0</v>
      </c>
      <c r="T247" s="63">
        <f ca="1">IF((H246+SUM(J247:Q247))&lt;(Variables!$B$26*Variables!$E$50),$F$1*((Variables!$B$26*Variables!$E$50)-H246-SUM(J247:Q247)),0)</f>
        <v>0</v>
      </c>
      <c r="U247" s="64">
        <f ca="1">IF(AND(AND(B247="Autumn",SUM(D244:E247)&gt;Variables!$B$27),SUM(J247:Q247)&lt;Variables!$B$28*H246),$F$1*(Variables!$B$28*H246-SUM(J247:Q247)),0)</f>
        <v>0</v>
      </c>
      <c r="V247" s="96">
        <f ca="1">IF(AND((J247+K247)=0,(Q247+T247)=0),$H$1*H247*Variables!$I$23*0.25,0)</f>
        <v>26.257956849041783</v>
      </c>
      <c r="W247" s="97">
        <f ca="1">IF(AND((K247+J247)=0,(T247+Q247)=0),$I$1*H247*Variables!$Q$23*0.25,0)</f>
        <v>8.444898761818834</v>
      </c>
      <c r="X247" s="95">
        <f ca="1">IF(AND(NOT(K247=0),(H247-H246)&gt;0),(H247-H246)*(Variables!$M$5*$H$1+Variables!$U$5*$I$1),0)+IF(AND(NOT((J247+N247+Q247)=0),(H246-H247)&gt;0),(H246-H247)*(Variables!$M$4*$H$1+Variables!$U$4*$I$1),0)</f>
        <v>0</v>
      </c>
      <c r="Y247" s="95">
        <f ca="1">IF(SUM(T247,U246:U247)&gt;0,H247*Variables!$Y$11*0.25*(1-$J$1),0)</f>
        <v>0</v>
      </c>
      <c r="Z247" s="95">
        <f ca="1">IF(T247=0,H247*$J$1*Variables!$Y$5*0.25,0)</f>
        <v>2.4241354780904403</v>
      </c>
      <c r="AA247" s="95">
        <f t="shared" ca="1" si="7"/>
        <v>37.126991088951058</v>
      </c>
      <c r="AB247" s="91">
        <f ca="1">AA247/Variables!$E$49</f>
        <v>5.9882243691856543</v>
      </c>
    </row>
    <row r="248" spans="1:28" x14ac:dyDescent="0.25">
      <c r="A248" s="61">
        <f>'Water runs'!C255</f>
        <v>24623</v>
      </c>
      <c r="B248" s="61" t="str">
        <f>'Water runs'!B255</f>
        <v>Autumn</v>
      </c>
      <c r="C248" s="54">
        <f>'Water runs'!D255/100</f>
        <v>1.6096250000000001</v>
      </c>
      <c r="D248" s="108">
        <f>VLOOKUP(ROW(D248)+4,'Water runs'!$BS$3:$CF$423,MATCH($B$1,Scenarios,0)+1)</f>
        <v>4.1963911036508601E-5</v>
      </c>
      <c r="E248" s="54">
        <f>IF(B248=Variables!$D$8,C248-Variables!$E$8,IF(B248=Variables!$D$9,C248-Variables!$E$9,IF(B248=Variables!$D$10,C248-Variables!$E$10,IF(B248=Variables!$D$11,C248-Variables!$E$11,"ELSE"))))</f>
        <v>0.61498170068027225</v>
      </c>
      <c r="F248" s="108">
        <f>VLOOKUP(ROW(F248)+4,'Water runs'!$CH$3:$CU$423,MATCH($B$1,Scenarios,0)+1)</f>
        <v>0</v>
      </c>
      <c r="G248" s="65">
        <f ca="1">H248/Variables!$E$49</f>
        <v>0.45523112065070853</v>
      </c>
      <c r="H248" s="62">
        <f ca="1">IF((H247+I248)&gt;(1.1*Variables!$E$50),(1.1*Variables!$E$50),IF((H247+I248)&gt;0,H247+I248,0))</f>
        <v>2.8224329480343928</v>
      </c>
      <c r="I248" s="64">
        <f t="shared" ca="1" si="6"/>
        <v>0.66819511395776221</v>
      </c>
      <c r="J248" s="63">
        <f>IF(SUM(E244:E247)&lt;Variables!$B$3,-H247,0)</f>
        <v>0</v>
      </c>
      <c r="K248" s="64">
        <f ca="1">IF(AND(H247&lt;Variables!$B$6*Variables!$E$50,OR(SUM(D245:D248)&gt;Variables!$B$5,SUM(E245:E248)&gt;Variables!$B$4)),Variables!$B$6*Variables!$E$50+Variables!$B$7*$G$1*Variables!$E$50*SUM(D245:D248),0)</f>
        <v>0</v>
      </c>
      <c r="L248" s="64">
        <f>IF(B248="Winter",Variables!$B$8*H247,0)</f>
        <v>0</v>
      </c>
      <c r="M248" s="64">
        <f ca="1">IF(AND(B248="Spring",AND(NOT(H247=0),H247&lt;(Variables!$B$9*Variables!$E$50))),(Variables!$B$10*Variables!$E$50+Variables!$B$11*Variables!$E$50*SUM(E245:E248)+$G$1*SUM(D247:D248)*Variables!$E$50*Variables!$B$12),0)</f>
        <v>0</v>
      </c>
      <c r="N248" s="64">
        <f>IF(AND(B248="Spring",AND(SUM(D245:D248)&gt;Variables!$B$13,SUM(D241:D244)&gt;Variables!$B$13)),-Variables!$B$14*Variables!$E$50,0)</f>
        <v>0</v>
      </c>
      <c r="O248" s="64">
        <f>IF(AND(B248="Summer",SUM(C244:D248)&gt;Variables!$B$15),(Variables!$B$16*Variables!$E$50*SUM(C244:C248)+$G$1*Variables!$B$16*Variables!$E$50*SUM(D244:D248)+$G$1*Variables!$E$50*Variables!$B$17*F248),0)</f>
        <v>0</v>
      </c>
      <c r="P248" s="64">
        <f ca="1">IF(AND(AND(B248="Autumn",SUM(D247:E248)&gt;0),NOT(H247=0)),Variables!$B$18*Variables!$E$50+Variables!$B$19*Variables!$E$50*SUM(E247:E248)+$G$1*Variables!$B$19*Variables!$E$50*SUM(D247:D248),0)</f>
        <v>0.66819511395776221</v>
      </c>
      <c r="Q248" s="64">
        <f>IF(AND(B248="Autumn",AND((E248+E247)&lt;Variables!$B$20,(D247+D248)=0)),-Variables!$B$21*Variables!$E$50,0)</f>
        <v>0</v>
      </c>
      <c r="R248" s="64">
        <f ca="1">IF(B248="Autumn",(SUM(F247:F248)*$G$1*Variables!$B$22*Variables!$E$50),0)</f>
        <v>0</v>
      </c>
      <c r="S248" s="64">
        <f>IF(B248="Spring",($G$1*Variables!$E$50*SUM('Guts (MC)'!F247:F248)*Variables!$B$23),0)</f>
        <v>0</v>
      </c>
      <c r="T248" s="63">
        <f ca="1">IF((H247+SUM(J248:Q248))&lt;(Variables!$B$26*Variables!$E$50),$F$1*((Variables!$B$26*Variables!$E$50)-H247-SUM(J248:Q248)),0)</f>
        <v>0</v>
      </c>
      <c r="U248" s="64">
        <f ca="1">IF(AND(AND(B248="Autumn",SUM(D245:E248)&gt;Variables!$B$27),SUM(J248:Q248)&lt;Variables!$B$28*H247),$F$1*(Variables!$B$28*H247-SUM(J248:Q248)),0)</f>
        <v>0</v>
      </c>
      <c r="V248" s="96">
        <f ca="1">IF(AND((J248+K248)=0,(Q248+T248)=0),$H$1*H248*Variables!$I$23*0.25,0)</f>
        <v>34.402572170294818</v>
      </c>
      <c r="W248" s="97">
        <f ca="1">IF(AND((K248+J248)=0,(T248+Q248)=0),$I$1*H248*Variables!$Q$23*0.25,0)</f>
        <v>11.064312459440565</v>
      </c>
      <c r="X248" s="95">
        <f ca="1">IF(AND(NOT(K248=0),(H248-H247)&gt;0),(H248-H247)*(Variables!$M$5*$H$1+Variables!$U$5*$I$1),0)+IF(AND(NOT((J248+N248+Q248)=0),(H247-H248)&gt;0),(H247-H248)*(Variables!$M$4*$H$1+Variables!$U$4*$I$1),0)</f>
        <v>0</v>
      </c>
      <c r="Y248" s="95">
        <f ca="1">IF(SUM(T248,U247:U248)&gt;0,H248*Variables!$Y$11*0.25*(1-$J$1),0)</f>
        <v>0</v>
      </c>
      <c r="Z248" s="95">
        <f ca="1">IF(T248=0,H248*$J$1*Variables!$Y$5*0.25,0)</f>
        <v>3.1760466442621125</v>
      </c>
      <c r="AA248" s="95">
        <f t="shared" ca="1" si="7"/>
        <v>48.642931273997497</v>
      </c>
      <c r="AB248" s="91">
        <f ca="1">AA248/Variables!$E$49</f>
        <v>7.8456340764512094</v>
      </c>
    </row>
    <row r="249" spans="1:28" x14ac:dyDescent="0.25">
      <c r="A249" s="61">
        <f>'Water runs'!C256</f>
        <v>24715</v>
      </c>
      <c r="B249" s="61" t="str">
        <f>'Water runs'!B256</f>
        <v>Winter</v>
      </c>
      <c r="C249" s="54">
        <f>'Water runs'!D256/100</f>
        <v>0.27708928571428598</v>
      </c>
      <c r="D249" s="108">
        <f>VLOOKUP(ROW(D249)+4,'Water runs'!$BS$3:$CF$423,MATCH($B$1,Scenarios,0)+1)</f>
        <v>3.7362132716806939E-2</v>
      </c>
      <c r="E249" s="54">
        <f>IF(B249=Variables!$D$8,C249-Variables!$E$8,IF(B249=Variables!$D$9,C249-Variables!$E$9,IF(B249=Variables!$D$10,C249-Variables!$E$10,IF(B249=Variables!$D$11,C249-Variables!$E$11,"ELSE"))))</f>
        <v>-0.29467833994708975</v>
      </c>
      <c r="F249" s="108">
        <f>VLOOKUP(ROW(F249)+4,'Water runs'!$CH$3:$CU$423,MATCH($B$1,Scenarios,0)+1)</f>
        <v>0</v>
      </c>
      <c r="G249" s="65">
        <f ca="1">H249/Variables!$E$49</f>
        <v>0.22855094813885837</v>
      </c>
      <c r="H249" s="62">
        <f ca="1">IF((H248+I249)&gt;(1.1*Variables!$E$50),(1.1*Variables!$E$50),IF((H248+I249)&gt;0,H248+I249,0))</f>
        <v>1.4170158784609219</v>
      </c>
      <c r="I249" s="64">
        <f t="shared" ca="1" si="6"/>
        <v>-1.4054170695734709</v>
      </c>
      <c r="J249" s="63">
        <f>IF(SUM(E245:E248)&lt;Variables!$B$3,-H248,0)</f>
        <v>0</v>
      </c>
      <c r="K249" s="64">
        <f ca="1">IF(AND(H248&lt;Variables!$B$6*Variables!$E$50,OR(SUM(D246:D249)&gt;Variables!$B$5,SUM(E246:E249)&gt;Variables!$B$4)),Variables!$B$6*Variables!$E$50+Variables!$B$7*$G$1*Variables!$E$50*SUM(D246:D249),0)</f>
        <v>0</v>
      </c>
      <c r="L249" s="64">
        <f ca="1">IF(B249="Winter",Variables!$B$8*H248,0)</f>
        <v>-1.4054170695734709</v>
      </c>
      <c r="M249" s="64">
        <f ca="1">IF(AND(B249="Spring",AND(NOT(H248=0),H248&lt;(Variables!$B$9*Variables!$E$50))),(Variables!$B$10*Variables!$E$50+Variables!$B$11*Variables!$E$50*SUM(E246:E249)+$G$1*SUM(D248:D249)*Variables!$E$50*Variables!$B$12),0)</f>
        <v>0</v>
      </c>
      <c r="N249" s="64">
        <f>IF(AND(B249="Spring",AND(SUM(D246:D249)&gt;Variables!$B$13,SUM(D242:D245)&gt;Variables!$B$13)),-Variables!$B$14*Variables!$E$50,0)</f>
        <v>0</v>
      </c>
      <c r="O249" s="64">
        <f>IF(AND(B249="Summer",SUM(C245:D249)&gt;Variables!$B$15),(Variables!$B$16*Variables!$E$50*SUM(C245:C249)+$G$1*Variables!$B$16*Variables!$E$50*SUM(D245:D249)+$G$1*Variables!$E$50*Variables!$B$17*F249),0)</f>
        <v>0</v>
      </c>
      <c r="P249" s="64">
        <f ca="1">IF(AND(AND(B249="Autumn",SUM(D248:E249)&gt;0),NOT(H248=0)),Variables!$B$18*Variables!$E$50+Variables!$B$19*Variables!$E$50*SUM(E248:E249)+$G$1*Variables!$B$19*Variables!$E$50*SUM(D248:D249),0)</f>
        <v>0</v>
      </c>
      <c r="Q249" s="64">
        <f>IF(AND(B249="Autumn",AND((E249+E248)&lt;Variables!$B$20,(D248+D249)=0)),-Variables!$B$21*Variables!$E$50,0)</f>
        <v>0</v>
      </c>
      <c r="R249" s="64">
        <f>IF(B249="Autumn",(SUM(F248:F249)*$G$1*Variables!$B$22*Variables!$E$50),0)</f>
        <v>0</v>
      </c>
      <c r="S249" s="64">
        <f>IF(B249="Spring",($G$1*Variables!$E$50*SUM('Guts (MC)'!F248:F249)*Variables!$B$23),0)</f>
        <v>0</v>
      </c>
      <c r="T249" s="63">
        <f ca="1">IF((H248+SUM(J249:Q249))&lt;(Variables!$B$26*Variables!$E$50),$F$1*((Variables!$B$26*Variables!$E$50)-H248-SUM(J249:Q249)),0)</f>
        <v>0</v>
      </c>
      <c r="U249" s="64">
        <f ca="1">IF(AND(AND(B249="Autumn",SUM(D246:E249)&gt;Variables!$B$27),SUM(J249:Q249)&lt;Variables!$B$28*H248),$F$1*(Variables!$B$28*H248-SUM(J249:Q249)),0)</f>
        <v>0</v>
      </c>
      <c r="V249" s="96">
        <f ca="1">IF(AND((J249+K249)=0,(Q249+T249)=0),$H$1*H249*Variables!$I$23*0.25,0)</f>
        <v>17.271974896394081</v>
      </c>
      <c r="W249" s="97">
        <f ca="1">IF(AND((K249+J249)=0,(T249+Q249)=0),$I$1*H249*Variables!$Q$23*0.25,0)</f>
        <v>5.5548906662952016</v>
      </c>
      <c r="X249" s="95">
        <f ca="1">IF(AND(NOT(K249=0),(H249-H248)&gt;0),(H249-H248)*(Variables!$M$5*$H$1+Variables!$U$5*$I$1),0)+IF(AND(NOT((J249+N249+Q249)=0),(H248-H249)&gt;0),(H248-H249)*(Variables!$M$4*$H$1+Variables!$U$4*$I$1),0)</f>
        <v>0</v>
      </c>
      <c r="Y249" s="95">
        <f ca="1">IF(SUM(T249,U248:U249)&gt;0,H249*Variables!$Y$11*0.25*(1-$J$1),0)</f>
        <v>0</v>
      </c>
      <c r="Z249" s="95">
        <f ca="1">IF(T249=0,H249*$J$1*Variables!$Y$5*0.25,0)</f>
        <v>1.5945493156130415</v>
      </c>
      <c r="AA249" s="95">
        <f t="shared" ca="1" si="7"/>
        <v>24.421414878302322</v>
      </c>
      <c r="AB249" s="91">
        <f ca="1">AA249/Variables!$E$49</f>
        <v>3.9389378835971485</v>
      </c>
    </row>
    <row r="250" spans="1:28" x14ac:dyDescent="0.25">
      <c r="A250" s="61">
        <f>'Water runs'!C257</f>
        <v>24806</v>
      </c>
      <c r="B250" s="61" t="str">
        <f>'Water runs'!B257</f>
        <v>Spring</v>
      </c>
      <c r="C250" s="54">
        <f>'Water runs'!D257/100</f>
        <v>0</v>
      </c>
      <c r="D250" s="108">
        <f>VLOOKUP(ROW(D250)+4,'Water runs'!$BS$3:$CF$423,MATCH($B$1,Scenarios,0)+1)</f>
        <v>0</v>
      </c>
      <c r="E250" s="54">
        <f>IF(B250=Variables!$D$8,C250-Variables!$E$8,IF(B250=Variables!$D$9,C250-Variables!$E$9,IF(B250=Variables!$D$10,C250-Variables!$E$10,IF(B250=Variables!$D$11,C250-Variables!$E$11,"ELSE"))))</f>
        <v>-0.76398220899470914</v>
      </c>
      <c r="F250" s="108">
        <f>VLOOKUP(ROW(F250)+4,'Water runs'!$CH$3:$CU$423,MATCH($B$1,Scenarios,0)+1)</f>
        <v>0</v>
      </c>
      <c r="G250" s="65">
        <f ca="1">H250/Variables!$E$49</f>
        <v>0.161</v>
      </c>
      <c r="H250" s="62">
        <f ca="1">IF((H249+I250)&gt;(1.1*Variables!$E$50),(1.1*Variables!$E$50),IF((H249+I250)&gt;0,H249+I250,0))</f>
        <v>0.99820000000000009</v>
      </c>
      <c r="I250" s="64">
        <f t="shared" ca="1" si="6"/>
        <v>-0.41881587846092183</v>
      </c>
      <c r="J250" s="63">
        <f>IF(SUM(E246:E249)&lt;Variables!$B$3,-H249,0)</f>
        <v>0</v>
      </c>
      <c r="K250" s="64">
        <f ca="1">IF(AND(H249&lt;Variables!$B$6*Variables!$E$50,OR(SUM(D247:D250)&gt;Variables!$B$5,SUM(E247:E250)&gt;Variables!$B$4)),Variables!$B$6*Variables!$E$50+Variables!$B$7*$G$1*Variables!$E$50*SUM(D247:D250),0)</f>
        <v>0</v>
      </c>
      <c r="L250" s="64">
        <f>IF(B250="Winter",Variables!$B$8*H249,0)</f>
        <v>0</v>
      </c>
      <c r="M250" s="64">
        <f ca="1">IF(AND(B250="Spring",AND(NOT(H249=0),H249&lt;(Variables!$B$9*Variables!$E$50))),(Variables!$B$10*Variables!$E$50+Variables!$B$11*Variables!$E$50*SUM(E247:E250)+$G$1*SUM(D249:D250)*Variables!$E$50*Variables!$B$12),0)</f>
        <v>-0.61217351793187214</v>
      </c>
      <c r="N250" s="64">
        <f>IF(AND(B250="Spring",AND(SUM(D247:D250)&gt;Variables!$B$13,SUM(D243:D246)&gt;Variables!$B$13)),-Variables!$B$14*Variables!$E$50,0)</f>
        <v>0</v>
      </c>
      <c r="O250" s="64">
        <f>IF(AND(B250="Summer",SUM(C246:D250)&gt;Variables!$B$15),(Variables!$B$16*Variables!$E$50*SUM(C246:C250)+$G$1*Variables!$B$16*Variables!$E$50*SUM(D246:D250)+$G$1*Variables!$E$50*Variables!$B$17*F250),0)</f>
        <v>0</v>
      </c>
      <c r="P250" s="64">
        <f ca="1">IF(AND(AND(B250="Autumn",SUM(D249:E250)&gt;0),NOT(H249=0)),Variables!$B$18*Variables!$E$50+Variables!$B$19*Variables!$E$50*SUM(E249:E250)+$G$1*Variables!$B$19*Variables!$E$50*SUM(D249:D250),0)</f>
        <v>0</v>
      </c>
      <c r="Q250" s="64">
        <f>IF(AND(B250="Autumn",AND((E250+E249)&lt;Variables!$B$20,(D249+D250)=0)),-Variables!$B$21*Variables!$E$50,0)</f>
        <v>0</v>
      </c>
      <c r="R250" s="64">
        <f>IF(B250="Autumn",(SUM(F249:F250)*$G$1*Variables!$B$22*Variables!$E$50),0)</f>
        <v>0</v>
      </c>
      <c r="S250" s="64">
        <f ca="1">IF(B250="Spring",($G$1*Variables!$E$50*SUM('Guts (MC)'!F249:F250)*Variables!$B$23),0)</f>
        <v>0</v>
      </c>
      <c r="T250" s="63">
        <f ca="1">IF((H249+SUM(J250:Q250))&lt;(Variables!$B$26*Variables!$E$50),$F$1*((Variables!$B$26*Variables!$E$50)-H249-SUM(J250:Q250)),0)</f>
        <v>0.1933576394709503</v>
      </c>
      <c r="U250" s="64">
        <f ca="1">IF(AND(AND(B250="Autumn",SUM(D247:E250)&gt;Variables!$B$27),SUM(J250:Q250)&lt;Variables!$B$28*H249),$F$1*(Variables!$B$28*H249-SUM(J250:Q250)),0)</f>
        <v>0</v>
      </c>
      <c r="V250" s="96">
        <f ca="1">IF(AND((J250+K250)=0,(Q250+T250)=0),$H$1*H250*Variables!$I$23*0.25,0)</f>
        <v>0</v>
      </c>
      <c r="W250" s="97">
        <f ca="1">IF(AND((K250+J250)=0,(T250+Q250)=0),$I$1*H250*Variables!$Q$23*0.25,0)</f>
        <v>0</v>
      </c>
      <c r="X250" s="95">
        <f ca="1">IF(AND(NOT(K250=0),(H250-H249)&gt;0),(H250-H249)*(Variables!$M$5*$H$1+Variables!$U$5*$I$1),0)+IF(AND(NOT((J250+N250+Q250)=0),(H249-H250)&gt;0),(H249-H250)*(Variables!$M$4*$H$1+Variables!$U$4*$I$1),0)</f>
        <v>0</v>
      </c>
      <c r="Y250" s="95">
        <f ca="1">IF(SUM(T250,U249:U250)&gt;0,H250*Variables!$Y$11*0.25*(1-$J$1),0)</f>
        <v>-8.6666009437672749</v>
      </c>
      <c r="Z250" s="95">
        <f ca="1">IF(T250=0,H250*$J$1*Variables!$Y$5*0.25,0)</f>
        <v>0</v>
      </c>
      <c r="AA250" s="95">
        <f t="shared" ca="1" si="7"/>
        <v>-8.6666009437672749</v>
      </c>
      <c r="AB250" s="91">
        <f ca="1">AA250/Variables!$E$49</f>
        <v>-1.3978388618979476</v>
      </c>
    </row>
    <row r="251" spans="1:28" x14ac:dyDescent="0.25">
      <c r="A251" s="61">
        <f>'Water runs'!C258</f>
        <v>24896</v>
      </c>
      <c r="B251" s="61" t="str">
        <f>'Water runs'!B258</f>
        <v>Summer</v>
      </c>
      <c r="C251" s="54">
        <f>'Water runs'!D258/100</f>
        <v>1.78525</v>
      </c>
      <c r="D251" s="108">
        <f>VLOOKUP(ROW(D251)+4,'Water runs'!$BS$3:$CF$423,MATCH($B$1,Scenarios,0)+1)</f>
        <v>3.4816586037894205E-2</v>
      </c>
      <c r="E251" s="54">
        <f>IF(B251=Variables!$D$8,C251-Variables!$E$8,IF(B251=Variables!$D$9,C251-Variables!$E$9,IF(B251=Variables!$D$10,C251-Variables!$E$10,IF(B251=Variables!$D$11,C251-Variables!$E$11,"ELSE"))))</f>
        <v>0.52687986394557829</v>
      </c>
      <c r="F251" s="108">
        <f>VLOOKUP(ROW(F251)+4,'Water runs'!$CH$3:$CU$423,MATCH($B$1,Scenarios,0)+1)</f>
        <v>0</v>
      </c>
      <c r="G251" s="65">
        <f ca="1">H251/Variables!$E$49</f>
        <v>0.34566040479838983</v>
      </c>
      <c r="H251" s="62">
        <f ca="1">IF((H250+I251)&gt;(1.1*Variables!$E$50),(1.1*Variables!$E$50),IF((H250+I251)&gt;0,H250+I251,0))</f>
        <v>2.1430945097500169</v>
      </c>
      <c r="I251" s="64">
        <f t="shared" ca="1" si="6"/>
        <v>1.1448945097500169</v>
      </c>
      <c r="J251" s="63">
        <f>IF(SUM(E247:E250)&lt;Variables!$B$3,-H250,0)</f>
        <v>0</v>
      </c>
      <c r="K251" s="64">
        <f ca="1">IF(AND(H250&lt;Variables!$B$6*Variables!$E$50,OR(SUM(D248:D251)&gt;Variables!$B$5,SUM(E248:E251)&gt;Variables!$B$4)),Variables!$B$6*Variables!$E$50+Variables!$B$7*$G$1*Variables!$E$50*SUM(D248:D251),0)</f>
        <v>1.1448945097500169</v>
      </c>
      <c r="L251" s="64">
        <f>IF(B251="Winter",Variables!$B$8*H250,0)</f>
        <v>0</v>
      </c>
      <c r="M251" s="64">
        <f ca="1">IF(AND(B251="Spring",AND(NOT(H250=0),H250&lt;(Variables!$B$9*Variables!$E$50))),(Variables!$B$10*Variables!$E$50+Variables!$B$11*Variables!$E$50*SUM(E248:E251)+$G$1*SUM(D250:D251)*Variables!$E$50*Variables!$B$12),0)</f>
        <v>0</v>
      </c>
      <c r="N251" s="64">
        <f>IF(AND(B251="Spring",AND(SUM(D248:D251)&gt;Variables!$B$13,SUM(D244:D247)&gt;Variables!$B$13)),-Variables!$B$14*Variables!$E$50,0)</f>
        <v>0</v>
      </c>
      <c r="O251" s="64">
        <f>IF(AND(B251="Summer",SUM(C247:D251)&gt;Variables!$B$15),(Variables!$B$16*Variables!$E$50*SUM(C247:C251)+$G$1*Variables!$B$16*Variables!$E$50*SUM(D247:D251)+$G$1*Variables!$E$50*Variables!$B$17*F251),0)</f>
        <v>0</v>
      </c>
      <c r="P251" s="64">
        <f ca="1">IF(AND(AND(B251="Autumn",SUM(D250:E251)&gt;0),NOT(H250=0)),Variables!$B$18*Variables!$E$50+Variables!$B$19*Variables!$E$50*SUM(E250:E251)+$G$1*Variables!$B$19*Variables!$E$50*SUM(D250:D251),0)</f>
        <v>0</v>
      </c>
      <c r="Q251" s="64">
        <f>IF(AND(B251="Autumn",AND((E251+E250)&lt;Variables!$B$20,(D250+D251)=0)),-Variables!$B$21*Variables!$E$50,0)</f>
        <v>0</v>
      </c>
      <c r="R251" s="64">
        <f>IF(B251="Autumn",(SUM(F250:F251)*$G$1*Variables!$B$22*Variables!$E$50),0)</f>
        <v>0</v>
      </c>
      <c r="S251" s="64">
        <f>IF(B251="Spring",($G$1*Variables!$E$50*SUM('Guts (MC)'!F250:F251)*Variables!$B$23),0)</f>
        <v>0</v>
      </c>
      <c r="T251" s="63">
        <f ca="1">IF((H250+SUM(J251:Q251))&lt;(Variables!$B$26*Variables!$E$50),$F$1*((Variables!$B$26*Variables!$E$50)-H250-SUM(J251:Q251)),0)</f>
        <v>0</v>
      </c>
      <c r="U251" s="64">
        <f ca="1">IF(AND(AND(B251="Autumn",SUM(D248:E251)&gt;Variables!$B$27),SUM(J251:Q251)&lt;Variables!$B$28*H250),$F$1*(Variables!$B$28*H250-SUM(J251:Q251)),0)</f>
        <v>0</v>
      </c>
      <c r="V251" s="96">
        <f ca="1">IF(AND((J251+K251)=0,(Q251+T251)=0),$H$1*H251*Variables!$I$23*0.25,0)</f>
        <v>0</v>
      </c>
      <c r="W251" s="97">
        <f ca="1">IF(AND((K251+J251)=0,(T251+Q251)=0),$I$1*H251*Variables!$Q$23*0.25,0)</f>
        <v>0</v>
      </c>
      <c r="X251" s="95">
        <f ca="1">IF(AND(NOT(K251=0),(H251-H250)&gt;0),(H251-H250)*(Variables!$M$5*$H$1+Variables!$U$5*$I$1),0)+IF(AND(NOT((J251+N251+Q251)=0),(H250-H251)&gt;0),(H250-H251)*(Variables!$M$4*$H$1+Variables!$U$4*$I$1),0)</f>
        <v>-130.87801120355212</v>
      </c>
      <c r="Y251" s="95">
        <f ca="1">IF(SUM(T251,U250:U251)&gt;0,H251*Variables!$Y$11*0.25*(1-$J$1),0)</f>
        <v>0</v>
      </c>
      <c r="Z251" s="95">
        <f ca="1">IF(T251=0,H251*$J$1*Variables!$Y$5*0.25,0)</f>
        <v>2.4115960419071598</v>
      </c>
      <c r="AA251" s="95">
        <f t="shared" ca="1" si="7"/>
        <v>-128.46641516164496</v>
      </c>
      <c r="AB251" s="91">
        <f ca="1">AA251/Variables!$E$49</f>
        <v>-20.720389542200799</v>
      </c>
    </row>
    <row r="252" spans="1:28" x14ac:dyDescent="0.25">
      <c r="A252" s="61">
        <f>'Water runs'!C259</f>
        <v>24989</v>
      </c>
      <c r="B252" s="61" t="str">
        <f>'Water runs'!B259</f>
        <v>Autumn</v>
      </c>
      <c r="C252" s="54">
        <f>'Water runs'!D259/100</f>
        <v>1.14825</v>
      </c>
      <c r="D252" s="108">
        <f>VLOOKUP(ROW(D252)+4,'Water runs'!$BS$3:$CF$423,MATCH($B$1,Scenarios,0)+1)</f>
        <v>0</v>
      </c>
      <c r="E252" s="54">
        <f>IF(B252=Variables!$D$8,C252-Variables!$E$8,IF(B252=Variables!$D$9,C252-Variables!$E$9,IF(B252=Variables!$D$10,C252-Variables!$E$10,IF(B252=Variables!$D$11,C252-Variables!$E$11,"ELSE"))))</f>
        <v>0.15360670068027216</v>
      </c>
      <c r="F252" s="108">
        <f>VLOOKUP(ROW(F252)+4,'Water runs'!$CH$3:$CU$423,MATCH($B$1,Scenarios,0)+1)</f>
        <v>0</v>
      </c>
      <c r="G252" s="65">
        <f ca="1">H252/Variables!$E$49</f>
        <v>0.65452962794014968</v>
      </c>
      <c r="H252" s="62">
        <f ca="1">IF((H251+I252)&gt;(1.1*Variables!$E$50),(1.1*Variables!$E$50),IF((H251+I252)&gt;0,H251+I252,0))</f>
        <v>4.0580836932289284</v>
      </c>
      <c r="I252" s="64">
        <f t="shared" ca="1" si="6"/>
        <v>1.9149891834789114</v>
      </c>
      <c r="J252" s="63">
        <f>IF(SUM(E248:E251)&lt;Variables!$B$3,-H251,0)</f>
        <v>0</v>
      </c>
      <c r="K252" s="64">
        <f ca="1">IF(AND(H251&lt;Variables!$B$6*Variables!$E$50,OR(SUM(D249:D252)&gt;Variables!$B$5,SUM(E249:E252)&gt;Variables!$B$4)),Variables!$B$6*Variables!$E$50+Variables!$B$7*$G$1*Variables!$E$50*SUM(D249:D252),0)</f>
        <v>0</v>
      </c>
      <c r="L252" s="64">
        <f>IF(B252="Winter",Variables!$B$8*H251,0)</f>
        <v>0</v>
      </c>
      <c r="M252" s="64">
        <f ca="1">IF(AND(B252="Spring",AND(NOT(H251=0),H251&lt;(Variables!$B$9*Variables!$E$50))),(Variables!$B$10*Variables!$E$50+Variables!$B$11*Variables!$E$50*SUM(E249:E252)+$G$1*SUM(D251:D252)*Variables!$E$50*Variables!$B$12),0)</f>
        <v>0</v>
      </c>
      <c r="N252" s="64">
        <f>IF(AND(B252="Spring",AND(SUM(D249:D252)&gt;Variables!$B$13,SUM(D245:D248)&gt;Variables!$B$13)),-Variables!$B$14*Variables!$E$50,0)</f>
        <v>0</v>
      </c>
      <c r="O252" s="64">
        <f>IF(AND(B252="Summer",SUM(C248:D252)&gt;Variables!$B$15),(Variables!$B$16*Variables!$E$50*SUM(C248:C252)+$G$1*Variables!$B$16*Variables!$E$50*SUM(D248:D252)+$G$1*Variables!$E$50*Variables!$B$17*F252),0)</f>
        <v>0</v>
      </c>
      <c r="P252" s="64">
        <f ca="1">IF(AND(AND(B252="Autumn",SUM(D251:E252)&gt;0),NOT(H251=0)),Variables!$B$18*Variables!$E$50+Variables!$B$19*Variables!$E$50*SUM(E251:E252)+$G$1*Variables!$B$19*Variables!$E$50*SUM(D251:D252),0)</f>
        <v>1.9149891834789114</v>
      </c>
      <c r="Q252" s="64">
        <f>IF(AND(B252="Autumn",AND((E252+E251)&lt;Variables!$B$20,(D251+D252)=0)),-Variables!$B$21*Variables!$E$50,0)</f>
        <v>0</v>
      </c>
      <c r="R252" s="64">
        <f ca="1">IF(B252="Autumn",(SUM(F251:F252)*$G$1*Variables!$B$22*Variables!$E$50),0)</f>
        <v>0</v>
      </c>
      <c r="S252" s="64">
        <f>IF(B252="Spring",($G$1*Variables!$E$50*SUM('Guts (MC)'!F251:F252)*Variables!$B$23),0)</f>
        <v>0</v>
      </c>
      <c r="T252" s="63">
        <f ca="1">IF((H251+SUM(J252:Q252))&lt;(Variables!$B$26*Variables!$E$50),$F$1*((Variables!$B$26*Variables!$E$50)-H251-SUM(J252:Q252)),0)</f>
        <v>0</v>
      </c>
      <c r="U252" s="64">
        <f ca="1">IF(AND(AND(B252="Autumn",SUM(D249:E252)&gt;Variables!$B$27),SUM(J252:Q252)&lt;Variables!$B$28*H251),$F$1*(Variables!$B$28*H251-SUM(J252:Q252)),0)</f>
        <v>0</v>
      </c>
      <c r="V252" s="96">
        <f ca="1">IF(AND((J252+K252)=0,(Q252+T252)=0),$H$1*H252*Variables!$I$23*0.25,0)</f>
        <v>49.463891507726096</v>
      </c>
      <c r="W252" s="97">
        <f ca="1">IF(AND((K252+J252)=0,(T252+Q252)=0),$I$1*H252*Variables!$Q$23*0.25,0)</f>
        <v>15.908227686937522</v>
      </c>
      <c r="X252" s="95">
        <f ca="1">IF(AND(NOT(K252=0),(H252-H251)&gt;0),(H252-H251)*(Variables!$M$5*$H$1+Variables!$U$5*$I$1),0)+IF(AND(NOT((J252+N252+Q252)=0),(H251-H252)&gt;0),(H251-H252)*(Variables!$M$4*$H$1+Variables!$U$4*$I$1),0)</f>
        <v>0</v>
      </c>
      <c r="Y252" s="95">
        <f ca="1">IF(SUM(T252,U251:U252)&gt;0,H252*Variables!$Y$11*0.25*(1-$J$1),0)</f>
        <v>0</v>
      </c>
      <c r="Z252" s="95">
        <f ca="1">IF(T252=0,H252*$J$1*Variables!$Y$5*0.25,0)</f>
        <v>4.5665081627503321</v>
      </c>
      <c r="AA252" s="95">
        <f t="shared" ca="1" si="7"/>
        <v>69.938627357413949</v>
      </c>
      <c r="AB252" s="91">
        <f ca="1">AA252/Variables!$E$49</f>
        <v>11.28042376732483</v>
      </c>
    </row>
    <row r="253" spans="1:28" x14ac:dyDescent="0.25">
      <c r="A253" s="61">
        <f>'Water runs'!C260</f>
        <v>25081</v>
      </c>
      <c r="B253" s="61" t="str">
        <f>'Water runs'!B260</f>
        <v>Winter</v>
      </c>
      <c r="C253" s="54">
        <f>'Water runs'!D260/100</f>
        <v>0.20874999999999999</v>
      </c>
      <c r="D253" s="108">
        <f>VLOOKUP(ROW(D253)+4,'Water runs'!$BS$3:$CF$423,MATCH($B$1,Scenarios,0)+1)</f>
        <v>0</v>
      </c>
      <c r="E253" s="54">
        <f>IF(B253=Variables!$D$8,C253-Variables!$E$8,IF(B253=Variables!$D$9,C253-Variables!$E$9,IF(B253=Variables!$D$10,C253-Variables!$E$10,IF(B253=Variables!$D$11,C253-Variables!$E$11,"ELSE"))))</f>
        <v>-0.36301762566137574</v>
      </c>
      <c r="F253" s="108">
        <f>VLOOKUP(ROW(F253)+4,'Water runs'!$CH$3:$CU$423,MATCH($B$1,Scenarios,0)+1)</f>
        <v>0</v>
      </c>
      <c r="G253" s="65">
        <f ca="1">H253/Variables!$E$49</f>
        <v>0.32860971112182813</v>
      </c>
      <c r="H253" s="62">
        <f ca="1">IF((H252+I253)&gt;(1.1*Variables!$E$50),(1.1*Variables!$E$50),IF((H252+I253)&gt;0,H252+I253,0))</f>
        <v>2.0373802089553346</v>
      </c>
      <c r="I253" s="64">
        <f t="shared" ref="I253:I316" ca="1" si="8">SUM(J253:U253)</f>
        <v>-2.0207034842735938</v>
      </c>
      <c r="J253" s="63">
        <f>IF(SUM(E249:E252)&lt;Variables!$B$3,-H252,0)</f>
        <v>0</v>
      </c>
      <c r="K253" s="64">
        <f ca="1">IF(AND(H252&lt;Variables!$B$6*Variables!$E$50,OR(SUM(D250:D253)&gt;Variables!$B$5,SUM(E250:E253)&gt;Variables!$B$4)),Variables!$B$6*Variables!$E$50+Variables!$B$7*$G$1*Variables!$E$50*SUM(D250:D253),0)</f>
        <v>0</v>
      </c>
      <c r="L253" s="64">
        <f ca="1">IF(B253="Winter",Variables!$B$8*H252,0)</f>
        <v>-2.0207034842735938</v>
      </c>
      <c r="M253" s="64">
        <f ca="1">IF(AND(B253="Spring",AND(NOT(H252=0),H252&lt;(Variables!$B$9*Variables!$E$50))),(Variables!$B$10*Variables!$E$50+Variables!$B$11*Variables!$E$50*SUM(E250:E253)+$G$1*SUM(D252:D253)*Variables!$E$50*Variables!$B$12),0)</f>
        <v>0</v>
      </c>
      <c r="N253" s="64">
        <f>IF(AND(B253="Spring",AND(SUM(D250:D253)&gt;Variables!$B$13,SUM(D246:D249)&gt;Variables!$B$13)),-Variables!$B$14*Variables!$E$50,0)</f>
        <v>0</v>
      </c>
      <c r="O253" s="64">
        <f>IF(AND(B253="Summer",SUM(C249:D253)&gt;Variables!$B$15),(Variables!$B$16*Variables!$E$50*SUM(C249:C253)+$G$1*Variables!$B$16*Variables!$E$50*SUM(D249:D253)+$G$1*Variables!$E$50*Variables!$B$17*F253),0)</f>
        <v>0</v>
      </c>
      <c r="P253" s="64">
        <f ca="1">IF(AND(AND(B253="Autumn",SUM(D252:E253)&gt;0),NOT(H252=0)),Variables!$B$18*Variables!$E$50+Variables!$B$19*Variables!$E$50*SUM(E252:E253)+$G$1*Variables!$B$19*Variables!$E$50*SUM(D252:D253),0)</f>
        <v>0</v>
      </c>
      <c r="Q253" s="64">
        <f>IF(AND(B253="Autumn",AND((E253+E252)&lt;Variables!$B$20,(D252+D253)=0)),-Variables!$B$21*Variables!$E$50,0)</f>
        <v>0</v>
      </c>
      <c r="R253" s="64">
        <f>IF(B253="Autumn",(SUM(F252:F253)*$G$1*Variables!$B$22*Variables!$E$50),0)</f>
        <v>0</v>
      </c>
      <c r="S253" s="64">
        <f>IF(B253="Spring",($G$1*Variables!$E$50*SUM('Guts (MC)'!F252:F253)*Variables!$B$23),0)</f>
        <v>0</v>
      </c>
      <c r="T253" s="63">
        <f ca="1">IF((H252+SUM(J253:Q253))&lt;(Variables!$B$26*Variables!$E$50),$F$1*((Variables!$B$26*Variables!$E$50)-H252-SUM(J253:Q253)),0)</f>
        <v>0</v>
      </c>
      <c r="U253" s="64">
        <f ca="1">IF(AND(AND(B253="Autumn",SUM(D250:E253)&gt;Variables!$B$27),SUM(J253:Q253)&lt;Variables!$B$28*H252),$F$1*(Variables!$B$28*H252-SUM(J253:Q253)),0)</f>
        <v>0</v>
      </c>
      <c r="V253" s="96">
        <f ca="1">IF(AND((J253+K253)=0,(Q253+T253)=0),$H$1*H253*Variables!$I$23*0.25,0)</f>
        <v>24.83358186621556</v>
      </c>
      <c r="W253" s="97">
        <f ca="1">IF(AND((K253+J253)=0,(T253+Q253)=0),$I$1*H253*Variables!$Q$23*0.25,0)</f>
        <v>7.98680133260953</v>
      </c>
      <c r="X253" s="95">
        <f ca="1">IF(AND(NOT(K253=0),(H253-H252)&gt;0),(H253-H252)*(Variables!$M$5*$H$1+Variables!$U$5*$I$1),0)+IF(AND(NOT((J253+N253+Q253)=0),(H252-H253)&gt;0),(H252-H253)*(Variables!$M$4*$H$1+Variables!$U$4*$I$1),0)</f>
        <v>0</v>
      </c>
      <c r="Y253" s="95">
        <f ca="1">IF(SUM(T253,U252:U253)&gt;0,H253*Variables!$Y$11*0.25*(1-$J$1),0)</f>
        <v>0</v>
      </c>
      <c r="Z253" s="95">
        <f ca="1">IF(T253=0,H253*$J$1*Variables!$Y$5*0.25,0)</f>
        <v>2.2926371307580773</v>
      </c>
      <c r="AA253" s="95">
        <f t="shared" ca="1" si="7"/>
        <v>35.113020329583165</v>
      </c>
      <c r="AB253" s="91">
        <f ca="1">AA253/Variables!$E$49</f>
        <v>5.6633903757392199</v>
      </c>
    </row>
    <row r="254" spans="1:28" x14ac:dyDescent="0.25">
      <c r="A254" s="61">
        <f>'Water runs'!C261</f>
        <v>25172</v>
      </c>
      <c r="B254" s="61" t="str">
        <f>'Water runs'!B261</f>
        <v>Spring</v>
      </c>
      <c r="C254" s="54">
        <f>'Water runs'!D261/100</f>
        <v>0.14199999999999999</v>
      </c>
      <c r="D254" s="108">
        <f>VLOOKUP(ROW(D254)+4,'Water runs'!$BS$3:$CF$423,MATCH($B$1,Scenarios,0)+1)</f>
        <v>0</v>
      </c>
      <c r="E254" s="54">
        <f>IF(B254=Variables!$D$8,C254-Variables!$E$8,IF(B254=Variables!$D$9,C254-Variables!$E$9,IF(B254=Variables!$D$10,C254-Variables!$E$10,IF(B254=Variables!$D$11,C254-Variables!$E$11,"ELSE"))))</f>
        <v>-0.62198220899470913</v>
      </c>
      <c r="F254" s="108">
        <f>VLOOKUP(ROW(F254)+4,'Water runs'!$CH$3:$CU$423,MATCH($B$1,Scenarios,0)+1)</f>
        <v>0</v>
      </c>
      <c r="G254" s="65">
        <f ca="1">H254/Variables!$E$49</f>
        <v>0.29515933674949779</v>
      </c>
      <c r="H254" s="62">
        <f ca="1">IF((H253+I254)&gt;(1.1*Variables!$E$50),(1.1*Variables!$E$50),IF((H253+I254)&gt;0,H253+I254,0))</f>
        <v>1.8299878878468865</v>
      </c>
      <c r="I254" s="64">
        <f t="shared" ca="1" si="8"/>
        <v>-0.20739232110844805</v>
      </c>
      <c r="J254" s="63">
        <f>IF(SUM(E250:E253)&lt;Variables!$B$3,-H253,0)</f>
        <v>0</v>
      </c>
      <c r="K254" s="64">
        <f ca="1">IF(AND(H253&lt;Variables!$B$6*Variables!$E$50,OR(SUM(D251:D254)&gt;Variables!$B$5,SUM(E251:E254)&gt;Variables!$B$4)),Variables!$B$6*Variables!$E$50+Variables!$B$7*$G$1*Variables!$E$50*SUM(D251:D254),0)</f>
        <v>0</v>
      </c>
      <c r="L254" s="64">
        <f>IF(B254="Winter",Variables!$B$8*H253,0)</f>
        <v>0</v>
      </c>
      <c r="M254" s="64">
        <f ca="1">IF(AND(B254="Spring",AND(NOT(H253=0),H253&lt;(Variables!$B$9*Variables!$E$50))),(Variables!$B$10*Variables!$E$50+Variables!$B$11*Variables!$E$50*SUM(E251:E254)+$G$1*SUM(D253:D254)*Variables!$E$50*Variables!$B$12),0)</f>
        <v>-0.20739232110844805</v>
      </c>
      <c r="N254" s="64">
        <f>IF(AND(B254="Spring",AND(SUM(D251:D254)&gt;Variables!$B$13,SUM(D247:D250)&gt;Variables!$B$13)),-Variables!$B$14*Variables!$E$50,0)</f>
        <v>0</v>
      </c>
      <c r="O254" s="64">
        <f>IF(AND(B254="Summer",SUM(C250:D254)&gt;Variables!$B$15),(Variables!$B$16*Variables!$E$50*SUM(C250:C254)+$G$1*Variables!$B$16*Variables!$E$50*SUM(D250:D254)+$G$1*Variables!$E$50*Variables!$B$17*F254),0)</f>
        <v>0</v>
      </c>
      <c r="P254" s="64">
        <f ca="1">IF(AND(AND(B254="Autumn",SUM(D253:E254)&gt;0),NOT(H253=0)),Variables!$B$18*Variables!$E$50+Variables!$B$19*Variables!$E$50*SUM(E253:E254)+$G$1*Variables!$B$19*Variables!$E$50*SUM(D253:D254),0)</f>
        <v>0</v>
      </c>
      <c r="Q254" s="64">
        <f>IF(AND(B254="Autumn",AND((E254+E253)&lt;Variables!$B$20,(D253+D254)=0)),-Variables!$B$21*Variables!$E$50,0)</f>
        <v>0</v>
      </c>
      <c r="R254" s="64">
        <f>IF(B254="Autumn",(SUM(F253:F254)*$G$1*Variables!$B$22*Variables!$E$50),0)</f>
        <v>0</v>
      </c>
      <c r="S254" s="64">
        <f ca="1">IF(B254="Spring",($G$1*Variables!$E$50*SUM('Guts (MC)'!F253:F254)*Variables!$B$23),0)</f>
        <v>0</v>
      </c>
      <c r="T254" s="63">
        <f ca="1">IF((H253+SUM(J254:Q254))&lt;(Variables!$B$26*Variables!$E$50),$F$1*((Variables!$B$26*Variables!$E$50)-H253-SUM(J254:Q254)),0)</f>
        <v>0</v>
      </c>
      <c r="U254" s="64">
        <f ca="1">IF(AND(AND(B254="Autumn",SUM(D251:E254)&gt;Variables!$B$27),SUM(J254:Q254)&lt;Variables!$B$28*H253),$F$1*(Variables!$B$28*H253-SUM(J254:Q254)),0)</f>
        <v>0</v>
      </c>
      <c r="V254" s="96">
        <f ca="1">IF(AND((J254+K254)=0,(Q254+T254)=0),$H$1*H254*Variables!$I$23*0.25,0)</f>
        <v>22.30568149591015</v>
      </c>
      <c r="W254" s="97">
        <f ca="1">IF(AND((K254+J254)=0,(T254+Q254)=0),$I$1*H254*Variables!$Q$23*0.25,0)</f>
        <v>7.1737958565961666</v>
      </c>
      <c r="X254" s="95">
        <f ca="1">IF(AND(NOT(K254=0),(H254-H253)&gt;0),(H254-H253)*(Variables!$M$5*$H$1+Variables!$U$5*$I$1),0)+IF(AND(NOT((J254+N254+Q254)=0),(H253-H254)&gt;0),(H253-H254)*(Variables!$M$4*$H$1+Variables!$U$4*$I$1),0)</f>
        <v>0</v>
      </c>
      <c r="Y254" s="95">
        <f ca="1">IF(SUM(T254,U253:U254)&gt;0,H254*Variables!$Y$11*0.25*(1-$J$1),0)</f>
        <v>0</v>
      </c>
      <c r="Z254" s="95">
        <f ca="1">IF(T254=0,H254*$J$1*Variables!$Y$5*0.25,0)</f>
        <v>2.0592612817548468</v>
      </c>
      <c r="AA254" s="95">
        <f t="shared" ca="1" si="7"/>
        <v>31.538738634261161</v>
      </c>
      <c r="AB254" s="91">
        <f ca="1">AA254/Variables!$E$49</f>
        <v>5.0868933281066386</v>
      </c>
    </row>
    <row r="255" spans="1:28" x14ac:dyDescent="0.25">
      <c r="A255" s="61">
        <f>'Water runs'!C262</f>
        <v>25262</v>
      </c>
      <c r="B255" s="61" t="str">
        <f>'Water runs'!B262</f>
        <v>Summer</v>
      </c>
      <c r="C255" s="54">
        <f>'Water runs'!D262/100</f>
        <v>0.73016071428571394</v>
      </c>
      <c r="D255" s="108">
        <f>VLOOKUP(ROW(D255)+4,'Water runs'!$BS$3:$CF$423,MATCH($B$1,Scenarios,0)+1)</f>
        <v>0</v>
      </c>
      <c r="E255" s="54">
        <f>IF(B255=Variables!$D$8,C255-Variables!$E$8,IF(B255=Variables!$D$9,C255-Variables!$E$9,IF(B255=Variables!$D$10,C255-Variables!$E$10,IF(B255=Variables!$D$11,C255-Variables!$E$11,"ELSE"))))</f>
        <v>-0.52820942176870778</v>
      </c>
      <c r="F255" s="108">
        <f>VLOOKUP(ROW(F255)+4,'Water runs'!$CH$3:$CU$423,MATCH($B$1,Scenarios,0)+1)</f>
        <v>0</v>
      </c>
      <c r="G255" s="65">
        <f ca="1">H255/Variables!$E$49</f>
        <v>0.29515933674949779</v>
      </c>
      <c r="H255" s="62">
        <f ca="1">IF((H254+I255)&gt;(1.1*Variables!$E$50),(1.1*Variables!$E$50),IF((H254+I255)&gt;0,H254+I255,0))</f>
        <v>1.8299878878468865</v>
      </c>
      <c r="I255" s="64">
        <f t="shared" ca="1" si="8"/>
        <v>0</v>
      </c>
      <c r="J255" s="63">
        <f>IF(SUM(E251:E254)&lt;Variables!$B$3,-H254,0)</f>
        <v>0</v>
      </c>
      <c r="K255" s="64">
        <f ca="1">IF(AND(H254&lt;Variables!$B$6*Variables!$E$50,OR(SUM(D252:D255)&gt;Variables!$B$5,SUM(E252:E255)&gt;Variables!$B$4)),Variables!$B$6*Variables!$E$50+Variables!$B$7*$G$1*Variables!$E$50*SUM(D252:D255),0)</f>
        <v>0</v>
      </c>
      <c r="L255" s="64">
        <f>IF(B255="Winter",Variables!$B$8*H254,0)</f>
        <v>0</v>
      </c>
      <c r="M255" s="64">
        <f ca="1">IF(AND(B255="Spring",AND(NOT(H254=0),H254&lt;(Variables!$B$9*Variables!$E$50))),(Variables!$B$10*Variables!$E$50+Variables!$B$11*Variables!$E$50*SUM(E252:E255)+$G$1*SUM(D254:D255)*Variables!$E$50*Variables!$B$12),0)</f>
        <v>0</v>
      </c>
      <c r="N255" s="64">
        <f>IF(AND(B255="Spring",AND(SUM(D252:D255)&gt;Variables!$B$13,SUM(D248:D251)&gt;Variables!$B$13)),-Variables!$B$14*Variables!$E$50,0)</f>
        <v>0</v>
      </c>
      <c r="O255" s="64">
        <f>IF(AND(B255="Summer",SUM(C251:D255)&gt;Variables!$B$15),(Variables!$B$16*Variables!$E$50*SUM(C251:C255)+$G$1*Variables!$B$16*Variables!$E$50*SUM(D251:D255)+$G$1*Variables!$E$50*Variables!$B$17*F255),0)</f>
        <v>0</v>
      </c>
      <c r="P255" s="64">
        <f ca="1">IF(AND(AND(B255="Autumn",SUM(D254:E255)&gt;0),NOT(H254=0)),Variables!$B$18*Variables!$E$50+Variables!$B$19*Variables!$E$50*SUM(E254:E255)+$G$1*Variables!$B$19*Variables!$E$50*SUM(D254:D255),0)</f>
        <v>0</v>
      </c>
      <c r="Q255" s="64">
        <f>IF(AND(B255="Autumn",AND((E255+E254)&lt;Variables!$B$20,(D254+D255)=0)),-Variables!$B$21*Variables!$E$50,0)</f>
        <v>0</v>
      </c>
      <c r="R255" s="64">
        <f>IF(B255="Autumn",(SUM(F254:F255)*$G$1*Variables!$B$22*Variables!$E$50),0)</f>
        <v>0</v>
      </c>
      <c r="S255" s="64">
        <f>IF(B255="Spring",($G$1*Variables!$E$50*SUM('Guts (MC)'!F254:F255)*Variables!$B$23),0)</f>
        <v>0</v>
      </c>
      <c r="T255" s="63">
        <f ca="1">IF((H254+SUM(J255:Q255))&lt;(Variables!$B$26*Variables!$E$50),$F$1*((Variables!$B$26*Variables!$E$50)-H254-SUM(J255:Q255)),0)</f>
        <v>0</v>
      </c>
      <c r="U255" s="64">
        <f ca="1">IF(AND(AND(B255="Autumn",SUM(D252:E255)&gt;Variables!$B$27),SUM(J255:Q255)&lt;Variables!$B$28*H254),$F$1*(Variables!$B$28*H254-SUM(J255:Q255)),0)</f>
        <v>0</v>
      </c>
      <c r="V255" s="96">
        <f ca="1">IF(AND((J255+K255)=0,(Q255+T255)=0),$H$1*H255*Variables!$I$23*0.25,0)</f>
        <v>22.30568149591015</v>
      </c>
      <c r="W255" s="97">
        <f ca="1">IF(AND((K255+J255)=0,(T255+Q255)=0),$I$1*H255*Variables!$Q$23*0.25,0)</f>
        <v>7.1737958565961666</v>
      </c>
      <c r="X255" s="95">
        <f ca="1">IF(AND(NOT(K255=0),(H255-H254)&gt;0),(H255-H254)*(Variables!$M$5*$H$1+Variables!$U$5*$I$1),0)+IF(AND(NOT((J255+N255+Q255)=0),(H254-H255)&gt;0),(H254-H255)*(Variables!$M$4*$H$1+Variables!$U$4*$I$1),0)</f>
        <v>0</v>
      </c>
      <c r="Y255" s="95">
        <f ca="1">IF(SUM(T255,U254:U255)&gt;0,H255*Variables!$Y$11*0.25*(1-$J$1),0)</f>
        <v>0</v>
      </c>
      <c r="Z255" s="95">
        <f ca="1">IF(T255=0,H255*$J$1*Variables!$Y$5*0.25,0)</f>
        <v>2.0592612817548468</v>
      </c>
      <c r="AA255" s="95">
        <f t="shared" ca="1" si="7"/>
        <v>31.538738634261161</v>
      </c>
      <c r="AB255" s="91">
        <f ca="1">AA255/Variables!$E$49</f>
        <v>5.0868933281066386</v>
      </c>
    </row>
    <row r="256" spans="1:28" x14ac:dyDescent="0.25">
      <c r="A256" s="61">
        <f>'Water runs'!C263</f>
        <v>25354</v>
      </c>
      <c r="B256" s="61" t="str">
        <f>'Water runs'!B263</f>
        <v>Autumn</v>
      </c>
      <c r="C256" s="54">
        <f>'Water runs'!D263/100</f>
        <v>1.4157499999999998</v>
      </c>
      <c r="D256" s="108">
        <f>VLOOKUP(ROW(D256)+4,'Water runs'!$BS$3:$CF$423,MATCH($B$1,Scenarios,0)+1)</f>
        <v>0</v>
      </c>
      <c r="E256" s="54">
        <f>IF(B256=Variables!$D$8,C256-Variables!$E$8,IF(B256=Variables!$D$9,C256-Variables!$E$9,IF(B256=Variables!$D$10,C256-Variables!$E$10,IF(B256=Variables!$D$11,C256-Variables!$E$11,"ELSE"))))</f>
        <v>0.42110670068027201</v>
      </c>
      <c r="F256" s="108">
        <f>VLOOKUP(ROW(F256)+4,'Water runs'!$CH$3:$CU$423,MATCH($B$1,Scenarios,0)+1)</f>
        <v>0</v>
      </c>
      <c r="G256" s="65">
        <f ca="1">H256/Variables!$E$49</f>
        <v>0.29515933674949779</v>
      </c>
      <c r="H256" s="62">
        <f ca="1">IF((H255+I256)&gt;(1.1*Variables!$E$50),(1.1*Variables!$E$50),IF((H255+I256)&gt;0,H255+I256,0))</f>
        <v>1.8299878878468865</v>
      </c>
      <c r="I256" s="64">
        <f t="shared" ca="1" si="8"/>
        <v>0</v>
      </c>
      <c r="J256" s="63">
        <f>IF(SUM(E252:E255)&lt;Variables!$B$3,-H255,0)</f>
        <v>0</v>
      </c>
      <c r="K256" s="64">
        <f ca="1">IF(AND(H255&lt;Variables!$B$6*Variables!$E$50,OR(SUM(D253:D256)&gt;Variables!$B$5,SUM(E253:E256)&gt;Variables!$B$4)),Variables!$B$6*Variables!$E$50+Variables!$B$7*$G$1*Variables!$E$50*SUM(D253:D256),0)</f>
        <v>0</v>
      </c>
      <c r="L256" s="64">
        <f>IF(B256="Winter",Variables!$B$8*H255,0)</f>
        <v>0</v>
      </c>
      <c r="M256" s="64">
        <f ca="1">IF(AND(B256="Spring",AND(NOT(H255=0),H255&lt;(Variables!$B$9*Variables!$E$50))),(Variables!$B$10*Variables!$E$50+Variables!$B$11*Variables!$E$50*SUM(E253:E256)+$G$1*SUM(D255:D256)*Variables!$E$50*Variables!$B$12),0)</f>
        <v>0</v>
      </c>
      <c r="N256" s="64">
        <f>IF(AND(B256="Spring",AND(SUM(D253:D256)&gt;Variables!$B$13,SUM(D249:D252)&gt;Variables!$B$13)),-Variables!$B$14*Variables!$E$50,0)</f>
        <v>0</v>
      </c>
      <c r="O256" s="64">
        <f>IF(AND(B256="Summer",SUM(C252:D256)&gt;Variables!$B$15),(Variables!$B$16*Variables!$E$50*SUM(C252:C256)+$G$1*Variables!$B$16*Variables!$E$50*SUM(D252:D256)+$G$1*Variables!$E$50*Variables!$B$17*F256),0)</f>
        <v>0</v>
      </c>
      <c r="P256" s="64">
        <f ca="1">IF(AND(AND(B256="Autumn",SUM(D255:E256)&gt;0),NOT(H255=0)),Variables!$B$18*Variables!$E$50+Variables!$B$19*Variables!$E$50*SUM(E255:E256)+$G$1*Variables!$B$19*Variables!$E$50*SUM(D255:D256),0)</f>
        <v>0</v>
      </c>
      <c r="Q256" s="64">
        <f>IF(AND(B256="Autumn",AND((E256+E255)&lt;Variables!$B$20,(D255+D256)=0)),-Variables!$B$21*Variables!$E$50,0)</f>
        <v>0</v>
      </c>
      <c r="R256" s="64">
        <f ca="1">IF(B256="Autumn",(SUM(F255:F256)*$G$1*Variables!$B$22*Variables!$E$50),0)</f>
        <v>0</v>
      </c>
      <c r="S256" s="64">
        <f>IF(B256="Spring",($G$1*Variables!$E$50*SUM('Guts (MC)'!F255:F256)*Variables!$B$23),0)</f>
        <v>0</v>
      </c>
      <c r="T256" s="63">
        <f ca="1">IF((H255+SUM(J256:Q256))&lt;(Variables!$B$26*Variables!$E$50),$F$1*((Variables!$B$26*Variables!$E$50)-H255-SUM(J256:Q256)),0)</f>
        <v>0</v>
      </c>
      <c r="U256" s="64">
        <f ca="1">IF(AND(AND(B256="Autumn",SUM(D253:E256)&gt;Variables!$B$27),SUM(J256:Q256)&lt;Variables!$B$28*H255),$F$1*(Variables!$B$28*H255-SUM(J256:Q256)),0)</f>
        <v>0</v>
      </c>
      <c r="V256" s="96">
        <f ca="1">IF(AND((J256+K256)=0,(Q256+T256)=0),$H$1*H256*Variables!$I$23*0.25,0)</f>
        <v>22.30568149591015</v>
      </c>
      <c r="W256" s="97">
        <f ca="1">IF(AND((K256+J256)=0,(T256+Q256)=0),$I$1*H256*Variables!$Q$23*0.25,0)</f>
        <v>7.1737958565961666</v>
      </c>
      <c r="X256" s="95">
        <f ca="1">IF(AND(NOT(K256=0),(H256-H255)&gt;0),(H256-H255)*(Variables!$M$5*$H$1+Variables!$U$5*$I$1),0)+IF(AND(NOT((J256+N256+Q256)=0),(H255-H256)&gt;0),(H255-H256)*(Variables!$M$4*$H$1+Variables!$U$4*$I$1),0)</f>
        <v>0</v>
      </c>
      <c r="Y256" s="95">
        <f ca="1">IF(SUM(T256,U255:U256)&gt;0,H256*Variables!$Y$11*0.25*(1-$J$1),0)</f>
        <v>0</v>
      </c>
      <c r="Z256" s="95">
        <f ca="1">IF(T256=0,H256*$J$1*Variables!$Y$5*0.25,0)</f>
        <v>2.0592612817548468</v>
      </c>
      <c r="AA256" s="95">
        <f t="shared" ca="1" si="7"/>
        <v>31.538738634261161</v>
      </c>
      <c r="AB256" s="91">
        <f ca="1">AA256/Variables!$E$49</f>
        <v>5.0868933281066386</v>
      </c>
    </row>
    <row r="257" spans="1:28" x14ac:dyDescent="0.25">
      <c r="A257" s="61">
        <f>'Water runs'!C264</f>
        <v>25446</v>
      </c>
      <c r="B257" s="61" t="str">
        <f>'Water runs'!B264</f>
        <v>Winter</v>
      </c>
      <c r="C257" s="54">
        <f>'Water runs'!D264/100</f>
        <v>0.62712499999999993</v>
      </c>
      <c r="D257" s="108">
        <f>VLOOKUP(ROW(D257)+4,'Water runs'!$BS$3:$CF$423,MATCH($B$1,Scenarios,0)+1)</f>
        <v>2.3198916856032115E-3</v>
      </c>
      <c r="E257" s="54">
        <f>IF(B257=Variables!$D$8,C257-Variables!$E$8,IF(B257=Variables!$D$9,C257-Variables!$E$9,IF(B257=Variables!$D$10,C257-Variables!$E$10,IF(B257=Variables!$D$11,C257-Variables!$E$11,"ELSE"))))</f>
        <v>5.5357374338624199E-2</v>
      </c>
      <c r="F257" s="108">
        <f>VLOOKUP(ROW(F257)+4,'Water runs'!$CH$3:$CU$423,MATCH($B$1,Scenarios,0)+1)</f>
        <v>0</v>
      </c>
      <c r="G257" s="65">
        <f ca="1">H257/Variables!$E$49</f>
        <v>0.161</v>
      </c>
      <c r="H257" s="62">
        <f ca="1">IF((H256+I257)&gt;(1.1*Variables!$E$50),(1.1*Variables!$E$50),IF((H256+I257)&gt;0,H256+I257,0))</f>
        <v>0.99820000000000009</v>
      </c>
      <c r="I257" s="64">
        <f t="shared" ca="1" si="8"/>
        <v>-0.8317878878468864</v>
      </c>
      <c r="J257" s="63">
        <f>IF(SUM(E253:E256)&lt;Variables!$B$3,-H256,0)</f>
        <v>0</v>
      </c>
      <c r="K257" s="64">
        <f ca="1">IF(AND(H256&lt;Variables!$B$6*Variables!$E$50,OR(SUM(D254:D257)&gt;Variables!$B$5,SUM(E254:E257)&gt;Variables!$B$4)),Variables!$B$6*Variables!$E$50+Variables!$B$7*$G$1*Variables!$E$50*SUM(D254:D257),0)</f>
        <v>0</v>
      </c>
      <c r="L257" s="64">
        <f ca="1">IF(B257="Winter",Variables!$B$8*H256,0)</f>
        <v>-0.9112337696042857</v>
      </c>
      <c r="M257" s="64">
        <f ca="1">IF(AND(B257="Spring",AND(NOT(H256=0),H256&lt;(Variables!$B$9*Variables!$E$50))),(Variables!$B$10*Variables!$E$50+Variables!$B$11*Variables!$E$50*SUM(E254:E257)+$G$1*SUM(D256:D257)*Variables!$E$50*Variables!$B$12),0)</f>
        <v>0</v>
      </c>
      <c r="N257" s="64">
        <f>IF(AND(B257="Spring",AND(SUM(D254:D257)&gt;Variables!$B$13,SUM(D250:D253)&gt;Variables!$B$13)),-Variables!$B$14*Variables!$E$50,0)</f>
        <v>0</v>
      </c>
      <c r="O257" s="64">
        <f>IF(AND(B257="Summer",SUM(C253:D257)&gt;Variables!$B$15),(Variables!$B$16*Variables!$E$50*SUM(C253:C257)+$G$1*Variables!$B$16*Variables!$E$50*SUM(D253:D257)+$G$1*Variables!$E$50*Variables!$B$17*F257),0)</f>
        <v>0</v>
      </c>
      <c r="P257" s="64">
        <f ca="1">IF(AND(AND(B257="Autumn",SUM(D256:E257)&gt;0),NOT(H256=0)),Variables!$B$18*Variables!$E$50+Variables!$B$19*Variables!$E$50*SUM(E256:E257)+$G$1*Variables!$B$19*Variables!$E$50*SUM(D256:D257),0)</f>
        <v>0</v>
      </c>
      <c r="Q257" s="64">
        <f>IF(AND(B257="Autumn",AND((E257+E256)&lt;Variables!$B$20,(D256+D257)=0)),-Variables!$B$21*Variables!$E$50,0)</f>
        <v>0</v>
      </c>
      <c r="R257" s="64">
        <f>IF(B257="Autumn",(SUM(F256:F257)*$G$1*Variables!$B$22*Variables!$E$50),0)</f>
        <v>0</v>
      </c>
      <c r="S257" s="64">
        <f>IF(B257="Spring",($G$1*Variables!$E$50*SUM('Guts (MC)'!F256:F257)*Variables!$B$23),0)</f>
        <v>0</v>
      </c>
      <c r="T257" s="63">
        <f ca="1">IF((H256+SUM(J257:Q257))&lt;(Variables!$B$26*Variables!$E$50),$F$1*((Variables!$B$26*Variables!$E$50)-H256-SUM(J257:Q257)),0)</f>
        <v>7.9445881757399306E-2</v>
      </c>
      <c r="U257" s="64">
        <f ca="1">IF(AND(AND(B257="Autumn",SUM(D254:E257)&gt;Variables!$B$27),SUM(J257:Q257)&lt;Variables!$B$28*H256),$F$1*(Variables!$B$28*H256-SUM(J257:Q257)),0)</f>
        <v>0</v>
      </c>
      <c r="V257" s="96">
        <f ca="1">IF(AND((J257+K257)=0,(Q257+T257)=0),$H$1*H257*Variables!$I$23*0.25,0)</f>
        <v>0</v>
      </c>
      <c r="W257" s="97">
        <f ca="1">IF(AND((K257+J257)=0,(T257+Q257)=0),$I$1*H257*Variables!$Q$23*0.25,0)</f>
        <v>0</v>
      </c>
      <c r="X257" s="95">
        <f ca="1">IF(AND(NOT(K257=0),(H257-H256)&gt;0),(H257-H256)*(Variables!$M$5*$H$1+Variables!$U$5*$I$1),0)+IF(AND(NOT((J257+N257+Q257)=0),(H256-H257)&gt;0),(H256-H257)*(Variables!$M$4*$H$1+Variables!$U$4*$I$1),0)</f>
        <v>0</v>
      </c>
      <c r="Y257" s="95">
        <f ca="1">IF(SUM(T257,U256:U257)&gt;0,H257*Variables!$Y$11*0.25*(1-$J$1),0)</f>
        <v>-8.6666009437672749</v>
      </c>
      <c r="Z257" s="95">
        <f ca="1">IF(T257=0,H257*$J$1*Variables!$Y$5*0.25,0)</f>
        <v>0</v>
      </c>
      <c r="AA257" s="95">
        <f t="shared" ca="1" si="7"/>
        <v>-8.6666009437672749</v>
      </c>
      <c r="AB257" s="91">
        <f ca="1">AA257/Variables!$E$49</f>
        <v>-1.3978388618979476</v>
      </c>
    </row>
    <row r="258" spans="1:28" x14ac:dyDescent="0.25">
      <c r="A258" s="61">
        <f>'Water runs'!C265</f>
        <v>25537</v>
      </c>
      <c r="B258" s="61" t="str">
        <f>'Water runs'!B265</f>
        <v>Spring</v>
      </c>
      <c r="C258" s="54">
        <f>'Water runs'!D265/100</f>
        <v>0.99546428571428602</v>
      </c>
      <c r="D258" s="108">
        <f>VLOOKUP(ROW(D258)+4,'Water runs'!$BS$3:$CF$423,MATCH($B$1,Scenarios,0)+1)</f>
        <v>2.1465728153033672E-2</v>
      </c>
      <c r="E258" s="54">
        <f>IF(B258=Variables!$D$8,C258-Variables!$E$8,IF(B258=Variables!$D$9,C258-Variables!$E$9,IF(B258=Variables!$D$10,C258-Variables!$E$10,IF(B258=Variables!$D$11,C258-Variables!$E$11,"ELSE"))))</f>
        <v>0.23148207671957688</v>
      </c>
      <c r="F258" s="108">
        <f>VLOOKUP(ROW(F258)+4,'Water runs'!$CH$3:$CU$423,MATCH($B$1,Scenarios,0)+1)</f>
        <v>0</v>
      </c>
      <c r="G258" s="65">
        <f ca="1">H258/Variables!$E$49</f>
        <v>0.36648741585637334</v>
      </c>
      <c r="H258" s="62">
        <f ca="1">IF((H257+I258)&gt;(1.1*Variables!$E$50),(1.1*Variables!$E$50),IF((H257+I258)&gt;0,H257+I258,0))</f>
        <v>2.2722219783095148</v>
      </c>
      <c r="I258" s="64">
        <f t="shared" ca="1" si="8"/>
        <v>1.2740219783095146</v>
      </c>
      <c r="J258" s="63">
        <f>IF(SUM(E254:E257)&lt;Variables!$B$3,-H257,0)</f>
        <v>0</v>
      </c>
      <c r="K258" s="64">
        <f ca="1">IF(AND(H257&lt;Variables!$B$6*Variables!$E$50,OR(SUM(D255:D258)&gt;Variables!$B$5,SUM(E255:E258)&gt;Variables!$B$4)),Variables!$B$6*Variables!$E$50+Variables!$B$7*$G$1*Variables!$E$50*SUM(D255:D258),0)</f>
        <v>1.1421485119323815</v>
      </c>
      <c r="L258" s="64">
        <f>IF(B258="Winter",Variables!$B$8*H257,0)</f>
        <v>0</v>
      </c>
      <c r="M258" s="64">
        <f ca="1">IF(AND(B258="Spring",AND(NOT(H257=0),H257&lt;(Variables!$B$9*Variables!$E$50))),(Variables!$B$10*Variables!$E$50+Variables!$B$11*Variables!$E$50*SUM(E255:E258)+$G$1*SUM(D257:D258)*Variables!$E$50*Variables!$B$12),0)</f>
        <v>0.13187346637713293</v>
      </c>
      <c r="N258" s="64">
        <f>IF(AND(B258="Spring",AND(SUM(D255:D258)&gt;Variables!$B$13,SUM(D251:D254)&gt;Variables!$B$13)),-Variables!$B$14*Variables!$E$50,0)</f>
        <v>0</v>
      </c>
      <c r="O258" s="64">
        <f>IF(AND(B258="Summer",SUM(C254:D258)&gt;Variables!$B$15),(Variables!$B$16*Variables!$E$50*SUM(C254:C258)+$G$1*Variables!$B$16*Variables!$E$50*SUM(D254:D258)+$G$1*Variables!$E$50*Variables!$B$17*F258),0)</f>
        <v>0</v>
      </c>
      <c r="P258" s="64">
        <f ca="1">IF(AND(AND(B258="Autumn",SUM(D257:E258)&gt;0),NOT(H257=0)),Variables!$B$18*Variables!$E$50+Variables!$B$19*Variables!$E$50*SUM(E257:E258)+$G$1*Variables!$B$19*Variables!$E$50*SUM(D257:D258),0)</f>
        <v>0</v>
      </c>
      <c r="Q258" s="64">
        <f>IF(AND(B258="Autumn",AND((E258+E257)&lt;Variables!$B$20,(D257+D258)=0)),-Variables!$B$21*Variables!$E$50,0)</f>
        <v>0</v>
      </c>
      <c r="R258" s="64">
        <f>IF(B258="Autumn",(SUM(F257:F258)*$G$1*Variables!$B$22*Variables!$E$50),0)</f>
        <v>0</v>
      </c>
      <c r="S258" s="64">
        <f ca="1">IF(B258="Spring",($G$1*Variables!$E$50*SUM('Guts (MC)'!F257:F258)*Variables!$B$23),0)</f>
        <v>0</v>
      </c>
      <c r="T258" s="63">
        <f ca="1">IF((H257+SUM(J258:Q258))&lt;(Variables!$B$26*Variables!$E$50),$F$1*((Variables!$B$26*Variables!$E$50)-H257-SUM(J258:Q258)),0)</f>
        <v>0</v>
      </c>
      <c r="U258" s="64">
        <f ca="1">IF(AND(AND(B258="Autumn",SUM(D255:E258)&gt;Variables!$B$27),SUM(J258:Q258)&lt;Variables!$B$28*H257),$F$1*(Variables!$B$28*H257-SUM(J258:Q258)),0)</f>
        <v>0</v>
      </c>
      <c r="V258" s="96">
        <f ca="1">IF(AND((J258+K258)=0,(Q258+T258)=0),$H$1*H258*Variables!$I$23*0.25,0)</f>
        <v>0</v>
      </c>
      <c r="W258" s="97">
        <f ca="1">IF(AND((K258+J258)=0,(T258+Q258)=0),$I$1*H258*Variables!$Q$23*0.25,0)</f>
        <v>0</v>
      </c>
      <c r="X258" s="95">
        <f ca="1">IF(AND(NOT(K258=0),(H258-H257)&gt;0),(H258-H257)*(Variables!$M$5*$H$1+Variables!$U$5*$I$1),0)+IF(AND(NOT((J258+N258+Q258)=0),(H257-H258)&gt;0),(H257-H258)*(Variables!$M$4*$H$1+Variables!$U$4*$I$1),0)</f>
        <v>-145.63914957297825</v>
      </c>
      <c r="Y258" s="95">
        <f ca="1">IF(SUM(T258,U257:U258)&gt;0,H258*Variables!$Y$11*0.25*(1-$J$1),0)</f>
        <v>0</v>
      </c>
      <c r="Z258" s="95">
        <f ca="1">IF(T258=0,H258*$J$1*Variables!$Y$5*0.25,0)</f>
        <v>2.5569014825505127</v>
      </c>
      <c r="AA258" s="95">
        <f t="shared" ca="1" si="7"/>
        <v>-143.08224809042775</v>
      </c>
      <c r="AB258" s="91">
        <f ca="1">AA258/Variables!$E$49</f>
        <v>-23.077781950068992</v>
      </c>
    </row>
    <row r="259" spans="1:28" x14ac:dyDescent="0.25">
      <c r="A259" s="61">
        <f>'Water runs'!C266</f>
        <v>25627</v>
      </c>
      <c r="B259" s="61" t="str">
        <f>'Water runs'!B266</f>
        <v>Summer</v>
      </c>
      <c r="C259" s="54">
        <f>'Water runs'!D266/100</f>
        <v>0.84762500000000007</v>
      </c>
      <c r="D259" s="108">
        <f>VLOOKUP(ROW(D259)+4,'Water runs'!$BS$3:$CF$423,MATCH($B$1,Scenarios,0)+1)</f>
        <v>1.2157657621992257E-2</v>
      </c>
      <c r="E259" s="54">
        <f>IF(B259=Variables!$D$8,C259-Variables!$E$8,IF(B259=Variables!$D$9,C259-Variables!$E$9,IF(B259=Variables!$D$10,C259-Variables!$E$10,IF(B259=Variables!$D$11,C259-Variables!$E$11,"ELSE"))))</f>
        <v>-0.41074513605442164</v>
      </c>
      <c r="F259" s="108">
        <f>VLOOKUP(ROW(F259)+4,'Water runs'!$CH$3:$CU$423,MATCH($B$1,Scenarios,0)+1)</f>
        <v>0</v>
      </c>
      <c r="G259" s="65">
        <f ca="1">H259/Variables!$E$49</f>
        <v>0.36648741585637334</v>
      </c>
      <c r="H259" s="62">
        <f ca="1">IF((H258+I259)&gt;(1.1*Variables!$E$50),(1.1*Variables!$E$50),IF((H258+I259)&gt;0,H258+I259,0))</f>
        <v>2.2722219783095148</v>
      </c>
      <c r="I259" s="64">
        <f t="shared" ca="1" si="8"/>
        <v>0</v>
      </c>
      <c r="J259" s="63">
        <f>IF(SUM(E255:E258)&lt;Variables!$B$3,-H258,0)</f>
        <v>0</v>
      </c>
      <c r="K259" s="64">
        <f ca="1">IF(AND(H258&lt;Variables!$B$6*Variables!$E$50,OR(SUM(D256:D259)&gt;Variables!$B$5,SUM(E256:E259)&gt;Variables!$B$4)),Variables!$B$6*Variables!$E$50+Variables!$B$7*$G$1*Variables!$E$50*SUM(D256:D259),0)</f>
        <v>0</v>
      </c>
      <c r="L259" s="64">
        <f>IF(B259="Winter",Variables!$B$8*H258,0)</f>
        <v>0</v>
      </c>
      <c r="M259" s="64">
        <f ca="1">IF(AND(B259="Spring",AND(NOT(H258=0),H258&lt;(Variables!$B$9*Variables!$E$50))),(Variables!$B$10*Variables!$E$50+Variables!$B$11*Variables!$E$50*SUM(E256:E259)+$G$1*SUM(D258:D259)*Variables!$E$50*Variables!$B$12),0)</f>
        <v>0</v>
      </c>
      <c r="N259" s="64">
        <f>IF(AND(B259="Spring",AND(SUM(D256:D259)&gt;Variables!$B$13,SUM(D252:D255)&gt;Variables!$B$13)),-Variables!$B$14*Variables!$E$50,0)</f>
        <v>0</v>
      </c>
      <c r="O259" s="64">
        <f>IF(AND(B259="Summer",SUM(C255:D259)&gt;Variables!$B$15),(Variables!$B$16*Variables!$E$50*SUM(C255:C259)+$G$1*Variables!$B$16*Variables!$E$50*SUM(D255:D259)+$G$1*Variables!$E$50*Variables!$B$17*F259),0)</f>
        <v>0</v>
      </c>
      <c r="P259" s="64">
        <f ca="1">IF(AND(AND(B259="Autumn",SUM(D258:E259)&gt;0),NOT(H258=0)),Variables!$B$18*Variables!$E$50+Variables!$B$19*Variables!$E$50*SUM(E258:E259)+$G$1*Variables!$B$19*Variables!$E$50*SUM(D258:D259),0)</f>
        <v>0</v>
      </c>
      <c r="Q259" s="64">
        <f>IF(AND(B259="Autumn",AND((E259+E258)&lt;Variables!$B$20,(D258+D259)=0)),-Variables!$B$21*Variables!$E$50,0)</f>
        <v>0</v>
      </c>
      <c r="R259" s="64">
        <f>IF(B259="Autumn",(SUM(F258:F259)*$G$1*Variables!$B$22*Variables!$E$50),0)</f>
        <v>0</v>
      </c>
      <c r="S259" s="64">
        <f>IF(B259="Spring",($G$1*Variables!$E$50*SUM('Guts (MC)'!F258:F259)*Variables!$B$23),0)</f>
        <v>0</v>
      </c>
      <c r="T259" s="63">
        <f ca="1">IF((H258+SUM(J259:Q259))&lt;(Variables!$B$26*Variables!$E$50),$F$1*((Variables!$B$26*Variables!$E$50)-H258-SUM(J259:Q259)),0)</f>
        <v>0</v>
      </c>
      <c r="U259" s="64">
        <f ca="1">IF(AND(AND(B259="Autumn",SUM(D256:E259)&gt;Variables!$B$27),SUM(J259:Q259)&lt;Variables!$B$28*H258),$F$1*(Variables!$B$28*H258-SUM(J259:Q259)),0)</f>
        <v>0</v>
      </c>
      <c r="V259" s="96">
        <f ca="1">IF(AND((J259+K259)=0,(Q259+T259)=0),$H$1*H259*Variables!$I$23*0.25,0)</f>
        <v>27.696062948160634</v>
      </c>
      <c r="W259" s="97">
        <f ca="1">IF(AND((K259+J259)=0,(T259+Q259)=0),$I$1*H259*Variables!$Q$23*0.25,0)</f>
        <v>8.9074122957404995</v>
      </c>
      <c r="X259" s="95">
        <f ca="1">IF(AND(NOT(K259=0),(H259-H258)&gt;0),(H259-H258)*(Variables!$M$5*$H$1+Variables!$U$5*$I$1),0)+IF(AND(NOT((J259+N259+Q259)=0),(H258-H259)&gt;0),(H258-H259)*(Variables!$M$4*$H$1+Variables!$U$4*$I$1),0)</f>
        <v>0</v>
      </c>
      <c r="Y259" s="95">
        <f ca="1">IF(SUM(T259,U258:U259)&gt;0,H259*Variables!$Y$11*0.25*(1-$J$1),0)</f>
        <v>0</v>
      </c>
      <c r="Z259" s="95">
        <f ca="1">IF(T259=0,H259*$J$1*Variables!$Y$5*0.25,0)</f>
        <v>2.5569014825505127</v>
      </c>
      <c r="AA259" s="95">
        <f t="shared" ca="1" si="7"/>
        <v>39.160376726451645</v>
      </c>
      <c r="AB259" s="91">
        <f ca="1">AA259/Variables!$E$49</f>
        <v>6.3161897945889747</v>
      </c>
    </row>
    <row r="260" spans="1:28" x14ac:dyDescent="0.25">
      <c r="A260" s="61">
        <f>'Water runs'!C267</f>
        <v>25719</v>
      </c>
      <c r="B260" s="61" t="str">
        <f>'Water runs'!B267</f>
        <v>Autumn</v>
      </c>
      <c r="C260" s="54">
        <f>'Water runs'!D267/100</f>
        <v>0.765625</v>
      </c>
      <c r="D260" s="108">
        <f>VLOOKUP(ROW(D260)+4,'Water runs'!$BS$3:$CF$423,MATCH($B$1,Scenarios,0)+1)</f>
        <v>0</v>
      </c>
      <c r="E260" s="54">
        <f>IF(B260=Variables!$D$8,C260-Variables!$E$8,IF(B260=Variables!$D$9,C260-Variables!$E$9,IF(B260=Variables!$D$10,C260-Variables!$E$10,IF(B260=Variables!$D$11,C260-Variables!$E$11,"ELSE"))))</f>
        <v>-0.22901829931972784</v>
      </c>
      <c r="F260" s="108">
        <f>VLOOKUP(ROW(F260)+4,'Water runs'!$CH$3:$CU$423,MATCH($B$1,Scenarios,0)+1)</f>
        <v>0</v>
      </c>
      <c r="G260" s="65">
        <f ca="1">H260/Variables!$E$49</f>
        <v>0.36648741585637334</v>
      </c>
      <c r="H260" s="62">
        <f ca="1">IF((H259+I260)&gt;(1.1*Variables!$E$50),(1.1*Variables!$E$50),IF((H259+I260)&gt;0,H259+I260,0))</f>
        <v>2.2722219783095148</v>
      </c>
      <c r="I260" s="64">
        <f t="shared" ca="1" si="8"/>
        <v>0</v>
      </c>
      <c r="J260" s="63">
        <f>IF(SUM(E256:E259)&lt;Variables!$B$3,-H259,0)</f>
        <v>0</v>
      </c>
      <c r="K260" s="64">
        <f ca="1">IF(AND(H259&lt;Variables!$B$6*Variables!$E$50,OR(SUM(D257:D260)&gt;Variables!$B$5,SUM(E257:E260)&gt;Variables!$B$4)),Variables!$B$6*Variables!$E$50+Variables!$B$7*$G$1*Variables!$E$50*SUM(D257:D260),0)</f>
        <v>0</v>
      </c>
      <c r="L260" s="64">
        <f>IF(B260="Winter",Variables!$B$8*H259,0)</f>
        <v>0</v>
      </c>
      <c r="M260" s="64">
        <f ca="1">IF(AND(B260="Spring",AND(NOT(H259=0),H259&lt;(Variables!$B$9*Variables!$E$50))),(Variables!$B$10*Variables!$E$50+Variables!$B$11*Variables!$E$50*SUM(E257:E260)+$G$1*SUM(D259:D260)*Variables!$E$50*Variables!$B$12),0)</f>
        <v>0</v>
      </c>
      <c r="N260" s="64">
        <f>IF(AND(B260="Spring",AND(SUM(D257:D260)&gt;Variables!$B$13,SUM(D253:D256)&gt;Variables!$B$13)),-Variables!$B$14*Variables!$E$50,0)</f>
        <v>0</v>
      </c>
      <c r="O260" s="64">
        <f>IF(AND(B260="Summer",SUM(C256:D260)&gt;Variables!$B$15),(Variables!$B$16*Variables!$E$50*SUM(C256:C260)+$G$1*Variables!$B$16*Variables!$E$50*SUM(D256:D260)+$G$1*Variables!$E$50*Variables!$B$17*F260),0)</f>
        <v>0</v>
      </c>
      <c r="P260" s="64">
        <f ca="1">IF(AND(AND(B260="Autumn",SUM(D259:E260)&gt;0),NOT(H259=0)),Variables!$B$18*Variables!$E$50+Variables!$B$19*Variables!$E$50*SUM(E259:E260)+$G$1*Variables!$B$19*Variables!$E$50*SUM(D259:D260),0)</f>
        <v>0</v>
      </c>
      <c r="Q260" s="64">
        <f>IF(AND(B260="Autumn",AND((E260+E259)&lt;Variables!$B$20,(D259+D260)=0)),-Variables!$B$21*Variables!$E$50,0)</f>
        <v>0</v>
      </c>
      <c r="R260" s="64">
        <f ca="1">IF(B260="Autumn",(SUM(F259:F260)*$G$1*Variables!$B$22*Variables!$E$50),0)</f>
        <v>0</v>
      </c>
      <c r="S260" s="64">
        <f>IF(B260="Spring",($G$1*Variables!$E$50*SUM('Guts (MC)'!F259:F260)*Variables!$B$23),0)</f>
        <v>0</v>
      </c>
      <c r="T260" s="63">
        <f ca="1">IF((H259+SUM(J260:Q260))&lt;(Variables!$B$26*Variables!$E$50),$F$1*((Variables!$B$26*Variables!$E$50)-H259-SUM(J260:Q260)),0)</f>
        <v>0</v>
      </c>
      <c r="U260" s="64">
        <f ca="1">IF(AND(AND(B260="Autumn",SUM(D257:E260)&gt;Variables!$B$27),SUM(J260:Q260)&lt;Variables!$B$28*H259),$F$1*(Variables!$B$28*H259-SUM(J260:Q260)),0)</f>
        <v>0</v>
      </c>
      <c r="V260" s="96">
        <f ca="1">IF(AND((J260+K260)=0,(Q260+T260)=0),$H$1*H260*Variables!$I$23*0.25,0)</f>
        <v>27.696062948160634</v>
      </c>
      <c r="W260" s="97">
        <f ca="1">IF(AND((K260+J260)=0,(T260+Q260)=0),$I$1*H260*Variables!$Q$23*0.25,0)</f>
        <v>8.9074122957404995</v>
      </c>
      <c r="X260" s="95">
        <f ca="1">IF(AND(NOT(K260=0),(H260-H259)&gt;0),(H260-H259)*(Variables!$M$5*$H$1+Variables!$U$5*$I$1),0)+IF(AND(NOT((J260+N260+Q260)=0),(H259-H260)&gt;0),(H259-H260)*(Variables!$M$4*$H$1+Variables!$U$4*$I$1),0)</f>
        <v>0</v>
      </c>
      <c r="Y260" s="95">
        <f ca="1">IF(SUM(T260,U259:U260)&gt;0,H260*Variables!$Y$11*0.25*(1-$J$1),0)</f>
        <v>0</v>
      </c>
      <c r="Z260" s="95">
        <f ca="1">IF(T260=0,H260*$J$1*Variables!$Y$5*0.25,0)</f>
        <v>2.5569014825505127</v>
      </c>
      <c r="AA260" s="95">
        <f t="shared" ca="1" si="7"/>
        <v>39.160376726451645</v>
      </c>
      <c r="AB260" s="91">
        <f ca="1">AA260/Variables!$E$49</f>
        <v>6.3161897945889747</v>
      </c>
    </row>
    <row r="261" spans="1:28" x14ac:dyDescent="0.25">
      <c r="A261" s="61">
        <f>'Water runs'!C268</f>
        <v>25811</v>
      </c>
      <c r="B261" s="61" t="str">
        <f>'Water runs'!B268</f>
        <v>Winter</v>
      </c>
      <c r="C261" s="54">
        <f>'Water runs'!D268/100</f>
        <v>0.123857142857143</v>
      </c>
      <c r="D261" s="108">
        <f>VLOOKUP(ROW(D261)+4,'Water runs'!$BS$3:$CF$423,MATCH($B$1,Scenarios,0)+1)</f>
        <v>0</v>
      </c>
      <c r="E261" s="54">
        <f>IF(B261=Variables!$D$8,C261-Variables!$E$8,IF(B261=Variables!$D$9,C261-Variables!$E$9,IF(B261=Variables!$D$10,C261-Variables!$E$10,IF(B261=Variables!$D$11,C261-Variables!$E$11,"ELSE"))))</f>
        <v>-0.44791048280423273</v>
      </c>
      <c r="F261" s="108">
        <f>VLOOKUP(ROW(F261)+4,'Water runs'!$CH$3:$CU$423,MATCH($B$1,Scenarios,0)+1)</f>
        <v>0</v>
      </c>
      <c r="G261" s="65">
        <f ca="1">H261/Variables!$E$49</f>
        <v>0.18399674928903356</v>
      </c>
      <c r="H261" s="62">
        <f ca="1">IF((H260+I261)&gt;(1.1*Variables!$E$50),(1.1*Variables!$E$50),IF((H260+I261)&gt;0,H260+I261,0))</f>
        <v>1.1407798455920082</v>
      </c>
      <c r="I261" s="64">
        <f t="shared" ca="1" si="8"/>
        <v>-1.1314421327175066</v>
      </c>
      <c r="J261" s="63">
        <f>IF(SUM(E257:E260)&lt;Variables!$B$3,-H260,0)</f>
        <v>0</v>
      </c>
      <c r="K261" s="64">
        <f ca="1">IF(AND(H260&lt;Variables!$B$6*Variables!$E$50,OR(SUM(D258:D261)&gt;Variables!$B$5,SUM(E258:E261)&gt;Variables!$B$4)),Variables!$B$6*Variables!$E$50+Variables!$B$7*$G$1*Variables!$E$50*SUM(D258:D261),0)</f>
        <v>0</v>
      </c>
      <c r="L261" s="64">
        <f ca="1">IF(B261="Winter",Variables!$B$8*H260,0)</f>
        <v>-1.1314421327175066</v>
      </c>
      <c r="M261" s="64">
        <f ca="1">IF(AND(B261="Spring",AND(NOT(H260=0),H260&lt;(Variables!$B$9*Variables!$E$50))),(Variables!$B$10*Variables!$E$50+Variables!$B$11*Variables!$E$50*SUM(E258:E261)+$G$1*SUM(D260:D261)*Variables!$E$50*Variables!$B$12),0)</f>
        <v>0</v>
      </c>
      <c r="N261" s="64">
        <f>IF(AND(B261="Spring",AND(SUM(D258:D261)&gt;Variables!$B$13,SUM(D254:D257)&gt;Variables!$B$13)),-Variables!$B$14*Variables!$E$50,0)</f>
        <v>0</v>
      </c>
      <c r="O261" s="64">
        <f>IF(AND(B261="Summer",SUM(C257:D261)&gt;Variables!$B$15),(Variables!$B$16*Variables!$E$50*SUM(C257:C261)+$G$1*Variables!$B$16*Variables!$E$50*SUM(D257:D261)+$G$1*Variables!$E$50*Variables!$B$17*F261),0)</f>
        <v>0</v>
      </c>
      <c r="P261" s="64">
        <f ca="1">IF(AND(AND(B261="Autumn",SUM(D260:E261)&gt;0),NOT(H260=0)),Variables!$B$18*Variables!$E$50+Variables!$B$19*Variables!$E$50*SUM(E260:E261)+$G$1*Variables!$B$19*Variables!$E$50*SUM(D260:D261),0)</f>
        <v>0</v>
      </c>
      <c r="Q261" s="64">
        <f>IF(AND(B261="Autumn",AND((E261+E260)&lt;Variables!$B$20,(D260+D261)=0)),-Variables!$B$21*Variables!$E$50,0)</f>
        <v>0</v>
      </c>
      <c r="R261" s="64">
        <f>IF(B261="Autumn",(SUM(F260:F261)*$G$1*Variables!$B$22*Variables!$E$50),0)</f>
        <v>0</v>
      </c>
      <c r="S261" s="64">
        <f>IF(B261="Spring",($G$1*Variables!$E$50*SUM('Guts (MC)'!F260:F261)*Variables!$B$23),0)</f>
        <v>0</v>
      </c>
      <c r="T261" s="63">
        <f ca="1">IF((H260+SUM(J261:Q261))&lt;(Variables!$B$26*Variables!$E$50),$F$1*((Variables!$B$26*Variables!$E$50)-H260-SUM(J261:Q261)),0)</f>
        <v>0</v>
      </c>
      <c r="U261" s="64">
        <f ca="1">IF(AND(AND(B261="Autumn",SUM(D258:E261)&gt;Variables!$B$27),SUM(J261:Q261)&lt;Variables!$B$28*H260),$F$1*(Variables!$B$28*H260-SUM(J261:Q261)),0)</f>
        <v>0</v>
      </c>
      <c r="V261" s="96">
        <f ca="1">IF(AND((J261+K261)=0,(Q261+T261)=0),$H$1*H261*Variables!$I$23*0.25,0)</f>
        <v>13.904940060924559</v>
      </c>
      <c r="W261" s="97">
        <f ca="1">IF(AND((K261+J261)=0,(T261+Q261)=0),$I$1*H261*Variables!$Q$23*0.25,0)</f>
        <v>4.4720086859291213</v>
      </c>
      <c r="X261" s="95">
        <f ca="1">IF(AND(NOT(K261=0),(H261-H260)&gt;0),(H261-H260)*(Variables!$M$5*$H$1+Variables!$U$5*$I$1),0)+IF(AND(NOT((J261+N261+Q261)=0),(H260-H261)&gt;0),(H260-H261)*(Variables!$M$4*$H$1+Variables!$U$4*$I$1),0)</f>
        <v>0</v>
      </c>
      <c r="Y261" s="95">
        <f ca="1">IF(SUM(T261,U260:U261)&gt;0,H261*Variables!$Y$11*0.25*(1-$J$1),0)</f>
        <v>0</v>
      </c>
      <c r="Z261" s="95">
        <f ca="1">IF(T261=0,H261*$J$1*Variables!$Y$5*0.25,0)</f>
        <v>1.2837045439671497</v>
      </c>
      <c r="AA261" s="95">
        <f t="shared" ca="1" si="7"/>
        <v>19.660653290820832</v>
      </c>
      <c r="AB261" s="91">
        <f ca="1">AA261/Variables!$E$49</f>
        <v>3.1710731114227149</v>
      </c>
    </row>
    <row r="262" spans="1:28" x14ac:dyDescent="0.25">
      <c r="A262" s="61">
        <f>'Water runs'!C269</f>
        <v>25902</v>
      </c>
      <c r="B262" s="61" t="str">
        <f>'Water runs'!B269</f>
        <v>Spring</v>
      </c>
      <c r="C262" s="54">
        <f>'Water runs'!D269/100</f>
        <v>1.3118571428571399</v>
      </c>
      <c r="D262" s="108">
        <f>VLOOKUP(ROW(D262)+4,'Water runs'!$BS$3:$CF$423,MATCH($B$1,Scenarios,0)+1)</f>
        <v>0</v>
      </c>
      <c r="E262" s="54">
        <f>IF(B262=Variables!$D$8,C262-Variables!$E$8,IF(B262=Variables!$D$9,C262-Variables!$E$9,IF(B262=Variables!$D$10,C262-Variables!$E$10,IF(B262=Variables!$D$11,C262-Variables!$E$11,"ELSE"))))</f>
        <v>0.5478749338624308</v>
      </c>
      <c r="F262" s="108">
        <f>VLOOKUP(ROW(F262)+4,'Water runs'!$CH$3:$CU$423,MATCH($B$1,Scenarios,0)+1)</f>
        <v>0</v>
      </c>
      <c r="G262" s="65">
        <f ca="1">H262/Variables!$E$49</f>
        <v>0.161</v>
      </c>
      <c r="H262" s="62">
        <f ca="1">IF((H261+I262)&gt;(1.1*Variables!$E$50),(1.1*Variables!$E$50),IF((H261+I262)&gt;0,H261+I262,0))</f>
        <v>0.99820000000000009</v>
      </c>
      <c r="I262" s="64">
        <f t="shared" ca="1" si="8"/>
        <v>-0.14257984559200809</v>
      </c>
      <c r="J262" s="63">
        <f>IF(SUM(E258:E261)&lt;Variables!$B$3,-H261,0)</f>
        <v>0</v>
      </c>
      <c r="K262" s="64">
        <f ca="1">IF(AND(H261&lt;Variables!$B$6*Variables!$E$50,OR(SUM(D259:D262)&gt;Variables!$B$5,SUM(E259:E262)&gt;Variables!$B$4)),Variables!$B$6*Variables!$E$50+Variables!$B$7*$G$1*Variables!$E$50*SUM(D259:D262),0)</f>
        <v>0</v>
      </c>
      <c r="L262" s="64">
        <f>IF(B262="Winter",Variables!$B$8*H261,0)</f>
        <v>0</v>
      </c>
      <c r="M262" s="64">
        <f ca="1">IF(AND(B262="Spring",AND(NOT(H261=0),H261&lt;(Variables!$B$9*Variables!$E$50))),(Variables!$B$10*Variables!$E$50+Variables!$B$11*Variables!$E$50*SUM(E259:E262)+$G$1*SUM(D261:D262)*Variables!$E$50*Variables!$B$12),0)</f>
        <v>-0.36763640638108369</v>
      </c>
      <c r="N262" s="64">
        <f>IF(AND(B262="Spring",AND(SUM(D259:D262)&gt;Variables!$B$13,SUM(D255:D258)&gt;Variables!$B$13)),-Variables!$B$14*Variables!$E$50,0)</f>
        <v>0</v>
      </c>
      <c r="O262" s="64">
        <f>IF(AND(B262="Summer",SUM(C258:D262)&gt;Variables!$B$15),(Variables!$B$16*Variables!$E$50*SUM(C258:C262)+$G$1*Variables!$B$16*Variables!$E$50*SUM(D258:D262)+$G$1*Variables!$E$50*Variables!$B$17*F262),0)</f>
        <v>0</v>
      </c>
      <c r="P262" s="64">
        <f ca="1">IF(AND(AND(B262="Autumn",SUM(D261:E262)&gt;0),NOT(H261=0)),Variables!$B$18*Variables!$E$50+Variables!$B$19*Variables!$E$50*SUM(E261:E262)+$G$1*Variables!$B$19*Variables!$E$50*SUM(D261:D262),0)</f>
        <v>0</v>
      </c>
      <c r="Q262" s="64">
        <f>IF(AND(B262="Autumn",AND((E262+E261)&lt;Variables!$B$20,(D261+D262)=0)),-Variables!$B$21*Variables!$E$50,0)</f>
        <v>0</v>
      </c>
      <c r="R262" s="64">
        <f>IF(B262="Autumn",(SUM(F261:F262)*$G$1*Variables!$B$22*Variables!$E$50),0)</f>
        <v>0</v>
      </c>
      <c r="S262" s="64">
        <f ca="1">IF(B262="Spring",($G$1*Variables!$E$50*SUM('Guts (MC)'!F261:F262)*Variables!$B$23),0)</f>
        <v>0</v>
      </c>
      <c r="T262" s="63">
        <f ca="1">IF((H261+SUM(J262:Q262))&lt;(Variables!$B$26*Variables!$E$50),$F$1*((Variables!$B$26*Variables!$E$50)-H261-SUM(J262:Q262)),0)</f>
        <v>0.2250565607890756</v>
      </c>
      <c r="U262" s="64">
        <f ca="1">IF(AND(AND(B262="Autumn",SUM(D259:E262)&gt;Variables!$B$27),SUM(J262:Q262)&lt;Variables!$B$28*H261),$F$1*(Variables!$B$28*H261-SUM(J262:Q262)),0)</f>
        <v>0</v>
      </c>
      <c r="V262" s="96">
        <f ca="1">IF(AND((J262+K262)=0,(Q262+T262)=0),$H$1*H262*Variables!$I$23*0.25,0)</f>
        <v>0</v>
      </c>
      <c r="W262" s="97">
        <f ca="1">IF(AND((K262+J262)=0,(T262+Q262)=0),$I$1*H262*Variables!$Q$23*0.25,0)</f>
        <v>0</v>
      </c>
      <c r="X262" s="95">
        <f ca="1">IF(AND(NOT(K262=0),(H262-H261)&gt;0),(H262-H261)*(Variables!$M$5*$H$1+Variables!$U$5*$I$1),0)+IF(AND(NOT((J262+N262+Q262)=0),(H261-H262)&gt;0),(H261-H262)*(Variables!$M$4*$H$1+Variables!$U$4*$I$1),0)</f>
        <v>0</v>
      </c>
      <c r="Y262" s="95">
        <f ca="1">IF(SUM(T262,U261:U262)&gt;0,H262*Variables!$Y$11*0.25*(1-$J$1),0)</f>
        <v>-8.6666009437672749</v>
      </c>
      <c r="Z262" s="95">
        <f ca="1">IF(T262=0,H262*$J$1*Variables!$Y$5*0.25,0)</f>
        <v>0</v>
      </c>
      <c r="AA262" s="95">
        <f t="shared" ca="1" si="7"/>
        <v>-8.6666009437672749</v>
      </c>
      <c r="AB262" s="91">
        <f ca="1">AA262/Variables!$E$49</f>
        <v>-1.3978388618979476</v>
      </c>
    </row>
    <row r="263" spans="1:28" x14ac:dyDescent="0.25">
      <c r="A263" s="61">
        <f>'Water runs'!C270</f>
        <v>25992</v>
      </c>
      <c r="B263" s="61" t="str">
        <f>'Water runs'!B270</f>
        <v>Summer</v>
      </c>
      <c r="C263" s="54">
        <f>'Water runs'!D270/100</f>
        <v>2.0666071428571398</v>
      </c>
      <c r="D263" s="108">
        <f>VLOOKUP(ROW(D263)+4,'Water runs'!$BS$3:$CF$423,MATCH($B$1,Scenarios,0)+1)</f>
        <v>1.1082170088440921</v>
      </c>
      <c r="E263" s="54">
        <f>IF(B263=Variables!$D$8,C263-Variables!$E$8,IF(B263=Variables!$D$9,C263-Variables!$E$9,IF(B263=Variables!$D$10,C263-Variables!$E$10,IF(B263=Variables!$D$11,C263-Variables!$E$11,"ELSE"))))</f>
        <v>0.80823700680271804</v>
      </c>
      <c r="F263" s="108">
        <f>VLOOKUP(ROW(F263)+4,'Water runs'!$CH$3:$CU$423,MATCH($B$1,Scenarios,0)+1)</f>
        <v>1.8025954283090126</v>
      </c>
      <c r="G263" s="65">
        <f ca="1">H263/Variables!$E$49</f>
        <v>1.0747006831209351</v>
      </c>
      <c r="H263" s="62">
        <f ca="1">IF((H262+I263)&gt;(1.1*Variables!$E$50),(1.1*Variables!$E$50),IF((H262+I263)&gt;0,H262+I263,0))</f>
        <v>6.6631442353497983</v>
      </c>
      <c r="I263" s="64">
        <f t="shared" ca="1" si="8"/>
        <v>5.6649442353497985</v>
      </c>
      <c r="J263" s="63">
        <f>IF(SUM(E259:E262)&lt;Variables!$B$3,-H262,0)</f>
        <v>0</v>
      </c>
      <c r="K263" s="64">
        <f ca="1">IF(AND(H262&lt;Variables!$B$6*Variables!$E$50,OR(SUM(D260:D263)&gt;Variables!$B$5,SUM(E260:E263)&gt;Variables!$B$4)),Variables!$B$6*Variables!$E$50+Variables!$B$7*$G$1*Variables!$E$50*SUM(D260:D263),0)</f>
        <v>1.2036297210765539</v>
      </c>
      <c r="L263" s="64">
        <f>IF(B263="Winter",Variables!$B$8*H262,0)</f>
        <v>0</v>
      </c>
      <c r="M263" s="64">
        <f ca="1">IF(AND(B263="Spring",AND(NOT(H262=0),H262&lt;(Variables!$B$9*Variables!$E$50))),(Variables!$B$10*Variables!$E$50+Variables!$B$11*Variables!$E$50*SUM(E260:E263)+$G$1*SUM(D262:D263)*Variables!$E$50*Variables!$B$12),0)</f>
        <v>0</v>
      </c>
      <c r="N263" s="64">
        <f>IF(AND(B263="Spring",AND(SUM(D260:D263)&gt;Variables!$B$13,SUM(D256:D259)&gt;Variables!$B$13)),-Variables!$B$14*Variables!$E$50,0)</f>
        <v>0</v>
      </c>
      <c r="O263" s="64">
        <f ca="1">IF(AND(B263="Summer",SUM(C259:D263)&gt;Variables!$B$15),(Variables!$B$16*Variables!$E$50*SUM(C259:C263)+$G$1*Variables!$B$16*Variables!$E$50*SUM(D259:D263)+$G$1*Variables!$E$50*Variables!$B$17*F263),0)</f>
        <v>4.4613145142732442</v>
      </c>
      <c r="P263" s="64">
        <f ca="1">IF(AND(AND(B263="Autumn",SUM(D262:E263)&gt;0),NOT(H262=0)),Variables!$B$18*Variables!$E$50+Variables!$B$19*Variables!$E$50*SUM(E262:E263)+$G$1*Variables!$B$19*Variables!$E$50*SUM(D262:D263),0)</f>
        <v>0</v>
      </c>
      <c r="Q263" s="64">
        <f>IF(AND(B263="Autumn",AND((E263+E262)&lt;Variables!$B$20,(D262+D263)=0)),-Variables!$B$21*Variables!$E$50,0)</f>
        <v>0</v>
      </c>
      <c r="R263" s="64">
        <f>IF(B263="Autumn",(SUM(F262:F263)*$G$1*Variables!$B$22*Variables!$E$50),0)</f>
        <v>0</v>
      </c>
      <c r="S263" s="64">
        <f>IF(B263="Spring",($G$1*Variables!$E$50*SUM('Guts (MC)'!F262:F263)*Variables!$B$23),0)</f>
        <v>0</v>
      </c>
      <c r="T263" s="63">
        <f ca="1">IF((H262+SUM(J263:Q263))&lt;(Variables!$B$26*Variables!$E$50),$F$1*((Variables!$B$26*Variables!$E$50)-H262-SUM(J263:Q263)),0)</f>
        <v>0</v>
      </c>
      <c r="U263" s="64">
        <f ca="1">IF(AND(AND(B263="Autumn",SUM(D260:E263)&gt;Variables!$B$27),SUM(J263:Q263)&lt;Variables!$B$28*H262),$F$1*(Variables!$B$28*H262-SUM(J263:Q263)),0)</f>
        <v>0</v>
      </c>
      <c r="V263" s="96">
        <f ca="1">IF(AND((J263+K263)=0,(Q263+T263)=0),$H$1*H263*Variables!$I$23*0.25,0)</f>
        <v>0</v>
      </c>
      <c r="W263" s="97">
        <f ca="1">IF(AND((K263+J263)=0,(T263+Q263)=0),$I$1*H263*Variables!$Q$23*0.25,0)</f>
        <v>0</v>
      </c>
      <c r="X263" s="95">
        <f ca="1">IF(AND(NOT(K263=0),(H263-H262)&gt;0),(H263-H262)*(Variables!$M$5*$H$1+Variables!$U$5*$I$1),0)+IF(AND(NOT((J263+N263+Q263)=0),(H262-H263)&gt;0),(H262-H263)*(Variables!$M$4*$H$1+Variables!$U$4*$I$1),0)</f>
        <v>-647.58510831141496</v>
      </c>
      <c r="Y263" s="95">
        <f ca="1">IF(SUM(T263,U262:U263)&gt;0,H263*Variables!$Y$11*0.25*(1-$J$1),0)</f>
        <v>0</v>
      </c>
      <c r="Z263" s="95">
        <f ca="1">IF(T263=0,H263*$J$1*Variables!$Y$5*0.25,0)</f>
        <v>7.4979484999476025</v>
      </c>
      <c r="AA263" s="95">
        <f t="shared" ca="1" si="7"/>
        <v>-640.08715981146736</v>
      </c>
      <c r="AB263" s="91">
        <f ca="1">AA263/Variables!$E$49</f>
        <v>-103.23986448572055</v>
      </c>
    </row>
    <row r="264" spans="1:28" x14ac:dyDescent="0.25">
      <c r="A264" s="61">
        <f>'Water runs'!C271</f>
        <v>26084</v>
      </c>
      <c r="B264" s="61" t="str">
        <f>'Water runs'!B271</f>
        <v>Autumn</v>
      </c>
      <c r="C264" s="54">
        <f>'Water runs'!D271/100</f>
        <v>0.82262500000000005</v>
      </c>
      <c r="D264" s="108">
        <f>VLOOKUP(ROW(D264)+4,'Water runs'!$BS$3:$CF$423,MATCH($B$1,Scenarios,0)+1)</f>
        <v>0.40565641849895884</v>
      </c>
      <c r="E264" s="54">
        <f>IF(B264=Variables!$D$8,C264-Variables!$E$8,IF(B264=Variables!$D$9,C264-Variables!$E$9,IF(B264=Variables!$D$10,C264-Variables!$E$10,IF(B264=Variables!$D$11,C264-Variables!$E$11,"ELSE"))))</f>
        <v>-0.17201829931972779</v>
      </c>
      <c r="F264" s="108">
        <f>VLOOKUP(ROW(F264)+4,'Water runs'!$CH$3:$CU$423,MATCH($B$1,Scenarios,0)+1)</f>
        <v>1.1299851938653513</v>
      </c>
      <c r="G264" s="65">
        <f ca="1">H264/Variables!$E$49</f>
        <v>1.8543738519696484</v>
      </c>
      <c r="H264" s="62">
        <f ca="1">IF((H263+I264)&gt;(1.1*Variables!$E$50),(1.1*Variables!$E$50),IF((H263+I264)&gt;0,H263+I264,0))</f>
        <v>11.497117882211821</v>
      </c>
      <c r="I264" s="64">
        <f t="shared" ca="1" si="8"/>
        <v>4.8339736468620229</v>
      </c>
      <c r="J264" s="63">
        <f>IF(SUM(E260:E263)&lt;Variables!$B$3,-H263,0)</f>
        <v>0</v>
      </c>
      <c r="K264" s="64">
        <f ca="1">IF(AND(H263&lt;Variables!$B$6*Variables!$E$50,OR(SUM(D261:D264)&gt;Variables!$B$5,SUM(E261:E264)&gt;Variables!$B$4)),Variables!$B$6*Variables!$E$50+Variables!$B$7*$G$1*Variables!$E$50*SUM(D261:D264),0)</f>
        <v>0</v>
      </c>
      <c r="L264" s="64">
        <f>IF(B264="Winter",Variables!$B$8*H263,0)</f>
        <v>0</v>
      </c>
      <c r="M264" s="64">
        <f ca="1">IF(AND(B264="Spring",AND(NOT(H263=0),H263&lt;(Variables!$B$9*Variables!$E$50))),(Variables!$B$10*Variables!$E$50+Variables!$B$11*Variables!$E$50*SUM(E261:E264)+$G$1*SUM(D263:D264)*Variables!$E$50*Variables!$B$12),0)</f>
        <v>0</v>
      </c>
      <c r="N264" s="64">
        <f>IF(AND(B264="Spring",AND(SUM(D261:D264)&gt;Variables!$B$13,SUM(D257:D260)&gt;Variables!$B$13)),-Variables!$B$14*Variables!$E$50,0)</f>
        <v>0</v>
      </c>
      <c r="O264" s="64">
        <f>IF(AND(B264="Summer",SUM(C260:D264)&gt;Variables!$B$15),(Variables!$B$16*Variables!$E$50*SUM(C260:C264)+$G$1*Variables!$B$16*Variables!$E$50*SUM(D260:D264)+$G$1*Variables!$E$50*Variables!$B$17*F264),0)</f>
        <v>0</v>
      </c>
      <c r="P264" s="64">
        <f ca="1">IF(AND(AND(B264="Autumn",SUM(D263:E264)&gt;0),NOT(H263=0)),Variables!$B$18*Variables!$E$50+Variables!$B$19*Variables!$E$50*SUM(E263:E264)+$G$1*Variables!$B$19*Variables!$E$50*SUM(D263:D264),0)</f>
        <v>4.3900040667477098</v>
      </c>
      <c r="Q264" s="64">
        <f>IF(AND(B264="Autumn",AND((E264+E263)&lt;Variables!$B$20,(D263+D264)=0)),-Variables!$B$21*Variables!$E$50,0)</f>
        <v>0</v>
      </c>
      <c r="R264" s="64">
        <f ca="1">IF(B264="Autumn",(SUM(F263:F264)*$G$1*Variables!$B$22*Variables!$E$50),0)</f>
        <v>0.44396958011431298</v>
      </c>
      <c r="S264" s="64">
        <f>IF(B264="Spring",($G$1*Variables!$E$50*SUM('Guts (MC)'!F263:F264)*Variables!$B$23),0)</f>
        <v>0</v>
      </c>
      <c r="T264" s="63">
        <f ca="1">IF((H263+SUM(J264:Q264))&lt;(Variables!$B$26*Variables!$E$50),$F$1*((Variables!$B$26*Variables!$E$50)-H263-SUM(J264:Q264)),0)</f>
        <v>0</v>
      </c>
      <c r="U264" s="64">
        <f ca="1">IF(AND(AND(B264="Autumn",SUM(D261:E264)&gt;Variables!$B$27),SUM(J264:Q264)&lt;Variables!$B$28*H263),$F$1*(Variables!$B$28*H263-SUM(J264:Q264)),0)</f>
        <v>0</v>
      </c>
      <c r="V264" s="96">
        <f ca="1">IF(AND((J264+K264)=0,(Q264+T264)=0),$H$1*H264*Variables!$I$23*0.25,0)</f>
        <v>140.13811310154799</v>
      </c>
      <c r="W264" s="97">
        <f ca="1">IF(AND((K264+J264)=0,(T264+Q264)=0),$I$1*H264*Variables!$Q$23*0.25,0)</f>
        <v>45.070230887293022</v>
      </c>
      <c r="X264" s="95">
        <f ca="1">IF(AND(NOT(K264=0),(H264-H263)&gt;0),(H264-H263)*(Variables!$M$5*$H$1+Variables!$U$5*$I$1),0)+IF(AND(NOT((J264+N264+Q264)=0),(H263-H264)&gt;0),(H263-H264)*(Variables!$M$4*$H$1+Variables!$U$4*$I$1),0)</f>
        <v>0</v>
      </c>
      <c r="Y264" s="95">
        <f ca="1">IF(SUM(T264,U263:U264)&gt;0,H264*Variables!$Y$11*0.25*(1-$J$1),0)</f>
        <v>0</v>
      </c>
      <c r="Z264" s="95">
        <f ca="1">IF(T264=0,H264*$J$1*Variables!$Y$5*0.25,0)</f>
        <v>12.937555414350918</v>
      </c>
      <c r="AA264" s="95">
        <f t="shared" ca="1" si="7"/>
        <v>198.14589940319195</v>
      </c>
      <c r="AB264" s="91">
        <f ca="1">AA264/Variables!$E$49</f>
        <v>31.959016032772894</v>
      </c>
    </row>
    <row r="265" spans="1:28" x14ac:dyDescent="0.25">
      <c r="A265" s="61">
        <f>'Water runs'!C272</f>
        <v>26176</v>
      </c>
      <c r="B265" s="61" t="str">
        <f>'Water runs'!B272</f>
        <v>Winter</v>
      </c>
      <c r="C265" s="54">
        <f>'Water runs'!D272/100</f>
        <v>0.876142857142857</v>
      </c>
      <c r="D265" s="108">
        <f>VLOOKUP(ROW(D265)+4,'Water runs'!$BS$3:$CF$423,MATCH($B$1,Scenarios,0)+1)</f>
        <v>0</v>
      </c>
      <c r="E265" s="54">
        <f>IF(B265=Variables!$D$8,C265-Variables!$E$8,IF(B265=Variables!$D$9,C265-Variables!$E$9,IF(B265=Variables!$D$10,C265-Variables!$E$10,IF(B265=Variables!$D$11,C265-Variables!$E$11,"ELSE"))))</f>
        <v>0.30437523148148127</v>
      </c>
      <c r="F265" s="108">
        <f>VLOOKUP(ROW(F265)+4,'Water runs'!$CH$3:$CU$423,MATCH($B$1,Scenarios,0)+1)</f>
        <v>0</v>
      </c>
      <c r="G265" s="65">
        <f ca="1">H265/Variables!$E$49</f>
        <v>0.93099720745313364</v>
      </c>
      <c r="H265" s="62">
        <f ca="1">IF((H264+I265)&gt;(1.1*Variables!$E$50),(1.1*Variables!$E$50),IF((H264+I265)&gt;0,H264+I265,0))</f>
        <v>5.7721826862094288</v>
      </c>
      <c r="I265" s="64">
        <f t="shared" ca="1" si="8"/>
        <v>-5.7249351960023924</v>
      </c>
      <c r="J265" s="63">
        <f>IF(SUM(E261:E264)&lt;Variables!$B$3,-H264,0)</f>
        <v>0</v>
      </c>
      <c r="K265" s="64">
        <f ca="1">IF(AND(H264&lt;Variables!$B$6*Variables!$E$50,OR(SUM(D262:D265)&gt;Variables!$B$5,SUM(E262:E265)&gt;Variables!$B$4)),Variables!$B$6*Variables!$E$50+Variables!$B$7*$G$1*Variables!$E$50*SUM(D262:D265),0)</f>
        <v>0</v>
      </c>
      <c r="L265" s="64">
        <f ca="1">IF(B265="Winter",Variables!$B$8*H264,0)</f>
        <v>-5.7249351960023924</v>
      </c>
      <c r="M265" s="64">
        <f ca="1">IF(AND(B265="Spring",AND(NOT(H264=0),H264&lt;(Variables!$B$9*Variables!$E$50))),(Variables!$B$10*Variables!$E$50+Variables!$B$11*Variables!$E$50*SUM(E262:E265)+$G$1*SUM(D264:D265)*Variables!$E$50*Variables!$B$12),0)</f>
        <v>0</v>
      </c>
      <c r="N265" s="64">
        <f>IF(AND(B265="Spring",AND(SUM(D262:D265)&gt;Variables!$B$13,SUM(D258:D261)&gt;Variables!$B$13)),-Variables!$B$14*Variables!$E$50,0)</f>
        <v>0</v>
      </c>
      <c r="O265" s="64">
        <f>IF(AND(B265="Summer",SUM(C261:D265)&gt;Variables!$B$15),(Variables!$B$16*Variables!$E$50*SUM(C261:C265)+$G$1*Variables!$B$16*Variables!$E$50*SUM(D261:D265)+$G$1*Variables!$E$50*Variables!$B$17*F265),0)</f>
        <v>0</v>
      </c>
      <c r="P265" s="64">
        <f ca="1">IF(AND(AND(B265="Autumn",SUM(D264:E265)&gt;0),NOT(H264=0)),Variables!$B$18*Variables!$E$50+Variables!$B$19*Variables!$E$50*SUM(E264:E265)+$G$1*Variables!$B$19*Variables!$E$50*SUM(D264:D265),0)</f>
        <v>0</v>
      </c>
      <c r="Q265" s="64">
        <f>IF(AND(B265="Autumn",AND((E265+E264)&lt;Variables!$B$20,(D264+D265)=0)),-Variables!$B$21*Variables!$E$50,0)</f>
        <v>0</v>
      </c>
      <c r="R265" s="64">
        <f>IF(B265="Autumn",(SUM(F264:F265)*$G$1*Variables!$B$22*Variables!$E$50),0)</f>
        <v>0</v>
      </c>
      <c r="S265" s="64">
        <f>IF(B265="Spring",($G$1*Variables!$E$50*SUM('Guts (MC)'!F264:F265)*Variables!$B$23),0)</f>
        <v>0</v>
      </c>
      <c r="T265" s="63">
        <f ca="1">IF((H264+SUM(J265:Q265))&lt;(Variables!$B$26*Variables!$E$50),$F$1*((Variables!$B$26*Variables!$E$50)-H264-SUM(J265:Q265)),0)</f>
        <v>0</v>
      </c>
      <c r="U265" s="64">
        <f ca="1">IF(AND(AND(B265="Autumn",SUM(D262:E265)&gt;Variables!$B$27),SUM(J265:Q265)&lt;Variables!$B$28*H264),$F$1*(Variables!$B$28*H264-SUM(J265:Q265)),0)</f>
        <v>0</v>
      </c>
      <c r="V265" s="96">
        <f ca="1">IF(AND((J265+K265)=0,(Q265+T265)=0),$H$1*H265*Variables!$I$23*0.25,0)</f>
        <v>70.357005852252499</v>
      </c>
      <c r="W265" s="97">
        <f ca="1">IF(AND((K265+J265)=0,(T265+Q265)=0),$I$1*H265*Variables!$Q$23*0.25,0)</f>
        <v>22.62772366573715</v>
      </c>
      <c r="X265" s="95">
        <f ca="1">IF(AND(NOT(K265=0),(H265-H264)&gt;0),(H265-H264)*(Variables!$M$5*$H$1+Variables!$U$5*$I$1),0)+IF(AND(NOT((J265+N265+Q265)=0),(H264-H265)&gt;0),(H264-H265)*(Variables!$M$4*$H$1+Variables!$U$4*$I$1),0)</f>
        <v>0</v>
      </c>
      <c r="Y265" s="95">
        <f ca="1">IF(SUM(T265,U264:U265)&gt;0,H265*Variables!$Y$11*0.25*(1-$J$1),0)</f>
        <v>0</v>
      </c>
      <c r="Z265" s="95">
        <f ca="1">IF(T265=0,H265*$J$1*Variables!$Y$5*0.25,0)</f>
        <v>6.4953611965771056</v>
      </c>
      <c r="AA265" s="95">
        <f t="shared" ca="1" si="7"/>
        <v>99.480090714566757</v>
      </c>
      <c r="AB265" s="91">
        <f ca="1">AA265/Variables!$E$49</f>
        <v>16.045175921704317</v>
      </c>
    </row>
    <row r="266" spans="1:28" x14ac:dyDescent="0.25">
      <c r="A266" s="61">
        <f>'Water runs'!C273</f>
        <v>26267</v>
      </c>
      <c r="B266" s="61" t="str">
        <f>'Water runs'!B273</f>
        <v>Spring</v>
      </c>
      <c r="C266" s="54">
        <f>'Water runs'!D273/100</f>
        <v>0.25251785714285702</v>
      </c>
      <c r="D266" s="108">
        <f>VLOOKUP(ROW(D266)+4,'Water runs'!$BS$3:$CF$423,MATCH($B$1,Scenarios,0)+1)</f>
        <v>0</v>
      </c>
      <c r="E266" s="54">
        <f>IF(B266=Variables!$D$8,C266-Variables!$E$8,IF(B266=Variables!$D$9,C266-Variables!$E$9,IF(B266=Variables!$D$10,C266-Variables!$E$10,IF(B266=Variables!$D$11,C266-Variables!$E$11,"ELSE"))))</f>
        <v>-0.51146435185185213</v>
      </c>
      <c r="F266" s="108">
        <f>VLOOKUP(ROW(F266)+4,'Water runs'!$CH$3:$CU$423,MATCH($B$1,Scenarios,0)+1)</f>
        <v>0</v>
      </c>
      <c r="G266" s="65">
        <f ca="1">H266/Variables!$E$49</f>
        <v>0.93099720745313364</v>
      </c>
      <c r="H266" s="62">
        <f ca="1">IF((H265+I266)&gt;(1.1*Variables!$E$50),(1.1*Variables!$E$50),IF((H265+I266)&gt;0,H265+I266,0))</f>
        <v>5.7721826862094288</v>
      </c>
      <c r="I266" s="64">
        <f t="shared" ca="1" si="8"/>
        <v>0</v>
      </c>
      <c r="J266" s="63">
        <f>IF(SUM(E262:E265)&lt;Variables!$B$3,-H265,0)</f>
        <v>0</v>
      </c>
      <c r="K266" s="64">
        <f ca="1">IF(AND(H265&lt;Variables!$B$6*Variables!$E$50,OR(SUM(D263:D266)&gt;Variables!$B$5,SUM(E263:E266)&gt;Variables!$B$4)),Variables!$B$6*Variables!$E$50+Variables!$B$7*$G$1*Variables!$E$50*SUM(D263:D266),0)</f>
        <v>0</v>
      </c>
      <c r="L266" s="64">
        <f>IF(B266="Winter",Variables!$B$8*H265,0)</f>
        <v>0</v>
      </c>
      <c r="M266" s="64">
        <f ca="1">IF(AND(B266="Spring",AND(NOT(H265=0),H265&lt;(Variables!$B$9*Variables!$E$50))),(Variables!$B$10*Variables!$E$50+Variables!$B$11*Variables!$E$50*SUM(E263:E266)+$G$1*SUM(D265:D266)*Variables!$E$50*Variables!$B$12),0)</f>
        <v>0</v>
      </c>
      <c r="N266" s="64">
        <f>IF(AND(B266="Spring",AND(SUM(D263:D266)&gt;Variables!$B$13,SUM(D259:D262)&gt;Variables!$B$13)),-Variables!$B$14*Variables!$E$50,0)</f>
        <v>0</v>
      </c>
      <c r="O266" s="64">
        <f>IF(AND(B266="Summer",SUM(C262:D266)&gt;Variables!$B$15),(Variables!$B$16*Variables!$E$50*SUM(C262:C266)+$G$1*Variables!$B$16*Variables!$E$50*SUM(D262:D266)+$G$1*Variables!$E$50*Variables!$B$17*F266),0)</f>
        <v>0</v>
      </c>
      <c r="P266" s="64">
        <f ca="1">IF(AND(AND(B266="Autumn",SUM(D265:E266)&gt;0),NOT(H265=0)),Variables!$B$18*Variables!$E$50+Variables!$B$19*Variables!$E$50*SUM(E265:E266)+$G$1*Variables!$B$19*Variables!$E$50*SUM(D265:D266),0)</f>
        <v>0</v>
      </c>
      <c r="Q266" s="64">
        <f>IF(AND(B266="Autumn",AND((E266+E265)&lt;Variables!$B$20,(D265+D266)=0)),-Variables!$B$21*Variables!$E$50,0)</f>
        <v>0</v>
      </c>
      <c r="R266" s="64">
        <f>IF(B266="Autumn",(SUM(F265:F266)*$G$1*Variables!$B$22*Variables!$E$50),0)</f>
        <v>0</v>
      </c>
      <c r="S266" s="64">
        <f ca="1">IF(B266="Spring",($G$1*Variables!$E$50*SUM('Guts (MC)'!F265:F266)*Variables!$B$23),0)</f>
        <v>0</v>
      </c>
      <c r="T266" s="63">
        <f ca="1">IF((H265+SUM(J266:Q266))&lt;(Variables!$B$26*Variables!$E$50),$F$1*((Variables!$B$26*Variables!$E$50)-H265-SUM(J266:Q266)),0)</f>
        <v>0</v>
      </c>
      <c r="U266" s="64">
        <f ca="1">IF(AND(AND(B266="Autumn",SUM(D263:E266)&gt;Variables!$B$27),SUM(J266:Q266)&lt;Variables!$B$28*H265),$F$1*(Variables!$B$28*H265-SUM(J266:Q266)),0)</f>
        <v>0</v>
      </c>
      <c r="V266" s="96">
        <f ca="1">IF(AND((J266+K266)=0,(Q266+T266)=0),$H$1*H266*Variables!$I$23*0.25,0)</f>
        <v>70.357005852252499</v>
      </c>
      <c r="W266" s="97">
        <f ca="1">IF(AND((K266+J266)=0,(T266+Q266)=0),$I$1*H266*Variables!$Q$23*0.25,0)</f>
        <v>22.62772366573715</v>
      </c>
      <c r="X266" s="95">
        <f ca="1">IF(AND(NOT(K266=0),(H266-H265)&gt;0),(H266-H265)*(Variables!$M$5*$H$1+Variables!$U$5*$I$1),0)+IF(AND(NOT((J266+N266+Q266)=0),(H265-H266)&gt;0),(H265-H266)*(Variables!$M$4*$H$1+Variables!$U$4*$I$1),0)</f>
        <v>0</v>
      </c>
      <c r="Y266" s="95">
        <f ca="1">IF(SUM(T266,U265:U266)&gt;0,H266*Variables!$Y$11*0.25*(1-$J$1),0)</f>
        <v>0</v>
      </c>
      <c r="Z266" s="95">
        <f ca="1">IF(T266=0,H266*$J$1*Variables!$Y$5*0.25,0)</f>
        <v>6.4953611965771056</v>
      </c>
      <c r="AA266" s="95">
        <f t="shared" ca="1" si="7"/>
        <v>99.480090714566757</v>
      </c>
      <c r="AB266" s="91">
        <f ca="1">AA266/Variables!$E$49</f>
        <v>16.045175921704317</v>
      </c>
    </row>
    <row r="267" spans="1:28" x14ac:dyDescent="0.25">
      <c r="A267" s="61">
        <f>'Water runs'!C274</f>
        <v>26357</v>
      </c>
      <c r="B267" s="61" t="str">
        <f>'Water runs'!B274</f>
        <v>Summer</v>
      </c>
      <c r="C267" s="54">
        <f>'Water runs'!D274/100</f>
        <v>1.3305750000000001</v>
      </c>
      <c r="D267" s="108">
        <f>VLOOKUP(ROW(D267)+4,'Water runs'!$BS$3:$CF$423,MATCH($B$1,Scenarios,0)+1)</f>
        <v>0.3253659965637099</v>
      </c>
      <c r="E267" s="54">
        <f>IF(B267=Variables!$D$8,C267-Variables!$E$8,IF(B267=Variables!$D$9,C267-Variables!$E$9,IF(B267=Variables!$D$10,C267-Variables!$E$10,IF(B267=Variables!$D$11,C267-Variables!$E$11,"ELSE"))))</f>
        <v>7.2204863945578346E-2</v>
      </c>
      <c r="F267" s="108">
        <f>VLOOKUP(ROW(F267)+4,'Water runs'!$CH$3:$CU$423,MATCH($B$1,Scenarios,0)+1)</f>
        <v>0.31541777844638519</v>
      </c>
      <c r="G267" s="65">
        <f ca="1">H267/Variables!$E$49</f>
        <v>1.4066264990801227</v>
      </c>
      <c r="H267" s="62">
        <f ca="1">IF((H266+I267)&gt;(1.1*Variables!$E$50),(1.1*Variables!$E$50),IF((H266+I267)&gt;0,H266+I267,0))</f>
        <v>8.7210842942967606</v>
      </c>
      <c r="I267" s="64">
        <f t="shared" ca="1" si="8"/>
        <v>2.9489016080873318</v>
      </c>
      <c r="J267" s="63">
        <f>IF(SUM(E263:E266)&lt;Variables!$B$3,-H266,0)</f>
        <v>0</v>
      </c>
      <c r="K267" s="64">
        <f ca="1">IF(AND(H266&lt;Variables!$B$6*Variables!$E$50,OR(SUM(D264:D267)&gt;Variables!$B$5,SUM(E264:E267)&gt;Variables!$B$4)),Variables!$B$6*Variables!$E$50+Variables!$B$7*$G$1*Variables!$E$50*SUM(D264:D267),0)</f>
        <v>0</v>
      </c>
      <c r="L267" s="64">
        <f>IF(B267="Winter",Variables!$B$8*H266,0)</f>
        <v>0</v>
      </c>
      <c r="M267" s="64">
        <f ca="1">IF(AND(B267="Spring",AND(NOT(H266=0),H266&lt;(Variables!$B$9*Variables!$E$50))),(Variables!$B$10*Variables!$E$50+Variables!$B$11*Variables!$E$50*SUM(E264:E267)+$G$1*SUM(D266:D267)*Variables!$E$50*Variables!$B$12),0)</f>
        <v>0</v>
      </c>
      <c r="N267" s="64">
        <f>IF(AND(B267="Spring",AND(SUM(D264:D267)&gt;Variables!$B$13,SUM(D260:D263)&gt;Variables!$B$13)),-Variables!$B$14*Variables!$E$50,0)</f>
        <v>0</v>
      </c>
      <c r="O267" s="64">
        <f ca="1">IF(AND(B267="Summer",SUM(C263:D267)&gt;Variables!$B$15),(Variables!$B$16*Variables!$E$50*SUM(C263:C267)+$G$1*Variables!$B$16*Variables!$E$50*SUM(D263:D267)+$G$1*Variables!$E$50*Variables!$B$17*F267),0)</f>
        <v>2.9489016080873318</v>
      </c>
      <c r="P267" s="64">
        <f ca="1">IF(AND(AND(B267="Autumn",SUM(D266:E267)&gt;0),NOT(H266=0)),Variables!$B$18*Variables!$E$50+Variables!$B$19*Variables!$E$50*SUM(E266:E267)+$G$1*Variables!$B$19*Variables!$E$50*SUM(D266:D267),0)</f>
        <v>0</v>
      </c>
      <c r="Q267" s="64">
        <f>IF(AND(B267="Autumn",AND((E267+E266)&lt;Variables!$B$20,(D266+D267)=0)),-Variables!$B$21*Variables!$E$50,0)</f>
        <v>0</v>
      </c>
      <c r="R267" s="64">
        <f>IF(B267="Autumn",(SUM(F266:F267)*$G$1*Variables!$B$22*Variables!$E$50),0)</f>
        <v>0</v>
      </c>
      <c r="S267" s="64">
        <f>IF(B267="Spring",($G$1*Variables!$E$50*SUM('Guts (MC)'!F266:F267)*Variables!$B$23),0)</f>
        <v>0</v>
      </c>
      <c r="T267" s="63">
        <f ca="1">IF((H266+SUM(J267:Q267))&lt;(Variables!$B$26*Variables!$E$50),$F$1*((Variables!$B$26*Variables!$E$50)-H266-SUM(J267:Q267)),0)</f>
        <v>0</v>
      </c>
      <c r="U267" s="64">
        <f ca="1">IF(AND(AND(B267="Autumn",SUM(D264:E267)&gt;Variables!$B$27),SUM(J267:Q267)&lt;Variables!$B$28*H266),$F$1*(Variables!$B$28*H266-SUM(J267:Q267)),0)</f>
        <v>0</v>
      </c>
      <c r="V267" s="96">
        <f ca="1">IF(AND((J267+K267)=0,(Q267+T267)=0),$H$1*H267*Variables!$I$23*0.25,0)</f>
        <v>106.30110169551241</v>
      </c>
      <c r="W267" s="97">
        <f ca="1">IF(AND((K267+J267)=0,(T267+Q267)=0),$I$1*H267*Variables!$Q$23*0.25,0)</f>
        <v>34.187810089312805</v>
      </c>
      <c r="X267" s="95">
        <f ca="1">IF(AND(NOT(K267=0),(H267-H266)&gt;0),(H267-H266)*(Variables!$M$5*$H$1+Variables!$U$5*$I$1),0)+IF(AND(NOT((J267+N267+Q267)=0),(H266-H267)&gt;0),(H266-H267)*(Variables!$M$4*$H$1+Variables!$U$4*$I$1),0)</f>
        <v>0</v>
      </c>
      <c r="Y267" s="95">
        <f ca="1">IF(SUM(T267,U266:U267)&gt;0,H267*Variables!$Y$11*0.25*(1-$J$1),0)</f>
        <v>0</v>
      </c>
      <c r="Z267" s="95">
        <f ca="1">IF(T267=0,H267*$J$1*Variables!$Y$5*0.25,0)</f>
        <v>9.8137213592684862</v>
      </c>
      <c r="AA267" s="95">
        <f t="shared" ca="1" si="7"/>
        <v>150.30263314409373</v>
      </c>
      <c r="AB267" s="91">
        <f ca="1">AA267/Variables!$E$49</f>
        <v>24.242360184531247</v>
      </c>
    </row>
    <row r="268" spans="1:28" x14ac:dyDescent="0.25">
      <c r="A268" s="61">
        <f>'Water runs'!C275</f>
        <v>26450</v>
      </c>
      <c r="B268" s="61" t="str">
        <f>'Water runs'!B275</f>
        <v>Autumn</v>
      </c>
      <c r="C268" s="54">
        <f>'Water runs'!D275/100</f>
        <v>0.412333333333333</v>
      </c>
      <c r="D268" s="108">
        <f>VLOOKUP(ROW(D268)+4,'Water runs'!$BS$3:$CF$423,MATCH($B$1,Scenarios,0)+1)</f>
        <v>0</v>
      </c>
      <c r="E268" s="54">
        <f>IF(B268=Variables!$D$8,C268-Variables!$E$8,IF(B268=Variables!$D$9,C268-Variables!$E$9,IF(B268=Variables!$D$10,C268-Variables!$E$10,IF(B268=Variables!$D$11,C268-Variables!$E$11,"ELSE"))))</f>
        <v>-0.58230996598639484</v>
      </c>
      <c r="F268" s="108">
        <f>VLOOKUP(ROW(F268)+4,'Water runs'!$CH$3:$CU$423,MATCH($B$1,Scenarios,0)+1)</f>
        <v>0</v>
      </c>
      <c r="G268" s="65">
        <f ca="1">H268/Variables!$E$49</f>
        <v>1.4143283965476783</v>
      </c>
      <c r="H268" s="62">
        <f ca="1">IF((H267+I268)&gt;(1.1*Variables!$E$50),(1.1*Variables!$E$50),IF((H267+I268)&gt;0,H267+I268,0))</f>
        <v>8.7688360585956051</v>
      </c>
      <c r="I268" s="64">
        <f t="shared" ca="1" si="8"/>
        <v>4.7751764298845194E-2</v>
      </c>
      <c r="J268" s="63">
        <f>IF(SUM(E264:E267)&lt;Variables!$B$3,-H267,0)</f>
        <v>0</v>
      </c>
      <c r="K268" s="64">
        <f ca="1">IF(AND(H267&lt;Variables!$B$6*Variables!$E$50,OR(SUM(D265:D268)&gt;Variables!$B$5,SUM(E265:E268)&gt;Variables!$B$4)),Variables!$B$6*Variables!$E$50+Variables!$B$7*$G$1*Variables!$E$50*SUM(D265:D268),0)</f>
        <v>0</v>
      </c>
      <c r="L268" s="64">
        <f>IF(B268="Winter",Variables!$B$8*H267,0)</f>
        <v>0</v>
      </c>
      <c r="M268" s="64">
        <f ca="1">IF(AND(B268="Spring",AND(NOT(H267=0),H267&lt;(Variables!$B$9*Variables!$E$50))),(Variables!$B$10*Variables!$E$50+Variables!$B$11*Variables!$E$50*SUM(E265:E268)+$G$1*SUM(D267:D268)*Variables!$E$50*Variables!$B$12),0)</f>
        <v>0</v>
      </c>
      <c r="N268" s="64">
        <f>IF(AND(B268="Spring",AND(SUM(D265:D268)&gt;Variables!$B$13,SUM(D261:D264)&gt;Variables!$B$13)),-Variables!$B$14*Variables!$E$50,0)</f>
        <v>0</v>
      </c>
      <c r="O268" s="64">
        <f>IF(AND(B268="Summer",SUM(C264:D268)&gt;Variables!$B$15),(Variables!$B$16*Variables!$E$50*SUM(C264:C268)+$G$1*Variables!$B$16*Variables!$E$50*SUM(D264:D268)+$G$1*Variables!$E$50*Variables!$B$17*F268),0)</f>
        <v>0</v>
      </c>
      <c r="P268" s="64">
        <f ca="1">IF(AND(AND(B268="Autumn",SUM(D267:E268)&gt;0),NOT(H267=0)),Variables!$B$18*Variables!$E$50+Variables!$B$19*Variables!$E$50*SUM(E267:E268)+$G$1*Variables!$B$19*Variables!$E$50*SUM(D267:D268),0)</f>
        <v>0</v>
      </c>
      <c r="Q268" s="64">
        <f>IF(AND(B268="Autumn",AND((E268+E267)&lt;Variables!$B$20,(D267+D268)=0)),-Variables!$B$21*Variables!$E$50,0)</f>
        <v>0</v>
      </c>
      <c r="R268" s="64">
        <f ca="1">IF(B268="Autumn",(SUM(F267:F268)*$G$1*Variables!$B$22*Variables!$E$50),0)</f>
        <v>4.7751764298845194E-2</v>
      </c>
      <c r="S268" s="64">
        <f>IF(B268="Spring",($G$1*Variables!$E$50*SUM('Guts (MC)'!F267:F268)*Variables!$B$23),0)</f>
        <v>0</v>
      </c>
      <c r="T268" s="63">
        <f ca="1">IF((H267+SUM(J268:Q268))&lt;(Variables!$B$26*Variables!$E$50),$F$1*((Variables!$B$26*Variables!$E$50)-H267-SUM(J268:Q268)),0)</f>
        <v>0</v>
      </c>
      <c r="U268" s="64">
        <f ca="1">IF(AND(AND(B268="Autumn",SUM(D265:E268)&gt;Variables!$B$27),SUM(J268:Q268)&lt;Variables!$B$28*H267),$F$1*(Variables!$B$28*H267-SUM(J268:Q268)),0)</f>
        <v>0</v>
      </c>
      <c r="V268" s="96">
        <f ca="1">IF(AND((J268+K268)=0,(Q268+T268)=0),$H$1*H268*Variables!$I$23*0.25,0)</f>
        <v>106.88314688411256</v>
      </c>
      <c r="W268" s="97">
        <f ca="1">IF(AND((K268+J268)=0,(T268+Q268)=0),$I$1*H268*Variables!$Q$23*0.25,0)</f>
        <v>34.375003354988053</v>
      </c>
      <c r="X268" s="95">
        <f ca="1">IF(AND(NOT(K268=0),(H268-H267)&gt;0),(H268-H267)*(Variables!$M$5*$H$1+Variables!$U$5*$I$1),0)+IF(AND(NOT((J268+N268+Q268)=0),(H267-H268)&gt;0),(H267-H268)*(Variables!$M$4*$H$1+Variables!$U$4*$I$1),0)</f>
        <v>0</v>
      </c>
      <c r="Y268" s="95">
        <f ca="1">IF(SUM(T268,U267:U268)&gt;0,H268*Variables!$Y$11*0.25*(1-$J$1),0)</f>
        <v>0</v>
      </c>
      <c r="Z268" s="95">
        <f ca="1">IF(T268=0,H268*$J$1*Variables!$Y$5*0.25,0)</f>
        <v>9.8674557910694478</v>
      </c>
      <c r="AA268" s="95">
        <f t="shared" ca="1" si="7"/>
        <v>151.12560603017008</v>
      </c>
      <c r="AB268" s="91">
        <f ca="1">AA268/Variables!$E$49</f>
        <v>24.375097746801625</v>
      </c>
    </row>
    <row r="269" spans="1:28" x14ac:dyDescent="0.25">
      <c r="A269" s="61">
        <f>'Water runs'!C276</f>
        <v>26542</v>
      </c>
      <c r="B269" s="61" t="str">
        <f>'Water runs'!B276</f>
        <v>Winter</v>
      </c>
      <c r="C269" s="54">
        <f>'Water runs'!D276/100</f>
        <v>0.13849999999999998</v>
      </c>
      <c r="D269" s="108">
        <f>VLOOKUP(ROW(D269)+4,'Water runs'!$BS$3:$CF$423,MATCH($B$1,Scenarios,0)+1)</f>
        <v>0</v>
      </c>
      <c r="E269" s="54">
        <f>IF(B269=Variables!$D$8,C269-Variables!$E$8,IF(B269=Variables!$D$9,C269-Variables!$E$9,IF(B269=Variables!$D$10,C269-Variables!$E$10,IF(B269=Variables!$D$11,C269-Variables!$E$11,"ELSE"))))</f>
        <v>-0.43326762566137578</v>
      </c>
      <c r="F269" s="108">
        <f>VLOOKUP(ROW(F269)+4,'Water runs'!$CH$3:$CU$423,MATCH($B$1,Scenarios,0)+1)</f>
        <v>0</v>
      </c>
      <c r="G269" s="65">
        <f ca="1">H269/Variables!$E$49</f>
        <v>0.710070294729926</v>
      </c>
      <c r="H269" s="62">
        <f ca="1">IF((H268+I269)&gt;(1.1*Variables!$E$50),(1.1*Variables!$E$50),IF((H268+I269)&gt;0,H268+I269,0))</f>
        <v>4.4024358273255411</v>
      </c>
      <c r="I269" s="64">
        <f t="shared" ca="1" si="8"/>
        <v>-4.366400231270064</v>
      </c>
      <c r="J269" s="63">
        <f>IF(SUM(E265:E268)&lt;Variables!$B$3,-H268,0)</f>
        <v>0</v>
      </c>
      <c r="K269" s="64">
        <f ca="1">IF(AND(H268&lt;Variables!$B$6*Variables!$E$50,OR(SUM(D266:D269)&gt;Variables!$B$5,SUM(E266:E269)&gt;Variables!$B$4)),Variables!$B$6*Variables!$E$50+Variables!$B$7*$G$1*Variables!$E$50*SUM(D266:D269),0)</f>
        <v>0</v>
      </c>
      <c r="L269" s="64">
        <f ca="1">IF(B269="Winter",Variables!$B$8*H268,0)</f>
        <v>-4.366400231270064</v>
      </c>
      <c r="M269" s="64">
        <f ca="1">IF(AND(B269="Spring",AND(NOT(H268=0),H268&lt;(Variables!$B$9*Variables!$E$50))),(Variables!$B$10*Variables!$E$50+Variables!$B$11*Variables!$E$50*SUM(E266:E269)+$G$1*SUM(D268:D269)*Variables!$E$50*Variables!$B$12),0)</f>
        <v>0</v>
      </c>
      <c r="N269" s="64">
        <f>IF(AND(B269="Spring",AND(SUM(D266:D269)&gt;Variables!$B$13,SUM(D262:D265)&gt;Variables!$B$13)),-Variables!$B$14*Variables!$E$50,0)</f>
        <v>0</v>
      </c>
      <c r="O269" s="64">
        <f>IF(AND(B269="Summer",SUM(C265:D269)&gt;Variables!$B$15),(Variables!$B$16*Variables!$E$50*SUM(C265:C269)+$G$1*Variables!$B$16*Variables!$E$50*SUM(D265:D269)+$G$1*Variables!$E$50*Variables!$B$17*F269),0)</f>
        <v>0</v>
      </c>
      <c r="P269" s="64">
        <f ca="1">IF(AND(AND(B269="Autumn",SUM(D268:E269)&gt;0),NOT(H268=0)),Variables!$B$18*Variables!$E$50+Variables!$B$19*Variables!$E$50*SUM(E268:E269)+$G$1*Variables!$B$19*Variables!$E$50*SUM(D268:D269),0)</f>
        <v>0</v>
      </c>
      <c r="Q269" s="64">
        <f>IF(AND(B269="Autumn",AND((E269+E268)&lt;Variables!$B$20,(D268+D269)=0)),-Variables!$B$21*Variables!$E$50,0)</f>
        <v>0</v>
      </c>
      <c r="R269" s="64">
        <f>IF(B269="Autumn",(SUM(F268:F269)*$G$1*Variables!$B$22*Variables!$E$50),0)</f>
        <v>0</v>
      </c>
      <c r="S269" s="64">
        <f>IF(B269="Spring",($G$1*Variables!$E$50*SUM('Guts (MC)'!F268:F269)*Variables!$B$23),0)</f>
        <v>0</v>
      </c>
      <c r="T269" s="63">
        <f ca="1">IF((H268+SUM(J269:Q269))&lt;(Variables!$B$26*Variables!$E$50),$F$1*((Variables!$B$26*Variables!$E$50)-H268-SUM(J269:Q269)),0)</f>
        <v>0</v>
      </c>
      <c r="U269" s="64">
        <f ca="1">IF(AND(AND(B269="Autumn",SUM(D266:E269)&gt;Variables!$B$27),SUM(J269:Q269)&lt;Variables!$B$28*H268),$F$1*(Variables!$B$28*H268-SUM(J269:Q269)),0)</f>
        <v>0</v>
      </c>
      <c r="V269" s="96">
        <f ca="1">IF(AND((J269+K269)=0,(Q269+T269)=0),$H$1*H269*Variables!$I$23*0.25,0)</f>
        <v>53.661191979825524</v>
      </c>
      <c r="W269" s="97">
        <f ca="1">IF(AND((K269+J269)=0,(T269+Q269)=0),$I$1*H269*Variables!$Q$23*0.25,0)</f>
        <v>17.258133841616409</v>
      </c>
      <c r="X269" s="95">
        <f ca="1">IF(AND(NOT(K269=0),(H269-H268)&gt;0),(H269-H268)*(Variables!$M$5*$H$1+Variables!$U$5*$I$1),0)+IF(AND(NOT((J269+N269+Q269)=0),(H268-H269)&gt;0),(H268-H269)*(Variables!$M$4*$H$1+Variables!$U$4*$I$1),0)</f>
        <v>0</v>
      </c>
      <c r="Y269" s="95">
        <f ca="1">IF(SUM(T269,U268:U269)&gt;0,H269*Variables!$Y$11*0.25*(1-$J$1),0)</f>
        <v>0</v>
      </c>
      <c r="Z269" s="95">
        <f ca="1">IF(T269=0,H269*$J$1*Variables!$Y$5*0.25,0)</f>
        <v>4.9540030864840228</v>
      </c>
      <c r="AA269" s="95">
        <f t="shared" ca="1" si="7"/>
        <v>75.873328907925952</v>
      </c>
      <c r="AB269" s="91">
        <f ca="1">AA269/Variables!$E$49</f>
        <v>12.237633694826766</v>
      </c>
    </row>
    <row r="270" spans="1:28" x14ac:dyDescent="0.25">
      <c r="A270" s="61">
        <f>'Water runs'!C277</f>
        <v>26633</v>
      </c>
      <c r="B270" s="61" t="str">
        <f>'Water runs'!B277</f>
        <v>Spring</v>
      </c>
      <c r="C270" s="54">
        <f>'Water runs'!D277/100</f>
        <v>0.80312499999999998</v>
      </c>
      <c r="D270" s="108">
        <f>VLOOKUP(ROW(D270)+4,'Water runs'!$BS$3:$CF$423,MATCH($B$1,Scenarios,0)+1)</f>
        <v>0.14824345402576425</v>
      </c>
      <c r="E270" s="54">
        <f>IF(B270=Variables!$D$8,C270-Variables!$E$8,IF(B270=Variables!$D$9,C270-Variables!$E$9,IF(B270=Variables!$D$10,C270-Variables!$E$10,IF(B270=Variables!$D$11,C270-Variables!$E$11,"ELSE"))))</f>
        <v>3.9142791005290833E-2</v>
      </c>
      <c r="F270" s="108">
        <f>VLOOKUP(ROW(F270)+4,'Water runs'!$CH$3:$CU$423,MATCH($B$1,Scenarios,0)+1)</f>
        <v>0.1363557906238371</v>
      </c>
      <c r="G270" s="65">
        <f ca="1">H270/Variables!$E$49</f>
        <v>0.71309428134002906</v>
      </c>
      <c r="H270" s="62">
        <f ca="1">IF((H269+I270)&gt;(1.1*Variables!$E$50),(1.1*Variables!$E$50),IF((H269+I270)&gt;0,H269+I270,0))</f>
        <v>4.4211845443081801</v>
      </c>
      <c r="I270" s="64">
        <f t="shared" ca="1" si="8"/>
        <v>1.8748716982639017E-2</v>
      </c>
      <c r="J270" s="63">
        <f>IF(SUM(E266:E269)&lt;Variables!$B$3,-H269,0)</f>
        <v>0</v>
      </c>
      <c r="K270" s="64">
        <f ca="1">IF(AND(H269&lt;Variables!$B$6*Variables!$E$50,OR(SUM(D267:D270)&gt;Variables!$B$5,SUM(E267:E270)&gt;Variables!$B$4)),Variables!$B$6*Variables!$E$50+Variables!$B$7*$G$1*Variables!$E$50*SUM(D267:D270),0)</f>
        <v>0</v>
      </c>
      <c r="L270" s="64">
        <f>IF(B270="Winter",Variables!$B$8*H269,0)</f>
        <v>0</v>
      </c>
      <c r="M270" s="64">
        <f ca="1">IF(AND(B270="Spring",AND(NOT(H269=0),H269&lt;(Variables!$B$9*Variables!$E$50))),(Variables!$B$10*Variables!$E$50+Variables!$B$11*Variables!$E$50*SUM(E267:E270)+$G$1*SUM(D269:D270)*Variables!$E$50*Variables!$B$12),0)</f>
        <v>0</v>
      </c>
      <c r="N270" s="64">
        <f>IF(AND(B270="Spring",AND(SUM(D267:D270)&gt;Variables!$B$13,SUM(D263:D266)&gt;Variables!$B$13)),-Variables!$B$14*Variables!$E$50,0)</f>
        <v>0</v>
      </c>
      <c r="O270" s="64">
        <f>IF(AND(B270="Summer",SUM(C266:D270)&gt;Variables!$B$15),(Variables!$B$16*Variables!$E$50*SUM(C266:C270)+$G$1*Variables!$B$16*Variables!$E$50*SUM(D266:D270)+$G$1*Variables!$E$50*Variables!$B$17*F270),0)</f>
        <v>0</v>
      </c>
      <c r="P270" s="64">
        <f ca="1">IF(AND(AND(B270="Autumn",SUM(D269:E270)&gt;0),NOT(H269=0)),Variables!$B$18*Variables!$E$50+Variables!$B$19*Variables!$E$50*SUM(E269:E270)+$G$1*Variables!$B$19*Variables!$E$50*SUM(D269:D270),0)</f>
        <v>0</v>
      </c>
      <c r="Q270" s="64">
        <f>IF(AND(B270="Autumn",AND((E270+E269)&lt;Variables!$B$20,(D269+D270)=0)),-Variables!$B$21*Variables!$E$50,0)</f>
        <v>0</v>
      </c>
      <c r="R270" s="64">
        <f>IF(B270="Autumn",(SUM(F269:F270)*$G$1*Variables!$B$22*Variables!$E$50),0)</f>
        <v>0</v>
      </c>
      <c r="S270" s="64">
        <f ca="1">IF(B270="Spring",($G$1*Variables!$E$50*SUM('Guts (MC)'!F269:F270)*Variables!$B$23),0)</f>
        <v>1.8748716982639017E-2</v>
      </c>
      <c r="T270" s="63">
        <f ca="1">IF((H269+SUM(J270:Q270))&lt;(Variables!$B$26*Variables!$E$50),$F$1*((Variables!$B$26*Variables!$E$50)-H269-SUM(J270:Q270)),0)</f>
        <v>0</v>
      </c>
      <c r="U270" s="64">
        <f ca="1">IF(AND(AND(B270="Autumn",SUM(D267:E270)&gt;Variables!$B$27),SUM(J270:Q270)&lt;Variables!$B$28*H269),$F$1*(Variables!$B$28*H269-SUM(J270:Q270)),0)</f>
        <v>0</v>
      </c>
      <c r="V270" s="96">
        <f ca="1">IF(AND((J270+K270)=0,(Q270+T270)=0),$H$1*H270*Variables!$I$23*0.25,0)</f>
        <v>53.889719672412475</v>
      </c>
      <c r="W270" s="97">
        <f ca="1">IF(AND((K270+J270)=0,(T270+Q270)=0),$I$1*H270*Variables!$Q$23*0.25,0)</f>
        <v>17.331631305233394</v>
      </c>
      <c r="X270" s="95">
        <f ca="1">IF(AND(NOT(K270=0),(H270-H269)&gt;0),(H270-H269)*(Variables!$M$5*$H$1+Variables!$U$5*$I$1),0)+IF(AND(NOT((J270+N270+Q270)=0),(H269-H270)&gt;0),(H269-H270)*(Variables!$M$4*$H$1+Variables!$U$4*$I$1),0)</f>
        <v>0</v>
      </c>
      <c r="Y270" s="95">
        <f ca="1">IF(SUM(T270,U269:U270)&gt;0,H270*Variables!$Y$11*0.25*(1-$J$1),0)</f>
        <v>0</v>
      </c>
      <c r="Z270" s="95">
        <f ca="1">IF(T270=0,H270*$J$1*Variables!$Y$5*0.25,0)</f>
        <v>4.9751007709120625</v>
      </c>
      <c r="AA270" s="95">
        <f t="shared" ca="1" si="7"/>
        <v>76.196451748557934</v>
      </c>
      <c r="AB270" s="91">
        <f ca="1">AA270/Variables!$E$49</f>
        <v>12.289750282025473</v>
      </c>
    </row>
    <row r="271" spans="1:28" x14ac:dyDescent="0.25">
      <c r="A271" s="61">
        <f>'Water runs'!C278</f>
        <v>26723</v>
      </c>
      <c r="B271" s="61" t="str">
        <f>'Water runs'!B278</f>
        <v>Summer</v>
      </c>
      <c r="C271" s="54">
        <f>'Water runs'!D278/100</f>
        <v>1.6336250000000001</v>
      </c>
      <c r="D271" s="108">
        <f>VLOOKUP(ROW(D271)+4,'Water runs'!$BS$3:$CF$423,MATCH($B$1,Scenarios,0)+1)</f>
        <v>1.4437960712278007E-2</v>
      </c>
      <c r="E271" s="54">
        <f>IF(B271=Variables!$D$8,C271-Variables!$E$8,IF(B271=Variables!$D$9,C271-Variables!$E$9,IF(B271=Variables!$D$10,C271-Variables!$E$10,IF(B271=Variables!$D$11,C271-Variables!$E$11,"ELSE"))))</f>
        <v>0.37525486394557839</v>
      </c>
      <c r="F271" s="108">
        <f>VLOOKUP(ROW(F271)+4,'Water runs'!$CH$3:$CU$423,MATCH($B$1,Scenarios,0)+1)</f>
        <v>0</v>
      </c>
      <c r="G271" s="65">
        <f ca="1">H271/Variables!$E$49</f>
        <v>0.71309428134002906</v>
      </c>
      <c r="H271" s="62">
        <f ca="1">IF((H270+I271)&gt;(1.1*Variables!$E$50),(1.1*Variables!$E$50),IF((H270+I271)&gt;0,H270+I271,0))</f>
        <v>4.4211845443081801</v>
      </c>
      <c r="I271" s="64">
        <f t="shared" ca="1" si="8"/>
        <v>0</v>
      </c>
      <c r="J271" s="63">
        <f>IF(SUM(E267:E270)&lt;Variables!$B$3,-H270,0)</f>
        <v>0</v>
      </c>
      <c r="K271" s="64">
        <f ca="1">IF(AND(H270&lt;Variables!$B$6*Variables!$E$50,OR(SUM(D268:D271)&gt;Variables!$B$5,SUM(E268:E271)&gt;Variables!$B$4)),Variables!$B$6*Variables!$E$50+Variables!$B$7*$G$1*Variables!$E$50*SUM(D268:D271),0)</f>
        <v>0</v>
      </c>
      <c r="L271" s="64">
        <f>IF(B271="Winter",Variables!$B$8*H270,0)</f>
        <v>0</v>
      </c>
      <c r="M271" s="64">
        <f ca="1">IF(AND(B271="Spring",AND(NOT(H270=0),H270&lt;(Variables!$B$9*Variables!$E$50))),(Variables!$B$10*Variables!$E$50+Variables!$B$11*Variables!$E$50*SUM(E268:E271)+$G$1*SUM(D270:D271)*Variables!$E$50*Variables!$B$12),0)</f>
        <v>0</v>
      </c>
      <c r="N271" s="64">
        <f>IF(AND(B271="Spring",AND(SUM(D268:D271)&gt;Variables!$B$13,SUM(D264:D267)&gt;Variables!$B$13)),-Variables!$B$14*Variables!$E$50,0)</f>
        <v>0</v>
      </c>
      <c r="O271" s="64">
        <f>IF(AND(B271="Summer",SUM(C267:D271)&gt;Variables!$B$15),(Variables!$B$16*Variables!$E$50*SUM(C267:C271)+$G$1*Variables!$B$16*Variables!$E$50*SUM(D267:D271)+$G$1*Variables!$E$50*Variables!$B$17*F271),0)</f>
        <v>0</v>
      </c>
      <c r="P271" s="64">
        <f ca="1">IF(AND(AND(B271="Autumn",SUM(D270:E271)&gt;0),NOT(H270=0)),Variables!$B$18*Variables!$E$50+Variables!$B$19*Variables!$E$50*SUM(E270:E271)+$G$1*Variables!$B$19*Variables!$E$50*SUM(D270:D271),0)</f>
        <v>0</v>
      </c>
      <c r="Q271" s="64">
        <f>IF(AND(B271="Autumn",AND((E271+E270)&lt;Variables!$B$20,(D270+D271)=0)),-Variables!$B$21*Variables!$E$50,0)</f>
        <v>0</v>
      </c>
      <c r="R271" s="64">
        <f>IF(B271="Autumn",(SUM(F270:F271)*$G$1*Variables!$B$22*Variables!$E$50),0)</f>
        <v>0</v>
      </c>
      <c r="S271" s="64">
        <f>IF(B271="Spring",($G$1*Variables!$E$50*SUM('Guts (MC)'!F270:F271)*Variables!$B$23),0)</f>
        <v>0</v>
      </c>
      <c r="T271" s="63">
        <f ca="1">IF((H270+SUM(J271:Q271))&lt;(Variables!$B$26*Variables!$E$50),$F$1*((Variables!$B$26*Variables!$E$50)-H270-SUM(J271:Q271)),0)</f>
        <v>0</v>
      </c>
      <c r="U271" s="64">
        <f ca="1">IF(AND(AND(B271="Autumn",SUM(D268:E271)&gt;Variables!$B$27),SUM(J271:Q271)&lt;Variables!$B$28*H270),$F$1*(Variables!$B$28*H270-SUM(J271:Q271)),0)</f>
        <v>0</v>
      </c>
      <c r="V271" s="96">
        <f ca="1">IF(AND((J271+K271)=0,(Q271+T271)=0),$H$1*H271*Variables!$I$23*0.25,0)</f>
        <v>53.889719672412475</v>
      </c>
      <c r="W271" s="97">
        <f ca="1">IF(AND((K271+J271)=0,(T271+Q271)=0),$I$1*H271*Variables!$Q$23*0.25,0)</f>
        <v>17.331631305233394</v>
      </c>
      <c r="X271" s="95">
        <f ca="1">IF(AND(NOT(K271=0),(H271-H270)&gt;0),(H271-H270)*(Variables!$M$5*$H$1+Variables!$U$5*$I$1),0)+IF(AND(NOT((J271+N271+Q271)=0),(H270-H271)&gt;0),(H270-H271)*(Variables!$M$4*$H$1+Variables!$U$4*$I$1),0)</f>
        <v>0</v>
      </c>
      <c r="Y271" s="95">
        <f ca="1">IF(SUM(T271,U270:U271)&gt;0,H271*Variables!$Y$11*0.25*(1-$J$1),0)</f>
        <v>0</v>
      </c>
      <c r="Z271" s="95">
        <f ca="1">IF(T271=0,H271*$J$1*Variables!$Y$5*0.25,0)</f>
        <v>4.9751007709120625</v>
      </c>
      <c r="AA271" s="95">
        <f t="shared" ca="1" si="7"/>
        <v>76.196451748557934</v>
      </c>
      <c r="AB271" s="91">
        <f ca="1">AA271/Variables!$E$49</f>
        <v>12.289750282025473</v>
      </c>
    </row>
    <row r="272" spans="1:28" x14ac:dyDescent="0.25">
      <c r="A272" s="61">
        <f>'Water runs'!C279</f>
        <v>26815</v>
      </c>
      <c r="B272" s="61" t="str">
        <f>'Water runs'!B279</f>
        <v>Autumn</v>
      </c>
      <c r="C272" s="54">
        <f>'Water runs'!D279/100</f>
        <v>0.50639285714285698</v>
      </c>
      <c r="D272" s="108">
        <f>VLOOKUP(ROW(D272)+4,'Water runs'!$BS$3:$CF$423,MATCH($B$1,Scenarios,0)+1)</f>
        <v>5.1148465150159539E-4</v>
      </c>
      <c r="E272" s="54">
        <f>IF(B272=Variables!$D$8,C272-Variables!$E$8,IF(B272=Variables!$D$9,C272-Variables!$E$9,IF(B272=Variables!$D$10,C272-Variables!$E$10,IF(B272=Variables!$D$11,C272-Variables!$E$11,"ELSE"))))</f>
        <v>-0.48825044217687086</v>
      </c>
      <c r="F272" s="108">
        <f>VLOOKUP(ROW(F272)+4,'Water runs'!$CH$3:$CU$423,MATCH($B$1,Scenarios,0)+1)</f>
        <v>0</v>
      </c>
      <c r="G272" s="65">
        <f ca="1">H272/Variables!$E$49</f>
        <v>0.71309428134002906</v>
      </c>
      <c r="H272" s="62">
        <f ca="1">IF((H271+I272)&gt;(1.1*Variables!$E$50),(1.1*Variables!$E$50),IF((H271+I272)&gt;0,H271+I272,0))</f>
        <v>4.4211845443081801</v>
      </c>
      <c r="I272" s="64">
        <f t="shared" ca="1" si="8"/>
        <v>0</v>
      </c>
      <c r="J272" s="63">
        <f>IF(SUM(E268:E271)&lt;Variables!$B$3,-H271,0)</f>
        <v>0</v>
      </c>
      <c r="K272" s="64">
        <f ca="1">IF(AND(H271&lt;Variables!$B$6*Variables!$E$50,OR(SUM(D269:D272)&gt;Variables!$B$5,SUM(E269:E272)&gt;Variables!$B$4)),Variables!$B$6*Variables!$E$50+Variables!$B$7*$G$1*Variables!$E$50*SUM(D269:D272),0)</f>
        <v>0</v>
      </c>
      <c r="L272" s="64">
        <f>IF(B272="Winter",Variables!$B$8*H271,0)</f>
        <v>0</v>
      </c>
      <c r="M272" s="64">
        <f ca="1">IF(AND(B272="Spring",AND(NOT(H271=0),H271&lt;(Variables!$B$9*Variables!$E$50))),(Variables!$B$10*Variables!$E$50+Variables!$B$11*Variables!$E$50*SUM(E269:E272)+$G$1*SUM(D271:D272)*Variables!$E$50*Variables!$B$12),0)</f>
        <v>0</v>
      </c>
      <c r="N272" s="64">
        <f>IF(AND(B272="Spring",AND(SUM(D269:D272)&gt;Variables!$B$13,SUM(D265:D268)&gt;Variables!$B$13)),-Variables!$B$14*Variables!$E$50,0)</f>
        <v>0</v>
      </c>
      <c r="O272" s="64">
        <f>IF(AND(B272="Summer",SUM(C268:D272)&gt;Variables!$B$15),(Variables!$B$16*Variables!$E$50*SUM(C268:C272)+$G$1*Variables!$B$16*Variables!$E$50*SUM(D268:D272)+$G$1*Variables!$E$50*Variables!$B$17*F272),0)</f>
        <v>0</v>
      </c>
      <c r="P272" s="64">
        <f ca="1">IF(AND(AND(B272="Autumn",SUM(D271:E272)&gt;0),NOT(H271=0)),Variables!$B$18*Variables!$E$50+Variables!$B$19*Variables!$E$50*SUM(E271:E272)+$G$1*Variables!$B$19*Variables!$E$50*SUM(D271:D272),0)</f>
        <v>0</v>
      </c>
      <c r="Q272" s="64">
        <f>IF(AND(B272="Autumn",AND((E272+E271)&lt;Variables!$B$20,(D271+D272)=0)),-Variables!$B$21*Variables!$E$50,0)</f>
        <v>0</v>
      </c>
      <c r="R272" s="64">
        <f ca="1">IF(B272="Autumn",(SUM(F271:F272)*$G$1*Variables!$B$22*Variables!$E$50),0)</f>
        <v>0</v>
      </c>
      <c r="S272" s="64">
        <f>IF(B272="Spring",($G$1*Variables!$E$50*SUM('Guts (MC)'!F271:F272)*Variables!$B$23),0)</f>
        <v>0</v>
      </c>
      <c r="T272" s="63">
        <f ca="1">IF((H271+SUM(J272:Q272))&lt;(Variables!$B$26*Variables!$E$50),$F$1*((Variables!$B$26*Variables!$E$50)-H271-SUM(J272:Q272)),0)</f>
        <v>0</v>
      </c>
      <c r="U272" s="64">
        <f ca="1">IF(AND(AND(B272="Autumn",SUM(D269:E272)&gt;Variables!$B$27),SUM(J272:Q272)&lt;Variables!$B$28*H271),$F$1*(Variables!$B$28*H271-SUM(J272:Q272)),0)</f>
        <v>0</v>
      </c>
      <c r="V272" s="96">
        <f ca="1">IF(AND((J272+K272)=0,(Q272+T272)=0),$H$1*H272*Variables!$I$23*0.25,0)</f>
        <v>53.889719672412475</v>
      </c>
      <c r="W272" s="97">
        <f ca="1">IF(AND((K272+J272)=0,(T272+Q272)=0),$I$1*H272*Variables!$Q$23*0.25,0)</f>
        <v>17.331631305233394</v>
      </c>
      <c r="X272" s="95">
        <f ca="1">IF(AND(NOT(K272=0),(H272-H271)&gt;0),(H272-H271)*(Variables!$M$5*$H$1+Variables!$U$5*$I$1),0)+IF(AND(NOT((J272+N272+Q272)=0),(H271-H272)&gt;0),(H271-H272)*(Variables!$M$4*$H$1+Variables!$U$4*$I$1),0)</f>
        <v>0</v>
      </c>
      <c r="Y272" s="95">
        <f ca="1">IF(SUM(T272,U271:U272)&gt;0,H272*Variables!$Y$11*0.25*(1-$J$1),0)</f>
        <v>0</v>
      </c>
      <c r="Z272" s="95">
        <f ca="1">IF(T272=0,H272*$J$1*Variables!$Y$5*0.25,0)</f>
        <v>4.9751007709120625</v>
      </c>
      <c r="AA272" s="95">
        <f t="shared" ref="AA272:AA335" ca="1" si="9">SUM(V272:Z272)</f>
        <v>76.196451748557934</v>
      </c>
      <c r="AB272" s="91">
        <f ca="1">AA272/Variables!$E$49</f>
        <v>12.289750282025473</v>
      </c>
    </row>
    <row r="273" spans="1:28" x14ac:dyDescent="0.25">
      <c r="A273" s="61">
        <f>'Water runs'!C280</f>
        <v>26907</v>
      </c>
      <c r="B273" s="61" t="str">
        <f>'Water runs'!B280</f>
        <v>Winter</v>
      </c>
      <c r="C273" s="54">
        <f>'Water runs'!D280/100</f>
        <v>0.73633333333333295</v>
      </c>
      <c r="D273" s="108">
        <f>VLOOKUP(ROW(D273)+4,'Water runs'!$BS$3:$CF$423,MATCH($B$1,Scenarios,0)+1)</f>
        <v>0</v>
      </c>
      <c r="E273" s="54">
        <f>IF(B273=Variables!$D$8,C273-Variables!$E$8,IF(B273=Variables!$D$9,C273-Variables!$E$9,IF(B273=Variables!$D$10,C273-Variables!$E$10,IF(B273=Variables!$D$11,C273-Variables!$E$11,"ELSE"))))</f>
        <v>0.16456570767195722</v>
      </c>
      <c r="F273" s="108">
        <f>VLOOKUP(ROW(F273)+4,'Water runs'!$CH$3:$CU$423,MATCH($B$1,Scenarios,0)+1)</f>
        <v>0</v>
      </c>
      <c r="G273" s="65">
        <f ca="1">H273/Variables!$E$49</f>
        <v>0.35801237375797101</v>
      </c>
      <c r="H273" s="62">
        <f ca="1">IF((H272+I273)&gt;(1.1*Variables!$E$50),(1.1*Variables!$E$50),IF((H272+I273)&gt;0,H272+I273,0))</f>
        <v>2.2196767172994205</v>
      </c>
      <c r="I273" s="64">
        <f t="shared" ca="1" si="8"/>
        <v>-2.2015078270087596</v>
      </c>
      <c r="J273" s="63">
        <f>IF(SUM(E269:E272)&lt;Variables!$B$3,-H272,0)</f>
        <v>0</v>
      </c>
      <c r="K273" s="64">
        <f ca="1">IF(AND(H272&lt;Variables!$B$6*Variables!$E$50,OR(SUM(D270:D273)&gt;Variables!$B$5,SUM(E270:E273)&gt;Variables!$B$4)),Variables!$B$6*Variables!$E$50+Variables!$B$7*$G$1*Variables!$E$50*SUM(D270:D273),0)</f>
        <v>0</v>
      </c>
      <c r="L273" s="64">
        <f ca="1">IF(B273="Winter",Variables!$B$8*H272,0)</f>
        <v>-2.2015078270087596</v>
      </c>
      <c r="M273" s="64">
        <f ca="1">IF(AND(B273="Spring",AND(NOT(H272=0),H272&lt;(Variables!$B$9*Variables!$E$50))),(Variables!$B$10*Variables!$E$50+Variables!$B$11*Variables!$E$50*SUM(E270:E273)+$G$1*SUM(D272:D273)*Variables!$E$50*Variables!$B$12),0)</f>
        <v>0</v>
      </c>
      <c r="N273" s="64">
        <f>IF(AND(B273="Spring",AND(SUM(D270:D273)&gt;Variables!$B$13,SUM(D266:D269)&gt;Variables!$B$13)),-Variables!$B$14*Variables!$E$50,0)</f>
        <v>0</v>
      </c>
      <c r="O273" s="64">
        <f>IF(AND(B273="Summer",SUM(C269:D273)&gt;Variables!$B$15),(Variables!$B$16*Variables!$E$50*SUM(C269:C273)+$G$1*Variables!$B$16*Variables!$E$50*SUM(D269:D273)+$G$1*Variables!$E$50*Variables!$B$17*F273),0)</f>
        <v>0</v>
      </c>
      <c r="P273" s="64">
        <f ca="1">IF(AND(AND(B273="Autumn",SUM(D272:E273)&gt;0),NOT(H272=0)),Variables!$B$18*Variables!$E$50+Variables!$B$19*Variables!$E$50*SUM(E272:E273)+$G$1*Variables!$B$19*Variables!$E$50*SUM(D272:D273),0)</f>
        <v>0</v>
      </c>
      <c r="Q273" s="64">
        <f>IF(AND(B273="Autumn",AND((E273+E272)&lt;Variables!$B$20,(D272+D273)=0)),-Variables!$B$21*Variables!$E$50,0)</f>
        <v>0</v>
      </c>
      <c r="R273" s="64">
        <f>IF(B273="Autumn",(SUM(F272:F273)*$G$1*Variables!$B$22*Variables!$E$50),0)</f>
        <v>0</v>
      </c>
      <c r="S273" s="64">
        <f>IF(B273="Spring",($G$1*Variables!$E$50*SUM('Guts (MC)'!F272:F273)*Variables!$B$23),0)</f>
        <v>0</v>
      </c>
      <c r="T273" s="63">
        <f ca="1">IF((H272+SUM(J273:Q273))&lt;(Variables!$B$26*Variables!$E$50),$F$1*((Variables!$B$26*Variables!$E$50)-H272-SUM(J273:Q273)),0)</f>
        <v>0</v>
      </c>
      <c r="U273" s="64">
        <f ca="1">IF(AND(AND(B273="Autumn",SUM(D270:E273)&gt;Variables!$B$27),SUM(J273:Q273)&lt;Variables!$B$28*H272),$F$1*(Variables!$B$28*H272-SUM(J273:Q273)),0)</f>
        <v>0</v>
      </c>
      <c r="V273" s="96">
        <f ca="1">IF(AND((J273+K273)=0,(Q273+T273)=0),$H$1*H273*Variables!$I$23*0.25,0)</f>
        <v>27.055589935200075</v>
      </c>
      <c r="W273" s="97">
        <f ca="1">IF(AND((K273+J273)=0,(T273+Q273)=0),$I$1*H273*Variables!$Q$23*0.25,0)</f>
        <v>8.7014278855586991</v>
      </c>
      <c r="X273" s="95">
        <f ca="1">IF(AND(NOT(K273=0),(H273-H272)&gt;0),(H273-H272)*(Variables!$M$5*$H$1+Variables!$U$5*$I$1),0)+IF(AND(NOT((J273+N273+Q273)=0),(H272-H273)&gt;0),(H272-H273)*(Variables!$M$4*$H$1+Variables!$U$4*$I$1),0)</f>
        <v>0</v>
      </c>
      <c r="Y273" s="95">
        <f ca="1">IF(SUM(T273,U272:U273)&gt;0,H273*Variables!$Y$11*0.25*(1-$J$1),0)</f>
        <v>0</v>
      </c>
      <c r="Z273" s="95">
        <f ca="1">IF(T273=0,H273*$J$1*Variables!$Y$5*0.25,0)</f>
        <v>2.4977729919979876</v>
      </c>
      <c r="AA273" s="95">
        <f t="shared" ca="1" si="9"/>
        <v>38.254790812756767</v>
      </c>
      <c r="AB273" s="91">
        <f ca="1">AA273/Variables!$E$49</f>
        <v>6.17012755044464</v>
      </c>
    </row>
    <row r="274" spans="1:28" x14ac:dyDescent="0.25">
      <c r="A274" s="61">
        <f>'Water runs'!C281</f>
        <v>26998</v>
      </c>
      <c r="B274" s="61" t="str">
        <f>'Water runs'!B281</f>
        <v>Spring</v>
      </c>
      <c r="C274" s="54">
        <f>'Water runs'!D281/100</f>
        <v>1.5094999999999998</v>
      </c>
      <c r="D274" s="108">
        <f>VLOOKUP(ROW(D274)+4,'Water runs'!$BS$3:$CF$423,MATCH($B$1,Scenarios,0)+1)</f>
        <v>0</v>
      </c>
      <c r="E274" s="54">
        <f>IF(B274=Variables!$D$8,C274-Variables!$E$8,IF(B274=Variables!$D$9,C274-Variables!$E$9,IF(B274=Variables!$D$10,C274-Variables!$E$10,IF(B274=Variables!$D$11,C274-Variables!$E$11,"ELSE"))))</f>
        <v>0.7455177910052907</v>
      </c>
      <c r="F274" s="108">
        <f>VLOOKUP(ROW(F274)+4,'Water runs'!$CH$3:$CU$423,MATCH($B$1,Scenarios,0)+1)</f>
        <v>0</v>
      </c>
      <c r="G274" s="65">
        <f ca="1">H274/Variables!$E$49</f>
        <v>0.44557141295495634</v>
      </c>
      <c r="H274" s="62">
        <f ca="1">IF((H273+I274)&gt;(1.1*Variables!$E$50),(1.1*Variables!$E$50),IF((H273+I274)&gt;0,H273+I274,0))</f>
        <v>2.7625427603207293</v>
      </c>
      <c r="I274" s="64">
        <f t="shared" ca="1" si="8"/>
        <v>0.54286604302130892</v>
      </c>
      <c r="J274" s="63">
        <f>IF(SUM(E270:E273)&lt;Variables!$B$3,-H273,0)</f>
        <v>0</v>
      </c>
      <c r="K274" s="64">
        <f ca="1">IF(AND(H273&lt;Variables!$B$6*Variables!$E$50,OR(SUM(D271:D274)&gt;Variables!$B$5,SUM(E271:E274)&gt;Variables!$B$4)),Variables!$B$6*Variables!$E$50+Variables!$B$7*$G$1*Variables!$E$50*SUM(D271:D274),0)</f>
        <v>0</v>
      </c>
      <c r="L274" s="64">
        <f>IF(B274="Winter",Variables!$B$8*H273,0)</f>
        <v>0</v>
      </c>
      <c r="M274" s="64">
        <f ca="1">IF(AND(B274="Spring",AND(NOT(H273=0),H273&lt;(Variables!$B$9*Variables!$E$50))),(Variables!$B$10*Variables!$E$50+Variables!$B$11*Variables!$E$50*SUM(E271:E274)+$G$1*SUM(D273:D274)*Variables!$E$50*Variables!$B$12),0)</f>
        <v>0.54286604302130892</v>
      </c>
      <c r="N274" s="64">
        <f>IF(AND(B274="Spring",AND(SUM(D271:D274)&gt;Variables!$B$13,SUM(D267:D270)&gt;Variables!$B$13)),-Variables!$B$14*Variables!$E$50,0)</f>
        <v>0</v>
      </c>
      <c r="O274" s="64">
        <f>IF(AND(B274="Summer",SUM(C270:D274)&gt;Variables!$B$15),(Variables!$B$16*Variables!$E$50*SUM(C270:C274)+$G$1*Variables!$B$16*Variables!$E$50*SUM(D270:D274)+$G$1*Variables!$E$50*Variables!$B$17*F274),0)</f>
        <v>0</v>
      </c>
      <c r="P274" s="64">
        <f ca="1">IF(AND(AND(B274="Autumn",SUM(D273:E274)&gt;0),NOT(H273=0)),Variables!$B$18*Variables!$E$50+Variables!$B$19*Variables!$E$50*SUM(E273:E274)+$G$1*Variables!$B$19*Variables!$E$50*SUM(D273:D274),0)</f>
        <v>0</v>
      </c>
      <c r="Q274" s="64">
        <f>IF(AND(B274="Autumn",AND((E274+E273)&lt;Variables!$B$20,(D273+D274)=0)),-Variables!$B$21*Variables!$E$50,0)</f>
        <v>0</v>
      </c>
      <c r="R274" s="64">
        <f>IF(B274="Autumn",(SUM(F273:F274)*$G$1*Variables!$B$22*Variables!$E$50),0)</f>
        <v>0</v>
      </c>
      <c r="S274" s="64">
        <f ca="1">IF(B274="Spring",($G$1*Variables!$E$50*SUM('Guts (MC)'!F273:F274)*Variables!$B$23),0)</f>
        <v>0</v>
      </c>
      <c r="T274" s="63">
        <f ca="1">IF((H273+SUM(J274:Q274))&lt;(Variables!$B$26*Variables!$E$50),$F$1*((Variables!$B$26*Variables!$E$50)-H273-SUM(J274:Q274)),0)</f>
        <v>0</v>
      </c>
      <c r="U274" s="64">
        <f ca="1">IF(AND(AND(B274="Autumn",SUM(D271:E274)&gt;Variables!$B$27),SUM(J274:Q274)&lt;Variables!$B$28*H273),$F$1*(Variables!$B$28*H273-SUM(J274:Q274)),0)</f>
        <v>0</v>
      </c>
      <c r="V274" s="96">
        <f ca="1">IF(AND((J274+K274)=0,(Q274+T274)=0),$H$1*H274*Variables!$I$23*0.25,0)</f>
        <v>33.672572009778442</v>
      </c>
      <c r="W274" s="97">
        <f ca="1">IF(AND((K274+J274)=0,(T274+Q274)=0),$I$1*H274*Variables!$Q$23*0.25,0)</f>
        <v>10.829534959914847</v>
      </c>
      <c r="X274" s="95">
        <f ca="1">IF(AND(NOT(K274=0),(H274-H273)&gt;0),(H274-H273)*(Variables!$M$5*$H$1+Variables!$U$5*$I$1),0)+IF(AND(NOT((J274+N274+Q274)=0),(H273-H274)&gt;0),(H273-H274)*(Variables!$M$4*$H$1+Variables!$U$4*$I$1),0)</f>
        <v>0</v>
      </c>
      <c r="Y274" s="95">
        <f ca="1">IF(SUM(T274,U273:U274)&gt;0,H274*Variables!$Y$11*0.25*(1-$J$1),0)</f>
        <v>0</v>
      </c>
      <c r="Z274" s="95">
        <f ca="1">IF(T274=0,H274*$J$1*Variables!$Y$5*0.25,0)</f>
        <v>3.1086530043725702</v>
      </c>
      <c r="AA274" s="95">
        <f t="shared" ca="1" si="9"/>
        <v>47.610759974065857</v>
      </c>
      <c r="AB274" s="91">
        <f ca="1">AA274/Variables!$E$49</f>
        <v>7.6791548345267513</v>
      </c>
    </row>
    <row r="275" spans="1:28" x14ac:dyDescent="0.25">
      <c r="A275" s="61">
        <f>'Water runs'!C282</f>
        <v>27088</v>
      </c>
      <c r="B275" s="61" t="str">
        <f>'Water runs'!B282</f>
        <v>Summer</v>
      </c>
      <c r="C275" s="54">
        <f>'Water runs'!D282/100</f>
        <v>4.6364999999999998</v>
      </c>
      <c r="D275" s="108">
        <f>VLOOKUP(ROW(D275)+4,'Water runs'!$BS$3:$CF$423,MATCH($B$1,Scenarios,0)+1)</f>
        <v>0.43232329630480049</v>
      </c>
      <c r="E275" s="54">
        <f>IF(B275=Variables!$D$8,C275-Variables!$E$8,IF(B275=Variables!$D$9,C275-Variables!$E$9,IF(B275=Variables!$D$10,C275-Variables!$E$10,IF(B275=Variables!$D$11,C275-Variables!$E$11,"ELSE"))))</f>
        <v>3.3781298639455781</v>
      </c>
      <c r="F275" s="108">
        <f>VLOOKUP(ROW(F275)+4,'Water runs'!$CH$3:$CU$423,MATCH($B$1,Scenarios,0)+1)</f>
        <v>0.40206177404413335</v>
      </c>
      <c r="G275" s="65">
        <f ca="1">H275/Variables!$E$49</f>
        <v>1.0941195248124918</v>
      </c>
      <c r="H275" s="62">
        <f ca="1">IF((H274+I275)&gt;(1.1*Variables!$E$50),(1.1*Variables!$E$50),IF((H274+I275)&gt;0,H274+I275,0))</f>
        <v>6.7835410538374497</v>
      </c>
      <c r="I275" s="64">
        <f t="shared" ca="1" si="8"/>
        <v>4.0209982935167208</v>
      </c>
      <c r="J275" s="63">
        <f>IF(SUM(E271:E274)&lt;Variables!$B$3,-H274,0)</f>
        <v>0</v>
      </c>
      <c r="K275" s="64">
        <f ca="1">IF(AND(H274&lt;Variables!$B$6*Variables!$E$50,OR(SUM(D272:D275)&gt;Variables!$B$5,SUM(E272:E275)&gt;Variables!$B$4)),Variables!$B$6*Variables!$E$50+Variables!$B$7*$G$1*Variables!$E$50*SUM(D272:D275),0)</f>
        <v>0</v>
      </c>
      <c r="L275" s="64">
        <f>IF(B275="Winter",Variables!$B$8*H274,0)</f>
        <v>0</v>
      </c>
      <c r="M275" s="64">
        <f ca="1">IF(AND(B275="Spring",AND(NOT(H274=0),H274&lt;(Variables!$B$9*Variables!$E$50))),(Variables!$B$10*Variables!$E$50+Variables!$B$11*Variables!$E$50*SUM(E272:E275)+$G$1*SUM(D274:D275)*Variables!$E$50*Variables!$B$12),0)</f>
        <v>0</v>
      </c>
      <c r="N275" s="64">
        <f>IF(AND(B275="Spring",AND(SUM(D272:D275)&gt;Variables!$B$13,SUM(D268:D271)&gt;Variables!$B$13)),-Variables!$B$14*Variables!$E$50,0)</f>
        <v>0</v>
      </c>
      <c r="O275" s="64">
        <f ca="1">IF(AND(B275="Summer",SUM(C271:D275)&gt;Variables!$B$15),(Variables!$B$16*Variables!$E$50*SUM(C271:C275)+$G$1*Variables!$B$16*Variables!$E$50*SUM(D271:D275)+$G$1*Variables!$E$50*Variables!$B$17*F275),0)</f>
        <v>4.0209982935167208</v>
      </c>
      <c r="P275" s="64">
        <f ca="1">IF(AND(AND(B275="Autumn",SUM(D274:E275)&gt;0),NOT(H274=0)),Variables!$B$18*Variables!$E$50+Variables!$B$19*Variables!$E$50*SUM(E274:E275)+$G$1*Variables!$B$19*Variables!$E$50*SUM(D274:D275),0)</f>
        <v>0</v>
      </c>
      <c r="Q275" s="64">
        <f>IF(AND(B275="Autumn",AND((E275+E274)&lt;Variables!$B$20,(D274+D275)=0)),-Variables!$B$21*Variables!$E$50,0)</f>
        <v>0</v>
      </c>
      <c r="R275" s="64">
        <f>IF(B275="Autumn",(SUM(F274:F275)*$G$1*Variables!$B$22*Variables!$E$50),0)</f>
        <v>0</v>
      </c>
      <c r="S275" s="64">
        <f>IF(B275="Spring",($G$1*Variables!$E$50*SUM('Guts (MC)'!F274:F275)*Variables!$B$23),0)</f>
        <v>0</v>
      </c>
      <c r="T275" s="63">
        <f ca="1">IF((H274+SUM(J275:Q275))&lt;(Variables!$B$26*Variables!$E$50),$F$1*((Variables!$B$26*Variables!$E$50)-H274-SUM(J275:Q275)),0)</f>
        <v>0</v>
      </c>
      <c r="U275" s="64">
        <f ca="1">IF(AND(AND(B275="Autumn",SUM(D272:E275)&gt;Variables!$B$27),SUM(J275:Q275)&lt;Variables!$B$28*H274),$F$1*(Variables!$B$28*H274-SUM(J275:Q275)),0)</f>
        <v>0</v>
      </c>
      <c r="V275" s="96">
        <f ca="1">IF(AND((J275+K275)=0,(Q275+T275)=0),$H$1*H275*Variables!$I$23*0.25,0)</f>
        <v>82.684430408639372</v>
      </c>
      <c r="W275" s="97">
        <f ca="1">IF(AND((K275+J275)=0,(T275+Q275)=0),$I$1*H275*Variables!$Q$23*0.25,0)</f>
        <v>26.592382948679248</v>
      </c>
      <c r="X275" s="95">
        <f ca="1">IF(AND(NOT(K275=0),(H275-H274)&gt;0),(H275-H274)*(Variables!$M$5*$H$1+Variables!$U$5*$I$1),0)+IF(AND(NOT((J275+N275+Q275)=0),(H274-H275)&gt;0),(H274-H275)*(Variables!$M$4*$H$1+Variables!$U$4*$I$1),0)</f>
        <v>0</v>
      </c>
      <c r="Y275" s="95">
        <f ca="1">IF(SUM(T275,U274:U275)&gt;0,H275*Variables!$Y$11*0.25*(1-$J$1),0)</f>
        <v>0</v>
      </c>
      <c r="Z275" s="95">
        <f ca="1">IF(T275=0,H275*$J$1*Variables!$Y$5*0.25,0)</f>
        <v>7.6334294549881267</v>
      </c>
      <c r="AA275" s="95">
        <f t="shared" ca="1" si="9"/>
        <v>116.91024281230675</v>
      </c>
      <c r="AB275" s="91">
        <f ca="1">AA275/Variables!$E$49</f>
        <v>18.856490776178507</v>
      </c>
    </row>
    <row r="276" spans="1:28" x14ac:dyDescent="0.25">
      <c r="A276" s="61">
        <f>'Water runs'!C283</f>
        <v>27180</v>
      </c>
      <c r="B276" s="61" t="str">
        <f>'Water runs'!B283</f>
        <v>Autumn</v>
      </c>
      <c r="C276" s="54">
        <f>'Water runs'!D283/100</f>
        <v>1.5951249999999999</v>
      </c>
      <c r="D276" s="108">
        <f>VLOOKUP(ROW(D276)+4,'Water runs'!$BS$3:$CF$423,MATCH($B$1,Scenarios,0)+1)</f>
        <v>4.3389100467937196E-4</v>
      </c>
      <c r="E276" s="54">
        <f>IF(B276=Variables!$D$8,C276-Variables!$E$8,IF(B276=Variables!$D$9,C276-Variables!$E$9,IF(B276=Variables!$D$10,C276-Variables!$E$10,IF(B276=Variables!$D$11,C276-Variables!$E$11,"ELSE"))))</f>
        <v>0.60048170068027207</v>
      </c>
      <c r="F276" s="108">
        <f>VLOOKUP(ROW(F276)+4,'Water runs'!$CH$3:$CU$423,MATCH($B$1,Scenarios,0)+1)</f>
        <v>0</v>
      </c>
      <c r="G276" s="65">
        <f ca="1">H276/Variables!$E$49</f>
        <v>2.5300000000000002</v>
      </c>
      <c r="H276" s="62">
        <f ca="1">IF((H275+I276)&gt;(1.1*Variables!$E$50),(1.1*Variables!$E$50),IF((H275+I276)&gt;0,H275+I276,0))</f>
        <v>15.686000000000002</v>
      </c>
      <c r="I276" s="64">
        <f t="shared" ca="1" si="8"/>
        <v>9.8800742869367255</v>
      </c>
      <c r="J276" s="63">
        <f>IF(SUM(E272:E275)&lt;Variables!$B$3,-H275,0)</f>
        <v>0</v>
      </c>
      <c r="K276" s="64">
        <f ca="1">IF(AND(H275&lt;Variables!$B$6*Variables!$E$50,OR(SUM(D273:D276)&gt;Variables!$B$5,SUM(E273:E276)&gt;Variables!$B$4)),Variables!$B$6*Variables!$E$50+Variables!$B$7*$G$1*Variables!$E$50*SUM(D273:D276),0)</f>
        <v>0</v>
      </c>
      <c r="L276" s="64">
        <f>IF(B276="Winter",Variables!$B$8*H275,0)</f>
        <v>0</v>
      </c>
      <c r="M276" s="64">
        <f ca="1">IF(AND(B276="Spring",AND(NOT(H275=0),H275&lt;(Variables!$B$9*Variables!$E$50))),(Variables!$B$10*Variables!$E$50+Variables!$B$11*Variables!$E$50*SUM(E273:E276)+$G$1*SUM(D275:D276)*Variables!$E$50*Variables!$B$12),0)</f>
        <v>0</v>
      </c>
      <c r="N276" s="64">
        <f>IF(AND(B276="Spring",AND(SUM(D273:D276)&gt;Variables!$B$13,SUM(D269:D272)&gt;Variables!$B$13)),-Variables!$B$14*Variables!$E$50,0)</f>
        <v>0</v>
      </c>
      <c r="O276" s="64">
        <f>IF(AND(B276="Summer",SUM(C272:D276)&gt;Variables!$B$15),(Variables!$B$16*Variables!$E$50*SUM(C272:C276)+$G$1*Variables!$B$16*Variables!$E$50*SUM(D272:D276)+$G$1*Variables!$E$50*Variables!$B$17*F276),0)</f>
        <v>0</v>
      </c>
      <c r="P276" s="64">
        <f ca="1">IF(AND(AND(B276="Autumn",SUM(D275:E276)&gt;0),NOT(H275=0)),Variables!$B$18*Variables!$E$50+Variables!$B$19*Variables!$E$50*SUM(E275:E276)+$G$1*Variables!$B$19*Variables!$E$50*SUM(D275:D276),0)</f>
        <v>9.8192053049716055</v>
      </c>
      <c r="Q276" s="64">
        <f>IF(AND(B276="Autumn",AND((E276+E275)&lt;Variables!$B$20,(D275+D276)=0)),-Variables!$B$21*Variables!$E$50,0)</f>
        <v>0</v>
      </c>
      <c r="R276" s="64">
        <f ca="1">IF(B276="Autumn",(SUM(F275:F276)*$G$1*Variables!$B$22*Variables!$E$50),0)</f>
        <v>6.0868981965119286E-2</v>
      </c>
      <c r="S276" s="64">
        <f>IF(B276="Spring",($G$1*Variables!$E$50*SUM('Guts (MC)'!F275:F276)*Variables!$B$23),0)</f>
        <v>0</v>
      </c>
      <c r="T276" s="63">
        <f ca="1">IF((H275+SUM(J276:Q276))&lt;(Variables!$B$26*Variables!$E$50),$F$1*((Variables!$B$26*Variables!$E$50)-H275-SUM(J276:Q276)),0)</f>
        <v>0</v>
      </c>
      <c r="U276" s="64">
        <f ca="1">IF(AND(AND(B276="Autumn",SUM(D273:E276)&gt;Variables!$B$27),SUM(J276:Q276)&lt;Variables!$B$28*H275),$F$1*(Variables!$B$28*H275-SUM(J276:Q276)),0)</f>
        <v>0</v>
      </c>
      <c r="V276" s="96">
        <f ca="1">IF(AND((J276+K276)=0,(Q276+T276)=0),$H$1*H276*Variables!$I$23*0.25,0)</f>
        <v>191.19630368511017</v>
      </c>
      <c r="W276" s="97">
        <f ca="1">IF(AND((K276+J276)=0,(T276+Q276)=0),$I$1*H276*Variables!$Q$23*0.25,0)</f>
        <v>61.491205790965658</v>
      </c>
      <c r="X276" s="95">
        <f ca="1">IF(AND(NOT(K276=0),(H276-H275)&gt;0),(H276-H275)*(Variables!$M$5*$H$1+Variables!$U$5*$I$1),0)+IF(AND(NOT((J276+N276+Q276)=0),(H275-H276)&gt;0),(H275-H276)*(Variables!$M$4*$H$1+Variables!$U$4*$I$1),0)</f>
        <v>0</v>
      </c>
      <c r="Y276" s="95">
        <f ca="1">IF(SUM(T276,U275:U276)&gt;0,H276*Variables!$Y$11*0.25*(1-$J$1),0)</f>
        <v>0</v>
      </c>
      <c r="Z276" s="95">
        <f ca="1">IF(T276=0,H276*$J$1*Variables!$Y$5*0.25,0)</f>
        <v>17.651249322536053</v>
      </c>
      <c r="AA276" s="95">
        <f t="shared" ca="1" si="9"/>
        <v>270.33875879861188</v>
      </c>
      <c r="AB276" s="91">
        <f ca="1">AA276/Variables!$E$49</f>
        <v>43.603025612679332</v>
      </c>
    </row>
    <row r="277" spans="1:28" x14ac:dyDescent="0.25">
      <c r="A277" s="61">
        <f>'Water runs'!C284</f>
        <v>27272</v>
      </c>
      <c r="B277" s="61" t="str">
        <f>'Water runs'!B284</f>
        <v>Winter</v>
      </c>
      <c r="C277" s="54">
        <f>'Water runs'!D284/100</f>
        <v>0.79076666666666595</v>
      </c>
      <c r="D277" s="108">
        <f>VLOOKUP(ROW(D277)+4,'Water runs'!$BS$3:$CF$423,MATCH($B$1,Scenarios,0)+1)</f>
        <v>0</v>
      </c>
      <c r="E277" s="54">
        <f>IF(B277=Variables!$D$8,C277-Variables!$E$8,IF(B277=Variables!$D$9,C277-Variables!$E$9,IF(B277=Variables!$D$10,C277-Variables!$E$10,IF(B277=Variables!$D$11,C277-Variables!$E$11,"ELSE"))))</f>
        <v>0.21899904100529022</v>
      </c>
      <c r="F277" s="108">
        <f>VLOOKUP(ROW(F277)+4,'Water runs'!$CH$3:$CU$423,MATCH($B$1,Scenarios,0)+1)</f>
        <v>0</v>
      </c>
      <c r="G277" s="65">
        <f ca="1">H277/Variables!$E$49</f>
        <v>1.2701985267720333</v>
      </c>
      <c r="H277" s="62">
        <f ca="1">IF((H276+I277)&gt;(1.1*Variables!$E$50),(1.1*Variables!$E$50),IF((H276+I277)&gt;0,H276+I277,0))</f>
        <v>7.875230865986607</v>
      </c>
      <c r="I277" s="64">
        <f t="shared" ca="1" si="8"/>
        <v>-7.8107691340133947</v>
      </c>
      <c r="J277" s="63">
        <f>IF(SUM(E273:E276)&lt;Variables!$B$3,-H276,0)</f>
        <v>0</v>
      </c>
      <c r="K277" s="64">
        <f ca="1">IF(AND(H276&lt;Variables!$B$6*Variables!$E$50,OR(SUM(D274:D277)&gt;Variables!$B$5,SUM(E274:E277)&gt;Variables!$B$4)),Variables!$B$6*Variables!$E$50+Variables!$B$7*$G$1*Variables!$E$50*SUM(D274:D277),0)</f>
        <v>0</v>
      </c>
      <c r="L277" s="64">
        <f ca="1">IF(B277="Winter",Variables!$B$8*H276,0)</f>
        <v>-7.8107691340133947</v>
      </c>
      <c r="M277" s="64">
        <f ca="1">IF(AND(B277="Spring",AND(NOT(H276=0),H276&lt;(Variables!$B$9*Variables!$E$50))),(Variables!$B$10*Variables!$E$50+Variables!$B$11*Variables!$E$50*SUM(E274:E277)+$G$1*SUM(D276:D277)*Variables!$E$50*Variables!$B$12),0)</f>
        <v>0</v>
      </c>
      <c r="N277" s="64">
        <f>IF(AND(B277="Spring",AND(SUM(D274:D277)&gt;Variables!$B$13,SUM(D270:D273)&gt;Variables!$B$13)),-Variables!$B$14*Variables!$E$50,0)</f>
        <v>0</v>
      </c>
      <c r="O277" s="64">
        <f>IF(AND(B277="Summer",SUM(C273:D277)&gt;Variables!$B$15),(Variables!$B$16*Variables!$E$50*SUM(C273:C277)+$G$1*Variables!$B$16*Variables!$E$50*SUM(D273:D277)+$G$1*Variables!$E$50*Variables!$B$17*F277),0)</f>
        <v>0</v>
      </c>
      <c r="P277" s="64">
        <f ca="1">IF(AND(AND(B277="Autumn",SUM(D276:E277)&gt;0),NOT(H276=0)),Variables!$B$18*Variables!$E$50+Variables!$B$19*Variables!$E$50*SUM(E276:E277)+$G$1*Variables!$B$19*Variables!$E$50*SUM(D276:D277),0)</f>
        <v>0</v>
      </c>
      <c r="Q277" s="64">
        <f>IF(AND(B277="Autumn",AND((E277+E276)&lt;Variables!$B$20,(D276+D277)=0)),-Variables!$B$21*Variables!$E$50,0)</f>
        <v>0</v>
      </c>
      <c r="R277" s="64">
        <f>IF(B277="Autumn",(SUM(F276:F277)*$G$1*Variables!$B$22*Variables!$E$50),0)</f>
        <v>0</v>
      </c>
      <c r="S277" s="64">
        <f>IF(B277="Spring",($G$1*Variables!$E$50*SUM('Guts (MC)'!F276:F277)*Variables!$B$23),0)</f>
        <v>0</v>
      </c>
      <c r="T277" s="63">
        <f ca="1">IF((H276+SUM(J277:Q277))&lt;(Variables!$B$26*Variables!$E$50),$F$1*((Variables!$B$26*Variables!$E$50)-H276-SUM(J277:Q277)),0)</f>
        <v>0</v>
      </c>
      <c r="U277" s="64">
        <f ca="1">IF(AND(AND(B277="Autumn",SUM(D274:E277)&gt;Variables!$B$27),SUM(J277:Q277)&lt;Variables!$B$28*H276),$F$1*(Variables!$B$28*H276-SUM(J277:Q277)),0)</f>
        <v>0</v>
      </c>
      <c r="V277" s="96">
        <f ca="1">IF(AND((J277+K277)=0,(Q277+T277)=0),$H$1*H277*Variables!$I$23*0.25,0)</f>
        <v>95.991013148255021</v>
      </c>
      <c r="W277" s="97">
        <f ca="1">IF(AND((K277+J277)=0,(T277+Q277)=0),$I$1*H277*Variables!$Q$23*0.25,0)</f>
        <v>30.871952175936961</v>
      </c>
      <c r="X277" s="95">
        <f ca="1">IF(AND(NOT(K277=0),(H277-H276)&gt;0),(H277-H276)*(Variables!$M$5*$H$1+Variables!$U$5*$I$1),0)+IF(AND(NOT((J277+N277+Q277)=0),(H276-H277)&gt;0),(H276-H277)*(Variables!$M$4*$H$1+Variables!$U$4*$I$1),0)</f>
        <v>0</v>
      </c>
      <c r="Y277" s="95">
        <f ca="1">IF(SUM(T277,U276:U277)&gt;0,H277*Variables!$Y$11*0.25*(1-$J$1),0)</f>
        <v>0</v>
      </c>
      <c r="Z277" s="95">
        <f ca="1">IF(T277=0,H277*$J$1*Variables!$Y$5*0.25,0)</f>
        <v>8.8618936305024274</v>
      </c>
      <c r="AA277" s="95">
        <f t="shared" ca="1" si="9"/>
        <v>135.72485895469441</v>
      </c>
      <c r="AB277" s="91">
        <f ca="1">AA277/Variables!$E$49</f>
        <v>21.891106283015226</v>
      </c>
    </row>
    <row r="278" spans="1:28" x14ac:dyDescent="0.25">
      <c r="A278" s="61">
        <f>'Water runs'!C285</f>
        <v>27363</v>
      </c>
      <c r="B278" s="61" t="str">
        <f>'Water runs'!B285</f>
        <v>Spring</v>
      </c>
      <c r="C278" s="54">
        <f>'Water runs'!D285/100</f>
        <v>0.903107142857143</v>
      </c>
      <c r="D278" s="108">
        <f>VLOOKUP(ROW(D278)+4,'Water runs'!$BS$3:$CF$423,MATCH($B$1,Scenarios,0)+1)</f>
        <v>0</v>
      </c>
      <c r="E278" s="54">
        <f>IF(B278=Variables!$D$8,C278-Variables!$E$8,IF(B278=Variables!$D$9,C278-Variables!$E$9,IF(B278=Variables!$D$10,C278-Variables!$E$10,IF(B278=Variables!$D$11,C278-Variables!$E$11,"ELSE"))))</f>
        <v>0.13912493386243385</v>
      </c>
      <c r="F278" s="108">
        <f>VLOOKUP(ROW(F278)+4,'Water runs'!$CH$3:$CU$423,MATCH($B$1,Scenarios,0)+1)</f>
        <v>0</v>
      </c>
      <c r="G278" s="65">
        <f ca="1">H278/Variables!$E$49</f>
        <v>1.2701985267720333</v>
      </c>
      <c r="H278" s="62">
        <f ca="1">IF((H277+I278)&gt;(1.1*Variables!$E$50),(1.1*Variables!$E$50),IF((H277+I278)&gt;0,H277+I278,0))</f>
        <v>7.875230865986607</v>
      </c>
      <c r="I278" s="64">
        <f t="shared" ca="1" si="8"/>
        <v>0</v>
      </c>
      <c r="J278" s="63">
        <f>IF(SUM(E274:E277)&lt;Variables!$B$3,-H277,0)</f>
        <v>0</v>
      </c>
      <c r="K278" s="64">
        <f ca="1">IF(AND(H277&lt;Variables!$B$6*Variables!$E$50,OR(SUM(D275:D278)&gt;Variables!$B$5,SUM(E275:E278)&gt;Variables!$B$4)),Variables!$B$6*Variables!$E$50+Variables!$B$7*$G$1*Variables!$E$50*SUM(D275:D278),0)</f>
        <v>0</v>
      </c>
      <c r="L278" s="64">
        <f>IF(B278="Winter",Variables!$B$8*H277,0)</f>
        <v>0</v>
      </c>
      <c r="M278" s="64">
        <f ca="1">IF(AND(B278="Spring",AND(NOT(H277=0),H277&lt;(Variables!$B$9*Variables!$E$50))),(Variables!$B$10*Variables!$E$50+Variables!$B$11*Variables!$E$50*SUM(E275:E278)+$G$1*SUM(D277:D278)*Variables!$E$50*Variables!$B$12),0)</f>
        <v>0</v>
      </c>
      <c r="N278" s="64">
        <f>IF(AND(B278="Spring",AND(SUM(D275:D278)&gt;Variables!$B$13,SUM(D271:D274)&gt;Variables!$B$13)),-Variables!$B$14*Variables!$E$50,0)</f>
        <v>0</v>
      </c>
      <c r="O278" s="64">
        <f>IF(AND(B278="Summer",SUM(C274:D278)&gt;Variables!$B$15),(Variables!$B$16*Variables!$E$50*SUM(C274:C278)+$G$1*Variables!$B$16*Variables!$E$50*SUM(D274:D278)+$G$1*Variables!$E$50*Variables!$B$17*F278),0)</f>
        <v>0</v>
      </c>
      <c r="P278" s="64">
        <f ca="1">IF(AND(AND(B278="Autumn",SUM(D277:E278)&gt;0),NOT(H277=0)),Variables!$B$18*Variables!$E$50+Variables!$B$19*Variables!$E$50*SUM(E277:E278)+$G$1*Variables!$B$19*Variables!$E$50*SUM(D277:D278),0)</f>
        <v>0</v>
      </c>
      <c r="Q278" s="64">
        <f>IF(AND(B278="Autumn",AND((E278+E277)&lt;Variables!$B$20,(D277+D278)=0)),-Variables!$B$21*Variables!$E$50,0)</f>
        <v>0</v>
      </c>
      <c r="R278" s="64">
        <f>IF(B278="Autumn",(SUM(F277:F278)*$G$1*Variables!$B$22*Variables!$E$50),0)</f>
        <v>0</v>
      </c>
      <c r="S278" s="64">
        <f ca="1">IF(B278="Spring",($G$1*Variables!$E$50*SUM('Guts (MC)'!F277:F278)*Variables!$B$23),0)</f>
        <v>0</v>
      </c>
      <c r="T278" s="63">
        <f ca="1">IF((H277+SUM(J278:Q278))&lt;(Variables!$B$26*Variables!$E$50),$F$1*((Variables!$B$26*Variables!$E$50)-H277-SUM(J278:Q278)),0)</f>
        <v>0</v>
      </c>
      <c r="U278" s="64">
        <f ca="1">IF(AND(AND(B278="Autumn",SUM(D275:E278)&gt;Variables!$B$27),SUM(J278:Q278)&lt;Variables!$B$28*H277),$F$1*(Variables!$B$28*H277-SUM(J278:Q278)),0)</f>
        <v>0</v>
      </c>
      <c r="V278" s="96">
        <f ca="1">IF(AND((J278+K278)=0,(Q278+T278)=0),$H$1*H278*Variables!$I$23*0.25,0)</f>
        <v>95.991013148255021</v>
      </c>
      <c r="W278" s="97">
        <f ca="1">IF(AND((K278+J278)=0,(T278+Q278)=0),$I$1*H278*Variables!$Q$23*0.25,0)</f>
        <v>30.871952175936961</v>
      </c>
      <c r="X278" s="95">
        <f ca="1">IF(AND(NOT(K278=0),(H278-H277)&gt;0),(H278-H277)*(Variables!$M$5*$H$1+Variables!$U$5*$I$1),0)+IF(AND(NOT((J278+N278+Q278)=0),(H277-H278)&gt;0),(H277-H278)*(Variables!$M$4*$H$1+Variables!$U$4*$I$1),0)</f>
        <v>0</v>
      </c>
      <c r="Y278" s="95">
        <f ca="1">IF(SUM(T278,U277:U278)&gt;0,H278*Variables!$Y$11*0.25*(1-$J$1),0)</f>
        <v>0</v>
      </c>
      <c r="Z278" s="95">
        <f ca="1">IF(T278=0,H278*$J$1*Variables!$Y$5*0.25,0)</f>
        <v>8.8618936305024274</v>
      </c>
      <c r="AA278" s="95">
        <f t="shared" ca="1" si="9"/>
        <v>135.72485895469441</v>
      </c>
      <c r="AB278" s="91">
        <f ca="1">AA278/Variables!$E$49</f>
        <v>21.891106283015226</v>
      </c>
    </row>
    <row r="279" spans="1:28" x14ac:dyDescent="0.25">
      <c r="A279" s="61">
        <f>'Water runs'!C286</f>
        <v>27453</v>
      </c>
      <c r="B279" s="61" t="str">
        <f>'Water runs'!B286</f>
        <v>Summer</v>
      </c>
      <c r="C279" s="54">
        <f>'Water runs'!D286/100</f>
        <v>1.6819999999999999</v>
      </c>
      <c r="D279" s="108">
        <f>VLOOKUP(ROW(D279)+4,'Water runs'!$BS$3:$CF$423,MATCH($B$1,Scenarios,0)+1)</f>
        <v>1.6283581025978038E-2</v>
      </c>
      <c r="E279" s="54">
        <f>IF(B279=Variables!$D$8,C279-Variables!$E$8,IF(B279=Variables!$D$9,C279-Variables!$E$9,IF(B279=Variables!$D$10,C279-Variables!$E$10,IF(B279=Variables!$D$11,C279-Variables!$E$11,"ELSE"))))</f>
        <v>0.42362986394557822</v>
      </c>
      <c r="F279" s="108">
        <f>VLOOKUP(ROW(F279)+4,'Water runs'!$CH$3:$CU$423,MATCH($B$1,Scenarios,0)+1)</f>
        <v>0</v>
      </c>
      <c r="G279" s="65">
        <f ca="1">H279/Variables!$E$49</f>
        <v>1.8752050081127707</v>
      </c>
      <c r="H279" s="62">
        <f ca="1">IF((H278+I279)&gt;(1.1*Variables!$E$50),(1.1*Variables!$E$50),IF((H278+I279)&gt;0,H278+I279,0))</f>
        <v>11.626271050299179</v>
      </c>
      <c r="I279" s="64">
        <f t="shared" ca="1" si="8"/>
        <v>3.7510401843125725</v>
      </c>
      <c r="J279" s="63">
        <f>IF(SUM(E275:E278)&lt;Variables!$B$3,-H278,0)</f>
        <v>0</v>
      </c>
      <c r="K279" s="64">
        <f ca="1">IF(AND(H278&lt;Variables!$B$6*Variables!$E$50,OR(SUM(D276:D279)&gt;Variables!$B$5,SUM(E276:E279)&gt;Variables!$B$4)),Variables!$B$6*Variables!$E$50+Variables!$B$7*$G$1*Variables!$E$50*SUM(D276:D279),0)</f>
        <v>0</v>
      </c>
      <c r="L279" s="64">
        <f>IF(B279="Winter",Variables!$B$8*H278,0)</f>
        <v>0</v>
      </c>
      <c r="M279" s="64">
        <f ca="1">IF(AND(B279="Spring",AND(NOT(H278=0),H278&lt;(Variables!$B$9*Variables!$E$50))),(Variables!$B$10*Variables!$E$50+Variables!$B$11*Variables!$E$50*SUM(E276:E279)+$G$1*SUM(D278:D279)*Variables!$E$50*Variables!$B$12),0)</f>
        <v>0</v>
      </c>
      <c r="N279" s="64">
        <f>IF(AND(B279="Spring",AND(SUM(D276:D279)&gt;Variables!$B$13,SUM(D272:D275)&gt;Variables!$B$13)),-Variables!$B$14*Variables!$E$50,0)</f>
        <v>0</v>
      </c>
      <c r="O279" s="64">
        <f ca="1">IF(AND(B279="Summer",SUM(C275:D279)&gt;Variables!$B$15),(Variables!$B$16*Variables!$E$50*SUM(C275:C279)+$G$1*Variables!$B$16*Variables!$E$50*SUM(D275:D279)+$G$1*Variables!$E$50*Variables!$B$17*F279),0)</f>
        <v>3.7510401843125725</v>
      </c>
      <c r="P279" s="64">
        <f ca="1">IF(AND(AND(B279="Autumn",SUM(D278:E279)&gt;0),NOT(H278=0)),Variables!$B$18*Variables!$E$50+Variables!$B$19*Variables!$E$50*SUM(E278:E279)+$G$1*Variables!$B$19*Variables!$E$50*SUM(D278:D279),0)</f>
        <v>0</v>
      </c>
      <c r="Q279" s="64">
        <f>IF(AND(B279="Autumn",AND((E279+E278)&lt;Variables!$B$20,(D278+D279)=0)),-Variables!$B$21*Variables!$E$50,0)</f>
        <v>0</v>
      </c>
      <c r="R279" s="64">
        <f>IF(B279="Autumn",(SUM(F278:F279)*$G$1*Variables!$B$22*Variables!$E$50),0)</f>
        <v>0</v>
      </c>
      <c r="S279" s="64">
        <f>IF(B279="Spring",($G$1*Variables!$E$50*SUM('Guts (MC)'!F278:F279)*Variables!$B$23),0)</f>
        <v>0</v>
      </c>
      <c r="T279" s="63">
        <f ca="1">IF((H278+SUM(J279:Q279))&lt;(Variables!$B$26*Variables!$E$50),$F$1*((Variables!$B$26*Variables!$E$50)-H278-SUM(J279:Q279)),0)</f>
        <v>0</v>
      </c>
      <c r="U279" s="64">
        <f ca="1">IF(AND(AND(B279="Autumn",SUM(D276:E279)&gt;Variables!$B$27),SUM(J279:Q279)&lt;Variables!$B$28*H278),$F$1*(Variables!$B$28*H278-SUM(J279:Q279)),0)</f>
        <v>0</v>
      </c>
      <c r="V279" s="96">
        <f ca="1">IF(AND((J279+K279)=0,(Q279+T279)=0),$H$1*H279*Variables!$I$23*0.25,0)</f>
        <v>141.71235818299161</v>
      </c>
      <c r="W279" s="97">
        <f ca="1">IF(AND((K279+J279)=0,(T279+Q279)=0),$I$1*H279*Variables!$Q$23*0.25,0)</f>
        <v>45.576528479886086</v>
      </c>
      <c r="X279" s="95">
        <f ca="1">IF(AND(NOT(K279=0),(H279-H278)&gt;0),(H279-H278)*(Variables!$M$5*$H$1+Variables!$U$5*$I$1),0)+IF(AND(NOT((J279+N279+Q279)=0),(H278-H279)&gt;0),(H278-H279)*(Variables!$M$4*$H$1+Variables!$U$4*$I$1),0)</f>
        <v>0</v>
      </c>
      <c r="Y279" s="95">
        <f ca="1">IF(SUM(T279,U278:U279)&gt;0,H279*Variables!$Y$11*0.25*(1-$J$1),0)</f>
        <v>0</v>
      </c>
      <c r="Z279" s="95">
        <f ca="1">IF(T279=0,H279*$J$1*Variables!$Y$5*0.25,0)</f>
        <v>13.082889774334685</v>
      </c>
      <c r="AA279" s="95">
        <f t="shared" ca="1" si="9"/>
        <v>200.37177643721239</v>
      </c>
      <c r="AB279" s="91">
        <f ca="1">AA279/Variables!$E$49</f>
        <v>32.318028457614901</v>
      </c>
    </row>
    <row r="280" spans="1:28" x14ac:dyDescent="0.25">
      <c r="A280" s="61">
        <f>'Water runs'!C287</f>
        <v>27545</v>
      </c>
      <c r="B280" s="61" t="str">
        <f>'Water runs'!B287</f>
        <v>Autumn</v>
      </c>
      <c r="C280" s="54">
        <f>'Water runs'!D287/100</f>
        <v>0.193</v>
      </c>
      <c r="D280" s="108">
        <f>VLOOKUP(ROW(D280)+4,'Water runs'!$BS$3:$CF$423,MATCH($B$1,Scenarios,0)+1)</f>
        <v>3.297650812753862E-2</v>
      </c>
      <c r="E280" s="54">
        <f>IF(B280=Variables!$D$8,C280-Variables!$E$8,IF(B280=Variables!$D$9,C280-Variables!$E$9,IF(B280=Variables!$D$10,C280-Variables!$E$10,IF(B280=Variables!$D$11,C280-Variables!$E$11,"ELSE"))))</f>
        <v>-0.80164329931972778</v>
      </c>
      <c r="F280" s="108">
        <f>VLOOKUP(ROW(F280)+4,'Water runs'!$CH$3:$CU$423,MATCH($B$1,Scenarios,0)+1)</f>
        <v>0</v>
      </c>
      <c r="G280" s="65">
        <f ca="1">H280/Variables!$E$49</f>
        <v>1.8752050081127707</v>
      </c>
      <c r="H280" s="62">
        <f ca="1">IF((H279+I280)&gt;(1.1*Variables!$E$50),(1.1*Variables!$E$50),IF((H279+I280)&gt;0,H279+I280,0))</f>
        <v>11.626271050299179</v>
      </c>
      <c r="I280" s="64">
        <f t="shared" ca="1" si="8"/>
        <v>0</v>
      </c>
      <c r="J280" s="63">
        <f>IF(SUM(E276:E279)&lt;Variables!$B$3,-H279,0)</f>
        <v>0</v>
      </c>
      <c r="K280" s="64">
        <f ca="1">IF(AND(H279&lt;Variables!$B$6*Variables!$E$50,OR(SUM(D277:D280)&gt;Variables!$B$5,SUM(E277:E280)&gt;Variables!$B$4)),Variables!$B$6*Variables!$E$50+Variables!$B$7*$G$1*Variables!$E$50*SUM(D277:D280),0)</f>
        <v>0</v>
      </c>
      <c r="L280" s="64">
        <f>IF(B280="Winter",Variables!$B$8*H279,0)</f>
        <v>0</v>
      </c>
      <c r="M280" s="64">
        <f ca="1">IF(AND(B280="Spring",AND(NOT(H279=0),H279&lt;(Variables!$B$9*Variables!$E$50))),(Variables!$B$10*Variables!$E$50+Variables!$B$11*Variables!$E$50*SUM(E277:E280)+$G$1*SUM(D279:D280)*Variables!$E$50*Variables!$B$12),0)</f>
        <v>0</v>
      </c>
      <c r="N280" s="64">
        <f>IF(AND(B280="Spring",AND(SUM(D277:D280)&gt;Variables!$B$13,SUM(D273:D276)&gt;Variables!$B$13)),-Variables!$B$14*Variables!$E$50,0)</f>
        <v>0</v>
      </c>
      <c r="O280" s="64">
        <f>IF(AND(B280="Summer",SUM(C276:D280)&gt;Variables!$B$15),(Variables!$B$16*Variables!$E$50*SUM(C276:C280)+$G$1*Variables!$B$16*Variables!$E$50*SUM(D276:D280)+$G$1*Variables!$E$50*Variables!$B$17*F280),0)</f>
        <v>0</v>
      </c>
      <c r="P280" s="64">
        <f ca="1">IF(AND(AND(B280="Autumn",SUM(D279:E280)&gt;0),NOT(H279=0)),Variables!$B$18*Variables!$E$50+Variables!$B$19*Variables!$E$50*SUM(E279:E280)+$G$1*Variables!$B$19*Variables!$E$50*SUM(D279:D280),0)</f>
        <v>0</v>
      </c>
      <c r="Q280" s="64">
        <f>IF(AND(B280="Autumn",AND((E280+E279)&lt;Variables!$B$20,(D279+D280)=0)),-Variables!$B$21*Variables!$E$50,0)</f>
        <v>0</v>
      </c>
      <c r="R280" s="64">
        <f ca="1">IF(B280="Autumn",(SUM(F279:F280)*$G$1*Variables!$B$22*Variables!$E$50),0)</f>
        <v>0</v>
      </c>
      <c r="S280" s="64">
        <f>IF(B280="Spring",($G$1*Variables!$E$50*SUM('Guts (MC)'!F279:F280)*Variables!$B$23),0)</f>
        <v>0</v>
      </c>
      <c r="T280" s="63">
        <f ca="1">IF((H279+SUM(J280:Q280))&lt;(Variables!$B$26*Variables!$E$50),$F$1*((Variables!$B$26*Variables!$E$50)-H279-SUM(J280:Q280)),0)</f>
        <v>0</v>
      </c>
      <c r="U280" s="64">
        <f ca="1">IF(AND(AND(B280="Autumn",SUM(D277:E280)&gt;Variables!$B$27),SUM(J280:Q280)&lt;Variables!$B$28*H279),$F$1*(Variables!$B$28*H279-SUM(J280:Q280)),0)</f>
        <v>0</v>
      </c>
      <c r="V280" s="96">
        <f ca="1">IF(AND((J280+K280)=0,(Q280+T280)=0),$H$1*H280*Variables!$I$23*0.25,0)</f>
        <v>141.71235818299161</v>
      </c>
      <c r="W280" s="97">
        <f ca="1">IF(AND((K280+J280)=0,(T280+Q280)=0),$I$1*H280*Variables!$Q$23*0.25,0)</f>
        <v>45.576528479886086</v>
      </c>
      <c r="X280" s="95">
        <f ca="1">IF(AND(NOT(K280=0),(H280-H279)&gt;0),(H280-H279)*(Variables!$M$5*$H$1+Variables!$U$5*$I$1),0)+IF(AND(NOT((J280+N280+Q280)=0),(H279-H280)&gt;0),(H279-H280)*(Variables!$M$4*$H$1+Variables!$U$4*$I$1),0)</f>
        <v>0</v>
      </c>
      <c r="Y280" s="95">
        <f ca="1">IF(SUM(T280,U279:U280)&gt;0,H280*Variables!$Y$11*0.25*(1-$J$1),0)</f>
        <v>0</v>
      </c>
      <c r="Z280" s="95">
        <f ca="1">IF(T280=0,H280*$J$1*Variables!$Y$5*0.25,0)</f>
        <v>13.082889774334685</v>
      </c>
      <c r="AA280" s="95">
        <f t="shared" ca="1" si="9"/>
        <v>200.37177643721239</v>
      </c>
      <c r="AB280" s="91">
        <f ca="1">AA280/Variables!$E$49</f>
        <v>32.318028457614901</v>
      </c>
    </row>
    <row r="281" spans="1:28" x14ac:dyDescent="0.25">
      <c r="A281" s="61">
        <f>'Water runs'!C288</f>
        <v>27637</v>
      </c>
      <c r="B281" s="61" t="str">
        <f>'Water runs'!B288</f>
        <v>Winter</v>
      </c>
      <c r="C281" s="54">
        <f>'Water runs'!D288/100</f>
        <v>0.73499999999999999</v>
      </c>
      <c r="D281" s="108">
        <f>VLOOKUP(ROW(D281)+4,'Water runs'!$BS$3:$CF$423,MATCH($B$1,Scenarios,0)+1)</f>
        <v>0</v>
      </c>
      <c r="E281" s="54">
        <f>IF(B281=Variables!$D$8,C281-Variables!$E$8,IF(B281=Variables!$D$9,C281-Variables!$E$9,IF(B281=Variables!$D$10,C281-Variables!$E$10,IF(B281=Variables!$D$11,C281-Variables!$E$11,"ELSE"))))</f>
        <v>0.16323237433862425</v>
      </c>
      <c r="F281" s="108">
        <f>VLOOKUP(ROW(F281)+4,'Water runs'!$CH$3:$CU$423,MATCH($B$1,Scenarios,0)+1)</f>
        <v>0</v>
      </c>
      <c r="G281" s="65">
        <f ca="1">H281/Variables!$E$49</f>
        <v>0.94145558841912258</v>
      </c>
      <c r="H281" s="62">
        <f ca="1">IF((H280+I281)&gt;(1.1*Variables!$E$50),(1.1*Variables!$E$50),IF((H280+I281)&gt;0,H280+I281,0))</f>
        <v>5.8370246481985602</v>
      </c>
      <c r="I281" s="64">
        <f t="shared" ca="1" si="8"/>
        <v>-5.7892464021006189</v>
      </c>
      <c r="J281" s="63">
        <f>IF(SUM(E277:E280)&lt;Variables!$B$3,-H280,0)</f>
        <v>0</v>
      </c>
      <c r="K281" s="64">
        <f ca="1">IF(AND(H280&lt;Variables!$B$6*Variables!$E$50,OR(SUM(D278:D281)&gt;Variables!$B$5,SUM(E278:E281)&gt;Variables!$B$4)),Variables!$B$6*Variables!$E$50+Variables!$B$7*$G$1*Variables!$E$50*SUM(D278:D281),0)</f>
        <v>0</v>
      </c>
      <c r="L281" s="64">
        <f ca="1">IF(B281="Winter",Variables!$B$8*H280,0)</f>
        <v>-5.7892464021006189</v>
      </c>
      <c r="M281" s="64">
        <f ca="1">IF(AND(B281="Spring",AND(NOT(H280=0),H280&lt;(Variables!$B$9*Variables!$E$50))),(Variables!$B$10*Variables!$E$50+Variables!$B$11*Variables!$E$50*SUM(E278:E281)+$G$1*SUM(D280:D281)*Variables!$E$50*Variables!$B$12),0)</f>
        <v>0</v>
      </c>
      <c r="N281" s="64">
        <f>IF(AND(B281="Spring",AND(SUM(D278:D281)&gt;Variables!$B$13,SUM(D274:D277)&gt;Variables!$B$13)),-Variables!$B$14*Variables!$E$50,0)</f>
        <v>0</v>
      </c>
      <c r="O281" s="64">
        <f>IF(AND(B281="Summer",SUM(C277:D281)&gt;Variables!$B$15),(Variables!$B$16*Variables!$E$50*SUM(C277:C281)+$G$1*Variables!$B$16*Variables!$E$50*SUM(D277:D281)+$G$1*Variables!$E$50*Variables!$B$17*F281),0)</f>
        <v>0</v>
      </c>
      <c r="P281" s="64">
        <f ca="1">IF(AND(AND(B281="Autumn",SUM(D280:E281)&gt;0),NOT(H280=0)),Variables!$B$18*Variables!$E$50+Variables!$B$19*Variables!$E$50*SUM(E280:E281)+$G$1*Variables!$B$19*Variables!$E$50*SUM(D280:D281),0)</f>
        <v>0</v>
      </c>
      <c r="Q281" s="64">
        <f>IF(AND(B281="Autumn",AND((E281+E280)&lt;Variables!$B$20,(D280+D281)=0)),-Variables!$B$21*Variables!$E$50,0)</f>
        <v>0</v>
      </c>
      <c r="R281" s="64">
        <f>IF(B281="Autumn",(SUM(F280:F281)*$G$1*Variables!$B$22*Variables!$E$50),0)</f>
        <v>0</v>
      </c>
      <c r="S281" s="64">
        <f>IF(B281="Spring",($G$1*Variables!$E$50*SUM('Guts (MC)'!F280:F281)*Variables!$B$23),0)</f>
        <v>0</v>
      </c>
      <c r="T281" s="63">
        <f ca="1">IF((H280+SUM(J281:Q281))&lt;(Variables!$B$26*Variables!$E$50),$F$1*((Variables!$B$26*Variables!$E$50)-H280-SUM(J281:Q281)),0)</f>
        <v>0</v>
      </c>
      <c r="U281" s="64">
        <f ca="1">IF(AND(AND(B281="Autumn",SUM(D278:E281)&gt;Variables!$B$27),SUM(J281:Q281)&lt;Variables!$B$28*H280),$F$1*(Variables!$B$28*H280-SUM(J281:Q281)),0)</f>
        <v>0</v>
      </c>
      <c r="V281" s="96">
        <f ca="1">IF(AND((J281+K281)=0,(Q281+T281)=0),$H$1*H281*Variables!$I$23*0.25,0)</f>
        <v>71.147363078824753</v>
      </c>
      <c r="W281" s="97">
        <f ca="1">IF(AND((K281+J281)=0,(T281+Q281)=0),$I$1*H281*Variables!$Q$23*0.25,0)</f>
        <v>22.881912778867562</v>
      </c>
      <c r="X281" s="95">
        <f ca="1">IF(AND(NOT(K281=0),(H281-H280)&gt;0),(H281-H280)*(Variables!$M$5*$H$1+Variables!$U$5*$I$1),0)+IF(AND(NOT((J281+N281+Q281)=0),(H280-H281)&gt;0),(H280-H281)*(Variables!$M$4*$H$1+Variables!$U$4*$I$1),0)</f>
        <v>0</v>
      </c>
      <c r="Y281" s="95">
        <f ca="1">IF(SUM(T281,U280:U281)&gt;0,H281*Variables!$Y$11*0.25*(1-$J$1),0)</f>
        <v>0</v>
      </c>
      <c r="Z281" s="95">
        <f ca="1">IF(T281=0,H281*$J$1*Variables!$Y$5*0.25,0)</f>
        <v>6.5683270028777923</v>
      </c>
      <c r="AA281" s="95">
        <f t="shared" ca="1" si="9"/>
        <v>100.59760286057011</v>
      </c>
      <c r="AB281" s="91">
        <f ca="1">AA281/Variables!$E$49</f>
        <v>16.225419816220985</v>
      </c>
    </row>
    <row r="282" spans="1:28" x14ac:dyDescent="0.25">
      <c r="A282" s="61">
        <f>'Water runs'!C289</f>
        <v>27728</v>
      </c>
      <c r="B282" s="61" t="str">
        <f>'Water runs'!B289</f>
        <v>Spring</v>
      </c>
      <c r="C282" s="54">
        <f>'Water runs'!D289/100</f>
        <v>0.44385714285714301</v>
      </c>
      <c r="D282" s="108">
        <f>VLOOKUP(ROW(D282)+4,'Water runs'!$BS$3:$CF$423,MATCH($B$1,Scenarios,0)+1)</f>
        <v>0</v>
      </c>
      <c r="E282" s="54">
        <f>IF(B282=Variables!$D$8,C282-Variables!$E$8,IF(B282=Variables!$D$9,C282-Variables!$E$9,IF(B282=Variables!$D$10,C282-Variables!$E$10,IF(B282=Variables!$D$11,C282-Variables!$E$11,"ELSE"))))</f>
        <v>-0.32012506613756614</v>
      </c>
      <c r="F282" s="108">
        <f>VLOOKUP(ROW(F282)+4,'Water runs'!$CH$3:$CU$423,MATCH($B$1,Scenarios,0)+1)</f>
        <v>0</v>
      </c>
      <c r="G282" s="65">
        <f ca="1">H282/Variables!$E$49</f>
        <v>0.94145558841912258</v>
      </c>
      <c r="H282" s="62">
        <f ca="1">IF((H281+I282)&gt;(1.1*Variables!$E$50),(1.1*Variables!$E$50),IF((H281+I282)&gt;0,H281+I282,0))</f>
        <v>5.8370246481985602</v>
      </c>
      <c r="I282" s="64">
        <f t="shared" ca="1" si="8"/>
        <v>0</v>
      </c>
      <c r="J282" s="63">
        <f>IF(SUM(E278:E281)&lt;Variables!$B$3,-H281,0)</f>
        <v>0</v>
      </c>
      <c r="K282" s="64">
        <f ca="1">IF(AND(H281&lt;Variables!$B$6*Variables!$E$50,OR(SUM(D279:D282)&gt;Variables!$B$5,SUM(E279:E282)&gt;Variables!$B$4)),Variables!$B$6*Variables!$E$50+Variables!$B$7*$G$1*Variables!$E$50*SUM(D279:D282),0)</f>
        <v>0</v>
      </c>
      <c r="L282" s="64">
        <f>IF(B282="Winter",Variables!$B$8*H281,0)</f>
        <v>0</v>
      </c>
      <c r="M282" s="64">
        <f ca="1">IF(AND(B282="Spring",AND(NOT(H281=0),H281&lt;(Variables!$B$9*Variables!$E$50))),(Variables!$B$10*Variables!$E$50+Variables!$B$11*Variables!$E$50*SUM(E279:E282)+$G$1*SUM(D281:D282)*Variables!$E$50*Variables!$B$12),0)</f>
        <v>0</v>
      </c>
      <c r="N282" s="64">
        <f>IF(AND(B282="Spring",AND(SUM(D279:D282)&gt;Variables!$B$13,SUM(D275:D278)&gt;Variables!$B$13)),-Variables!$B$14*Variables!$E$50,0)</f>
        <v>0</v>
      </c>
      <c r="O282" s="64">
        <f>IF(AND(B282="Summer",SUM(C278:D282)&gt;Variables!$B$15),(Variables!$B$16*Variables!$E$50*SUM(C278:C282)+$G$1*Variables!$B$16*Variables!$E$50*SUM(D278:D282)+$G$1*Variables!$E$50*Variables!$B$17*F282),0)</f>
        <v>0</v>
      </c>
      <c r="P282" s="64">
        <f ca="1">IF(AND(AND(B282="Autumn",SUM(D281:E282)&gt;0),NOT(H281=0)),Variables!$B$18*Variables!$E$50+Variables!$B$19*Variables!$E$50*SUM(E281:E282)+$G$1*Variables!$B$19*Variables!$E$50*SUM(D281:D282),0)</f>
        <v>0</v>
      </c>
      <c r="Q282" s="64">
        <f>IF(AND(B282="Autumn",AND((E282+E281)&lt;Variables!$B$20,(D281+D282)=0)),-Variables!$B$21*Variables!$E$50,0)</f>
        <v>0</v>
      </c>
      <c r="R282" s="64">
        <f>IF(B282="Autumn",(SUM(F281:F282)*$G$1*Variables!$B$22*Variables!$E$50),0)</f>
        <v>0</v>
      </c>
      <c r="S282" s="64">
        <f ca="1">IF(B282="Spring",($G$1*Variables!$E$50*SUM('Guts (MC)'!F281:F282)*Variables!$B$23),0)</f>
        <v>0</v>
      </c>
      <c r="T282" s="63">
        <f ca="1">IF((H281+SUM(J282:Q282))&lt;(Variables!$B$26*Variables!$E$50),$F$1*((Variables!$B$26*Variables!$E$50)-H281-SUM(J282:Q282)),0)</f>
        <v>0</v>
      </c>
      <c r="U282" s="64">
        <f ca="1">IF(AND(AND(B282="Autumn",SUM(D279:E282)&gt;Variables!$B$27),SUM(J282:Q282)&lt;Variables!$B$28*H281),$F$1*(Variables!$B$28*H281-SUM(J282:Q282)),0)</f>
        <v>0</v>
      </c>
      <c r="V282" s="96">
        <f ca="1">IF(AND((J282+K282)=0,(Q282+T282)=0),$H$1*H282*Variables!$I$23*0.25,0)</f>
        <v>71.147363078824753</v>
      </c>
      <c r="W282" s="97">
        <f ca="1">IF(AND((K282+J282)=0,(T282+Q282)=0),$I$1*H282*Variables!$Q$23*0.25,0)</f>
        <v>22.881912778867562</v>
      </c>
      <c r="X282" s="95">
        <f ca="1">IF(AND(NOT(K282=0),(H282-H281)&gt;0),(H282-H281)*(Variables!$M$5*$H$1+Variables!$U$5*$I$1),0)+IF(AND(NOT((J282+N282+Q282)=0),(H281-H282)&gt;0),(H281-H282)*(Variables!$M$4*$H$1+Variables!$U$4*$I$1),0)</f>
        <v>0</v>
      </c>
      <c r="Y282" s="95">
        <f ca="1">IF(SUM(T282,U281:U282)&gt;0,H282*Variables!$Y$11*0.25*(1-$J$1),0)</f>
        <v>0</v>
      </c>
      <c r="Z282" s="95">
        <f ca="1">IF(T282=0,H282*$J$1*Variables!$Y$5*0.25,0)</f>
        <v>6.5683270028777923</v>
      </c>
      <c r="AA282" s="95">
        <f t="shared" ca="1" si="9"/>
        <v>100.59760286057011</v>
      </c>
      <c r="AB282" s="91">
        <f ca="1">AA282/Variables!$E$49</f>
        <v>16.225419816220985</v>
      </c>
    </row>
    <row r="283" spans="1:28" x14ac:dyDescent="0.25">
      <c r="A283" s="61">
        <f>'Water runs'!C290</f>
        <v>27818</v>
      </c>
      <c r="B283" s="61" t="str">
        <f>'Water runs'!B290</f>
        <v>Summer</v>
      </c>
      <c r="C283" s="54">
        <f>'Water runs'!D290/100</f>
        <v>4.6390357142857104</v>
      </c>
      <c r="D283" s="108">
        <f>VLOOKUP(ROW(D283)+4,'Water runs'!$BS$3:$CF$423,MATCH($B$1,Scenarios,0)+1)</f>
        <v>0.46076928558420888</v>
      </c>
      <c r="E283" s="54">
        <f>IF(B283=Variables!$D$8,C283-Variables!$E$8,IF(B283=Variables!$D$9,C283-Variables!$E$9,IF(B283=Variables!$D$10,C283-Variables!$E$10,IF(B283=Variables!$D$11,C283-Variables!$E$11,"ELSE"))))</f>
        <v>3.3806655782312887</v>
      </c>
      <c r="F283" s="108">
        <f>VLOOKUP(ROW(F283)+4,'Water runs'!$CH$3:$CU$423,MATCH($B$1,Scenarios,0)+1)</f>
        <v>0.68735500676964978</v>
      </c>
      <c r="G283" s="65">
        <f ca="1">H283/Variables!$E$49</f>
        <v>1.5684805543501064</v>
      </c>
      <c r="H283" s="62">
        <f ca="1">IF((H282+I283)&gt;(1.1*Variables!$E$50),(1.1*Variables!$E$50),IF((H282+I283)&gt;0,H282+I283,0))</f>
        <v>9.7245794369706591</v>
      </c>
      <c r="I283" s="64">
        <f t="shared" ca="1" si="8"/>
        <v>3.8875547887720989</v>
      </c>
      <c r="J283" s="63">
        <f>IF(SUM(E279:E282)&lt;Variables!$B$3,-H282,0)</f>
        <v>0</v>
      </c>
      <c r="K283" s="64">
        <f ca="1">IF(AND(H282&lt;Variables!$B$6*Variables!$E$50,OR(SUM(D280:D283)&gt;Variables!$B$5,SUM(E280:E283)&gt;Variables!$B$4)),Variables!$B$6*Variables!$E$50+Variables!$B$7*$G$1*Variables!$E$50*SUM(D280:D283),0)</f>
        <v>0</v>
      </c>
      <c r="L283" s="64">
        <f>IF(B283="Winter",Variables!$B$8*H282,0)</f>
        <v>0</v>
      </c>
      <c r="M283" s="64">
        <f ca="1">IF(AND(B283="Spring",AND(NOT(H282=0),H282&lt;(Variables!$B$9*Variables!$E$50))),(Variables!$B$10*Variables!$E$50+Variables!$B$11*Variables!$E$50*SUM(E280:E283)+$G$1*SUM(D282:D283)*Variables!$E$50*Variables!$B$12),0)</f>
        <v>0</v>
      </c>
      <c r="N283" s="64">
        <f>IF(AND(B283="Spring",AND(SUM(D280:D283)&gt;Variables!$B$13,SUM(D276:D279)&gt;Variables!$B$13)),-Variables!$B$14*Variables!$E$50,0)</f>
        <v>0</v>
      </c>
      <c r="O283" s="64">
        <f ca="1">IF(AND(B283="Summer",SUM(C279:D283)&gt;Variables!$B$15),(Variables!$B$16*Variables!$E$50*SUM(C279:C283)+$G$1*Variables!$B$16*Variables!$E$50*SUM(D279:D283)+$G$1*Variables!$E$50*Variables!$B$17*F283),0)</f>
        <v>3.8875547887720989</v>
      </c>
      <c r="P283" s="64">
        <f ca="1">IF(AND(AND(B283="Autumn",SUM(D282:E283)&gt;0),NOT(H282=0)),Variables!$B$18*Variables!$E$50+Variables!$B$19*Variables!$E$50*SUM(E282:E283)+$G$1*Variables!$B$19*Variables!$E$50*SUM(D282:D283),0)</f>
        <v>0</v>
      </c>
      <c r="Q283" s="64">
        <f>IF(AND(B283="Autumn",AND((E283+E282)&lt;Variables!$B$20,(D282+D283)=0)),-Variables!$B$21*Variables!$E$50,0)</f>
        <v>0</v>
      </c>
      <c r="R283" s="64">
        <f>IF(B283="Autumn",(SUM(F282:F283)*$G$1*Variables!$B$22*Variables!$E$50),0)</f>
        <v>0</v>
      </c>
      <c r="S283" s="64">
        <f>IF(B283="Spring",($G$1*Variables!$E$50*SUM('Guts (MC)'!F282:F283)*Variables!$B$23),0)</f>
        <v>0</v>
      </c>
      <c r="T283" s="63">
        <f ca="1">IF((H282+SUM(J283:Q283))&lt;(Variables!$B$26*Variables!$E$50),$F$1*((Variables!$B$26*Variables!$E$50)-H282-SUM(J283:Q283)),0)</f>
        <v>0</v>
      </c>
      <c r="U283" s="64">
        <f ca="1">IF(AND(AND(B283="Autumn",SUM(D280:E283)&gt;Variables!$B$27),SUM(J283:Q283)&lt;Variables!$B$28*H282),$F$1*(Variables!$B$28*H282-SUM(J283:Q283)),0)</f>
        <v>0</v>
      </c>
      <c r="V283" s="96">
        <f ca="1">IF(AND((J283+K283)=0,(Q283+T283)=0),$H$1*H283*Variables!$I$23*0.25,0)</f>
        <v>118.53268157854261</v>
      </c>
      <c r="W283" s="97">
        <f ca="1">IF(AND((K283+J283)=0,(T283+Q283)=0),$I$1*H283*Variables!$Q$23*0.25,0)</f>
        <v>38.121644484849909</v>
      </c>
      <c r="X283" s="95">
        <f ca="1">IF(AND(NOT(K283=0),(H283-H282)&gt;0),(H283-H282)*(Variables!$M$5*$H$1+Variables!$U$5*$I$1),0)+IF(AND(NOT((J283+N283+Q283)=0),(H282-H283)&gt;0),(H282-H283)*(Variables!$M$4*$H$1+Variables!$U$4*$I$1),0)</f>
        <v>0</v>
      </c>
      <c r="Y283" s="95">
        <f ca="1">IF(SUM(T283,U282:U283)&gt;0,H283*Variables!$Y$11*0.25*(1-$J$1),0)</f>
        <v>0</v>
      </c>
      <c r="Z283" s="95">
        <f ca="1">IF(T283=0,H283*$J$1*Variables!$Y$5*0.25,0)</f>
        <v>10.942941234143589</v>
      </c>
      <c r="AA283" s="95">
        <f t="shared" ca="1" si="9"/>
        <v>167.59726729753612</v>
      </c>
      <c r="AB283" s="91">
        <f ca="1">AA283/Variables!$E$49</f>
        <v>27.031817306054212</v>
      </c>
    </row>
    <row r="284" spans="1:28" x14ac:dyDescent="0.25">
      <c r="A284" s="61">
        <f>'Water runs'!C291</f>
        <v>27911</v>
      </c>
      <c r="B284" s="61" t="str">
        <f>'Water runs'!B291</f>
        <v>Autumn</v>
      </c>
      <c r="C284" s="54">
        <f>'Water runs'!D291/100</f>
        <v>0.36112499999999997</v>
      </c>
      <c r="D284" s="108">
        <f>VLOOKUP(ROW(D284)+4,'Water runs'!$BS$3:$CF$423,MATCH($B$1,Scenarios,0)+1)</f>
        <v>0.29401024552846816</v>
      </c>
      <c r="E284" s="54">
        <f>IF(B284=Variables!$D$8,C284-Variables!$E$8,IF(B284=Variables!$D$9,C284-Variables!$E$9,IF(B284=Variables!$D$10,C284-Variables!$E$10,IF(B284=Variables!$D$11,C284-Variables!$E$11,"ELSE"))))</f>
        <v>-0.63351829931972792</v>
      </c>
      <c r="F284" s="108">
        <f>VLOOKUP(ROW(F284)+4,'Water runs'!$CH$3:$CU$423,MATCH($B$1,Scenarios,0)+1)</f>
        <v>0.5498840054157198</v>
      </c>
      <c r="G284" s="65">
        <f ca="1">H284/Variables!$E$49</f>
        <v>2.5300000000000002</v>
      </c>
      <c r="H284" s="62">
        <f ca="1">IF((H283+I284)&gt;(1.1*Variables!$E$50),(1.1*Variables!$E$50),IF((H283+I284)&gt;0,H283+I284,0))</f>
        <v>15.686000000000002</v>
      </c>
      <c r="I284" s="64">
        <f t="shared" ca="1" si="8"/>
        <v>7.8735143964620633</v>
      </c>
      <c r="J284" s="63">
        <f>IF(SUM(E280:E283)&lt;Variables!$B$3,-H283,0)</f>
        <v>0</v>
      </c>
      <c r="K284" s="64">
        <f ca="1">IF(AND(H283&lt;Variables!$B$6*Variables!$E$50,OR(SUM(D281:D284)&gt;Variables!$B$5,SUM(E281:E284)&gt;Variables!$B$4)),Variables!$B$6*Variables!$E$50+Variables!$B$7*$G$1*Variables!$E$50*SUM(D281:D284),0)</f>
        <v>0</v>
      </c>
      <c r="L284" s="64">
        <f>IF(B284="Winter",Variables!$B$8*H283,0)</f>
        <v>0</v>
      </c>
      <c r="M284" s="64">
        <f ca="1">IF(AND(B284="Spring",AND(NOT(H283=0),H283&lt;(Variables!$B$9*Variables!$E$50))),(Variables!$B$10*Variables!$E$50+Variables!$B$11*Variables!$E$50*SUM(E281:E284)+$G$1*SUM(D283:D284)*Variables!$E$50*Variables!$B$12),0)</f>
        <v>0</v>
      </c>
      <c r="N284" s="64">
        <f>IF(AND(B284="Spring",AND(SUM(D281:D284)&gt;Variables!$B$13,SUM(D277:D280)&gt;Variables!$B$13)),-Variables!$B$14*Variables!$E$50,0)</f>
        <v>0</v>
      </c>
      <c r="O284" s="64">
        <f>IF(AND(B284="Summer",SUM(C280:D284)&gt;Variables!$B$15),(Variables!$B$16*Variables!$E$50*SUM(C280:C284)+$G$1*Variables!$B$16*Variables!$E$50*SUM(D280:D284)+$G$1*Variables!$E$50*Variables!$B$17*F284),0)</f>
        <v>0</v>
      </c>
      <c r="P284" s="64">
        <f ca="1">IF(AND(AND(B284="Autumn",SUM(D283:E284)&gt;0),NOT(H283=0)),Variables!$B$18*Variables!$E$50+Variables!$B$19*Variables!$E$50*SUM(E283:E284)+$G$1*Variables!$B$19*Variables!$E$50*SUM(D283:D284),0)</f>
        <v>7.6862061667794608</v>
      </c>
      <c r="Q284" s="64">
        <f>IF(AND(B284="Autumn",AND((E284+E283)&lt;Variables!$B$20,(D283+D284)=0)),-Variables!$B$21*Variables!$E$50,0)</f>
        <v>0</v>
      </c>
      <c r="R284" s="64">
        <f ca="1">IF(B284="Autumn",(SUM(F283:F284)*$G$1*Variables!$B$22*Variables!$E$50),0)</f>
        <v>0.18730822968260274</v>
      </c>
      <c r="S284" s="64">
        <f>IF(B284="Spring",($G$1*Variables!$E$50*SUM('Guts (MC)'!F283:F284)*Variables!$B$23),0)</f>
        <v>0</v>
      </c>
      <c r="T284" s="63">
        <f ca="1">IF((H283+SUM(J284:Q284))&lt;(Variables!$B$26*Variables!$E$50),$F$1*((Variables!$B$26*Variables!$E$50)-H283-SUM(J284:Q284)),0)</f>
        <v>0</v>
      </c>
      <c r="U284" s="64">
        <f ca="1">IF(AND(AND(B284="Autumn",SUM(D281:E284)&gt;Variables!$B$27),SUM(J284:Q284)&lt;Variables!$B$28*H283),$F$1*(Variables!$B$28*H283-SUM(J284:Q284)),0)</f>
        <v>0</v>
      </c>
      <c r="V284" s="96">
        <f ca="1">IF(AND((J284+K284)=0,(Q284+T284)=0),$H$1*H284*Variables!$I$23*0.25,0)</f>
        <v>191.19630368511017</v>
      </c>
      <c r="W284" s="97">
        <f ca="1">IF(AND((K284+J284)=0,(T284+Q284)=0),$I$1*H284*Variables!$Q$23*0.25,0)</f>
        <v>61.491205790965658</v>
      </c>
      <c r="X284" s="95">
        <f ca="1">IF(AND(NOT(K284=0),(H284-H283)&gt;0),(H284-H283)*(Variables!$M$5*$H$1+Variables!$U$5*$I$1),0)+IF(AND(NOT((J284+N284+Q284)=0),(H283-H284)&gt;0),(H283-H284)*(Variables!$M$4*$H$1+Variables!$U$4*$I$1),0)</f>
        <v>0</v>
      </c>
      <c r="Y284" s="95">
        <f ca="1">IF(SUM(T284,U283:U284)&gt;0,H284*Variables!$Y$11*0.25*(1-$J$1),0)</f>
        <v>0</v>
      </c>
      <c r="Z284" s="95">
        <f ca="1">IF(T284=0,H284*$J$1*Variables!$Y$5*0.25,0)</f>
        <v>17.651249322536053</v>
      </c>
      <c r="AA284" s="95">
        <f t="shared" ca="1" si="9"/>
        <v>270.33875879861188</v>
      </c>
      <c r="AB284" s="91">
        <f ca="1">AA284/Variables!$E$49</f>
        <v>43.603025612679332</v>
      </c>
    </row>
    <row r="285" spans="1:28" x14ac:dyDescent="0.25">
      <c r="A285" s="61">
        <f>'Water runs'!C292</f>
        <v>28003</v>
      </c>
      <c r="B285" s="61" t="str">
        <f>'Water runs'!B292</f>
        <v>Winter</v>
      </c>
      <c r="C285" s="54">
        <f>'Water runs'!D292/100</f>
        <v>0.40362499999999996</v>
      </c>
      <c r="D285" s="108">
        <f>VLOOKUP(ROW(D285)+4,'Water runs'!$BS$3:$CF$423,MATCH($B$1,Scenarios,0)+1)</f>
        <v>0</v>
      </c>
      <c r="E285" s="54">
        <f>IF(B285=Variables!$D$8,C285-Variables!$E$8,IF(B285=Variables!$D$9,C285-Variables!$E$9,IF(B285=Variables!$D$10,C285-Variables!$E$10,IF(B285=Variables!$D$11,C285-Variables!$E$11,"ELSE"))))</f>
        <v>-0.16814262566137578</v>
      </c>
      <c r="F285" s="108">
        <f>VLOOKUP(ROW(F285)+4,'Water runs'!$CH$3:$CU$423,MATCH($B$1,Scenarios,0)+1)</f>
        <v>0</v>
      </c>
      <c r="G285" s="65">
        <f ca="1">H285/Variables!$E$49</f>
        <v>1.2701985267720333</v>
      </c>
      <c r="H285" s="62">
        <f ca="1">IF((H284+I285)&gt;(1.1*Variables!$E$50),(1.1*Variables!$E$50),IF((H284+I285)&gt;0,H284+I285,0))</f>
        <v>7.875230865986607</v>
      </c>
      <c r="I285" s="64">
        <f t="shared" ca="1" si="8"/>
        <v>-7.8107691340133947</v>
      </c>
      <c r="J285" s="63">
        <f>IF(SUM(E281:E284)&lt;Variables!$B$3,-H284,0)</f>
        <v>0</v>
      </c>
      <c r="K285" s="64">
        <f ca="1">IF(AND(H284&lt;Variables!$B$6*Variables!$E$50,OR(SUM(D282:D285)&gt;Variables!$B$5,SUM(E282:E285)&gt;Variables!$B$4)),Variables!$B$6*Variables!$E$50+Variables!$B$7*$G$1*Variables!$E$50*SUM(D282:D285),0)</f>
        <v>0</v>
      </c>
      <c r="L285" s="64">
        <f ca="1">IF(B285="Winter",Variables!$B$8*H284,0)</f>
        <v>-7.8107691340133947</v>
      </c>
      <c r="M285" s="64">
        <f ca="1">IF(AND(B285="Spring",AND(NOT(H284=0),H284&lt;(Variables!$B$9*Variables!$E$50))),(Variables!$B$10*Variables!$E$50+Variables!$B$11*Variables!$E$50*SUM(E282:E285)+$G$1*SUM(D284:D285)*Variables!$E$50*Variables!$B$12),0)</f>
        <v>0</v>
      </c>
      <c r="N285" s="64">
        <f>IF(AND(B285="Spring",AND(SUM(D282:D285)&gt;Variables!$B$13,SUM(D278:D281)&gt;Variables!$B$13)),-Variables!$B$14*Variables!$E$50,0)</f>
        <v>0</v>
      </c>
      <c r="O285" s="64">
        <f>IF(AND(B285="Summer",SUM(C281:D285)&gt;Variables!$B$15),(Variables!$B$16*Variables!$E$50*SUM(C281:C285)+$G$1*Variables!$B$16*Variables!$E$50*SUM(D281:D285)+$G$1*Variables!$E$50*Variables!$B$17*F285),0)</f>
        <v>0</v>
      </c>
      <c r="P285" s="64">
        <f ca="1">IF(AND(AND(B285="Autumn",SUM(D284:E285)&gt;0),NOT(H284=0)),Variables!$B$18*Variables!$E$50+Variables!$B$19*Variables!$E$50*SUM(E284:E285)+$G$1*Variables!$B$19*Variables!$E$50*SUM(D284:D285),0)</f>
        <v>0</v>
      </c>
      <c r="Q285" s="64">
        <f>IF(AND(B285="Autumn",AND((E285+E284)&lt;Variables!$B$20,(D284+D285)=0)),-Variables!$B$21*Variables!$E$50,0)</f>
        <v>0</v>
      </c>
      <c r="R285" s="64">
        <f>IF(B285="Autumn",(SUM(F284:F285)*$G$1*Variables!$B$22*Variables!$E$50),0)</f>
        <v>0</v>
      </c>
      <c r="S285" s="64">
        <f>IF(B285="Spring",($G$1*Variables!$E$50*SUM('Guts (MC)'!F284:F285)*Variables!$B$23),0)</f>
        <v>0</v>
      </c>
      <c r="T285" s="63">
        <f ca="1">IF((H284+SUM(J285:Q285))&lt;(Variables!$B$26*Variables!$E$50),$F$1*((Variables!$B$26*Variables!$E$50)-H284-SUM(J285:Q285)),0)</f>
        <v>0</v>
      </c>
      <c r="U285" s="64">
        <f ca="1">IF(AND(AND(B285="Autumn",SUM(D282:E285)&gt;Variables!$B$27),SUM(J285:Q285)&lt;Variables!$B$28*H284),$F$1*(Variables!$B$28*H284-SUM(J285:Q285)),0)</f>
        <v>0</v>
      </c>
      <c r="V285" s="96">
        <f ca="1">IF(AND((J285+K285)=0,(Q285+T285)=0),$H$1*H285*Variables!$I$23*0.25,0)</f>
        <v>95.991013148255021</v>
      </c>
      <c r="W285" s="97">
        <f ca="1">IF(AND((K285+J285)=0,(T285+Q285)=0),$I$1*H285*Variables!$Q$23*0.25,0)</f>
        <v>30.871952175936961</v>
      </c>
      <c r="X285" s="95">
        <f ca="1">IF(AND(NOT(K285=0),(H285-H284)&gt;0),(H285-H284)*(Variables!$M$5*$H$1+Variables!$U$5*$I$1),0)+IF(AND(NOT((J285+N285+Q285)=0),(H284-H285)&gt;0),(H284-H285)*(Variables!$M$4*$H$1+Variables!$U$4*$I$1),0)</f>
        <v>0</v>
      </c>
      <c r="Y285" s="95">
        <f ca="1">IF(SUM(T285,U284:U285)&gt;0,H285*Variables!$Y$11*0.25*(1-$J$1),0)</f>
        <v>0</v>
      </c>
      <c r="Z285" s="95">
        <f ca="1">IF(T285=0,H285*$J$1*Variables!$Y$5*0.25,0)</f>
        <v>8.8618936305024274</v>
      </c>
      <c r="AA285" s="95">
        <f t="shared" ca="1" si="9"/>
        <v>135.72485895469441</v>
      </c>
      <c r="AB285" s="91">
        <f ca="1">AA285/Variables!$E$49</f>
        <v>21.891106283015226</v>
      </c>
    </row>
    <row r="286" spans="1:28" x14ac:dyDescent="0.25">
      <c r="A286" s="61">
        <f>'Water runs'!C293</f>
        <v>28094</v>
      </c>
      <c r="B286" s="61" t="str">
        <f>'Water runs'!B293</f>
        <v>Spring</v>
      </c>
      <c r="C286" s="54">
        <f>'Water runs'!D293/100</f>
        <v>0.93560714285714297</v>
      </c>
      <c r="D286" s="108">
        <f>VLOOKUP(ROW(D286)+4,'Water runs'!$BS$3:$CF$423,MATCH($B$1,Scenarios,0)+1)</f>
        <v>1.0909033325679537E-2</v>
      </c>
      <c r="E286" s="54">
        <f>IF(B286=Variables!$D$8,C286-Variables!$E$8,IF(B286=Variables!$D$9,C286-Variables!$E$9,IF(B286=Variables!$D$10,C286-Variables!$E$10,IF(B286=Variables!$D$11,C286-Variables!$E$11,"ELSE"))))</f>
        <v>0.17162493386243383</v>
      </c>
      <c r="F286" s="108">
        <f>VLOOKUP(ROW(F286)+4,'Water runs'!$CH$3:$CU$423,MATCH($B$1,Scenarios,0)+1)</f>
        <v>0</v>
      </c>
      <c r="G286" s="65">
        <f ca="1">H286/Variables!$E$49</f>
        <v>1.2701985267720333</v>
      </c>
      <c r="H286" s="62">
        <f ca="1">IF((H285+I286)&gt;(1.1*Variables!$E$50),(1.1*Variables!$E$50),IF((H285+I286)&gt;0,H285+I286,0))</f>
        <v>7.875230865986607</v>
      </c>
      <c r="I286" s="64">
        <f t="shared" ca="1" si="8"/>
        <v>0</v>
      </c>
      <c r="J286" s="63">
        <f>IF(SUM(E282:E285)&lt;Variables!$B$3,-H285,0)</f>
        <v>0</v>
      </c>
      <c r="K286" s="64">
        <f ca="1">IF(AND(H285&lt;Variables!$B$6*Variables!$E$50,OR(SUM(D283:D286)&gt;Variables!$B$5,SUM(E283:E286)&gt;Variables!$B$4)),Variables!$B$6*Variables!$E$50+Variables!$B$7*$G$1*Variables!$E$50*SUM(D283:D286),0)</f>
        <v>0</v>
      </c>
      <c r="L286" s="64">
        <f>IF(B286="Winter",Variables!$B$8*H285,0)</f>
        <v>0</v>
      </c>
      <c r="M286" s="64">
        <f ca="1">IF(AND(B286="Spring",AND(NOT(H285=0),H285&lt;(Variables!$B$9*Variables!$E$50))),(Variables!$B$10*Variables!$E$50+Variables!$B$11*Variables!$E$50*SUM(E283:E286)+$G$1*SUM(D285:D286)*Variables!$E$50*Variables!$B$12),0)</f>
        <v>0</v>
      </c>
      <c r="N286" s="64">
        <f>IF(AND(B286="Spring",AND(SUM(D283:D286)&gt;Variables!$B$13,SUM(D279:D282)&gt;Variables!$B$13)),-Variables!$B$14*Variables!$E$50,0)</f>
        <v>0</v>
      </c>
      <c r="O286" s="64">
        <f>IF(AND(B286="Summer",SUM(C282:D286)&gt;Variables!$B$15),(Variables!$B$16*Variables!$E$50*SUM(C282:C286)+$G$1*Variables!$B$16*Variables!$E$50*SUM(D282:D286)+$G$1*Variables!$E$50*Variables!$B$17*F286),0)</f>
        <v>0</v>
      </c>
      <c r="P286" s="64">
        <f ca="1">IF(AND(AND(B286="Autumn",SUM(D285:E286)&gt;0),NOT(H285=0)),Variables!$B$18*Variables!$E$50+Variables!$B$19*Variables!$E$50*SUM(E285:E286)+$G$1*Variables!$B$19*Variables!$E$50*SUM(D285:D286),0)</f>
        <v>0</v>
      </c>
      <c r="Q286" s="64">
        <f>IF(AND(B286="Autumn",AND((E286+E285)&lt;Variables!$B$20,(D285+D286)=0)),-Variables!$B$21*Variables!$E$50,0)</f>
        <v>0</v>
      </c>
      <c r="R286" s="64">
        <f>IF(B286="Autumn",(SUM(F285:F286)*$G$1*Variables!$B$22*Variables!$E$50),0)</f>
        <v>0</v>
      </c>
      <c r="S286" s="64">
        <f ca="1">IF(B286="Spring",($G$1*Variables!$E$50*SUM('Guts (MC)'!F285:F286)*Variables!$B$23),0)</f>
        <v>0</v>
      </c>
      <c r="T286" s="63">
        <f ca="1">IF((H285+SUM(J286:Q286))&lt;(Variables!$B$26*Variables!$E$50),$F$1*((Variables!$B$26*Variables!$E$50)-H285-SUM(J286:Q286)),0)</f>
        <v>0</v>
      </c>
      <c r="U286" s="64">
        <f ca="1">IF(AND(AND(B286="Autumn",SUM(D283:E286)&gt;Variables!$B$27),SUM(J286:Q286)&lt;Variables!$B$28*H285),$F$1*(Variables!$B$28*H285-SUM(J286:Q286)),0)</f>
        <v>0</v>
      </c>
      <c r="V286" s="96">
        <f ca="1">IF(AND((J286+K286)=0,(Q286+T286)=0),$H$1*H286*Variables!$I$23*0.25,0)</f>
        <v>95.991013148255021</v>
      </c>
      <c r="W286" s="97">
        <f ca="1">IF(AND((K286+J286)=0,(T286+Q286)=0),$I$1*H286*Variables!$Q$23*0.25,0)</f>
        <v>30.871952175936961</v>
      </c>
      <c r="X286" s="95">
        <f ca="1">IF(AND(NOT(K286=0),(H286-H285)&gt;0),(H286-H285)*(Variables!$M$5*$H$1+Variables!$U$5*$I$1),0)+IF(AND(NOT((J286+N286+Q286)=0),(H285-H286)&gt;0),(H285-H286)*(Variables!$M$4*$H$1+Variables!$U$4*$I$1),0)</f>
        <v>0</v>
      </c>
      <c r="Y286" s="95">
        <f ca="1">IF(SUM(T286,U285:U286)&gt;0,H286*Variables!$Y$11*0.25*(1-$J$1),0)</f>
        <v>0</v>
      </c>
      <c r="Z286" s="95">
        <f ca="1">IF(T286=0,H286*$J$1*Variables!$Y$5*0.25,0)</f>
        <v>8.8618936305024274</v>
      </c>
      <c r="AA286" s="95">
        <f t="shared" ca="1" si="9"/>
        <v>135.72485895469441</v>
      </c>
      <c r="AB286" s="91">
        <f ca="1">AA286/Variables!$E$49</f>
        <v>21.891106283015226</v>
      </c>
    </row>
    <row r="287" spans="1:28" x14ac:dyDescent="0.25">
      <c r="A287" s="61">
        <f>'Water runs'!C294</f>
        <v>28184</v>
      </c>
      <c r="B287" s="61" t="str">
        <f>'Water runs'!B294</f>
        <v>Summer</v>
      </c>
      <c r="C287" s="54">
        <f>'Water runs'!D294/100</f>
        <v>2.2390892857142899</v>
      </c>
      <c r="D287" s="108">
        <f>VLOOKUP(ROW(D287)+4,'Water runs'!$BS$3:$CF$423,MATCH($B$1,Scenarios,0)+1)</f>
        <v>8.7585808280350591E-3</v>
      </c>
      <c r="E287" s="54">
        <f>IF(B287=Variables!$D$8,C287-Variables!$E$8,IF(B287=Variables!$D$9,C287-Variables!$E$9,IF(B287=Variables!$D$10,C287-Variables!$E$10,IF(B287=Variables!$D$11,C287-Variables!$E$11,"ELSE"))))</f>
        <v>0.98071914965986817</v>
      </c>
      <c r="F287" s="108">
        <f>VLOOKUP(ROW(F287)+4,'Water runs'!$CH$3:$CU$423,MATCH($B$1,Scenarios,0)+1)</f>
        <v>0</v>
      </c>
      <c r="G287" s="65">
        <f ca="1">H287/Variables!$E$49</f>
        <v>1.8284374815622175</v>
      </c>
      <c r="H287" s="62">
        <f ca="1">IF((H286+I287)&gt;(1.1*Variables!$E$50),(1.1*Variables!$E$50),IF((H286+I287)&gt;0,H286+I287,0))</f>
        <v>11.33631238568575</v>
      </c>
      <c r="I287" s="64">
        <f t="shared" ca="1" si="8"/>
        <v>3.4610815196991429</v>
      </c>
      <c r="J287" s="63">
        <f>IF(SUM(E283:E286)&lt;Variables!$B$3,-H286,0)</f>
        <v>0</v>
      </c>
      <c r="K287" s="64">
        <f ca="1">IF(AND(H286&lt;Variables!$B$6*Variables!$E$50,OR(SUM(D284:D287)&gt;Variables!$B$5,SUM(E284:E287)&gt;Variables!$B$4)),Variables!$B$6*Variables!$E$50+Variables!$B$7*$G$1*Variables!$E$50*SUM(D284:D287),0)</f>
        <v>0</v>
      </c>
      <c r="L287" s="64">
        <f>IF(B287="Winter",Variables!$B$8*H286,0)</f>
        <v>0</v>
      </c>
      <c r="M287" s="64">
        <f ca="1">IF(AND(B287="Spring",AND(NOT(H286=0),H286&lt;(Variables!$B$9*Variables!$E$50))),(Variables!$B$10*Variables!$E$50+Variables!$B$11*Variables!$E$50*SUM(E284:E287)+$G$1*SUM(D286:D287)*Variables!$E$50*Variables!$B$12),0)</f>
        <v>0</v>
      </c>
      <c r="N287" s="64">
        <f>IF(AND(B287="Spring",AND(SUM(D284:D287)&gt;Variables!$B$13,SUM(D280:D283)&gt;Variables!$B$13)),-Variables!$B$14*Variables!$E$50,0)</f>
        <v>0</v>
      </c>
      <c r="O287" s="64">
        <f ca="1">IF(AND(B287="Summer",SUM(C283:D287)&gt;Variables!$B$15),(Variables!$B$16*Variables!$E$50*SUM(C283:C287)+$G$1*Variables!$B$16*Variables!$E$50*SUM(D283:D287)+$G$1*Variables!$E$50*Variables!$B$17*F287),0)</f>
        <v>3.4610815196991429</v>
      </c>
      <c r="P287" s="64">
        <f ca="1">IF(AND(AND(B287="Autumn",SUM(D286:E287)&gt;0),NOT(H286=0)),Variables!$B$18*Variables!$E$50+Variables!$B$19*Variables!$E$50*SUM(E286:E287)+$G$1*Variables!$B$19*Variables!$E$50*SUM(D286:D287),0)</f>
        <v>0</v>
      </c>
      <c r="Q287" s="64">
        <f>IF(AND(B287="Autumn",AND((E287+E286)&lt;Variables!$B$20,(D286+D287)=0)),-Variables!$B$21*Variables!$E$50,0)</f>
        <v>0</v>
      </c>
      <c r="R287" s="64">
        <f>IF(B287="Autumn",(SUM(F286:F287)*$G$1*Variables!$B$22*Variables!$E$50),0)</f>
        <v>0</v>
      </c>
      <c r="S287" s="64">
        <f>IF(B287="Spring",($G$1*Variables!$E$50*SUM('Guts (MC)'!F286:F287)*Variables!$B$23),0)</f>
        <v>0</v>
      </c>
      <c r="T287" s="63">
        <f ca="1">IF((H286+SUM(J287:Q287))&lt;(Variables!$B$26*Variables!$E$50),$F$1*((Variables!$B$26*Variables!$E$50)-H286-SUM(J287:Q287)),0)</f>
        <v>0</v>
      </c>
      <c r="U287" s="64">
        <f ca="1">IF(AND(AND(B287="Autumn",SUM(D284:E287)&gt;Variables!$B$27),SUM(J287:Q287)&lt;Variables!$B$28*H286),$F$1*(Variables!$B$28*H286-SUM(J287:Q287)),0)</f>
        <v>0</v>
      </c>
      <c r="V287" s="96">
        <f ca="1">IF(AND((J287+K287)=0,(Q287+T287)=0),$H$1*H287*Variables!$I$23*0.25,0)</f>
        <v>138.17805849565522</v>
      </c>
      <c r="W287" s="97">
        <f ca="1">IF(AND((K287+J287)=0,(T287+Q287)=0),$I$1*H287*Variables!$Q$23*0.25,0)</f>
        <v>44.439851958362567</v>
      </c>
      <c r="X287" s="95">
        <f ca="1">IF(AND(NOT(K287=0),(H287-H286)&gt;0),(H287-H286)*(Variables!$M$5*$H$1+Variables!$U$5*$I$1),0)+IF(AND(NOT((J287+N287+Q287)=0),(H286-H287)&gt;0),(H286-H287)*(Variables!$M$4*$H$1+Variables!$U$4*$I$1),0)</f>
        <v>0</v>
      </c>
      <c r="Y287" s="95">
        <f ca="1">IF(SUM(T287,U286:U287)&gt;0,H287*Variables!$Y$11*0.25*(1-$J$1),0)</f>
        <v>0</v>
      </c>
      <c r="Z287" s="95">
        <f ca="1">IF(T287=0,H287*$J$1*Variables!$Y$5*0.25,0)</f>
        <v>12.756603105820005</v>
      </c>
      <c r="AA287" s="95">
        <f t="shared" ca="1" si="9"/>
        <v>195.37451355983779</v>
      </c>
      <c r="AB287" s="91">
        <f ca="1">AA287/Variables!$E$49</f>
        <v>31.512018316102868</v>
      </c>
    </row>
    <row r="288" spans="1:28" x14ac:dyDescent="0.25">
      <c r="A288" s="61">
        <f>'Water runs'!C295</f>
        <v>28276</v>
      </c>
      <c r="B288" s="61" t="str">
        <f>'Water runs'!B295</f>
        <v>Autumn</v>
      </c>
      <c r="C288" s="54">
        <f>'Water runs'!D295/100</f>
        <v>1.6626607142857099</v>
      </c>
      <c r="D288" s="108">
        <f>VLOOKUP(ROW(D288)+4,'Water runs'!$BS$3:$CF$423,MATCH($B$1,Scenarios,0)+1)</f>
        <v>0.30953372552435093</v>
      </c>
      <c r="E288" s="54">
        <f>IF(B288=Variables!$D$8,C288-Variables!$E$8,IF(B288=Variables!$D$9,C288-Variables!$E$9,IF(B288=Variables!$D$10,C288-Variables!$E$10,IF(B288=Variables!$D$11,C288-Variables!$E$11,"ELSE"))))</f>
        <v>0.6680174149659821</v>
      </c>
      <c r="F288" s="108">
        <f>VLOOKUP(ROW(F288)+4,'Water runs'!$CH$3:$CU$423,MATCH($B$1,Scenarios,0)+1)</f>
        <v>0.28437517320010453</v>
      </c>
      <c r="G288" s="65">
        <f ca="1">H288/Variables!$E$49</f>
        <v>2.5300000000000002</v>
      </c>
      <c r="H288" s="62">
        <f ca="1">IF((H287+I288)&gt;(1.1*Variables!$E$50),(1.1*Variables!$E$50),IF((H287+I288)&gt;0,H287+I288,0))</f>
        <v>15.686000000000002</v>
      </c>
      <c r="I288" s="64">
        <f t="shared" ca="1" si="8"/>
        <v>5.1443927322225065</v>
      </c>
      <c r="J288" s="63">
        <f>IF(SUM(E284:E287)&lt;Variables!$B$3,-H287,0)</f>
        <v>0</v>
      </c>
      <c r="K288" s="64">
        <f ca="1">IF(AND(H287&lt;Variables!$B$6*Variables!$E$50,OR(SUM(D285:D288)&gt;Variables!$B$5,SUM(E285:E288)&gt;Variables!$B$4)),Variables!$B$6*Variables!$E$50+Variables!$B$7*$G$1*Variables!$E$50*SUM(D285:D288),0)</f>
        <v>0</v>
      </c>
      <c r="L288" s="64">
        <f>IF(B288="Winter",Variables!$B$8*H287,0)</f>
        <v>0</v>
      </c>
      <c r="M288" s="64">
        <f ca="1">IF(AND(B288="Spring",AND(NOT(H287=0),H287&lt;(Variables!$B$9*Variables!$E$50))),(Variables!$B$10*Variables!$E$50+Variables!$B$11*Variables!$E$50*SUM(E285:E288)+$G$1*SUM(D287:D288)*Variables!$E$50*Variables!$B$12),0)</f>
        <v>0</v>
      </c>
      <c r="N288" s="64">
        <f>IF(AND(B288="Spring",AND(SUM(D285:D288)&gt;Variables!$B$13,SUM(D281:D284)&gt;Variables!$B$13)),-Variables!$B$14*Variables!$E$50,0)</f>
        <v>0</v>
      </c>
      <c r="O288" s="64">
        <f>IF(AND(B288="Summer",SUM(C284:D288)&gt;Variables!$B$15),(Variables!$B$16*Variables!$E$50*SUM(C284:C288)+$G$1*Variables!$B$16*Variables!$E$50*SUM(D284:D288)+$G$1*Variables!$E$50*Variables!$B$17*F288),0)</f>
        <v>0</v>
      </c>
      <c r="P288" s="64">
        <f ca="1">IF(AND(AND(B288="Autumn",SUM(D287:E288)&gt;0),NOT(H287=0)),Variables!$B$18*Variables!$E$50+Variables!$B$19*Variables!$E$50*SUM(E287:E288)+$G$1*Variables!$B$19*Variables!$E$50*SUM(D287:D288),0)</f>
        <v>4.5252513696139243</v>
      </c>
      <c r="Q288" s="64">
        <f>IF(AND(B288="Autumn",AND((E288+E287)&lt;Variables!$B$20,(D287+D288)=0)),-Variables!$B$21*Variables!$E$50,0)</f>
        <v>0</v>
      </c>
      <c r="R288" s="64">
        <f ca="1">IF(B288="Autumn",(SUM(F287:F288)*$G$1*Variables!$B$22*Variables!$E$50),0)</f>
        <v>4.3052158663919142E-2</v>
      </c>
      <c r="S288" s="64">
        <f>IF(B288="Spring",($G$1*Variables!$E$50*SUM('Guts (MC)'!F287:F288)*Variables!$B$23),0)</f>
        <v>0</v>
      </c>
      <c r="T288" s="63">
        <f ca="1">IF((H287+SUM(J288:Q288))&lt;(Variables!$B$26*Variables!$E$50),$F$1*((Variables!$B$26*Variables!$E$50)-H287-SUM(J288:Q288)),0)</f>
        <v>0</v>
      </c>
      <c r="U288" s="64">
        <f ca="1">IF(AND(AND(B288="Autumn",SUM(D285:E288)&gt;Variables!$B$27),SUM(J288:Q288)&lt;Variables!$B$28*H287),$F$1*(Variables!$B$28*H287-SUM(J288:Q288)),0)</f>
        <v>0.57608920394466345</v>
      </c>
      <c r="V288" s="96">
        <f ca="1">IF(AND((J288+K288)=0,(Q288+T288)=0),$H$1*H288*Variables!$I$23*0.25,0)</f>
        <v>191.19630368511017</v>
      </c>
      <c r="W288" s="97">
        <f ca="1">IF(AND((K288+J288)=0,(T288+Q288)=0),$I$1*H288*Variables!$Q$23*0.25,0)</f>
        <v>61.491205790965658</v>
      </c>
      <c r="X288" s="95">
        <f ca="1">IF(AND(NOT(K288=0),(H288-H287)&gt;0),(H288-H287)*(Variables!$M$5*$H$1+Variables!$U$5*$I$1),0)+IF(AND(NOT((J288+N288+Q288)=0),(H287-H288)&gt;0),(H287-H288)*(Variables!$M$4*$H$1+Variables!$U$4*$I$1),0)</f>
        <v>0</v>
      </c>
      <c r="Y288" s="95">
        <f ca="1">IF(SUM(T288,U287:U288)&gt;0,H288*Variables!$Y$11*0.25*(1-$J$1),0)</f>
        <v>-136.18944340205718</v>
      </c>
      <c r="Z288" s="95">
        <f ca="1">IF(T288=0,H288*$J$1*Variables!$Y$5*0.25,0)</f>
        <v>17.651249322536053</v>
      </c>
      <c r="AA288" s="95">
        <f t="shared" ca="1" si="9"/>
        <v>134.1493153965547</v>
      </c>
      <c r="AB288" s="91">
        <f ca="1">AA288/Variables!$E$49</f>
        <v>21.636986354283014</v>
      </c>
    </row>
    <row r="289" spans="1:28" x14ac:dyDescent="0.25">
      <c r="A289" s="61">
        <f>'Water runs'!C296</f>
        <v>28368</v>
      </c>
      <c r="B289" s="61" t="str">
        <f>'Water runs'!B296</f>
        <v>Winter</v>
      </c>
      <c r="C289" s="54">
        <f>'Water runs'!D296/100</f>
        <v>0</v>
      </c>
      <c r="D289" s="108">
        <f>VLOOKUP(ROW(D289)+4,'Water runs'!$BS$3:$CF$423,MATCH($B$1,Scenarios,0)+1)</f>
        <v>9.925652617993809E-3</v>
      </c>
      <c r="E289" s="54">
        <f>IF(B289=Variables!$D$8,C289-Variables!$E$8,IF(B289=Variables!$D$9,C289-Variables!$E$9,IF(B289=Variables!$D$10,C289-Variables!$E$10,IF(B289=Variables!$D$11,C289-Variables!$E$11,"ELSE"))))</f>
        <v>-0.57176762566137573</v>
      </c>
      <c r="F289" s="108">
        <f>VLOOKUP(ROW(F289)+4,'Water runs'!$CH$3:$CU$423,MATCH($B$1,Scenarios,0)+1)</f>
        <v>0</v>
      </c>
      <c r="G289" s="65">
        <f ca="1">H289/Variables!$E$49</f>
        <v>1.2701985267720333</v>
      </c>
      <c r="H289" s="62">
        <f ca="1">IF((H288+I289)&gt;(1.1*Variables!$E$50),(1.1*Variables!$E$50),IF((H288+I289)&gt;0,H288+I289,0))</f>
        <v>7.875230865986607</v>
      </c>
      <c r="I289" s="64">
        <f t="shared" ca="1" si="8"/>
        <v>-7.8107691340133947</v>
      </c>
      <c r="J289" s="63">
        <f>IF(SUM(E285:E288)&lt;Variables!$B$3,-H288,0)</f>
        <v>0</v>
      </c>
      <c r="K289" s="64">
        <f ca="1">IF(AND(H288&lt;Variables!$B$6*Variables!$E$50,OR(SUM(D286:D289)&gt;Variables!$B$5,SUM(E286:E289)&gt;Variables!$B$4)),Variables!$B$6*Variables!$E$50+Variables!$B$7*$G$1*Variables!$E$50*SUM(D286:D289),0)</f>
        <v>0</v>
      </c>
      <c r="L289" s="64">
        <f ca="1">IF(B289="Winter",Variables!$B$8*H288,0)</f>
        <v>-7.8107691340133947</v>
      </c>
      <c r="M289" s="64">
        <f ca="1">IF(AND(B289="Spring",AND(NOT(H288=0),H288&lt;(Variables!$B$9*Variables!$E$50))),(Variables!$B$10*Variables!$E$50+Variables!$B$11*Variables!$E$50*SUM(E286:E289)+$G$1*SUM(D288:D289)*Variables!$E$50*Variables!$B$12),0)</f>
        <v>0</v>
      </c>
      <c r="N289" s="64">
        <f>IF(AND(B289="Spring",AND(SUM(D286:D289)&gt;Variables!$B$13,SUM(D282:D285)&gt;Variables!$B$13)),-Variables!$B$14*Variables!$E$50,0)</f>
        <v>0</v>
      </c>
      <c r="O289" s="64">
        <f>IF(AND(B289="Summer",SUM(C285:D289)&gt;Variables!$B$15),(Variables!$B$16*Variables!$E$50*SUM(C285:C289)+$G$1*Variables!$B$16*Variables!$E$50*SUM(D285:D289)+$G$1*Variables!$E$50*Variables!$B$17*F289),0)</f>
        <v>0</v>
      </c>
      <c r="P289" s="64">
        <f ca="1">IF(AND(AND(B289="Autumn",SUM(D288:E289)&gt;0),NOT(H288=0)),Variables!$B$18*Variables!$E$50+Variables!$B$19*Variables!$E$50*SUM(E288:E289)+$G$1*Variables!$B$19*Variables!$E$50*SUM(D288:D289),0)</f>
        <v>0</v>
      </c>
      <c r="Q289" s="64">
        <f>IF(AND(B289="Autumn",AND((E289+E288)&lt;Variables!$B$20,(D288+D289)=0)),-Variables!$B$21*Variables!$E$50,0)</f>
        <v>0</v>
      </c>
      <c r="R289" s="64">
        <f>IF(B289="Autumn",(SUM(F288:F289)*$G$1*Variables!$B$22*Variables!$E$50),0)</f>
        <v>0</v>
      </c>
      <c r="S289" s="64">
        <f>IF(B289="Spring",($G$1*Variables!$E$50*SUM('Guts (MC)'!F288:F289)*Variables!$B$23),0)</f>
        <v>0</v>
      </c>
      <c r="T289" s="63">
        <f ca="1">IF((H288+SUM(J289:Q289))&lt;(Variables!$B$26*Variables!$E$50),$F$1*((Variables!$B$26*Variables!$E$50)-H288-SUM(J289:Q289)),0)</f>
        <v>0</v>
      </c>
      <c r="U289" s="64">
        <f ca="1">IF(AND(AND(B289="Autumn",SUM(D286:E289)&gt;Variables!$B$27),SUM(J289:Q289)&lt;Variables!$B$28*H288),$F$1*(Variables!$B$28*H288-SUM(J289:Q289)),0)</f>
        <v>0</v>
      </c>
      <c r="V289" s="96">
        <f ca="1">IF(AND((J289+K289)=0,(Q289+T289)=0),$H$1*H289*Variables!$I$23*0.25,0)</f>
        <v>95.991013148255021</v>
      </c>
      <c r="W289" s="97">
        <f ca="1">IF(AND((K289+J289)=0,(T289+Q289)=0),$I$1*H289*Variables!$Q$23*0.25,0)</f>
        <v>30.871952175936961</v>
      </c>
      <c r="X289" s="95">
        <f ca="1">IF(AND(NOT(K289=0),(H289-H288)&gt;0),(H289-H288)*(Variables!$M$5*$H$1+Variables!$U$5*$I$1),0)+IF(AND(NOT((J289+N289+Q289)=0),(H288-H289)&gt;0),(H288-H289)*(Variables!$M$4*$H$1+Variables!$U$4*$I$1),0)</f>
        <v>0</v>
      </c>
      <c r="Y289" s="95">
        <f ca="1">IF(SUM(T289,U288:U289)&gt;0,H289*Variables!$Y$11*0.25*(1-$J$1),0)</f>
        <v>-68.374557458970841</v>
      </c>
      <c r="Z289" s="95">
        <f ca="1">IF(T289=0,H289*$J$1*Variables!$Y$5*0.25,0)</f>
        <v>8.8618936305024274</v>
      </c>
      <c r="AA289" s="95">
        <f t="shared" ca="1" si="9"/>
        <v>67.350301495723556</v>
      </c>
      <c r="AB289" s="91">
        <f ca="1">AA289/Variables!$E$49</f>
        <v>10.86295185414896</v>
      </c>
    </row>
    <row r="290" spans="1:28" x14ac:dyDescent="0.25">
      <c r="A290" s="61">
        <f>'Water runs'!C297</f>
        <v>28459</v>
      </c>
      <c r="B290" s="61" t="str">
        <f>'Water runs'!B297</f>
        <v>Spring</v>
      </c>
      <c r="C290" s="54">
        <f>'Water runs'!D297/100</f>
        <v>0</v>
      </c>
      <c r="D290" s="108">
        <f>VLOOKUP(ROW(D290)+4,'Water runs'!$BS$3:$CF$423,MATCH($B$1,Scenarios,0)+1)</f>
        <v>0</v>
      </c>
      <c r="E290" s="54">
        <f>IF(B290=Variables!$D$8,C290-Variables!$E$8,IF(B290=Variables!$D$9,C290-Variables!$E$9,IF(B290=Variables!$D$10,C290-Variables!$E$10,IF(B290=Variables!$D$11,C290-Variables!$E$11,"ELSE"))))</f>
        <v>-0.76398220899470914</v>
      </c>
      <c r="F290" s="108">
        <f>VLOOKUP(ROW(F290)+4,'Water runs'!$CH$3:$CU$423,MATCH($B$1,Scenarios,0)+1)</f>
        <v>0</v>
      </c>
      <c r="G290" s="65">
        <f ca="1">H290/Variables!$E$49</f>
        <v>1.2701985267720333</v>
      </c>
      <c r="H290" s="62">
        <f ca="1">IF((H289+I290)&gt;(1.1*Variables!$E$50),(1.1*Variables!$E$50),IF((H289+I290)&gt;0,H289+I290,0))</f>
        <v>7.875230865986607</v>
      </c>
      <c r="I290" s="64">
        <f t="shared" ca="1" si="8"/>
        <v>0</v>
      </c>
      <c r="J290" s="63">
        <f>IF(SUM(E286:E289)&lt;Variables!$B$3,-H289,0)</f>
        <v>0</v>
      </c>
      <c r="K290" s="64">
        <f ca="1">IF(AND(H289&lt;Variables!$B$6*Variables!$E$50,OR(SUM(D287:D290)&gt;Variables!$B$5,SUM(E287:E290)&gt;Variables!$B$4)),Variables!$B$6*Variables!$E$50+Variables!$B$7*$G$1*Variables!$E$50*SUM(D287:D290),0)</f>
        <v>0</v>
      </c>
      <c r="L290" s="64">
        <f>IF(B290="Winter",Variables!$B$8*H289,0)</f>
        <v>0</v>
      </c>
      <c r="M290" s="64">
        <f ca="1">IF(AND(B290="Spring",AND(NOT(H289=0),H289&lt;(Variables!$B$9*Variables!$E$50))),(Variables!$B$10*Variables!$E$50+Variables!$B$11*Variables!$E$50*SUM(E287:E290)+$G$1*SUM(D289:D290)*Variables!$E$50*Variables!$B$12),0)</f>
        <v>0</v>
      </c>
      <c r="N290" s="64">
        <f>IF(AND(B290="Spring",AND(SUM(D287:D290)&gt;Variables!$B$13,SUM(D283:D286)&gt;Variables!$B$13)),-Variables!$B$14*Variables!$E$50,0)</f>
        <v>0</v>
      </c>
      <c r="O290" s="64">
        <f>IF(AND(B290="Summer",SUM(C286:D290)&gt;Variables!$B$15),(Variables!$B$16*Variables!$E$50*SUM(C286:C290)+$G$1*Variables!$B$16*Variables!$E$50*SUM(D286:D290)+$G$1*Variables!$E$50*Variables!$B$17*F290),0)</f>
        <v>0</v>
      </c>
      <c r="P290" s="64">
        <f ca="1">IF(AND(AND(B290="Autumn",SUM(D289:E290)&gt;0),NOT(H289=0)),Variables!$B$18*Variables!$E$50+Variables!$B$19*Variables!$E$50*SUM(E289:E290)+$G$1*Variables!$B$19*Variables!$E$50*SUM(D289:D290),0)</f>
        <v>0</v>
      </c>
      <c r="Q290" s="64">
        <f>IF(AND(B290="Autumn",AND((E290+E289)&lt;Variables!$B$20,(D289+D290)=0)),-Variables!$B$21*Variables!$E$50,0)</f>
        <v>0</v>
      </c>
      <c r="R290" s="64">
        <f>IF(B290="Autumn",(SUM(F289:F290)*$G$1*Variables!$B$22*Variables!$E$50),0)</f>
        <v>0</v>
      </c>
      <c r="S290" s="64">
        <f ca="1">IF(B290="Spring",($G$1*Variables!$E$50*SUM('Guts (MC)'!F289:F290)*Variables!$B$23),0)</f>
        <v>0</v>
      </c>
      <c r="T290" s="63">
        <f ca="1">IF((H289+SUM(J290:Q290))&lt;(Variables!$B$26*Variables!$E$50),$F$1*((Variables!$B$26*Variables!$E$50)-H289-SUM(J290:Q290)),0)</f>
        <v>0</v>
      </c>
      <c r="U290" s="64">
        <f ca="1">IF(AND(AND(B290="Autumn",SUM(D287:E290)&gt;Variables!$B$27),SUM(J290:Q290)&lt;Variables!$B$28*H289),$F$1*(Variables!$B$28*H289-SUM(J290:Q290)),0)</f>
        <v>0</v>
      </c>
      <c r="V290" s="96">
        <f ca="1">IF(AND((J290+K290)=0,(Q290+T290)=0),$H$1*H290*Variables!$I$23*0.25,0)</f>
        <v>95.991013148255021</v>
      </c>
      <c r="W290" s="97">
        <f ca="1">IF(AND((K290+J290)=0,(T290+Q290)=0),$I$1*H290*Variables!$Q$23*0.25,0)</f>
        <v>30.871952175936961</v>
      </c>
      <c r="X290" s="95">
        <f ca="1">IF(AND(NOT(K290=0),(H290-H289)&gt;0),(H290-H289)*(Variables!$M$5*$H$1+Variables!$U$5*$I$1),0)+IF(AND(NOT((J290+N290+Q290)=0),(H289-H290)&gt;0),(H289-H290)*(Variables!$M$4*$H$1+Variables!$U$4*$I$1),0)</f>
        <v>0</v>
      </c>
      <c r="Y290" s="95">
        <f ca="1">IF(SUM(T290,U289:U290)&gt;0,H290*Variables!$Y$11*0.25*(1-$J$1),0)</f>
        <v>0</v>
      </c>
      <c r="Z290" s="95">
        <f ca="1">IF(T290=0,H290*$J$1*Variables!$Y$5*0.25,0)</f>
        <v>8.8618936305024274</v>
      </c>
      <c r="AA290" s="95">
        <f t="shared" ca="1" si="9"/>
        <v>135.72485895469441</v>
      </c>
      <c r="AB290" s="91">
        <f ca="1">AA290/Variables!$E$49</f>
        <v>21.891106283015226</v>
      </c>
    </row>
    <row r="291" spans="1:28" x14ac:dyDescent="0.25">
      <c r="A291" s="61">
        <f>'Water runs'!C298</f>
        <v>28549</v>
      </c>
      <c r="B291" s="61" t="str">
        <f>'Water runs'!B298</f>
        <v>Summer</v>
      </c>
      <c r="C291" s="54">
        <f>'Water runs'!D298/100</f>
        <v>1.0006964285714299</v>
      </c>
      <c r="D291" s="108">
        <f>VLOOKUP(ROW(D291)+4,'Water runs'!$BS$3:$CF$423,MATCH($B$1,Scenarios,0)+1)</f>
        <v>0</v>
      </c>
      <c r="E291" s="54">
        <f>IF(B291=Variables!$D$8,C291-Variables!$E$8,IF(B291=Variables!$D$9,C291-Variables!$E$9,IF(B291=Variables!$D$10,C291-Variables!$E$10,IF(B291=Variables!$D$11,C291-Variables!$E$11,"ELSE"))))</f>
        <v>-0.25767370748299179</v>
      </c>
      <c r="F291" s="108">
        <f>VLOOKUP(ROW(F291)+4,'Water runs'!$CH$3:$CU$423,MATCH($B$1,Scenarios,0)+1)</f>
        <v>0</v>
      </c>
      <c r="G291" s="65">
        <f ca="1">H291/Variables!$E$49</f>
        <v>1.2701985267720333</v>
      </c>
      <c r="H291" s="62">
        <f ca="1">IF((H290+I291)&gt;(1.1*Variables!$E$50),(1.1*Variables!$E$50),IF((H290+I291)&gt;0,H290+I291,0))</f>
        <v>7.875230865986607</v>
      </c>
      <c r="I291" s="64">
        <f t="shared" ca="1" si="8"/>
        <v>0</v>
      </c>
      <c r="J291" s="63">
        <f>IF(SUM(E287:E290)&lt;Variables!$B$3,-H290,0)</f>
        <v>0</v>
      </c>
      <c r="K291" s="64">
        <f ca="1">IF(AND(H290&lt;Variables!$B$6*Variables!$E$50,OR(SUM(D288:D291)&gt;Variables!$B$5,SUM(E288:E291)&gt;Variables!$B$4)),Variables!$B$6*Variables!$E$50+Variables!$B$7*$G$1*Variables!$E$50*SUM(D288:D291),0)</f>
        <v>0</v>
      </c>
      <c r="L291" s="64">
        <f>IF(B291="Winter",Variables!$B$8*H290,0)</f>
        <v>0</v>
      </c>
      <c r="M291" s="64">
        <f ca="1">IF(AND(B291="Spring",AND(NOT(H290=0),H290&lt;(Variables!$B$9*Variables!$E$50))),(Variables!$B$10*Variables!$E$50+Variables!$B$11*Variables!$E$50*SUM(E288:E291)+$G$1*SUM(D290:D291)*Variables!$E$50*Variables!$B$12),0)</f>
        <v>0</v>
      </c>
      <c r="N291" s="64">
        <f>IF(AND(B291="Spring",AND(SUM(D288:D291)&gt;Variables!$B$13,SUM(D284:D287)&gt;Variables!$B$13)),-Variables!$B$14*Variables!$E$50,0)</f>
        <v>0</v>
      </c>
      <c r="O291" s="64">
        <f>IF(AND(B291="Summer",SUM(C287:D291)&gt;Variables!$B$15),(Variables!$B$16*Variables!$E$50*SUM(C287:C291)+$G$1*Variables!$B$16*Variables!$E$50*SUM(D287:D291)+$G$1*Variables!$E$50*Variables!$B$17*F291),0)</f>
        <v>0</v>
      </c>
      <c r="P291" s="64">
        <f ca="1">IF(AND(AND(B291="Autumn",SUM(D290:E291)&gt;0),NOT(H290=0)),Variables!$B$18*Variables!$E$50+Variables!$B$19*Variables!$E$50*SUM(E290:E291)+$G$1*Variables!$B$19*Variables!$E$50*SUM(D290:D291),0)</f>
        <v>0</v>
      </c>
      <c r="Q291" s="64">
        <f>IF(AND(B291="Autumn",AND((E291+E290)&lt;Variables!$B$20,(D290+D291)=0)),-Variables!$B$21*Variables!$E$50,0)</f>
        <v>0</v>
      </c>
      <c r="R291" s="64">
        <f>IF(B291="Autumn",(SUM(F290:F291)*$G$1*Variables!$B$22*Variables!$E$50),0)</f>
        <v>0</v>
      </c>
      <c r="S291" s="64">
        <f>IF(B291="Spring",($G$1*Variables!$E$50*SUM('Guts (MC)'!F290:F291)*Variables!$B$23),0)</f>
        <v>0</v>
      </c>
      <c r="T291" s="63">
        <f ca="1">IF((H290+SUM(J291:Q291))&lt;(Variables!$B$26*Variables!$E$50),$F$1*((Variables!$B$26*Variables!$E$50)-H290-SUM(J291:Q291)),0)</f>
        <v>0</v>
      </c>
      <c r="U291" s="64">
        <f ca="1">IF(AND(AND(B291="Autumn",SUM(D288:E291)&gt;Variables!$B$27),SUM(J291:Q291)&lt;Variables!$B$28*H290),$F$1*(Variables!$B$28*H290-SUM(J291:Q291)),0)</f>
        <v>0</v>
      </c>
      <c r="V291" s="96">
        <f ca="1">IF(AND((J291+K291)=0,(Q291+T291)=0),$H$1*H291*Variables!$I$23*0.25,0)</f>
        <v>95.991013148255021</v>
      </c>
      <c r="W291" s="97">
        <f ca="1">IF(AND((K291+J291)=0,(T291+Q291)=0),$I$1*H291*Variables!$Q$23*0.25,0)</f>
        <v>30.871952175936961</v>
      </c>
      <c r="X291" s="95">
        <f ca="1">IF(AND(NOT(K291=0),(H291-H290)&gt;0),(H291-H290)*(Variables!$M$5*$H$1+Variables!$U$5*$I$1),0)+IF(AND(NOT((J291+N291+Q291)=0),(H290-H291)&gt;0),(H290-H291)*(Variables!$M$4*$H$1+Variables!$U$4*$I$1),0)</f>
        <v>0</v>
      </c>
      <c r="Y291" s="95">
        <f ca="1">IF(SUM(T291,U290:U291)&gt;0,H291*Variables!$Y$11*0.25*(1-$J$1),0)</f>
        <v>0</v>
      </c>
      <c r="Z291" s="95">
        <f ca="1">IF(T291=0,H291*$J$1*Variables!$Y$5*0.25,0)</f>
        <v>8.8618936305024274</v>
      </c>
      <c r="AA291" s="95">
        <f t="shared" ca="1" si="9"/>
        <v>135.72485895469441</v>
      </c>
      <c r="AB291" s="91">
        <f ca="1">AA291/Variables!$E$49</f>
        <v>21.891106283015226</v>
      </c>
    </row>
    <row r="292" spans="1:28" x14ac:dyDescent="0.25">
      <c r="A292" s="61">
        <f>'Water runs'!C299</f>
        <v>28641</v>
      </c>
      <c r="B292" s="61" t="str">
        <f>'Water runs'!B299</f>
        <v>Autumn</v>
      </c>
      <c r="C292" s="54">
        <f>'Water runs'!D299/100</f>
        <v>0.85289285714285701</v>
      </c>
      <c r="D292" s="108">
        <f>VLOOKUP(ROW(D292)+4,'Water runs'!$BS$3:$CF$423,MATCH($B$1,Scenarios,0)+1)</f>
        <v>0</v>
      </c>
      <c r="E292" s="54">
        <f>IF(B292=Variables!$D$8,C292-Variables!$E$8,IF(B292=Variables!$D$9,C292-Variables!$E$9,IF(B292=Variables!$D$10,C292-Variables!$E$10,IF(B292=Variables!$D$11,C292-Variables!$E$11,"ELSE"))))</f>
        <v>-0.14175044217687083</v>
      </c>
      <c r="F292" s="108">
        <f>VLOOKUP(ROW(F292)+4,'Water runs'!$CH$3:$CU$423,MATCH($B$1,Scenarios,0)+1)</f>
        <v>0</v>
      </c>
      <c r="G292" s="65">
        <f ca="1">H292/Variables!$E$49</f>
        <v>1.2701985267720333</v>
      </c>
      <c r="H292" s="62">
        <f ca="1">IF((H291+I292)&gt;(1.1*Variables!$E$50),(1.1*Variables!$E$50),IF((H291+I292)&gt;0,H291+I292,0))</f>
        <v>7.875230865986607</v>
      </c>
      <c r="I292" s="64">
        <f t="shared" ca="1" si="8"/>
        <v>0</v>
      </c>
      <c r="J292" s="63">
        <f>IF(SUM(E288:E291)&lt;Variables!$B$3,-H291,0)</f>
        <v>0</v>
      </c>
      <c r="K292" s="64">
        <f ca="1">IF(AND(H291&lt;Variables!$B$6*Variables!$E$50,OR(SUM(D289:D292)&gt;Variables!$B$5,SUM(E289:E292)&gt;Variables!$B$4)),Variables!$B$6*Variables!$E$50+Variables!$B$7*$G$1*Variables!$E$50*SUM(D289:D292),0)</f>
        <v>0</v>
      </c>
      <c r="L292" s="64">
        <f>IF(B292="Winter",Variables!$B$8*H291,0)</f>
        <v>0</v>
      </c>
      <c r="M292" s="64">
        <f ca="1">IF(AND(B292="Spring",AND(NOT(H291=0),H291&lt;(Variables!$B$9*Variables!$E$50))),(Variables!$B$10*Variables!$E$50+Variables!$B$11*Variables!$E$50*SUM(E289:E292)+$G$1*SUM(D291:D292)*Variables!$E$50*Variables!$B$12),0)</f>
        <v>0</v>
      </c>
      <c r="N292" s="64">
        <f>IF(AND(B292="Spring",AND(SUM(D289:D292)&gt;Variables!$B$13,SUM(D285:D288)&gt;Variables!$B$13)),-Variables!$B$14*Variables!$E$50,0)</f>
        <v>0</v>
      </c>
      <c r="O292" s="64">
        <f>IF(AND(B292="Summer",SUM(C288:D292)&gt;Variables!$B$15),(Variables!$B$16*Variables!$E$50*SUM(C288:C292)+$G$1*Variables!$B$16*Variables!$E$50*SUM(D288:D292)+$G$1*Variables!$E$50*Variables!$B$17*F292),0)</f>
        <v>0</v>
      </c>
      <c r="P292" s="64">
        <f ca="1">IF(AND(AND(B292="Autumn",SUM(D291:E292)&gt;0),NOT(H291=0)),Variables!$B$18*Variables!$E$50+Variables!$B$19*Variables!$E$50*SUM(E291:E292)+$G$1*Variables!$B$19*Variables!$E$50*SUM(D291:D292),0)</f>
        <v>0</v>
      </c>
      <c r="Q292" s="64">
        <f>IF(AND(B292="Autumn",AND((E292+E291)&lt;Variables!$B$20,(D291+D292)=0)),-Variables!$B$21*Variables!$E$50,0)</f>
        <v>0</v>
      </c>
      <c r="R292" s="64">
        <f ca="1">IF(B292="Autumn",(SUM(F291:F292)*$G$1*Variables!$B$22*Variables!$E$50),0)</f>
        <v>0</v>
      </c>
      <c r="S292" s="64">
        <f>IF(B292="Spring",($G$1*Variables!$E$50*SUM('Guts (MC)'!F291:F292)*Variables!$B$23),0)</f>
        <v>0</v>
      </c>
      <c r="T292" s="63">
        <f ca="1">IF((H291+SUM(J292:Q292))&lt;(Variables!$B$26*Variables!$E$50),$F$1*((Variables!$B$26*Variables!$E$50)-H291-SUM(J292:Q292)),0)</f>
        <v>0</v>
      </c>
      <c r="U292" s="64">
        <f ca="1">IF(AND(AND(B292="Autumn",SUM(D289:E292)&gt;Variables!$B$27),SUM(J292:Q292)&lt;Variables!$B$28*H291),$F$1*(Variables!$B$28*H291-SUM(J292:Q292)),0)</f>
        <v>0</v>
      </c>
      <c r="V292" s="96">
        <f ca="1">IF(AND((J292+K292)=0,(Q292+T292)=0),$H$1*H292*Variables!$I$23*0.25,0)</f>
        <v>95.991013148255021</v>
      </c>
      <c r="W292" s="97">
        <f ca="1">IF(AND((K292+J292)=0,(T292+Q292)=0),$I$1*H292*Variables!$Q$23*0.25,0)</f>
        <v>30.871952175936961</v>
      </c>
      <c r="X292" s="95">
        <f ca="1">IF(AND(NOT(K292=0),(H292-H291)&gt;0),(H292-H291)*(Variables!$M$5*$H$1+Variables!$U$5*$I$1),0)+IF(AND(NOT((J292+N292+Q292)=0),(H291-H292)&gt;0),(H291-H292)*(Variables!$M$4*$H$1+Variables!$U$4*$I$1),0)</f>
        <v>0</v>
      </c>
      <c r="Y292" s="95">
        <f ca="1">IF(SUM(T292,U291:U292)&gt;0,H292*Variables!$Y$11*0.25*(1-$J$1),0)</f>
        <v>0</v>
      </c>
      <c r="Z292" s="95">
        <f ca="1">IF(T292=0,H292*$J$1*Variables!$Y$5*0.25,0)</f>
        <v>8.8618936305024274</v>
      </c>
      <c r="AA292" s="95">
        <f t="shared" ca="1" si="9"/>
        <v>135.72485895469441</v>
      </c>
      <c r="AB292" s="91">
        <f ca="1">AA292/Variables!$E$49</f>
        <v>21.891106283015226</v>
      </c>
    </row>
    <row r="293" spans="1:28" x14ac:dyDescent="0.25">
      <c r="A293" s="61">
        <f>'Water runs'!C300</f>
        <v>28733</v>
      </c>
      <c r="B293" s="61" t="str">
        <f>'Water runs'!B300</f>
        <v>Winter</v>
      </c>
      <c r="C293" s="54">
        <f>'Water runs'!D300/100</f>
        <v>1.06841071428571</v>
      </c>
      <c r="D293" s="108">
        <f>VLOOKUP(ROW(D293)+4,'Water runs'!$BS$3:$CF$423,MATCH($B$1,Scenarios,0)+1)</f>
        <v>1.4799008701573252E-2</v>
      </c>
      <c r="E293" s="54">
        <f>IF(B293=Variables!$D$8,C293-Variables!$E$8,IF(B293=Variables!$D$9,C293-Variables!$E$9,IF(B293=Variables!$D$10,C293-Variables!$E$10,IF(B293=Variables!$D$11,C293-Variables!$E$11,"ELSE"))))</f>
        <v>0.49664308862433426</v>
      </c>
      <c r="F293" s="108">
        <f>VLOOKUP(ROW(F293)+4,'Water runs'!$CH$3:$CU$423,MATCH($B$1,Scenarios,0)+1)</f>
        <v>0</v>
      </c>
      <c r="G293" s="65">
        <f ca="1">H293/Variables!$E$49</f>
        <v>0.16099999999999995</v>
      </c>
      <c r="H293" s="62">
        <f ca="1">IF((H292+I293)&gt;(1.1*Variables!$E$50),(1.1*Variables!$E$50),IF((H292+I293)&gt;0,H292+I293,0))</f>
        <v>0.99819999999999975</v>
      </c>
      <c r="I293" s="64">
        <f t="shared" ca="1" si="8"/>
        <v>-6.8770308659866073</v>
      </c>
      <c r="J293" s="63">
        <f ca="1">IF(SUM(E289:E292)&lt;Variables!$B$3,-H292,0)</f>
        <v>-7.875230865986607</v>
      </c>
      <c r="K293" s="64">
        <f ca="1">IF(AND(H292&lt;Variables!$B$6*Variables!$E$50,OR(SUM(D290:D293)&gt;Variables!$B$5,SUM(E290:E293)&gt;Variables!$B$4)),Variables!$B$6*Variables!$E$50+Variables!$B$7*$G$1*Variables!$E$50*SUM(D290:D293),0)</f>
        <v>0</v>
      </c>
      <c r="L293" s="64">
        <f ca="1">IF(B293="Winter",Variables!$B$8*H292,0)</f>
        <v>-3.9214337735099938</v>
      </c>
      <c r="M293" s="64">
        <f ca="1">IF(AND(B293="Spring",AND(NOT(H292=0),H292&lt;(Variables!$B$9*Variables!$E$50))),(Variables!$B$10*Variables!$E$50+Variables!$B$11*Variables!$E$50*SUM(E290:E293)+$G$1*SUM(D292:D293)*Variables!$E$50*Variables!$B$12),0)</f>
        <v>0</v>
      </c>
      <c r="N293" s="64">
        <f>IF(AND(B293="Spring",AND(SUM(D290:D293)&gt;Variables!$B$13,SUM(D286:D289)&gt;Variables!$B$13)),-Variables!$B$14*Variables!$E$50,0)</f>
        <v>0</v>
      </c>
      <c r="O293" s="64">
        <f>IF(AND(B293="Summer",SUM(C289:D293)&gt;Variables!$B$15),(Variables!$B$16*Variables!$E$50*SUM(C289:C293)+$G$1*Variables!$B$16*Variables!$E$50*SUM(D289:D293)+$G$1*Variables!$E$50*Variables!$B$17*F293),0)</f>
        <v>0</v>
      </c>
      <c r="P293" s="64">
        <f ca="1">IF(AND(AND(B293="Autumn",SUM(D292:E293)&gt;0),NOT(H292=0)),Variables!$B$18*Variables!$E$50+Variables!$B$19*Variables!$E$50*SUM(E292:E293)+$G$1*Variables!$B$19*Variables!$E$50*SUM(D292:D293),0)</f>
        <v>0</v>
      </c>
      <c r="Q293" s="64">
        <f>IF(AND(B293="Autumn",AND((E293+E292)&lt;Variables!$B$20,(D292+D293)=0)),-Variables!$B$21*Variables!$E$50,0)</f>
        <v>0</v>
      </c>
      <c r="R293" s="64">
        <f>IF(B293="Autumn",(SUM(F292:F293)*$G$1*Variables!$B$22*Variables!$E$50),0)</f>
        <v>0</v>
      </c>
      <c r="S293" s="64">
        <f>IF(B293="Spring",($G$1*Variables!$E$50*SUM('Guts (MC)'!F292:F293)*Variables!$B$23),0)</f>
        <v>0</v>
      </c>
      <c r="T293" s="63">
        <f ca="1">IF((H292+SUM(J293:Q293))&lt;(Variables!$B$26*Variables!$E$50),$F$1*((Variables!$B$26*Variables!$E$50)-H292-SUM(J293:Q293)),0)</f>
        <v>4.919633773509994</v>
      </c>
      <c r="U293" s="64">
        <f ca="1">IF(AND(AND(B293="Autumn",SUM(D290:E293)&gt;Variables!$B$27),SUM(J293:Q293)&lt;Variables!$B$28*H292),$F$1*(Variables!$B$28*H292-SUM(J293:Q293)),0)</f>
        <v>0</v>
      </c>
      <c r="V293" s="96">
        <f ca="1">IF(AND((J293+K293)=0,(Q293+T293)=0),$H$1*H293*Variables!$I$23*0.25,0)</f>
        <v>0</v>
      </c>
      <c r="W293" s="97">
        <f ca="1">IF(AND((K293+J293)=0,(T293+Q293)=0),$I$1*H293*Variables!$Q$23*0.25,0)</f>
        <v>0</v>
      </c>
      <c r="X293" s="95">
        <f ca="1">IF(AND(NOT(K293=0),(H293-H292)&gt;0),(H293-H292)*(Variables!$M$5*$H$1+Variables!$U$5*$I$1),0)+IF(AND(NOT((J293+N293+Q293)=0),(H292-H293)&gt;0),(H292-H293)*(Variables!$M$4*$H$1+Variables!$U$4*$I$1),0)</f>
        <v>393.07207566323808</v>
      </c>
      <c r="Y293" s="95">
        <f ca="1">IF(SUM(T293,U292:U293)&gt;0,H293*Variables!$Y$11*0.25*(1-$J$1),0)</f>
        <v>-8.6666009437672731</v>
      </c>
      <c r="Z293" s="95">
        <f ca="1">IF(T293=0,H293*$J$1*Variables!$Y$5*0.25,0)</f>
        <v>0</v>
      </c>
      <c r="AA293" s="95">
        <f t="shared" ca="1" si="9"/>
        <v>384.40547471947082</v>
      </c>
      <c r="AB293" s="91">
        <f ca="1">AA293/Variables!$E$49</f>
        <v>62.000883019269487</v>
      </c>
    </row>
    <row r="294" spans="1:28" x14ac:dyDescent="0.25">
      <c r="A294" s="61">
        <f>'Water runs'!C301</f>
        <v>28824</v>
      </c>
      <c r="B294" s="61" t="str">
        <f>'Water runs'!B301</f>
        <v>Spring</v>
      </c>
      <c r="C294" s="54">
        <f>'Water runs'!D301/100</f>
        <v>0.81544047619047599</v>
      </c>
      <c r="D294" s="108">
        <f>VLOOKUP(ROW(D294)+4,'Water runs'!$BS$3:$CF$423,MATCH($B$1,Scenarios,0)+1)</f>
        <v>4.4294887528800703E-2</v>
      </c>
      <c r="E294" s="54">
        <f>IF(B294=Variables!$D$8,C294-Variables!$E$8,IF(B294=Variables!$D$9,C294-Variables!$E$9,IF(B294=Variables!$D$10,C294-Variables!$E$10,IF(B294=Variables!$D$11,C294-Variables!$E$11,"ELSE"))))</f>
        <v>5.1458267195766849E-2</v>
      </c>
      <c r="F294" s="108">
        <f>VLOOKUP(ROW(F294)+4,'Water runs'!$CH$3:$CU$423,MATCH($B$1,Scenarios,0)+1)</f>
        <v>0</v>
      </c>
      <c r="G294" s="65">
        <f ca="1">H294/Variables!$E$49</f>
        <v>0.36566380078898342</v>
      </c>
      <c r="H294" s="62">
        <f ca="1">IF((H293+I294)&gt;(1.1*Variables!$E$50),(1.1*Variables!$E$50),IF((H293+I294)&gt;0,H293+I294,0))</f>
        <v>2.2671155648916974</v>
      </c>
      <c r="I294" s="64">
        <f t="shared" ca="1" si="8"/>
        <v>1.2689155648916974</v>
      </c>
      <c r="J294" s="63">
        <f>IF(SUM(E290:E293)&lt;Variables!$B$3,-H293,0)</f>
        <v>0</v>
      </c>
      <c r="K294" s="64">
        <f ca="1">IF(AND(H293&lt;Variables!$B$6*Variables!$E$50,OR(SUM(D291:D294)&gt;Variables!$B$5,SUM(E291:E294)&gt;Variables!$B$4)),Variables!$B$6*Variables!$E$50+Variables!$B$7*$G$1*Variables!$E$50*SUM(D291:D294),0)</f>
        <v>1.1441502942003696</v>
      </c>
      <c r="L294" s="64">
        <f>IF(B294="Winter",Variables!$B$8*H293,0)</f>
        <v>0</v>
      </c>
      <c r="M294" s="64">
        <f ca="1">IF(AND(B294="Spring",AND(NOT(H293=0),H293&lt;(Variables!$B$9*Variables!$E$50))),(Variables!$B$10*Variables!$E$50+Variables!$B$11*Variables!$E$50*SUM(E291:E294)+$G$1*SUM(D293:D294)*Variables!$E$50*Variables!$B$12),0)</f>
        <v>0.12476527069132776</v>
      </c>
      <c r="N294" s="64">
        <f>IF(AND(B294="Spring",AND(SUM(D291:D294)&gt;Variables!$B$13,SUM(D287:D290)&gt;Variables!$B$13)),-Variables!$B$14*Variables!$E$50,0)</f>
        <v>0</v>
      </c>
      <c r="O294" s="64">
        <f>IF(AND(B294="Summer",SUM(C290:D294)&gt;Variables!$B$15),(Variables!$B$16*Variables!$E$50*SUM(C290:C294)+$G$1*Variables!$B$16*Variables!$E$50*SUM(D290:D294)+$G$1*Variables!$E$50*Variables!$B$17*F294),0)</f>
        <v>0</v>
      </c>
      <c r="P294" s="64">
        <f ca="1">IF(AND(AND(B294="Autumn",SUM(D293:E294)&gt;0),NOT(H293=0)),Variables!$B$18*Variables!$E$50+Variables!$B$19*Variables!$E$50*SUM(E293:E294)+$G$1*Variables!$B$19*Variables!$E$50*SUM(D293:D294),0)</f>
        <v>0</v>
      </c>
      <c r="Q294" s="64">
        <f>IF(AND(B294="Autumn",AND((E294+E293)&lt;Variables!$B$20,(D293+D294)=0)),-Variables!$B$21*Variables!$E$50,0)</f>
        <v>0</v>
      </c>
      <c r="R294" s="64">
        <f>IF(B294="Autumn",(SUM(F293:F294)*$G$1*Variables!$B$22*Variables!$E$50),0)</f>
        <v>0</v>
      </c>
      <c r="S294" s="64">
        <f ca="1">IF(B294="Spring",($G$1*Variables!$E$50*SUM('Guts (MC)'!F293:F294)*Variables!$B$23),0)</f>
        <v>0</v>
      </c>
      <c r="T294" s="63">
        <f ca="1">IF((H293+SUM(J294:Q294))&lt;(Variables!$B$26*Variables!$E$50),$F$1*((Variables!$B$26*Variables!$E$50)-H293-SUM(J294:Q294)),0)</f>
        <v>0</v>
      </c>
      <c r="U294" s="64">
        <f ca="1">IF(AND(AND(B294="Autumn",SUM(D291:E294)&gt;Variables!$B$27),SUM(J294:Q294)&lt;Variables!$B$28*H293),$F$1*(Variables!$B$28*H293-SUM(J294:Q294)),0)</f>
        <v>0</v>
      </c>
      <c r="V294" s="96">
        <f ca="1">IF(AND((J294+K294)=0,(Q294+T294)=0),$H$1*H294*Variables!$I$23*0.25,0)</f>
        <v>0</v>
      </c>
      <c r="W294" s="97">
        <f ca="1">IF(AND((K294+J294)=0,(T294+Q294)=0),$I$1*H294*Variables!$Q$23*0.25,0)</f>
        <v>0</v>
      </c>
      <c r="X294" s="95">
        <f ca="1">IF(AND(NOT(K294=0),(H294-H293)&gt;0),(H294-H293)*(Variables!$M$5*$H$1+Variables!$U$5*$I$1),0)+IF(AND(NOT((J294+N294+Q294)=0),(H293-H294)&gt;0),(H293-H294)*(Variables!$M$4*$H$1+Variables!$U$4*$I$1),0)</f>
        <v>-145.05541262008384</v>
      </c>
      <c r="Y294" s="95">
        <f ca="1">IF(SUM(T294,U293:U294)&gt;0,H294*Variables!$Y$11*0.25*(1-$J$1),0)</f>
        <v>0</v>
      </c>
      <c r="Z294" s="95">
        <f ca="1">IF(T294=0,H294*$J$1*Variables!$Y$5*0.25,0)</f>
        <v>2.551155302748024</v>
      </c>
      <c r="AA294" s="95">
        <f t="shared" ca="1" si="9"/>
        <v>-142.50425731733583</v>
      </c>
      <c r="AB294" s="91">
        <f ca="1">AA294/Variables!$E$49</f>
        <v>-22.984557631828359</v>
      </c>
    </row>
    <row r="295" spans="1:28" x14ac:dyDescent="0.25">
      <c r="A295" s="61">
        <f>'Water runs'!C302</f>
        <v>28914</v>
      </c>
      <c r="B295" s="61" t="str">
        <f>'Water runs'!B302</f>
        <v>Summer</v>
      </c>
      <c r="C295" s="54">
        <f>'Water runs'!D302/100</f>
        <v>0.93578571428571389</v>
      </c>
      <c r="D295" s="108">
        <f>VLOOKUP(ROW(D295)+4,'Water runs'!$BS$3:$CF$423,MATCH($B$1,Scenarios,0)+1)</f>
        <v>0</v>
      </c>
      <c r="E295" s="54">
        <f>IF(B295=Variables!$D$8,C295-Variables!$E$8,IF(B295=Variables!$D$9,C295-Variables!$E$9,IF(B295=Variables!$D$10,C295-Variables!$E$10,IF(B295=Variables!$D$11,C295-Variables!$E$11,"ELSE"))))</f>
        <v>-0.32258442176870783</v>
      </c>
      <c r="F295" s="108">
        <f>VLOOKUP(ROW(F295)+4,'Water runs'!$CH$3:$CU$423,MATCH($B$1,Scenarios,0)+1)</f>
        <v>0</v>
      </c>
      <c r="G295" s="65">
        <f ca="1">H295/Variables!$E$49</f>
        <v>0.36566380078898342</v>
      </c>
      <c r="H295" s="62">
        <f ca="1">IF((H294+I295)&gt;(1.1*Variables!$E$50),(1.1*Variables!$E$50),IF((H294+I295)&gt;0,H294+I295,0))</f>
        <v>2.2671155648916974</v>
      </c>
      <c r="I295" s="64">
        <f t="shared" ca="1" si="8"/>
        <v>0</v>
      </c>
      <c r="J295" s="63">
        <f>IF(SUM(E291:E294)&lt;Variables!$B$3,-H294,0)</f>
        <v>0</v>
      </c>
      <c r="K295" s="64">
        <f ca="1">IF(AND(H294&lt;Variables!$B$6*Variables!$E$50,OR(SUM(D292:D295)&gt;Variables!$B$5,SUM(E292:E295)&gt;Variables!$B$4)),Variables!$B$6*Variables!$E$50+Variables!$B$7*$G$1*Variables!$E$50*SUM(D292:D295),0)</f>
        <v>0</v>
      </c>
      <c r="L295" s="64">
        <f>IF(B295="Winter",Variables!$B$8*H294,0)</f>
        <v>0</v>
      </c>
      <c r="M295" s="64">
        <f ca="1">IF(AND(B295="Spring",AND(NOT(H294=0),H294&lt;(Variables!$B$9*Variables!$E$50))),(Variables!$B$10*Variables!$E$50+Variables!$B$11*Variables!$E$50*SUM(E292:E295)+$G$1*SUM(D294:D295)*Variables!$E$50*Variables!$B$12),0)</f>
        <v>0</v>
      </c>
      <c r="N295" s="64">
        <f>IF(AND(B295="Spring",AND(SUM(D292:D295)&gt;Variables!$B$13,SUM(D288:D291)&gt;Variables!$B$13)),-Variables!$B$14*Variables!$E$50,0)</f>
        <v>0</v>
      </c>
      <c r="O295" s="64">
        <f>IF(AND(B295="Summer",SUM(C291:D295)&gt;Variables!$B$15),(Variables!$B$16*Variables!$E$50*SUM(C291:C295)+$G$1*Variables!$B$16*Variables!$E$50*SUM(D291:D295)+$G$1*Variables!$E$50*Variables!$B$17*F295),0)</f>
        <v>0</v>
      </c>
      <c r="P295" s="64">
        <f ca="1">IF(AND(AND(B295="Autumn",SUM(D294:E295)&gt;0),NOT(H294=0)),Variables!$B$18*Variables!$E$50+Variables!$B$19*Variables!$E$50*SUM(E294:E295)+$G$1*Variables!$B$19*Variables!$E$50*SUM(D294:D295),0)</f>
        <v>0</v>
      </c>
      <c r="Q295" s="64">
        <f>IF(AND(B295="Autumn",AND((E295+E294)&lt;Variables!$B$20,(D294+D295)=0)),-Variables!$B$21*Variables!$E$50,0)</f>
        <v>0</v>
      </c>
      <c r="R295" s="64">
        <f>IF(B295="Autumn",(SUM(F294:F295)*$G$1*Variables!$B$22*Variables!$E$50),0)</f>
        <v>0</v>
      </c>
      <c r="S295" s="64">
        <f>IF(B295="Spring",($G$1*Variables!$E$50*SUM('Guts (MC)'!F294:F295)*Variables!$B$23),0)</f>
        <v>0</v>
      </c>
      <c r="T295" s="63">
        <f ca="1">IF((H294+SUM(J295:Q295))&lt;(Variables!$B$26*Variables!$E$50),$F$1*((Variables!$B$26*Variables!$E$50)-H294-SUM(J295:Q295)),0)</f>
        <v>0</v>
      </c>
      <c r="U295" s="64">
        <f ca="1">IF(AND(AND(B295="Autumn",SUM(D292:E295)&gt;Variables!$B$27),SUM(J295:Q295)&lt;Variables!$B$28*H294),$F$1*(Variables!$B$28*H294-SUM(J295:Q295)),0)</f>
        <v>0</v>
      </c>
      <c r="V295" s="96">
        <f ca="1">IF(AND((J295+K295)=0,(Q295+T295)=0),$H$1*H295*Variables!$I$23*0.25,0)</f>
        <v>27.633820989052211</v>
      </c>
      <c r="W295" s="97">
        <f ca="1">IF(AND((K295+J295)=0,(T295+Q295)=0),$I$1*H295*Variables!$Q$23*0.25,0)</f>
        <v>8.8873944761351975</v>
      </c>
      <c r="X295" s="95">
        <f ca="1">IF(AND(NOT(K295=0),(H295-H294)&gt;0),(H295-H294)*(Variables!$M$5*$H$1+Variables!$U$5*$I$1),0)+IF(AND(NOT((J295+N295+Q295)=0),(H294-H295)&gt;0),(H294-H295)*(Variables!$M$4*$H$1+Variables!$U$4*$I$1),0)</f>
        <v>0</v>
      </c>
      <c r="Y295" s="95">
        <f ca="1">IF(SUM(T295,U294:U295)&gt;0,H295*Variables!$Y$11*0.25*(1-$J$1),0)</f>
        <v>0</v>
      </c>
      <c r="Z295" s="95">
        <f ca="1">IF(T295=0,H295*$J$1*Variables!$Y$5*0.25,0)</f>
        <v>2.551155302748024</v>
      </c>
      <c r="AA295" s="95">
        <f t="shared" ca="1" si="9"/>
        <v>39.072370767935432</v>
      </c>
      <c r="AB295" s="91">
        <f ca="1">AA295/Variables!$E$49</f>
        <v>6.301995285150876</v>
      </c>
    </row>
    <row r="296" spans="1:28" x14ac:dyDescent="0.25">
      <c r="A296" s="61">
        <f>'Water runs'!C303</f>
        <v>29006</v>
      </c>
      <c r="B296" s="61" t="str">
        <f>'Water runs'!B303</f>
        <v>Autumn</v>
      </c>
      <c r="C296" s="54">
        <f>'Water runs'!D303/100</f>
        <v>0.74047619047618995</v>
      </c>
      <c r="D296" s="108">
        <f>VLOOKUP(ROW(D296)+4,'Water runs'!$BS$3:$CF$423,MATCH($B$1,Scenarios,0)+1)</f>
        <v>3.2486401317508452E-3</v>
      </c>
      <c r="E296" s="54">
        <f>IF(B296=Variables!$D$8,C296-Variables!$E$8,IF(B296=Variables!$D$9,C296-Variables!$E$9,IF(B296=Variables!$D$10,C296-Variables!$E$10,IF(B296=Variables!$D$11,C296-Variables!$E$11,"ELSE"))))</f>
        <v>-0.25416710884353788</v>
      </c>
      <c r="F296" s="108">
        <f>VLOOKUP(ROW(F296)+4,'Water runs'!$CH$3:$CU$423,MATCH($B$1,Scenarios,0)+1)</f>
        <v>0</v>
      </c>
      <c r="G296" s="65">
        <f ca="1">H296/Variables!$E$49</f>
        <v>0.36566380078898342</v>
      </c>
      <c r="H296" s="62">
        <f ca="1">IF((H295+I296)&gt;(1.1*Variables!$E$50),(1.1*Variables!$E$50),IF((H295+I296)&gt;0,H295+I296,0))</f>
        <v>2.2671155648916974</v>
      </c>
      <c r="I296" s="64">
        <f t="shared" ca="1" si="8"/>
        <v>0</v>
      </c>
      <c r="J296" s="63">
        <f>IF(SUM(E292:E295)&lt;Variables!$B$3,-H295,0)</f>
        <v>0</v>
      </c>
      <c r="K296" s="64">
        <f ca="1">IF(AND(H295&lt;Variables!$B$6*Variables!$E$50,OR(SUM(D293:D296)&gt;Variables!$B$5,SUM(E293:E296)&gt;Variables!$B$4)),Variables!$B$6*Variables!$E$50+Variables!$B$7*$G$1*Variables!$E$50*SUM(D293:D296),0)</f>
        <v>0</v>
      </c>
      <c r="L296" s="64">
        <f>IF(B296="Winter",Variables!$B$8*H295,0)</f>
        <v>0</v>
      </c>
      <c r="M296" s="64">
        <f ca="1">IF(AND(B296="Spring",AND(NOT(H295=0),H295&lt;(Variables!$B$9*Variables!$E$50))),(Variables!$B$10*Variables!$E$50+Variables!$B$11*Variables!$E$50*SUM(E293:E296)+$G$1*SUM(D295:D296)*Variables!$E$50*Variables!$B$12),0)</f>
        <v>0</v>
      </c>
      <c r="N296" s="64">
        <f>IF(AND(B296="Spring",AND(SUM(D293:D296)&gt;Variables!$B$13,SUM(D289:D292)&gt;Variables!$B$13)),-Variables!$B$14*Variables!$E$50,0)</f>
        <v>0</v>
      </c>
      <c r="O296" s="64">
        <f>IF(AND(B296="Summer",SUM(C292:D296)&gt;Variables!$B$15),(Variables!$B$16*Variables!$E$50*SUM(C292:C296)+$G$1*Variables!$B$16*Variables!$E$50*SUM(D292:D296)+$G$1*Variables!$E$50*Variables!$B$17*F296),0)</f>
        <v>0</v>
      </c>
      <c r="P296" s="64">
        <f ca="1">IF(AND(AND(B296="Autumn",SUM(D295:E296)&gt;0),NOT(H295=0)),Variables!$B$18*Variables!$E$50+Variables!$B$19*Variables!$E$50*SUM(E295:E296)+$G$1*Variables!$B$19*Variables!$E$50*SUM(D295:D296),0)</f>
        <v>0</v>
      </c>
      <c r="Q296" s="64">
        <f>IF(AND(B296="Autumn",AND((E296+E295)&lt;Variables!$B$20,(D295+D296)=0)),-Variables!$B$21*Variables!$E$50,0)</f>
        <v>0</v>
      </c>
      <c r="R296" s="64">
        <f ca="1">IF(B296="Autumn",(SUM(F295:F296)*$G$1*Variables!$B$22*Variables!$E$50),0)</f>
        <v>0</v>
      </c>
      <c r="S296" s="64">
        <f>IF(B296="Spring",($G$1*Variables!$E$50*SUM('Guts (MC)'!F295:F296)*Variables!$B$23),0)</f>
        <v>0</v>
      </c>
      <c r="T296" s="63">
        <f ca="1">IF((H295+SUM(J296:Q296))&lt;(Variables!$B$26*Variables!$E$50),$F$1*((Variables!$B$26*Variables!$E$50)-H295-SUM(J296:Q296)),0)</f>
        <v>0</v>
      </c>
      <c r="U296" s="64">
        <f ca="1">IF(AND(AND(B296="Autumn",SUM(D293:E296)&gt;Variables!$B$27),SUM(J296:Q296)&lt;Variables!$B$28*H295),$F$1*(Variables!$B$28*H295-SUM(J296:Q296)),0)</f>
        <v>0</v>
      </c>
      <c r="V296" s="96">
        <f ca="1">IF(AND((J296+K296)=0,(Q296+T296)=0),$H$1*H296*Variables!$I$23*0.25,0)</f>
        <v>27.633820989052211</v>
      </c>
      <c r="W296" s="97">
        <f ca="1">IF(AND((K296+J296)=0,(T296+Q296)=0),$I$1*H296*Variables!$Q$23*0.25,0)</f>
        <v>8.8873944761351975</v>
      </c>
      <c r="X296" s="95">
        <f ca="1">IF(AND(NOT(K296=0),(H296-H295)&gt;0),(H296-H295)*(Variables!$M$5*$H$1+Variables!$U$5*$I$1),0)+IF(AND(NOT((J296+N296+Q296)=0),(H295-H296)&gt;0),(H295-H296)*(Variables!$M$4*$H$1+Variables!$U$4*$I$1),0)</f>
        <v>0</v>
      </c>
      <c r="Y296" s="95">
        <f ca="1">IF(SUM(T296,U295:U296)&gt;0,H296*Variables!$Y$11*0.25*(1-$J$1),0)</f>
        <v>0</v>
      </c>
      <c r="Z296" s="95">
        <f ca="1">IF(T296=0,H296*$J$1*Variables!$Y$5*0.25,0)</f>
        <v>2.551155302748024</v>
      </c>
      <c r="AA296" s="95">
        <f t="shared" ca="1" si="9"/>
        <v>39.072370767935432</v>
      </c>
      <c r="AB296" s="91">
        <f ca="1">AA296/Variables!$E$49</f>
        <v>6.301995285150876</v>
      </c>
    </row>
    <row r="297" spans="1:28" x14ac:dyDescent="0.25">
      <c r="A297" s="61">
        <f>'Water runs'!C304</f>
        <v>29098</v>
      </c>
      <c r="B297" s="61" t="str">
        <f>'Water runs'!B304</f>
        <v>Winter</v>
      </c>
      <c r="C297" s="54">
        <f>'Water runs'!D304/100</f>
        <v>0.16571428571428601</v>
      </c>
      <c r="D297" s="108">
        <f>VLOOKUP(ROW(D297)+4,'Water runs'!$BS$3:$CF$423,MATCH($B$1,Scenarios,0)+1)</f>
        <v>0</v>
      </c>
      <c r="E297" s="54">
        <f>IF(B297=Variables!$D$8,C297-Variables!$E$8,IF(B297=Variables!$D$9,C297-Variables!$E$9,IF(B297=Variables!$D$10,C297-Variables!$E$10,IF(B297=Variables!$D$11,C297-Variables!$E$11,"ELSE"))))</f>
        <v>-0.4060533399470897</v>
      </c>
      <c r="F297" s="108">
        <f>VLOOKUP(ROW(F297)+4,'Water runs'!$CH$3:$CU$423,MATCH($B$1,Scenarios,0)+1)</f>
        <v>0</v>
      </c>
      <c r="G297" s="65">
        <f ca="1">H297/Variables!$E$49</f>
        <v>0.18358324942926046</v>
      </c>
      <c r="H297" s="62">
        <f ca="1">IF((H296+I297)&gt;(1.1*Variables!$E$50),(1.1*Variables!$E$50),IF((H296+I297)&gt;0,H296+I297,0))</f>
        <v>1.1382161464614149</v>
      </c>
      <c r="I297" s="64">
        <f t="shared" ca="1" si="8"/>
        <v>-1.1288994184302825</v>
      </c>
      <c r="J297" s="63">
        <f>IF(SUM(E293:E296)&lt;Variables!$B$3,-H296,0)</f>
        <v>0</v>
      </c>
      <c r="K297" s="64">
        <f ca="1">IF(AND(H296&lt;Variables!$B$6*Variables!$E$50,OR(SUM(D294:D297)&gt;Variables!$B$5,SUM(E294:E297)&gt;Variables!$B$4)),Variables!$B$6*Variables!$E$50+Variables!$B$7*$G$1*Variables!$E$50*SUM(D294:D297),0)</f>
        <v>0</v>
      </c>
      <c r="L297" s="64">
        <f ca="1">IF(B297="Winter",Variables!$B$8*H296,0)</f>
        <v>-1.1288994184302825</v>
      </c>
      <c r="M297" s="64">
        <f ca="1">IF(AND(B297="Spring",AND(NOT(H296=0),H296&lt;(Variables!$B$9*Variables!$E$50))),(Variables!$B$10*Variables!$E$50+Variables!$B$11*Variables!$E$50*SUM(E294:E297)+$G$1*SUM(D296:D297)*Variables!$E$50*Variables!$B$12),0)</f>
        <v>0</v>
      </c>
      <c r="N297" s="64">
        <f>IF(AND(B297="Spring",AND(SUM(D294:D297)&gt;Variables!$B$13,SUM(D290:D293)&gt;Variables!$B$13)),-Variables!$B$14*Variables!$E$50,0)</f>
        <v>0</v>
      </c>
      <c r="O297" s="64">
        <f>IF(AND(B297="Summer",SUM(C293:D297)&gt;Variables!$B$15),(Variables!$B$16*Variables!$E$50*SUM(C293:C297)+$G$1*Variables!$B$16*Variables!$E$50*SUM(D293:D297)+$G$1*Variables!$E$50*Variables!$B$17*F297),0)</f>
        <v>0</v>
      </c>
      <c r="P297" s="64">
        <f ca="1">IF(AND(AND(B297="Autumn",SUM(D296:E297)&gt;0),NOT(H296=0)),Variables!$B$18*Variables!$E$50+Variables!$B$19*Variables!$E$50*SUM(E296:E297)+$G$1*Variables!$B$19*Variables!$E$50*SUM(D296:D297),0)</f>
        <v>0</v>
      </c>
      <c r="Q297" s="64">
        <f>IF(AND(B297="Autumn",AND((E297+E296)&lt;Variables!$B$20,(D296+D297)=0)),-Variables!$B$21*Variables!$E$50,0)</f>
        <v>0</v>
      </c>
      <c r="R297" s="64">
        <f>IF(B297="Autumn",(SUM(F296:F297)*$G$1*Variables!$B$22*Variables!$E$50),0)</f>
        <v>0</v>
      </c>
      <c r="S297" s="64">
        <f>IF(B297="Spring",($G$1*Variables!$E$50*SUM('Guts (MC)'!F296:F297)*Variables!$B$23),0)</f>
        <v>0</v>
      </c>
      <c r="T297" s="63">
        <f ca="1">IF((H296+SUM(J297:Q297))&lt;(Variables!$B$26*Variables!$E$50),$F$1*((Variables!$B$26*Variables!$E$50)-H296-SUM(J297:Q297)),0)</f>
        <v>0</v>
      </c>
      <c r="U297" s="64">
        <f ca="1">IF(AND(AND(B297="Autumn",SUM(D294:E297)&gt;Variables!$B$27),SUM(J297:Q297)&lt;Variables!$B$28*H296),$F$1*(Variables!$B$28*H296-SUM(J297:Q297)),0)</f>
        <v>0</v>
      </c>
      <c r="V297" s="96">
        <f ca="1">IF(AND((J297+K297)=0,(Q297+T297)=0),$H$1*H297*Variables!$I$23*0.25,0)</f>
        <v>13.87369118947676</v>
      </c>
      <c r="W297" s="97">
        <f ca="1">IF(AND((K297+J297)=0,(T297+Q297)=0),$I$1*H297*Variables!$Q$23*0.25,0)</f>
        <v>4.4619586444382735</v>
      </c>
      <c r="X297" s="95">
        <f ca="1">IF(AND(NOT(K297=0),(H297-H296)&gt;0),(H297-H296)*(Variables!$M$5*$H$1+Variables!$U$5*$I$1),0)+IF(AND(NOT((J297+N297+Q297)=0),(H296-H297)&gt;0),(H296-H297)*(Variables!$M$4*$H$1+Variables!$U$4*$I$1),0)</f>
        <v>0</v>
      </c>
      <c r="Y297" s="95">
        <f ca="1">IF(SUM(T297,U296:U297)&gt;0,H297*Variables!$Y$11*0.25*(1-$J$1),0)</f>
        <v>0</v>
      </c>
      <c r="Z297" s="95">
        <f ca="1">IF(T297=0,H297*$J$1*Variables!$Y$5*0.25,0)</f>
        <v>1.2808196470818973</v>
      </c>
      <c r="AA297" s="95">
        <f t="shared" ca="1" si="9"/>
        <v>19.616469480996933</v>
      </c>
      <c r="AB297" s="91">
        <f ca="1">AA297/Variables!$E$49</f>
        <v>3.1639466904833764</v>
      </c>
    </row>
    <row r="298" spans="1:28" x14ac:dyDescent="0.25">
      <c r="A298" s="61">
        <f>'Water runs'!C305</f>
        <v>29189</v>
      </c>
      <c r="B298" s="61" t="str">
        <f>'Water runs'!B305</f>
        <v>Spring</v>
      </c>
      <c r="C298" s="54">
        <f>'Water runs'!D305/100</f>
        <v>0.801160714285714</v>
      </c>
      <c r="D298" s="108">
        <f>VLOOKUP(ROW(D298)+4,'Water runs'!$BS$3:$CF$423,MATCH($B$1,Scenarios,0)+1)</f>
        <v>0</v>
      </c>
      <c r="E298" s="54">
        <f>IF(B298=Variables!$D$8,C298-Variables!$E$8,IF(B298=Variables!$D$9,C298-Variables!$E$9,IF(B298=Variables!$D$10,C298-Variables!$E$10,IF(B298=Variables!$D$11,C298-Variables!$E$11,"ELSE"))))</f>
        <v>3.717850529100486E-2</v>
      </c>
      <c r="F298" s="108">
        <f>VLOOKUP(ROW(F298)+4,'Water runs'!$CH$3:$CU$423,MATCH($B$1,Scenarios,0)+1)</f>
        <v>0</v>
      </c>
      <c r="G298" s="65">
        <f ca="1">H298/Variables!$E$49</f>
        <v>0.161</v>
      </c>
      <c r="H298" s="62">
        <f ca="1">IF((H297+I298)&gt;(1.1*Variables!$E$50),(1.1*Variables!$E$50),IF((H297+I298)&gt;0,H297+I298,0))</f>
        <v>0.99820000000000009</v>
      </c>
      <c r="I298" s="64">
        <f t="shared" ca="1" si="8"/>
        <v>-0.1400161464614148</v>
      </c>
      <c r="J298" s="63">
        <f>IF(SUM(E294:E297)&lt;Variables!$B$3,-H297,0)</f>
        <v>0</v>
      </c>
      <c r="K298" s="64">
        <f ca="1">IF(AND(H297&lt;Variables!$B$6*Variables!$E$50,OR(SUM(D295:D298)&gt;Variables!$B$5,SUM(E295:E298)&gt;Variables!$B$4)),Variables!$B$6*Variables!$E$50+Variables!$B$7*$G$1*Variables!$E$50*SUM(D295:D298),0)</f>
        <v>0</v>
      </c>
      <c r="L298" s="64">
        <f>IF(B298="Winter",Variables!$B$8*H297,0)</f>
        <v>0</v>
      </c>
      <c r="M298" s="64">
        <f ca="1">IF(AND(B298="Spring",AND(NOT(H297=0),H297&lt;(Variables!$B$9*Variables!$E$50))),(Variables!$B$10*Variables!$E$50+Variables!$B$11*Variables!$E$50*SUM(E295:E298)+$G$1*SUM(D297:D298)*Variables!$E$50*Variables!$B$12),0)</f>
        <v>-0.64402988669384531</v>
      </c>
      <c r="N298" s="64">
        <f>IF(AND(B298="Spring",AND(SUM(D295:D298)&gt;Variables!$B$13,SUM(D291:D294)&gt;Variables!$B$13)),-Variables!$B$14*Variables!$E$50,0)</f>
        <v>0</v>
      </c>
      <c r="O298" s="64">
        <f>IF(AND(B298="Summer",SUM(C294:D298)&gt;Variables!$B$15),(Variables!$B$16*Variables!$E$50*SUM(C294:C298)+$G$1*Variables!$B$16*Variables!$E$50*SUM(D294:D298)+$G$1*Variables!$E$50*Variables!$B$17*F298),0)</f>
        <v>0</v>
      </c>
      <c r="P298" s="64">
        <f ca="1">IF(AND(AND(B298="Autumn",SUM(D297:E298)&gt;0),NOT(H297=0)),Variables!$B$18*Variables!$E$50+Variables!$B$19*Variables!$E$50*SUM(E297:E298)+$G$1*Variables!$B$19*Variables!$E$50*SUM(D297:D298),0)</f>
        <v>0</v>
      </c>
      <c r="Q298" s="64">
        <f>IF(AND(B298="Autumn",AND((E298+E297)&lt;Variables!$B$20,(D297+D298)=0)),-Variables!$B$21*Variables!$E$50,0)</f>
        <v>0</v>
      </c>
      <c r="R298" s="64">
        <f>IF(B298="Autumn",(SUM(F297:F298)*$G$1*Variables!$B$22*Variables!$E$50),0)</f>
        <v>0</v>
      </c>
      <c r="S298" s="64">
        <f ca="1">IF(B298="Spring",($G$1*Variables!$E$50*SUM('Guts (MC)'!F297:F298)*Variables!$B$23),0)</f>
        <v>0</v>
      </c>
      <c r="T298" s="63">
        <f ca="1">IF((H297+SUM(J298:Q298))&lt;(Variables!$B$26*Variables!$E$50),$F$1*((Variables!$B$26*Variables!$E$50)-H297-SUM(J298:Q298)),0)</f>
        <v>0.50401374023243051</v>
      </c>
      <c r="U298" s="64">
        <f ca="1">IF(AND(AND(B298="Autumn",SUM(D295:E298)&gt;Variables!$B$27),SUM(J298:Q298)&lt;Variables!$B$28*H297),$F$1*(Variables!$B$28*H297-SUM(J298:Q298)),0)</f>
        <v>0</v>
      </c>
      <c r="V298" s="96">
        <f ca="1">IF(AND((J298+K298)=0,(Q298+T298)=0),$H$1*H298*Variables!$I$23*0.25,0)</f>
        <v>0</v>
      </c>
      <c r="W298" s="97">
        <f ca="1">IF(AND((K298+J298)=0,(T298+Q298)=0),$I$1*H298*Variables!$Q$23*0.25,0)</f>
        <v>0</v>
      </c>
      <c r="X298" s="95">
        <f ca="1">IF(AND(NOT(K298=0),(H298-H297)&gt;0),(H298-H297)*(Variables!$M$5*$H$1+Variables!$U$5*$I$1),0)+IF(AND(NOT((J298+N298+Q298)=0),(H297-H298)&gt;0),(H297-H298)*(Variables!$M$4*$H$1+Variables!$U$4*$I$1),0)</f>
        <v>0</v>
      </c>
      <c r="Y298" s="95">
        <f ca="1">IF(SUM(T298,U297:U298)&gt;0,H298*Variables!$Y$11*0.25*(1-$J$1),0)</f>
        <v>-8.6666009437672749</v>
      </c>
      <c r="Z298" s="95">
        <f ca="1">IF(T298=0,H298*$J$1*Variables!$Y$5*0.25,0)</f>
        <v>0</v>
      </c>
      <c r="AA298" s="95">
        <f t="shared" ca="1" si="9"/>
        <v>-8.6666009437672749</v>
      </c>
      <c r="AB298" s="91">
        <f ca="1">AA298/Variables!$E$49</f>
        <v>-1.3978388618979476</v>
      </c>
    </row>
    <row r="299" spans="1:28" x14ac:dyDescent="0.25">
      <c r="A299" s="61">
        <f>'Water runs'!C306</f>
        <v>29279</v>
      </c>
      <c r="B299" s="61" t="str">
        <f>'Water runs'!B306</f>
        <v>Summer</v>
      </c>
      <c r="C299" s="54">
        <f>'Water runs'!D306/100</f>
        <v>0.20782142857142902</v>
      </c>
      <c r="D299" s="108">
        <f>VLOOKUP(ROW(D299)+4,'Water runs'!$BS$3:$CF$423,MATCH($B$1,Scenarios,0)+1)</f>
        <v>0</v>
      </c>
      <c r="E299" s="54">
        <f>IF(B299=Variables!$D$8,C299-Variables!$E$8,IF(B299=Variables!$D$9,C299-Variables!$E$9,IF(B299=Variables!$D$10,C299-Variables!$E$10,IF(B299=Variables!$D$11,C299-Variables!$E$11,"ELSE"))))</f>
        <v>-1.0505487074829927</v>
      </c>
      <c r="F299" s="108">
        <f>VLOOKUP(ROW(F299)+4,'Water runs'!$CH$3:$CU$423,MATCH($B$1,Scenarios,0)+1)</f>
        <v>0</v>
      </c>
      <c r="G299" s="65">
        <f ca="1">H299/Variables!$E$49</f>
        <v>0.161</v>
      </c>
      <c r="H299" s="62">
        <f ca="1">IF((H298+I299)&gt;(1.1*Variables!$E$50),(1.1*Variables!$E$50),IF((H298+I299)&gt;0,H298+I299,0))</f>
        <v>0.99820000000000009</v>
      </c>
      <c r="I299" s="64">
        <f t="shared" ca="1" si="8"/>
        <v>0</v>
      </c>
      <c r="J299" s="63">
        <f>IF(SUM(E295:E298)&lt;Variables!$B$3,-H298,0)</f>
        <v>0</v>
      </c>
      <c r="K299" s="64">
        <f ca="1">IF(AND(H298&lt;Variables!$B$6*Variables!$E$50,OR(SUM(D296:D299)&gt;Variables!$B$5,SUM(E296:E299)&gt;Variables!$B$4)),Variables!$B$6*Variables!$E$50+Variables!$B$7*$G$1*Variables!$E$50*SUM(D296:D299),0)</f>
        <v>0</v>
      </c>
      <c r="L299" s="64">
        <f>IF(B299="Winter",Variables!$B$8*H298,0)</f>
        <v>0</v>
      </c>
      <c r="M299" s="64">
        <f ca="1">IF(AND(B299="Spring",AND(NOT(H298=0),H298&lt;(Variables!$B$9*Variables!$E$50))),(Variables!$B$10*Variables!$E$50+Variables!$B$11*Variables!$E$50*SUM(E296:E299)+$G$1*SUM(D298:D299)*Variables!$E$50*Variables!$B$12),0)</f>
        <v>0</v>
      </c>
      <c r="N299" s="64">
        <f>IF(AND(B299="Spring",AND(SUM(D296:D299)&gt;Variables!$B$13,SUM(D292:D295)&gt;Variables!$B$13)),-Variables!$B$14*Variables!$E$50,0)</f>
        <v>0</v>
      </c>
      <c r="O299" s="64">
        <f>IF(AND(B299="Summer",SUM(C295:D299)&gt;Variables!$B$15),(Variables!$B$16*Variables!$E$50*SUM(C295:C299)+$G$1*Variables!$B$16*Variables!$E$50*SUM(D295:D299)+$G$1*Variables!$E$50*Variables!$B$17*F299),0)</f>
        <v>0</v>
      </c>
      <c r="P299" s="64">
        <f ca="1">IF(AND(AND(B299="Autumn",SUM(D298:E299)&gt;0),NOT(H298=0)),Variables!$B$18*Variables!$E$50+Variables!$B$19*Variables!$E$50*SUM(E298:E299)+$G$1*Variables!$B$19*Variables!$E$50*SUM(D298:D299),0)</f>
        <v>0</v>
      </c>
      <c r="Q299" s="64">
        <f>IF(AND(B299="Autumn",AND((E299+E298)&lt;Variables!$B$20,(D298+D299)=0)),-Variables!$B$21*Variables!$E$50,0)</f>
        <v>0</v>
      </c>
      <c r="R299" s="64">
        <f>IF(B299="Autumn",(SUM(F298:F299)*$G$1*Variables!$B$22*Variables!$E$50),0)</f>
        <v>0</v>
      </c>
      <c r="S299" s="64">
        <f>IF(B299="Spring",($G$1*Variables!$E$50*SUM('Guts (MC)'!F298:F299)*Variables!$B$23),0)</f>
        <v>0</v>
      </c>
      <c r="T299" s="63">
        <f ca="1">IF((H298+SUM(J299:Q299))&lt;(Variables!$B$26*Variables!$E$50),$F$1*((Variables!$B$26*Variables!$E$50)-H298-SUM(J299:Q299)),0)</f>
        <v>0</v>
      </c>
      <c r="U299" s="64">
        <f ca="1">IF(AND(AND(B299="Autumn",SUM(D296:E299)&gt;Variables!$B$27),SUM(J299:Q299)&lt;Variables!$B$28*H298),$F$1*(Variables!$B$28*H298-SUM(J299:Q299)),0)</f>
        <v>0</v>
      </c>
      <c r="V299" s="96">
        <f ca="1">IF(AND((J299+K299)=0,(Q299+T299)=0),$H$1*H299*Variables!$I$23*0.25,0)</f>
        <v>12.167037507234284</v>
      </c>
      <c r="W299" s="97">
        <f ca="1">IF(AND((K299+J299)=0,(T299+Q299)=0),$I$1*H299*Variables!$Q$23*0.25,0)</f>
        <v>3.9130767321523603</v>
      </c>
      <c r="X299" s="95">
        <f ca="1">IF(AND(NOT(K299=0),(H299-H298)&gt;0),(H299-H298)*(Variables!$M$5*$H$1+Variables!$U$5*$I$1),0)+IF(AND(NOT((J299+N299+Q299)=0),(H298-H299)&gt;0),(H298-H299)*(Variables!$M$4*$H$1+Variables!$U$4*$I$1),0)</f>
        <v>0</v>
      </c>
      <c r="Y299" s="95">
        <f ca="1">IF(SUM(T299,U298:U299)&gt;0,H299*Variables!$Y$11*0.25*(1-$J$1),0)</f>
        <v>0</v>
      </c>
      <c r="Z299" s="95">
        <f ca="1">IF(T299=0,H299*$J$1*Variables!$Y$5*0.25,0)</f>
        <v>1.1232613205250213</v>
      </c>
      <c r="AA299" s="95">
        <f t="shared" ca="1" si="9"/>
        <v>17.203375559911667</v>
      </c>
      <c r="AB299" s="91">
        <f ca="1">AA299/Variables!$E$49</f>
        <v>2.7747379935341399</v>
      </c>
    </row>
    <row r="300" spans="1:28" x14ac:dyDescent="0.25">
      <c r="A300" s="61">
        <f>'Water runs'!C307</f>
        <v>29372</v>
      </c>
      <c r="B300" s="61" t="str">
        <f>'Water runs'!B307</f>
        <v>Autumn</v>
      </c>
      <c r="C300" s="54">
        <f>'Water runs'!D307/100</f>
        <v>0.25989285714285698</v>
      </c>
      <c r="D300" s="108">
        <f>VLOOKUP(ROW(D300)+4,'Water runs'!$BS$3:$CF$423,MATCH($B$1,Scenarios,0)+1)</f>
        <v>0</v>
      </c>
      <c r="E300" s="54">
        <f>IF(B300=Variables!$D$8,C300-Variables!$E$8,IF(B300=Variables!$D$9,C300-Variables!$E$9,IF(B300=Variables!$D$10,C300-Variables!$E$10,IF(B300=Variables!$D$11,C300-Variables!$E$11,"ELSE"))))</f>
        <v>-0.73475044217687091</v>
      </c>
      <c r="F300" s="108">
        <f>VLOOKUP(ROW(F300)+4,'Water runs'!$CH$3:$CU$423,MATCH($B$1,Scenarios,0)+1)</f>
        <v>0</v>
      </c>
      <c r="G300" s="65">
        <f ca="1">H300/Variables!$E$49</f>
        <v>0.161</v>
      </c>
      <c r="H300" s="62">
        <f ca="1">IF((H299+I300)&gt;(1.1*Variables!$E$50),(1.1*Variables!$E$50),IF((H299+I300)&gt;0,H299+I300,0))</f>
        <v>0.99820000000000009</v>
      </c>
      <c r="I300" s="64">
        <f t="shared" ca="1" si="8"/>
        <v>0</v>
      </c>
      <c r="J300" s="63">
        <f>IF(SUM(E296:E299)&lt;Variables!$B$3,-H299,0)</f>
        <v>0</v>
      </c>
      <c r="K300" s="64">
        <f ca="1">IF(AND(H299&lt;Variables!$B$6*Variables!$E$50,OR(SUM(D297:D300)&gt;Variables!$B$5,SUM(E297:E300)&gt;Variables!$B$4)),Variables!$B$6*Variables!$E$50+Variables!$B$7*$G$1*Variables!$E$50*SUM(D297:D300),0)</f>
        <v>0</v>
      </c>
      <c r="L300" s="64">
        <f>IF(B300="Winter",Variables!$B$8*H299,0)</f>
        <v>0</v>
      </c>
      <c r="M300" s="64">
        <f ca="1">IF(AND(B300="Spring",AND(NOT(H299=0),H299&lt;(Variables!$B$9*Variables!$E$50))),(Variables!$B$10*Variables!$E$50+Variables!$B$11*Variables!$E$50*SUM(E297:E300)+$G$1*SUM(D299:D300)*Variables!$E$50*Variables!$B$12),0)</f>
        <v>0</v>
      </c>
      <c r="N300" s="64">
        <f>IF(AND(B300="Spring",AND(SUM(D297:D300)&gt;Variables!$B$13,SUM(D293:D296)&gt;Variables!$B$13)),-Variables!$B$14*Variables!$E$50,0)</f>
        <v>0</v>
      </c>
      <c r="O300" s="64">
        <f>IF(AND(B300="Summer",SUM(C296:D300)&gt;Variables!$B$15),(Variables!$B$16*Variables!$E$50*SUM(C296:C300)+$G$1*Variables!$B$16*Variables!$E$50*SUM(D296:D300)+$G$1*Variables!$E$50*Variables!$B$17*F300),0)</f>
        <v>0</v>
      </c>
      <c r="P300" s="64">
        <f ca="1">IF(AND(AND(B300="Autumn",SUM(D299:E300)&gt;0),NOT(H299=0)),Variables!$B$18*Variables!$E$50+Variables!$B$19*Variables!$E$50*SUM(E299:E300)+$G$1*Variables!$B$19*Variables!$E$50*SUM(D299:D300),0)</f>
        <v>0</v>
      </c>
      <c r="Q300" s="64">
        <f>IF(AND(B300="Autumn",AND((E300+E299)&lt;Variables!$B$20,(D299+D300)=0)),-Variables!$B$21*Variables!$E$50,0)</f>
        <v>-4.0327172013864514</v>
      </c>
      <c r="R300" s="64">
        <f ca="1">IF(B300="Autumn",(SUM(F299:F300)*$G$1*Variables!$B$22*Variables!$E$50),0)</f>
        <v>0</v>
      </c>
      <c r="S300" s="64">
        <f>IF(B300="Spring",($G$1*Variables!$E$50*SUM('Guts (MC)'!F299:F300)*Variables!$B$23),0)</f>
        <v>0</v>
      </c>
      <c r="T300" s="63">
        <f ca="1">IF((H299+SUM(J300:Q300))&lt;(Variables!$B$26*Variables!$E$50),$F$1*((Variables!$B$26*Variables!$E$50)-H299-SUM(J300:Q300)),0)</f>
        <v>4.0327172013864514</v>
      </c>
      <c r="U300" s="64">
        <f ca="1">IF(AND(AND(B300="Autumn",SUM(D297:E300)&gt;Variables!$B$27),SUM(J300:Q300)&lt;Variables!$B$28*H299),$F$1*(Variables!$B$28*H299-SUM(J300:Q300)),0)</f>
        <v>0</v>
      </c>
      <c r="V300" s="96">
        <f ca="1">IF(AND((J300+K300)=0,(Q300+T300)=0),$H$1*H300*Variables!$I$23*0.25,0)</f>
        <v>12.167037507234284</v>
      </c>
      <c r="W300" s="97">
        <f ca="1">IF(AND((K300+J300)=0,(T300+Q300)=0),$I$1*H300*Variables!$Q$23*0.25,0)</f>
        <v>3.9130767321523603</v>
      </c>
      <c r="X300" s="95">
        <f ca="1">IF(AND(NOT(K300=0),(H300-H299)&gt;0),(H300-H299)*(Variables!$M$5*$H$1+Variables!$U$5*$I$1),0)+IF(AND(NOT((J300+N300+Q300)=0),(H299-H300)&gt;0),(H299-H300)*(Variables!$M$4*$H$1+Variables!$U$4*$I$1),0)</f>
        <v>0</v>
      </c>
      <c r="Y300" s="95">
        <f ca="1">IF(SUM(T300,U299:U300)&gt;0,H300*Variables!$Y$11*0.25*(1-$J$1),0)</f>
        <v>-8.6666009437672749</v>
      </c>
      <c r="Z300" s="95">
        <f ca="1">IF(T300=0,H300*$J$1*Variables!$Y$5*0.25,0)</f>
        <v>0</v>
      </c>
      <c r="AA300" s="95">
        <f t="shared" ca="1" si="9"/>
        <v>7.4135132956193708</v>
      </c>
      <c r="AB300" s="91">
        <f ca="1">AA300/Variables!$E$49</f>
        <v>1.1957279509063501</v>
      </c>
    </row>
    <row r="301" spans="1:28" x14ac:dyDescent="0.25">
      <c r="A301" s="61">
        <f>'Water runs'!C308</f>
        <v>29464</v>
      </c>
      <c r="B301" s="61" t="str">
        <f>'Water runs'!B308</f>
        <v>Winter</v>
      </c>
      <c r="C301" s="54">
        <f>'Water runs'!D308/100</f>
        <v>9.7750000000000004E-2</v>
      </c>
      <c r="D301" s="108">
        <f>VLOOKUP(ROW(D301)+4,'Water runs'!$BS$3:$CF$423,MATCH($B$1,Scenarios,0)+1)</f>
        <v>0</v>
      </c>
      <c r="E301" s="54">
        <f>IF(B301=Variables!$D$8,C301-Variables!$E$8,IF(B301=Variables!$D$9,C301-Variables!$E$9,IF(B301=Variables!$D$10,C301-Variables!$E$10,IF(B301=Variables!$D$11,C301-Variables!$E$11,"ELSE"))))</f>
        <v>-0.47401762566137573</v>
      </c>
      <c r="F301" s="108">
        <f>VLOOKUP(ROW(F301)+4,'Water runs'!$CH$3:$CU$423,MATCH($B$1,Scenarios,0)+1)</f>
        <v>0</v>
      </c>
      <c r="G301" s="65">
        <f ca="1">H301/Variables!$E$49</f>
        <v>0.161</v>
      </c>
      <c r="H301" s="62">
        <f ca="1">IF((H300+I301)&gt;(1.1*Variables!$E$50),(1.1*Variables!$E$50),IF((H300+I301)&gt;0,H300+I301,0))</f>
        <v>0.99820000000000009</v>
      </c>
      <c r="I301" s="64">
        <f t="shared" ca="1" si="8"/>
        <v>0</v>
      </c>
      <c r="J301" s="63">
        <f ca="1">IF(SUM(E297:E300)&lt;Variables!$B$3,-H300,0)</f>
        <v>-0.99820000000000009</v>
      </c>
      <c r="K301" s="64">
        <f ca="1">IF(AND(H300&lt;Variables!$B$6*Variables!$E$50,OR(SUM(D298:D301)&gt;Variables!$B$5,SUM(E298:E301)&gt;Variables!$B$4)),Variables!$B$6*Variables!$E$50+Variables!$B$7*$G$1*Variables!$E$50*SUM(D298:D301),0)</f>
        <v>0</v>
      </c>
      <c r="L301" s="64">
        <f ca="1">IF(B301="Winter",Variables!$B$8*H300,0)</f>
        <v>-0.49704894489176149</v>
      </c>
      <c r="M301" s="64">
        <f ca="1">IF(AND(B301="Spring",AND(NOT(H300=0),H300&lt;(Variables!$B$9*Variables!$E$50))),(Variables!$B$10*Variables!$E$50+Variables!$B$11*Variables!$E$50*SUM(E298:E301)+$G$1*SUM(D300:D301)*Variables!$E$50*Variables!$B$12),0)</f>
        <v>0</v>
      </c>
      <c r="N301" s="64">
        <f>IF(AND(B301="Spring",AND(SUM(D298:D301)&gt;Variables!$B$13,SUM(D294:D297)&gt;Variables!$B$13)),-Variables!$B$14*Variables!$E$50,0)</f>
        <v>0</v>
      </c>
      <c r="O301" s="64">
        <f>IF(AND(B301="Summer",SUM(C297:D301)&gt;Variables!$B$15),(Variables!$B$16*Variables!$E$50*SUM(C297:C301)+$G$1*Variables!$B$16*Variables!$E$50*SUM(D297:D301)+$G$1*Variables!$E$50*Variables!$B$17*F301),0)</f>
        <v>0</v>
      </c>
      <c r="P301" s="64">
        <f ca="1">IF(AND(AND(B301="Autumn",SUM(D300:E301)&gt;0),NOT(H300=0)),Variables!$B$18*Variables!$E$50+Variables!$B$19*Variables!$E$50*SUM(E300:E301)+$G$1*Variables!$B$19*Variables!$E$50*SUM(D300:D301),0)</f>
        <v>0</v>
      </c>
      <c r="Q301" s="64">
        <f>IF(AND(B301="Autumn",AND((E301+E300)&lt;Variables!$B$20,(D300+D301)=0)),-Variables!$B$21*Variables!$E$50,0)</f>
        <v>0</v>
      </c>
      <c r="R301" s="64">
        <f>IF(B301="Autumn",(SUM(F300:F301)*$G$1*Variables!$B$22*Variables!$E$50),0)</f>
        <v>0</v>
      </c>
      <c r="S301" s="64">
        <f>IF(B301="Spring",($G$1*Variables!$E$50*SUM('Guts (MC)'!F300:F301)*Variables!$B$23),0)</f>
        <v>0</v>
      </c>
      <c r="T301" s="63">
        <f ca="1">IF((H300+SUM(J301:Q301))&lt;(Variables!$B$26*Variables!$E$50),$F$1*((Variables!$B$26*Variables!$E$50)-H300-SUM(J301:Q301)),0)</f>
        <v>1.4952489448917616</v>
      </c>
      <c r="U301" s="64">
        <f ca="1">IF(AND(AND(B301="Autumn",SUM(D298:E301)&gt;Variables!$B$27),SUM(J301:Q301)&lt;Variables!$B$28*H300),$F$1*(Variables!$B$28*H300-SUM(J301:Q301)),0)</f>
        <v>0</v>
      </c>
      <c r="V301" s="96">
        <f ca="1">IF(AND((J301+K301)=0,(Q301+T301)=0),$H$1*H301*Variables!$I$23*0.25,0)</f>
        <v>0</v>
      </c>
      <c r="W301" s="97">
        <f ca="1">IF(AND((K301+J301)=0,(T301+Q301)=0),$I$1*H301*Variables!$Q$23*0.25,0)</f>
        <v>0</v>
      </c>
      <c r="X301" s="95">
        <f ca="1">IF(AND(NOT(K301=0),(H301-H300)&gt;0),(H301-H300)*(Variables!$M$5*$H$1+Variables!$U$5*$I$1),0)+IF(AND(NOT((J301+N301+Q301)=0),(H300-H301)&gt;0),(H300-H301)*(Variables!$M$4*$H$1+Variables!$U$4*$I$1),0)</f>
        <v>0</v>
      </c>
      <c r="Y301" s="95">
        <f ca="1">IF(SUM(T301,U300:U301)&gt;0,H301*Variables!$Y$11*0.25*(1-$J$1),0)</f>
        <v>-8.6666009437672749</v>
      </c>
      <c r="Z301" s="95">
        <f ca="1">IF(T301=0,H301*$J$1*Variables!$Y$5*0.25,0)</f>
        <v>0</v>
      </c>
      <c r="AA301" s="95">
        <f t="shared" ca="1" si="9"/>
        <v>-8.6666009437672749</v>
      </c>
      <c r="AB301" s="91">
        <f ca="1">AA301/Variables!$E$49</f>
        <v>-1.3978388618979476</v>
      </c>
    </row>
    <row r="302" spans="1:28" x14ac:dyDescent="0.25">
      <c r="A302" s="61">
        <f>'Water runs'!C309</f>
        <v>29555</v>
      </c>
      <c r="B302" s="61" t="str">
        <f>'Water runs'!B309</f>
        <v>Spring</v>
      </c>
      <c r="C302" s="54">
        <f>'Water runs'!D309/100</f>
        <v>0.14199999999999999</v>
      </c>
      <c r="D302" s="108">
        <f>VLOOKUP(ROW(D302)+4,'Water runs'!$BS$3:$CF$423,MATCH($B$1,Scenarios,0)+1)</f>
        <v>0</v>
      </c>
      <c r="E302" s="54">
        <f>IF(B302=Variables!$D$8,C302-Variables!$E$8,IF(B302=Variables!$D$9,C302-Variables!$E$9,IF(B302=Variables!$D$10,C302-Variables!$E$10,IF(B302=Variables!$D$11,C302-Variables!$E$11,"ELSE"))))</f>
        <v>-0.62198220899470913</v>
      </c>
      <c r="F302" s="108">
        <f>VLOOKUP(ROW(F302)+4,'Water runs'!$CH$3:$CU$423,MATCH($B$1,Scenarios,0)+1)</f>
        <v>0</v>
      </c>
      <c r="G302" s="65">
        <f ca="1">H302/Variables!$E$49</f>
        <v>0.161</v>
      </c>
      <c r="H302" s="62">
        <f ca="1">IF((H301+I302)&gt;(1.1*Variables!$E$50),(1.1*Variables!$E$50),IF((H301+I302)&gt;0,H301+I302,0))</f>
        <v>0.99820000000000009</v>
      </c>
      <c r="I302" s="64">
        <f t="shared" ca="1" si="8"/>
        <v>0</v>
      </c>
      <c r="J302" s="63">
        <f ca="1">IF(SUM(E298:E301)&lt;Variables!$B$3,-H301,0)</f>
        <v>-0.99820000000000009</v>
      </c>
      <c r="K302" s="64">
        <f ca="1">IF(AND(H301&lt;Variables!$B$6*Variables!$E$50,OR(SUM(D299:D302)&gt;Variables!$B$5,SUM(E299:E302)&gt;Variables!$B$4)),Variables!$B$6*Variables!$E$50+Variables!$B$7*$G$1*Variables!$E$50*SUM(D299:D302),0)</f>
        <v>0</v>
      </c>
      <c r="L302" s="64">
        <f>IF(B302="Winter",Variables!$B$8*H301,0)</f>
        <v>0</v>
      </c>
      <c r="M302" s="64">
        <f ca="1">IF(AND(B302="Spring",AND(NOT(H301=0),H301&lt;(Variables!$B$9*Variables!$E$50))),(Variables!$B$10*Variables!$E$50+Variables!$B$11*Variables!$E$50*SUM(E299:E302)+$G$1*SUM(D301:D302)*Variables!$E$50*Variables!$B$12),0)</f>
        <v>-1.962342344244532</v>
      </c>
      <c r="N302" s="64">
        <f>IF(AND(B302="Spring",AND(SUM(D299:D302)&gt;Variables!$B$13,SUM(D295:D298)&gt;Variables!$B$13)),-Variables!$B$14*Variables!$E$50,0)</f>
        <v>0</v>
      </c>
      <c r="O302" s="64">
        <f>IF(AND(B302="Summer",SUM(C298:D302)&gt;Variables!$B$15),(Variables!$B$16*Variables!$E$50*SUM(C298:C302)+$G$1*Variables!$B$16*Variables!$E$50*SUM(D298:D302)+$G$1*Variables!$E$50*Variables!$B$17*F302),0)</f>
        <v>0</v>
      </c>
      <c r="P302" s="64">
        <f ca="1">IF(AND(AND(B302="Autumn",SUM(D301:E302)&gt;0),NOT(H301=0)),Variables!$B$18*Variables!$E$50+Variables!$B$19*Variables!$E$50*SUM(E301:E302)+$G$1*Variables!$B$19*Variables!$E$50*SUM(D301:D302),0)</f>
        <v>0</v>
      </c>
      <c r="Q302" s="64">
        <f>IF(AND(B302="Autumn",AND((E302+E301)&lt;Variables!$B$20,(D301+D302)=0)),-Variables!$B$21*Variables!$E$50,0)</f>
        <v>0</v>
      </c>
      <c r="R302" s="64">
        <f>IF(B302="Autumn",(SUM(F301:F302)*$G$1*Variables!$B$22*Variables!$E$50),0)</f>
        <v>0</v>
      </c>
      <c r="S302" s="64">
        <f ca="1">IF(B302="Spring",($G$1*Variables!$E$50*SUM('Guts (MC)'!F301:F302)*Variables!$B$23),0)</f>
        <v>0</v>
      </c>
      <c r="T302" s="63">
        <f ca="1">IF((H301+SUM(J302:Q302))&lt;(Variables!$B$26*Variables!$E$50),$F$1*((Variables!$B$26*Variables!$E$50)-H301-SUM(J302:Q302)),0)</f>
        <v>2.9605423442445322</v>
      </c>
      <c r="U302" s="64">
        <f ca="1">IF(AND(AND(B302="Autumn",SUM(D299:E302)&gt;Variables!$B$27),SUM(J302:Q302)&lt;Variables!$B$28*H301),$F$1*(Variables!$B$28*H301-SUM(J302:Q302)),0)</f>
        <v>0</v>
      </c>
      <c r="V302" s="96">
        <f ca="1">IF(AND((J302+K302)=0,(Q302+T302)=0),$H$1*H302*Variables!$I$23*0.25,0)</f>
        <v>0</v>
      </c>
      <c r="W302" s="97">
        <f ca="1">IF(AND((K302+J302)=0,(T302+Q302)=0),$I$1*H302*Variables!$Q$23*0.25,0)</f>
        <v>0</v>
      </c>
      <c r="X302" s="95">
        <f ca="1">IF(AND(NOT(K302=0),(H302-H301)&gt;0),(H302-H301)*(Variables!$M$5*$H$1+Variables!$U$5*$I$1),0)+IF(AND(NOT((J302+N302+Q302)=0),(H301-H302)&gt;0),(H301-H302)*(Variables!$M$4*$H$1+Variables!$U$4*$I$1),0)</f>
        <v>0</v>
      </c>
      <c r="Y302" s="95">
        <f ca="1">IF(SUM(T302,U301:U302)&gt;0,H302*Variables!$Y$11*0.25*(1-$J$1),0)</f>
        <v>-8.6666009437672749</v>
      </c>
      <c r="Z302" s="95">
        <f ca="1">IF(T302=0,H302*$J$1*Variables!$Y$5*0.25,0)</f>
        <v>0</v>
      </c>
      <c r="AA302" s="95">
        <f t="shared" ca="1" si="9"/>
        <v>-8.6666009437672749</v>
      </c>
      <c r="AB302" s="91">
        <f ca="1">AA302/Variables!$E$49</f>
        <v>-1.3978388618979476</v>
      </c>
    </row>
    <row r="303" spans="1:28" x14ac:dyDescent="0.25">
      <c r="A303" s="61">
        <f>'Water runs'!C310</f>
        <v>29645</v>
      </c>
      <c r="B303" s="61" t="str">
        <f>'Water runs'!B310</f>
        <v>Summer</v>
      </c>
      <c r="C303" s="54">
        <f>'Water runs'!D310/100</f>
        <v>0.90635714285714297</v>
      </c>
      <c r="D303" s="108">
        <f>VLOOKUP(ROW(D303)+4,'Water runs'!$BS$3:$CF$423,MATCH($B$1,Scenarios,0)+1)</f>
        <v>0.20029295560534921</v>
      </c>
      <c r="E303" s="54">
        <f>IF(B303=Variables!$D$8,C303-Variables!$E$8,IF(B303=Variables!$D$9,C303-Variables!$E$9,IF(B303=Variables!$D$10,C303-Variables!$E$10,IF(B303=Variables!$D$11,C303-Variables!$E$11,"ELSE"))))</f>
        <v>-0.35201299319727875</v>
      </c>
      <c r="F303" s="108">
        <f>VLOOKUP(ROW(F303)+4,'Water runs'!$CH$3:$CU$423,MATCH($B$1,Scenarios,0)+1)</f>
        <v>0</v>
      </c>
      <c r="G303" s="65">
        <f ca="1">H303/Variables!$E$49</f>
        <v>0.18583153113599965</v>
      </c>
      <c r="H303" s="62">
        <f ca="1">IF((H302+I303)&gt;(1.1*Variables!$E$50),(1.1*Variables!$E$50),IF((H302+I303)&gt;0,H302+I303,0))</f>
        <v>1.1521554930431979</v>
      </c>
      <c r="I303" s="64">
        <f t="shared" ca="1" si="8"/>
        <v>0.15395549304319778</v>
      </c>
      <c r="J303" s="63">
        <f ca="1">IF(SUM(E299:E302)&lt;Variables!$B$3,-H302,0)</f>
        <v>-0.99820000000000009</v>
      </c>
      <c r="K303" s="64">
        <f ca="1">IF(AND(H302&lt;Variables!$B$6*Variables!$E$50,OR(SUM(D300:D303)&gt;Variables!$B$5,SUM(E300:E303)&gt;Variables!$B$4)),Variables!$B$6*Variables!$E$50+Variables!$B$7*$G$1*Variables!$E$50*SUM(D300:D303),0)</f>
        <v>1.1521554930431979</v>
      </c>
      <c r="L303" s="64">
        <f>IF(B303="Winter",Variables!$B$8*H302,0)</f>
        <v>0</v>
      </c>
      <c r="M303" s="64">
        <f ca="1">IF(AND(B303="Spring",AND(NOT(H302=0),H302&lt;(Variables!$B$9*Variables!$E$50))),(Variables!$B$10*Variables!$E$50+Variables!$B$11*Variables!$E$50*SUM(E300:E303)+$G$1*SUM(D302:D303)*Variables!$E$50*Variables!$B$12),0)</f>
        <v>0</v>
      </c>
      <c r="N303" s="64">
        <f>IF(AND(B303="Spring",AND(SUM(D300:D303)&gt;Variables!$B$13,SUM(D296:D299)&gt;Variables!$B$13)),-Variables!$B$14*Variables!$E$50,0)</f>
        <v>0</v>
      </c>
      <c r="O303" s="64">
        <f>IF(AND(B303="Summer",SUM(C299:D303)&gt;Variables!$B$15),(Variables!$B$16*Variables!$E$50*SUM(C299:C303)+$G$1*Variables!$B$16*Variables!$E$50*SUM(D299:D303)+$G$1*Variables!$E$50*Variables!$B$17*F303),0)</f>
        <v>0</v>
      </c>
      <c r="P303" s="64">
        <f ca="1">IF(AND(AND(B303="Autumn",SUM(D302:E303)&gt;0),NOT(H302=0)),Variables!$B$18*Variables!$E$50+Variables!$B$19*Variables!$E$50*SUM(E302:E303)+$G$1*Variables!$B$19*Variables!$E$50*SUM(D302:D303),0)</f>
        <v>0</v>
      </c>
      <c r="Q303" s="64">
        <f>IF(AND(B303="Autumn",AND((E303+E302)&lt;Variables!$B$20,(D302+D303)=0)),-Variables!$B$21*Variables!$E$50,0)</f>
        <v>0</v>
      </c>
      <c r="R303" s="64">
        <f>IF(B303="Autumn",(SUM(F302:F303)*$G$1*Variables!$B$22*Variables!$E$50),0)</f>
        <v>0</v>
      </c>
      <c r="S303" s="64">
        <f>IF(B303="Spring",($G$1*Variables!$E$50*SUM('Guts (MC)'!F302:F303)*Variables!$B$23),0)</f>
        <v>0</v>
      </c>
      <c r="T303" s="63">
        <f ca="1">IF((H302+SUM(J303:Q303))&lt;(Variables!$B$26*Variables!$E$50),$F$1*((Variables!$B$26*Variables!$E$50)-H302-SUM(J303:Q303)),0)</f>
        <v>0</v>
      </c>
      <c r="U303" s="64">
        <f ca="1">IF(AND(AND(B303="Autumn",SUM(D300:E303)&gt;Variables!$B$27),SUM(J303:Q303)&lt;Variables!$B$28*H302),$F$1*(Variables!$B$28*H302-SUM(J303:Q303)),0)</f>
        <v>0</v>
      </c>
      <c r="V303" s="96">
        <f ca="1">IF(AND((J303+K303)=0,(Q303+T303)=0),$H$1*H303*Variables!$I$23*0.25,0)</f>
        <v>0</v>
      </c>
      <c r="W303" s="97">
        <f ca="1">IF(AND((K303+J303)=0,(T303+Q303)=0),$I$1*H303*Variables!$Q$23*0.25,0)</f>
        <v>0</v>
      </c>
      <c r="X303" s="95">
        <f ca="1">IF(AND(NOT(K303=0),(H303-H302)&gt;0),(H303-H302)*(Variables!$M$5*$H$1+Variables!$U$5*$I$1),0)+IF(AND(NOT((J303+N303+Q303)=0),(H302-H303)&gt;0),(H302-H303)*(Variables!$M$4*$H$1+Variables!$U$4*$I$1),0)</f>
        <v>-17.599340875305245</v>
      </c>
      <c r="Y303" s="95">
        <f ca="1">IF(SUM(T303,U302:U303)&gt;0,H303*Variables!$Y$11*0.25*(1-$J$1),0)</f>
        <v>0</v>
      </c>
      <c r="Z303" s="95">
        <f ca="1">IF(T303=0,H303*$J$1*Variables!$Y$5*0.25,0)</f>
        <v>1.2965054103044074</v>
      </c>
      <c r="AA303" s="95">
        <f t="shared" ca="1" si="9"/>
        <v>-16.302835465000836</v>
      </c>
      <c r="AB303" s="91">
        <f ca="1">AA303/Variables!$E$49</f>
        <v>-2.6294895911291669</v>
      </c>
    </row>
    <row r="304" spans="1:28" x14ac:dyDescent="0.25">
      <c r="A304" s="61">
        <f>'Water runs'!C311</f>
        <v>29737</v>
      </c>
      <c r="B304" s="61" t="str">
        <f>'Water runs'!B311</f>
        <v>Autumn</v>
      </c>
      <c r="C304" s="54">
        <f>'Water runs'!D311/100</f>
        <v>1.3674464285714298</v>
      </c>
      <c r="D304" s="108">
        <f>VLOOKUP(ROW(D304)+4,'Water runs'!$BS$3:$CF$423,MATCH($B$1,Scenarios,0)+1)</f>
        <v>0.14407398316692926</v>
      </c>
      <c r="E304" s="54">
        <f>IF(B304=Variables!$D$8,C304-Variables!$E$8,IF(B304=Variables!$D$9,C304-Variables!$E$9,IF(B304=Variables!$D$10,C304-Variables!$E$10,IF(B304=Variables!$D$11,C304-Variables!$E$11,"ELSE"))))</f>
        <v>0.372803129251702</v>
      </c>
      <c r="F304" s="108">
        <f>VLOOKUP(ROW(F304)+4,'Water runs'!$CH$3:$CU$423,MATCH($B$1,Scenarios,0)+1)</f>
        <v>0.32226383423463367</v>
      </c>
      <c r="G304" s="65">
        <f ca="1">H304/Variables!$E$49</f>
        <v>0.17087437167415531</v>
      </c>
      <c r="H304" s="62">
        <f ca="1">IF((H303+I304)&gt;(1.1*Variables!$E$50),(1.1*Variables!$E$50),IF((H303+I304)&gt;0,H303+I304,0))</f>
        <v>1.059421104379763</v>
      </c>
      <c r="I304" s="64">
        <f t="shared" ca="1" si="8"/>
        <v>-9.2734388663434961E-2</v>
      </c>
      <c r="J304" s="63">
        <f ca="1">IF(SUM(E300:E303)&lt;Variables!$B$3,-H303,0)</f>
        <v>-1.1521554930431979</v>
      </c>
      <c r="K304" s="64">
        <f ca="1">IF(AND(H303&lt;Variables!$B$6*Variables!$E$50,OR(SUM(D301:D304)&gt;Variables!$B$5,SUM(E301:E304)&gt;Variables!$B$4)),Variables!$B$6*Variables!$E$50+Variables!$B$7*$G$1*Variables!$E$50*SUM(D301:D304),0)</f>
        <v>0</v>
      </c>
      <c r="L304" s="64">
        <f>IF(B304="Winter",Variables!$B$8*H303,0)</f>
        <v>0</v>
      </c>
      <c r="M304" s="64">
        <f ca="1">IF(AND(B304="Spring",AND(NOT(H303=0),H303&lt;(Variables!$B$9*Variables!$E$50))),(Variables!$B$10*Variables!$E$50+Variables!$B$11*Variables!$E$50*SUM(E301:E304)+$G$1*SUM(D303:D304)*Variables!$E$50*Variables!$B$12),0)</f>
        <v>0</v>
      </c>
      <c r="N304" s="64">
        <f>IF(AND(B304="Spring",AND(SUM(D301:D304)&gt;Variables!$B$13,SUM(D297:D300)&gt;Variables!$B$13)),-Variables!$B$14*Variables!$E$50,0)</f>
        <v>0</v>
      </c>
      <c r="O304" s="64">
        <f>IF(AND(B304="Summer",SUM(C300:D304)&gt;Variables!$B$15),(Variables!$B$16*Variables!$E$50*SUM(C300:C304)+$G$1*Variables!$B$16*Variables!$E$50*SUM(D300:D304)+$G$1*Variables!$E$50*Variables!$B$17*F304),0)</f>
        <v>0</v>
      </c>
      <c r="P304" s="64">
        <f ca="1">IF(AND(AND(B304="Autumn",SUM(D303:E304)&gt;0),NOT(H303=0)),Variables!$B$18*Variables!$E$50+Variables!$B$19*Variables!$E$50*SUM(E303:E304)+$G$1*Variables!$B$19*Variables!$E$50*SUM(D303:D304),0)</f>
        <v>1.0106329012219941</v>
      </c>
      <c r="Q304" s="64">
        <f>IF(AND(B304="Autumn",AND((E304+E303)&lt;Variables!$B$20,(D303+D304)=0)),-Variables!$B$21*Variables!$E$50,0)</f>
        <v>0</v>
      </c>
      <c r="R304" s="64">
        <f ca="1">IF(B304="Autumn",(SUM(F303:F304)*$G$1*Variables!$B$22*Variables!$E$50),0)</f>
        <v>4.8788203157768786E-2</v>
      </c>
      <c r="S304" s="64">
        <f>IF(B304="Spring",($G$1*Variables!$E$50*SUM('Guts (MC)'!F303:F304)*Variables!$B$23),0)</f>
        <v>0</v>
      </c>
      <c r="T304" s="63">
        <f ca="1">IF((H303+SUM(J304:Q304))&lt;(Variables!$B$26*Variables!$E$50),$F$1*((Variables!$B$26*Variables!$E$50)-H303-SUM(J304:Q304)),0)</f>
        <v>0</v>
      </c>
      <c r="U304" s="64">
        <f ca="1">IF(AND(AND(B304="Autumn",SUM(D301:E304)&gt;Variables!$B$27),SUM(J304:Q304)&lt;Variables!$B$28*H303),$F$1*(Variables!$B$28*H303-SUM(J304:Q304)),0)</f>
        <v>0</v>
      </c>
      <c r="V304" s="96">
        <f ca="1">IF(AND((J304+K304)=0,(Q304+T304)=0),$H$1*H304*Variables!$I$23*0.25,0)</f>
        <v>0</v>
      </c>
      <c r="W304" s="97">
        <f ca="1">IF(AND((K304+J304)=0,(T304+Q304)=0),$I$1*H304*Variables!$Q$23*0.25,0)</f>
        <v>0</v>
      </c>
      <c r="X304" s="95">
        <f ca="1">IF(AND(NOT(K304=0),(H304-H303)&gt;0),(H304-H303)*(Variables!$M$5*$H$1+Variables!$U$5*$I$1),0)+IF(AND(NOT((J304+N304+Q304)=0),(H303-H304)&gt;0),(H303-H304)*(Variables!$M$4*$H$1+Variables!$U$4*$I$1),0)</f>
        <v>5.3004413310959224</v>
      </c>
      <c r="Y304" s="95">
        <f ca="1">IF(SUM(T304,U303:U304)&gt;0,H304*Variables!$Y$11*0.25*(1-$J$1),0)</f>
        <v>0</v>
      </c>
      <c r="Z304" s="95">
        <f ca="1">IF(T304=0,H304*$J$1*Variables!$Y$5*0.25,0)</f>
        <v>1.1921526234198447</v>
      </c>
      <c r="AA304" s="95">
        <f t="shared" ca="1" si="9"/>
        <v>6.4925939545157672</v>
      </c>
      <c r="AB304" s="91">
        <f ca="1">AA304/Variables!$E$49</f>
        <v>1.0471925733089946</v>
      </c>
    </row>
    <row r="305" spans="1:28" x14ac:dyDescent="0.25">
      <c r="A305" s="61">
        <f>'Water runs'!C312</f>
        <v>29829</v>
      </c>
      <c r="B305" s="61" t="str">
        <f>'Water runs'!B312</f>
        <v>Winter</v>
      </c>
      <c r="C305" s="54">
        <f>'Water runs'!D312/100</f>
        <v>0.86959523809523798</v>
      </c>
      <c r="D305" s="108">
        <f>VLOOKUP(ROW(D305)+4,'Water runs'!$BS$3:$CF$423,MATCH($B$1,Scenarios,0)+1)</f>
        <v>8.4006999263652127E-2</v>
      </c>
      <c r="E305" s="54">
        <f>IF(B305=Variables!$D$8,C305-Variables!$E$8,IF(B305=Variables!$D$9,C305-Variables!$E$9,IF(B305=Variables!$D$10,C305-Variables!$E$10,IF(B305=Variables!$D$11,C305-Variables!$E$11,"ELSE"))))</f>
        <v>0.29782761243386224</v>
      </c>
      <c r="F305" s="108">
        <f>VLOOKUP(ROW(F305)+4,'Water runs'!$CH$3:$CU$423,MATCH($B$1,Scenarios,0)+1)</f>
        <v>5.5354357516686596E-2</v>
      </c>
      <c r="G305" s="65">
        <f ca="1">H305/Variables!$E$49</f>
        <v>0.27370545383066058</v>
      </c>
      <c r="H305" s="62">
        <f ca="1">IF((H304+I305)&gt;(1.1*Variables!$E$50),(1.1*Variables!$E$50),IF((H304+I305)&gt;0,H304+I305,0))</f>
        <v>1.6969738137500958</v>
      </c>
      <c r="I305" s="64">
        <f t="shared" ca="1" si="8"/>
        <v>0.63755270937033282</v>
      </c>
      <c r="J305" s="63">
        <f>IF(SUM(E301:E304)&lt;Variables!$B$3,-H304,0)</f>
        <v>0</v>
      </c>
      <c r="K305" s="64">
        <f ca="1">IF(AND(H304&lt;Variables!$B$6*Variables!$E$50,OR(SUM(D302:D305)&gt;Variables!$B$5,SUM(E302:E305)&gt;Variables!$B$4)),Variables!$B$6*Variables!$E$50+Variables!$B$7*$G$1*Variables!$E$50*SUM(D302:D305),0)</f>
        <v>1.1650864121633862</v>
      </c>
      <c r="L305" s="64">
        <f ca="1">IF(B305="Winter",Variables!$B$8*H304,0)</f>
        <v>-0.52753370279305334</v>
      </c>
      <c r="M305" s="64">
        <f ca="1">IF(AND(B305="Spring",AND(NOT(H304=0),H304&lt;(Variables!$B$9*Variables!$E$50))),(Variables!$B$10*Variables!$E$50+Variables!$B$11*Variables!$E$50*SUM(E302:E305)+$G$1*SUM(D304:D305)*Variables!$E$50*Variables!$B$12),0)</f>
        <v>0</v>
      </c>
      <c r="N305" s="64">
        <f>IF(AND(B305="Spring",AND(SUM(D302:D305)&gt;Variables!$B$13,SUM(D298:D301)&gt;Variables!$B$13)),-Variables!$B$14*Variables!$E$50,0)</f>
        <v>0</v>
      </c>
      <c r="O305" s="64">
        <f>IF(AND(B305="Summer",SUM(C301:D305)&gt;Variables!$B$15),(Variables!$B$16*Variables!$E$50*SUM(C301:C305)+$G$1*Variables!$B$16*Variables!$E$50*SUM(D301:D305)+$G$1*Variables!$E$50*Variables!$B$17*F305),0)</f>
        <v>0</v>
      </c>
      <c r="P305" s="64">
        <f ca="1">IF(AND(AND(B305="Autumn",SUM(D304:E305)&gt;0),NOT(H304=0)),Variables!$B$18*Variables!$E$50+Variables!$B$19*Variables!$E$50*SUM(E304:E305)+$G$1*Variables!$B$19*Variables!$E$50*SUM(D304:D305),0)</f>
        <v>0</v>
      </c>
      <c r="Q305" s="64">
        <f>IF(AND(B305="Autumn",AND((E305+E304)&lt;Variables!$B$20,(D304+D305)=0)),-Variables!$B$21*Variables!$E$50,0)</f>
        <v>0</v>
      </c>
      <c r="R305" s="64">
        <f>IF(B305="Autumn",(SUM(F304:F305)*$G$1*Variables!$B$22*Variables!$E$50),0)</f>
        <v>0</v>
      </c>
      <c r="S305" s="64">
        <f>IF(B305="Spring",($G$1*Variables!$E$50*SUM('Guts (MC)'!F304:F305)*Variables!$B$23),0)</f>
        <v>0</v>
      </c>
      <c r="T305" s="63">
        <f ca="1">IF((H304+SUM(J305:Q305))&lt;(Variables!$B$26*Variables!$E$50),$F$1*((Variables!$B$26*Variables!$E$50)-H304-SUM(J305:Q305)),0)</f>
        <v>0</v>
      </c>
      <c r="U305" s="64">
        <f ca="1">IF(AND(AND(B305="Autumn",SUM(D302:E305)&gt;Variables!$B$27),SUM(J305:Q305)&lt;Variables!$B$28*H304),$F$1*(Variables!$B$28*H304-SUM(J305:Q305)),0)</f>
        <v>0</v>
      </c>
      <c r="V305" s="96">
        <f ca="1">IF(AND((J305+K305)=0,(Q305+T305)=0),$H$1*H305*Variables!$I$23*0.25,0)</f>
        <v>0</v>
      </c>
      <c r="W305" s="97">
        <f ca="1">IF(AND((K305+J305)=0,(T305+Q305)=0),$I$1*H305*Variables!$Q$23*0.25,0)</f>
        <v>0</v>
      </c>
      <c r="X305" s="95">
        <f ca="1">IF(AND(NOT(K305=0),(H305-H304)&gt;0),(H305-H304)*(Variables!$M$5*$H$1+Variables!$U$5*$I$1),0)+IF(AND(NOT((J305+N305+Q305)=0),(H304-H305)&gt;0),(H304-H305)*(Variables!$M$4*$H$1+Variables!$U$4*$I$1),0)</f>
        <v>-72.881501246821927</v>
      </c>
      <c r="Y305" s="95">
        <f ca="1">IF(SUM(T305,U304:U305)&gt;0,H305*Variables!$Y$11*0.25*(1-$J$1),0)</f>
        <v>0</v>
      </c>
      <c r="Z305" s="95">
        <f ca="1">IF(T305=0,H305*$J$1*Variables!$Y$5*0.25,0)</f>
        <v>1.9095822950604229</v>
      </c>
      <c r="AA305" s="95">
        <f t="shared" ca="1" si="9"/>
        <v>-70.971918951761509</v>
      </c>
      <c r="AB305" s="91">
        <f ca="1">AA305/Variables!$E$49</f>
        <v>-11.447083701897018</v>
      </c>
    </row>
    <row r="306" spans="1:28" x14ac:dyDescent="0.25">
      <c r="A306" s="61">
        <f>'Water runs'!C313</f>
        <v>29920</v>
      </c>
      <c r="B306" s="61" t="str">
        <f>'Water runs'!B313</f>
        <v>Spring</v>
      </c>
      <c r="C306" s="54">
        <f>'Water runs'!D313/100</f>
        <v>0.79955357142857097</v>
      </c>
      <c r="D306" s="108">
        <f>VLOOKUP(ROW(D306)+4,'Water runs'!$BS$3:$CF$423,MATCH($B$1,Scenarios,0)+1)</f>
        <v>0</v>
      </c>
      <c r="E306" s="54">
        <f>IF(B306=Variables!$D$8,C306-Variables!$E$8,IF(B306=Variables!$D$9,C306-Variables!$E$9,IF(B306=Variables!$D$10,C306-Variables!$E$10,IF(B306=Variables!$D$11,C306-Variables!$E$11,"ELSE"))))</f>
        <v>3.5571362433861831E-2</v>
      </c>
      <c r="F306" s="108">
        <f>VLOOKUP(ROW(F306)+4,'Water runs'!$CH$3:$CU$423,MATCH($B$1,Scenarios,0)+1)</f>
        <v>0</v>
      </c>
      <c r="G306" s="65">
        <f ca="1">H306/Variables!$E$49</f>
        <v>0.31923010917218481</v>
      </c>
      <c r="H306" s="62">
        <f ca="1">IF((H305+I306)&gt;(1.1*Variables!$E$50),(1.1*Variables!$E$50),IF((H305+I306)&gt;0,H305+I306,0))</f>
        <v>1.9792266768675457</v>
      </c>
      <c r="I306" s="64">
        <f t="shared" ca="1" si="8"/>
        <v>0.28225286311744985</v>
      </c>
      <c r="J306" s="63">
        <f>IF(SUM(E302:E305)&lt;Variables!$B$3,-H305,0)</f>
        <v>0</v>
      </c>
      <c r="K306" s="64">
        <f ca="1">IF(AND(H305&lt;Variables!$B$6*Variables!$E$50,OR(SUM(D303:D306)&gt;Variables!$B$5,SUM(E303:E306)&gt;Variables!$B$4)),Variables!$B$6*Variables!$E$50+Variables!$B$7*$G$1*Variables!$E$50*SUM(D303:D306),0)</f>
        <v>0</v>
      </c>
      <c r="L306" s="64">
        <f>IF(B306="Winter",Variables!$B$8*H305,0)</f>
        <v>0</v>
      </c>
      <c r="M306" s="64">
        <f ca="1">IF(AND(B306="Spring",AND(NOT(H305=0),H305&lt;(Variables!$B$9*Variables!$E$50))),(Variables!$B$10*Variables!$E$50+Variables!$B$11*Variables!$E$50*SUM(E303:E306)+$G$1*SUM(D305:D306)*Variables!$E$50*Variables!$B$12),0)</f>
        <v>0.27464172186640312</v>
      </c>
      <c r="N306" s="64">
        <f>IF(AND(B306="Spring",AND(SUM(D303:D306)&gt;Variables!$B$13,SUM(D299:D302)&gt;Variables!$B$13)),-Variables!$B$14*Variables!$E$50,0)</f>
        <v>0</v>
      </c>
      <c r="O306" s="64">
        <f>IF(AND(B306="Summer",SUM(C302:D306)&gt;Variables!$B$15),(Variables!$B$16*Variables!$E$50*SUM(C302:C306)+$G$1*Variables!$B$16*Variables!$E$50*SUM(D302:D306)+$G$1*Variables!$E$50*Variables!$B$17*F306),0)</f>
        <v>0</v>
      </c>
      <c r="P306" s="64">
        <f ca="1">IF(AND(AND(B306="Autumn",SUM(D305:E306)&gt;0),NOT(H305=0)),Variables!$B$18*Variables!$E$50+Variables!$B$19*Variables!$E$50*SUM(E305:E306)+$G$1*Variables!$B$19*Variables!$E$50*SUM(D305:D306),0)</f>
        <v>0</v>
      </c>
      <c r="Q306" s="64">
        <f>IF(AND(B306="Autumn",AND((E306+E305)&lt;Variables!$B$20,(D305+D306)=0)),-Variables!$B$21*Variables!$E$50,0)</f>
        <v>0</v>
      </c>
      <c r="R306" s="64">
        <f>IF(B306="Autumn",(SUM(F305:F306)*$G$1*Variables!$B$22*Variables!$E$50),0)</f>
        <v>0</v>
      </c>
      <c r="S306" s="64">
        <f ca="1">IF(B306="Spring",($G$1*Variables!$E$50*SUM('Guts (MC)'!F305:F306)*Variables!$B$23),0)</f>
        <v>7.6111412510467043E-3</v>
      </c>
      <c r="T306" s="63">
        <f ca="1">IF((H305+SUM(J306:Q306))&lt;(Variables!$B$26*Variables!$E$50),$F$1*((Variables!$B$26*Variables!$E$50)-H305-SUM(J306:Q306)),0)</f>
        <v>0</v>
      </c>
      <c r="U306" s="64">
        <f ca="1">IF(AND(AND(B306="Autumn",SUM(D303:E306)&gt;Variables!$B$27),SUM(J306:Q306)&lt;Variables!$B$28*H305),$F$1*(Variables!$B$28*H305-SUM(J306:Q306)),0)</f>
        <v>0</v>
      </c>
      <c r="V306" s="96">
        <f ca="1">IF(AND((J306+K306)=0,(Q306+T306)=0),$H$1*H306*Variables!$I$23*0.25,0)</f>
        <v>24.124749762338304</v>
      </c>
      <c r="W306" s="97">
        <f ca="1">IF(AND((K306+J306)=0,(T306+Q306)=0),$I$1*H306*Variables!$Q$23*0.25,0)</f>
        <v>7.7588317540629443</v>
      </c>
      <c r="X306" s="95">
        <f ca="1">IF(AND(NOT(K306=0),(H306-H305)&gt;0),(H306-H305)*(Variables!$M$5*$H$1+Variables!$U$5*$I$1),0)+IF(AND(NOT((J306+N306+Q306)=0),(H305-H306)&gt;0),(H305-H306)*(Variables!$M$4*$H$1+Variables!$U$4*$I$1),0)</f>
        <v>0</v>
      </c>
      <c r="Y306" s="95">
        <f ca="1">IF(SUM(T306,U305:U306)&gt;0,H306*Variables!$Y$11*0.25*(1-$J$1),0)</f>
        <v>0</v>
      </c>
      <c r="Z306" s="95">
        <f ca="1">IF(T306=0,H306*$J$1*Variables!$Y$5*0.25,0)</f>
        <v>2.2271977265844409</v>
      </c>
      <c r="AA306" s="95">
        <f t="shared" ca="1" si="9"/>
        <v>34.110779242985693</v>
      </c>
      <c r="AB306" s="91">
        <f ca="1">AA306/Variables!$E$49</f>
        <v>5.5017385875783376</v>
      </c>
    </row>
    <row r="307" spans="1:28" x14ac:dyDescent="0.25">
      <c r="A307" s="61">
        <f>'Water runs'!C314</f>
        <v>30010</v>
      </c>
      <c r="B307" s="61" t="str">
        <f>'Water runs'!B314</f>
        <v>Summer</v>
      </c>
      <c r="C307" s="54">
        <f>'Water runs'!D314/100</f>
        <v>0.59326785714285701</v>
      </c>
      <c r="D307" s="108">
        <f>VLOOKUP(ROW(D307)+4,'Water runs'!$BS$3:$CF$423,MATCH($B$1,Scenarios,0)+1)</f>
        <v>2.135963071758288E-2</v>
      </c>
      <c r="E307" s="54">
        <f>IF(B307=Variables!$D$8,C307-Variables!$E$8,IF(B307=Variables!$D$9,C307-Variables!$E$9,IF(B307=Variables!$D$10,C307-Variables!$E$10,IF(B307=Variables!$D$11,C307-Variables!$E$11,"ELSE"))))</f>
        <v>-0.6651022789115647</v>
      </c>
      <c r="F307" s="108">
        <f>VLOOKUP(ROW(F307)+4,'Water runs'!$CH$3:$CU$423,MATCH($B$1,Scenarios,0)+1)</f>
        <v>0</v>
      </c>
      <c r="G307" s="65">
        <f ca="1">H307/Variables!$E$49</f>
        <v>0.31923010917218481</v>
      </c>
      <c r="H307" s="62">
        <f ca="1">IF((H306+I307)&gt;(1.1*Variables!$E$50),(1.1*Variables!$E$50),IF((H306+I307)&gt;0,H306+I307,0))</f>
        <v>1.9792266768675457</v>
      </c>
      <c r="I307" s="64">
        <f t="shared" ca="1" si="8"/>
        <v>0</v>
      </c>
      <c r="J307" s="63">
        <f>IF(SUM(E303:E306)&lt;Variables!$B$3,-H306,0)</f>
        <v>0</v>
      </c>
      <c r="K307" s="64">
        <f ca="1">IF(AND(H306&lt;Variables!$B$6*Variables!$E$50,OR(SUM(D304:D307)&gt;Variables!$B$5,SUM(E304:E307)&gt;Variables!$B$4)),Variables!$B$6*Variables!$E$50+Variables!$B$7*$G$1*Variables!$E$50*SUM(D304:D307),0)</f>
        <v>0</v>
      </c>
      <c r="L307" s="64">
        <f>IF(B307="Winter",Variables!$B$8*H306,0)</f>
        <v>0</v>
      </c>
      <c r="M307" s="64">
        <f ca="1">IF(AND(B307="Spring",AND(NOT(H306=0),H306&lt;(Variables!$B$9*Variables!$E$50))),(Variables!$B$10*Variables!$E$50+Variables!$B$11*Variables!$E$50*SUM(E304:E307)+$G$1*SUM(D306:D307)*Variables!$E$50*Variables!$B$12),0)</f>
        <v>0</v>
      </c>
      <c r="N307" s="64">
        <f>IF(AND(B307="Spring",AND(SUM(D304:D307)&gt;Variables!$B$13,SUM(D300:D303)&gt;Variables!$B$13)),-Variables!$B$14*Variables!$E$50,0)</f>
        <v>0</v>
      </c>
      <c r="O307" s="64">
        <f>IF(AND(B307="Summer",SUM(C303:D307)&gt;Variables!$B$15),(Variables!$B$16*Variables!$E$50*SUM(C303:C307)+$G$1*Variables!$B$16*Variables!$E$50*SUM(D303:D307)+$G$1*Variables!$E$50*Variables!$B$17*F307),0)</f>
        <v>0</v>
      </c>
      <c r="P307" s="64">
        <f ca="1">IF(AND(AND(B307="Autumn",SUM(D306:E307)&gt;0),NOT(H306=0)),Variables!$B$18*Variables!$E$50+Variables!$B$19*Variables!$E$50*SUM(E306:E307)+$G$1*Variables!$B$19*Variables!$E$50*SUM(D306:D307),0)</f>
        <v>0</v>
      </c>
      <c r="Q307" s="64">
        <f>IF(AND(B307="Autumn",AND((E307+E306)&lt;Variables!$B$20,(D306+D307)=0)),-Variables!$B$21*Variables!$E$50,0)</f>
        <v>0</v>
      </c>
      <c r="R307" s="64">
        <f>IF(B307="Autumn",(SUM(F306:F307)*$G$1*Variables!$B$22*Variables!$E$50),0)</f>
        <v>0</v>
      </c>
      <c r="S307" s="64">
        <f>IF(B307="Spring",($G$1*Variables!$E$50*SUM('Guts (MC)'!F306:F307)*Variables!$B$23),0)</f>
        <v>0</v>
      </c>
      <c r="T307" s="63">
        <f ca="1">IF((H306+SUM(J307:Q307))&lt;(Variables!$B$26*Variables!$E$50),$F$1*((Variables!$B$26*Variables!$E$50)-H306-SUM(J307:Q307)),0)</f>
        <v>0</v>
      </c>
      <c r="U307" s="64">
        <f ca="1">IF(AND(AND(B307="Autumn",SUM(D304:E307)&gt;Variables!$B$27),SUM(J307:Q307)&lt;Variables!$B$28*H306),$F$1*(Variables!$B$28*H306-SUM(J307:Q307)),0)</f>
        <v>0</v>
      </c>
      <c r="V307" s="96">
        <f ca="1">IF(AND((J307+K307)=0,(Q307+T307)=0),$H$1*H307*Variables!$I$23*0.25,0)</f>
        <v>24.124749762338304</v>
      </c>
      <c r="W307" s="97">
        <f ca="1">IF(AND((K307+J307)=0,(T307+Q307)=0),$I$1*H307*Variables!$Q$23*0.25,0)</f>
        <v>7.7588317540629443</v>
      </c>
      <c r="X307" s="95">
        <f ca="1">IF(AND(NOT(K307=0),(H307-H306)&gt;0),(H307-H306)*(Variables!$M$5*$H$1+Variables!$U$5*$I$1),0)+IF(AND(NOT((J307+N307+Q307)=0),(H306-H307)&gt;0),(H306-H307)*(Variables!$M$4*$H$1+Variables!$U$4*$I$1),0)</f>
        <v>0</v>
      </c>
      <c r="Y307" s="95">
        <f ca="1">IF(SUM(T307,U306:U307)&gt;0,H307*Variables!$Y$11*0.25*(1-$J$1),0)</f>
        <v>0</v>
      </c>
      <c r="Z307" s="95">
        <f ca="1">IF(T307=0,H307*$J$1*Variables!$Y$5*0.25,0)</f>
        <v>2.2271977265844409</v>
      </c>
      <c r="AA307" s="95">
        <f t="shared" ca="1" si="9"/>
        <v>34.110779242985693</v>
      </c>
      <c r="AB307" s="91">
        <f ca="1">AA307/Variables!$E$49</f>
        <v>5.5017385875783376</v>
      </c>
    </row>
    <row r="308" spans="1:28" x14ac:dyDescent="0.25">
      <c r="A308" s="61">
        <f>'Water runs'!C315</f>
        <v>30102</v>
      </c>
      <c r="B308" s="61" t="str">
        <f>'Water runs'!B315</f>
        <v>Autumn</v>
      </c>
      <c r="C308" s="54">
        <f>'Water runs'!D315/100</f>
        <v>0.85189285714285701</v>
      </c>
      <c r="D308" s="108">
        <f>VLOOKUP(ROW(D308)+4,'Water runs'!$BS$3:$CF$423,MATCH($B$1,Scenarios,0)+1)</f>
        <v>0.16874242868114553</v>
      </c>
      <c r="E308" s="54">
        <f>IF(B308=Variables!$D$8,C308-Variables!$E$8,IF(B308=Variables!$D$9,C308-Variables!$E$9,IF(B308=Variables!$D$10,C308-Variables!$E$10,IF(B308=Variables!$D$11,C308-Variables!$E$11,"ELSE"))))</f>
        <v>-0.14275044217687083</v>
      </c>
      <c r="F308" s="108">
        <f>VLOOKUP(ROW(F308)+4,'Water runs'!$CH$3:$CU$423,MATCH($B$1,Scenarios,0)+1)</f>
        <v>0.14741130175219122</v>
      </c>
      <c r="G308" s="65">
        <f ca="1">H308/Variables!$E$49</f>
        <v>0.32282961056125214</v>
      </c>
      <c r="H308" s="62">
        <f ca="1">IF((H307+I308)&gt;(1.1*Variables!$E$50),(1.1*Variables!$E$50),IF((H307+I308)&gt;0,H307+I308,0))</f>
        <v>2.0015435854797632</v>
      </c>
      <c r="I308" s="64">
        <f t="shared" ca="1" si="8"/>
        <v>2.2316908612217294E-2</v>
      </c>
      <c r="J308" s="63">
        <f>IF(SUM(E304:E307)&lt;Variables!$B$3,-H307,0)</f>
        <v>0</v>
      </c>
      <c r="K308" s="64">
        <f ca="1">IF(AND(H307&lt;Variables!$B$6*Variables!$E$50,OR(SUM(D305:D308)&gt;Variables!$B$5,SUM(E305:E308)&gt;Variables!$B$4)),Variables!$B$6*Variables!$E$50+Variables!$B$7*$G$1*Variables!$E$50*SUM(D305:D308),0)</f>
        <v>0</v>
      </c>
      <c r="L308" s="64">
        <f>IF(B308="Winter",Variables!$B$8*H307,0)</f>
        <v>0</v>
      </c>
      <c r="M308" s="64">
        <f ca="1">IF(AND(B308="Spring",AND(NOT(H307=0),H307&lt;(Variables!$B$9*Variables!$E$50))),(Variables!$B$10*Variables!$E$50+Variables!$B$11*Variables!$E$50*SUM(E305:E308)+$G$1*SUM(D307:D308)*Variables!$E$50*Variables!$B$12),0)</f>
        <v>0</v>
      </c>
      <c r="N308" s="64">
        <f>IF(AND(B308="Spring",AND(SUM(D305:D308)&gt;Variables!$B$13,SUM(D301:D304)&gt;Variables!$B$13)),-Variables!$B$14*Variables!$E$50,0)</f>
        <v>0</v>
      </c>
      <c r="O308" s="64">
        <f>IF(AND(B308="Summer",SUM(C304:D308)&gt;Variables!$B$15),(Variables!$B$16*Variables!$E$50*SUM(C304:C308)+$G$1*Variables!$B$16*Variables!$E$50*SUM(D304:D308)+$G$1*Variables!$E$50*Variables!$B$17*F308),0)</f>
        <v>0</v>
      </c>
      <c r="P308" s="64">
        <f ca="1">IF(AND(AND(B308="Autumn",SUM(D307:E308)&gt;0),NOT(H307=0)),Variables!$B$18*Variables!$E$50+Variables!$B$19*Variables!$E$50*SUM(E307:E308)+$G$1*Variables!$B$19*Variables!$E$50*SUM(D307:D308),0)</f>
        <v>0</v>
      </c>
      <c r="Q308" s="64">
        <f>IF(AND(B308="Autumn",AND((E308+E307)&lt;Variables!$B$20,(D307+D308)=0)),-Variables!$B$21*Variables!$E$50,0)</f>
        <v>0</v>
      </c>
      <c r="R308" s="64">
        <f ca="1">IF(B308="Autumn",(SUM(F307:F308)*$G$1*Variables!$B$22*Variables!$E$50),0)</f>
        <v>2.2316908612217294E-2</v>
      </c>
      <c r="S308" s="64">
        <f>IF(B308="Spring",($G$1*Variables!$E$50*SUM('Guts (MC)'!F307:F308)*Variables!$B$23),0)</f>
        <v>0</v>
      </c>
      <c r="T308" s="63">
        <f ca="1">IF((H307+SUM(J308:Q308))&lt;(Variables!$B$26*Variables!$E$50),$F$1*((Variables!$B$26*Variables!$E$50)-H307-SUM(J308:Q308)),0)</f>
        <v>0</v>
      </c>
      <c r="U308" s="64">
        <f ca="1">IF(AND(AND(B308="Autumn",SUM(D305:E308)&gt;Variables!$B$27),SUM(J308:Q308)&lt;Variables!$B$28*H307),$F$1*(Variables!$B$28*H307-SUM(J308:Q308)),0)</f>
        <v>0</v>
      </c>
      <c r="V308" s="96">
        <f ca="1">IF(AND((J308+K308)=0,(Q308+T308)=0),$H$1*H308*Variables!$I$23*0.25,0)</f>
        <v>24.396770063009878</v>
      </c>
      <c r="W308" s="97">
        <f ca="1">IF(AND((K308+J308)=0,(T308+Q308)=0),$I$1*H308*Variables!$Q$23*0.25,0)</f>
        <v>7.8463170033356739</v>
      </c>
      <c r="X308" s="95">
        <f ca="1">IF(AND(NOT(K308=0),(H308-H307)&gt;0),(H308-H307)*(Variables!$M$5*$H$1+Variables!$U$5*$I$1),0)+IF(AND(NOT((J308+N308+Q308)=0),(H307-H308)&gt;0),(H307-H308)*(Variables!$M$4*$H$1+Variables!$U$4*$I$1),0)</f>
        <v>0</v>
      </c>
      <c r="Y308" s="95">
        <f ca="1">IF(SUM(T308,U307:U308)&gt;0,H308*Variables!$Y$11*0.25*(1-$J$1),0)</f>
        <v>0</v>
      </c>
      <c r="Z308" s="95">
        <f ca="1">IF(T308=0,H308*$J$1*Variables!$Y$5*0.25,0)</f>
        <v>2.2523106500845365</v>
      </c>
      <c r="AA308" s="95">
        <f t="shared" ca="1" si="9"/>
        <v>34.495397716430091</v>
      </c>
      <c r="AB308" s="91">
        <f ca="1">AA308/Variables!$E$49</f>
        <v>5.5637738252306592</v>
      </c>
    </row>
    <row r="309" spans="1:28" x14ac:dyDescent="0.25">
      <c r="A309" s="61">
        <f>'Water runs'!C316</f>
        <v>30194</v>
      </c>
      <c r="B309" s="61" t="str">
        <f>'Water runs'!B316</f>
        <v>Winter</v>
      </c>
      <c r="C309" s="54">
        <f>'Water runs'!D316/100</f>
        <v>0</v>
      </c>
      <c r="D309" s="108">
        <f>VLOOKUP(ROW(D309)+4,'Water runs'!$BS$3:$CF$423,MATCH($B$1,Scenarios,0)+1)</f>
        <v>0</v>
      </c>
      <c r="E309" s="54">
        <f>IF(B309=Variables!$D$8,C309-Variables!$E$8,IF(B309=Variables!$D$9,C309-Variables!$E$9,IF(B309=Variables!$D$10,C309-Variables!$E$10,IF(B309=Variables!$D$11,C309-Variables!$E$11,"ELSE"))))</f>
        <v>-0.57176762566137573</v>
      </c>
      <c r="F309" s="108">
        <f>VLOOKUP(ROW(F309)+4,'Water runs'!$CH$3:$CU$423,MATCH($B$1,Scenarios,0)+1)</f>
        <v>0</v>
      </c>
      <c r="G309" s="65">
        <f ca="1">H309/Variables!$E$49</f>
        <v>0.16207814060604414</v>
      </c>
      <c r="H309" s="62">
        <f ca="1">IF((H308+I309)&gt;(1.1*Variables!$E$50),(1.1*Variables!$E$50),IF((H308+I309)&gt;0,H308+I309,0))</f>
        <v>1.0048844717574736</v>
      </c>
      <c r="I309" s="64">
        <f t="shared" ca="1" si="8"/>
        <v>-0.99665911372228955</v>
      </c>
      <c r="J309" s="63">
        <f>IF(SUM(E305:E308)&lt;Variables!$B$3,-H308,0)</f>
        <v>0</v>
      </c>
      <c r="K309" s="64">
        <f ca="1">IF(AND(H308&lt;Variables!$B$6*Variables!$E$50,OR(SUM(D306:D309)&gt;Variables!$B$5,SUM(E306:E309)&gt;Variables!$B$4)),Variables!$B$6*Variables!$E$50+Variables!$B$7*$G$1*Variables!$E$50*SUM(D306:D309),0)</f>
        <v>0</v>
      </c>
      <c r="L309" s="64">
        <f ca="1">IF(B309="Winter",Variables!$B$8*H308,0)</f>
        <v>-0.99665911372228955</v>
      </c>
      <c r="M309" s="64">
        <f ca="1">IF(AND(B309="Spring",AND(NOT(H308=0),H308&lt;(Variables!$B$9*Variables!$E$50))),(Variables!$B$10*Variables!$E$50+Variables!$B$11*Variables!$E$50*SUM(E306:E309)+$G$1*SUM(D308:D309)*Variables!$E$50*Variables!$B$12),0)</f>
        <v>0</v>
      </c>
      <c r="N309" s="64">
        <f>IF(AND(B309="Spring",AND(SUM(D306:D309)&gt;Variables!$B$13,SUM(D302:D305)&gt;Variables!$B$13)),-Variables!$B$14*Variables!$E$50,0)</f>
        <v>0</v>
      </c>
      <c r="O309" s="64">
        <f>IF(AND(B309="Summer",SUM(C305:D309)&gt;Variables!$B$15),(Variables!$B$16*Variables!$E$50*SUM(C305:C309)+$G$1*Variables!$B$16*Variables!$E$50*SUM(D305:D309)+$G$1*Variables!$E$50*Variables!$B$17*F309),0)</f>
        <v>0</v>
      </c>
      <c r="P309" s="64">
        <f ca="1">IF(AND(AND(B309="Autumn",SUM(D308:E309)&gt;0),NOT(H308=0)),Variables!$B$18*Variables!$E$50+Variables!$B$19*Variables!$E$50*SUM(E308:E309)+$G$1*Variables!$B$19*Variables!$E$50*SUM(D308:D309),0)</f>
        <v>0</v>
      </c>
      <c r="Q309" s="64">
        <f>IF(AND(B309="Autumn",AND((E309+E308)&lt;Variables!$B$20,(D308+D309)=0)),-Variables!$B$21*Variables!$E$50,0)</f>
        <v>0</v>
      </c>
      <c r="R309" s="64">
        <f>IF(B309="Autumn",(SUM(F308:F309)*$G$1*Variables!$B$22*Variables!$E$50),0)</f>
        <v>0</v>
      </c>
      <c r="S309" s="64">
        <f>IF(B309="Spring",($G$1*Variables!$E$50*SUM('Guts (MC)'!F308:F309)*Variables!$B$23),0)</f>
        <v>0</v>
      </c>
      <c r="T309" s="63">
        <f ca="1">IF((H308+SUM(J309:Q309))&lt;(Variables!$B$26*Variables!$E$50),$F$1*((Variables!$B$26*Variables!$E$50)-H308-SUM(J309:Q309)),0)</f>
        <v>0</v>
      </c>
      <c r="U309" s="64">
        <f ca="1">IF(AND(AND(B309="Autumn",SUM(D306:E309)&gt;Variables!$B$27),SUM(J309:Q309)&lt;Variables!$B$28*H308),$F$1*(Variables!$B$28*H308-SUM(J309:Q309)),0)</f>
        <v>0</v>
      </c>
      <c r="V309" s="96">
        <f ca="1">IF(AND((J309+K309)=0,(Q309+T309)=0),$H$1*H309*Variables!$I$23*0.25,0)</f>
        <v>12.248514384202055</v>
      </c>
      <c r="W309" s="97">
        <f ca="1">IF(AND((K309+J309)=0,(T309+Q309)=0),$I$1*H309*Variables!$Q$23*0.25,0)</f>
        <v>3.9392807502858997</v>
      </c>
      <c r="X309" s="95">
        <f ca="1">IF(AND(NOT(K309=0),(H309-H308)&gt;0),(H309-H308)*(Variables!$M$5*$H$1+Variables!$U$5*$I$1),0)+IF(AND(NOT((J309+N309+Q309)=0),(H308-H309)&gt;0),(H308-H309)*(Variables!$M$4*$H$1+Variables!$U$4*$I$1),0)</f>
        <v>0</v>
      </c>
      <c r="Y309" s="95">
        <f ca="1">IF(SUM(T309,U308:U309)&gt;0,H309*Variables!$Y$11*0.25*(1-$J$1),0)</f>
        <v>0</v>
      </c>
      <c r="Z309" s="95">
        <f ca="1">IF(T309=0,H309*$J$1*Variables!$Y$5*0.25,0)</f>
        <v>1.1307832686048769</v>
      </c>
      <c r="AA309" s="95">
        <f t="shared" ca="1" si="9"/>
        <v>17.318578403092832</v>
      </c>
      <c r="AB309" s="91">
        <f ca="1">AA309/Variables!$E$49</f>
        <v>2.7933190972730375</v>
      </c>
    </row>
    <row r="310" spans="1:28" x14ac:dyDescent="0.25">
      <c r="A310" s="61">
        <f>'Water runs'!C317</f>
        <v>30285</v>
      </c>
      <c r="B310" s="61" t="str">
        <f>'Water runs'!B317</f>
        <v>Spring</v>
      </c>
      <c r="C310" s="54">
        <f>'Water runs'!D317/100</f>
        <v>0.24037500000000001</v>
      </c>
      <c r="D310" s="108">
        <f>VLOOKUP(ROW(D310)+4,'Water runs'!$BS$3:$CF$423,MATCH($B$1,Scenarios,0)+1)</f>
        <v>0</v>
      </c>
      <c r="E310" s="54">
        <f>IF(B310=Variables!$D$8,C310-Variables!$E$8,IF(B310=Variables!$D$9,C310-Variables!$E$9,IF(B310=Variables!$D$10,C310-Variables!$E$10,IF(B310=Variables!$D$11,C310-Variables!$E$11,"ELSE"))))</f>
        <v>-0.52360720899470914</v>
      </c>
      <c r="F310" s="108">
        <f>VLOOKUP(ROW(F310)+4,'Water runs'!$CH$3:$CU$423,MATCH($B$1,Scenarios,0)+1)</f>
        <v>0</v>
      </c>
      <c r="G310" s="65">
        <f ca="1">H310/Variables!$E$49</f>
        <v>0.161</v>
      </c>
      <c r="H310" s="62">
        <f ca="1">IF((H309+I310)&gt;(1.1*Variables!$E$50),(1.1*Variables!$E$50),IF((H309+I310)&gt;0,H309+I310,0))</f>
        <v>0.99820000000000009</v>
      </c>
      <c r="I310" s="64">
        <f t="shared" ca="1" si="8"/>
        <v>-6.6844717574735535E-3</v>
      </c>
      <c r="J310" s="63">
        <f>IF(SUM(E306:E309)&lt;Variables!$B$3,-H309,0)</f>
        <v>0</v>
      </c>
      <c r="K310" s="64">
        <f ca="1">IF(AND(H309&lt;Variables!$B$6*Variables!$E$50,OR(SUM(D307:D310)&gt;Variables!$B$5,SUM(E307:E310)&gt;Variables!$B$4)),Variables!$B$6*Variables!$E$50+Variables!$B$7*$G$1*Variables!$E$50*SUM(D307:D310),0)</f>
        <v>1.1515777260886464</v>
      </c>
      <c r="L310" s="64">
        <f>IF(B310="Winter",Variables!$B$8*H309,0)</f>
        <v>0</v>
      </c>
      <c r="M310" s="64">
        <f ca="1">IF(AND(B310="Spring",AND(NOT(H309=0),H309&lt;(Variables!$B$9*Variables!$E$50))),(Variables!$B$10*Variables!$E$50+Variables!$B$11*Variables!$E$50*SUM(E307:E310)+$G$1*SUM(D309:D310)*Variables!$E$50*Variables!$B$12),0)</f>
        <v>-1.2962153680337936</v>
      </c>
      <c r="N310" s="64">
        <f>IF(AND(B310="Spring",AND(SUM(D307:D310)&gt;Variables!$B$13,SUM(D303:D306)&gt;Variables!$B$13)),-Variables!$B$14*Variables!$E$50,0)</f>
        <v>0</v>
      </c>
      <c r="O310" s="64">
        <f>IF(AND(B310="Summer",SUM(C306:D310)&gt;Variables!$B$15),(Variables!$B$16*Variables!$E$50*SUM(C306:C310)+$G$1*Variables!$B$16*Variables!$E$50*SUM(D306:D310)+$G$1*Variables!$E$50*Variables!$B$17*F310),0)</f>
        <v>0</v>
      </c>
      <c r="P310" s="64">
        <f ca="1">IF(AND(AND(B310="Autumn",SUM(D309:E310)&gt;0),NOT(H309=0)),Variables!$B$18*Variables!$E$50+Variables!$B$19*Variables!$E$50*SUM(E309:E310)+$G$1*Variables!$B$19*Variables!$E$50*SUM(D309:D310),0)</f>
        <v>0</v>
      </c>
      <c r="Q310" s="64">
        <f>IF(AND(B310="Autumn",AND((E310+E309)&lt;Variables!$B$20,(D309+D310)=0)),-Variables!$B$21*Variables!$E$50,0)</f>
        <v>0</v>
      </c>
      <c r="R310" s="64">
        <f>IF(B310="Autumn",(SUM(F309:F310)*$G$1*Variables!$B$22*Variables!$E$50),0)</f>
        <v>0</v>
      </c>
      <c r="S310" s="64">
        <f ca="1">IF(B310="Spring",($G$1*Variables!$E$50*SUM('Guts (MC)'!F309:F310)*Variables!$B$23),0)</f>
        <v>0</v>
      </c>
      <c r="T310" s="63">
        <f ca="1">IF((H309+SUM(J310:Q310))&lt;(Variables!$B$26*Variables!$E$50),$F$1*((Variables!$B$26*Variables!$E$50)-H309-SUM(J310:Q310)),0)</f>
        <v>0.13795317018767361</v>
      </c>
      <c r="U310" s="64">
        <f ca="1">IF(AND(AND(B310="Autumn",SUM(D307:E310)&gt;Variables!$B$27),SUM(J310:Q310)&lt;Variables!$B$28*H309),$F$1*(Variables!$B$28*H309-SUM(J310:Q310)),0)</f>
        <v>0</v>
      </c>
      <c r="V310" s="96">
        <f ca="1">IF(AND((J310+K310)=0,(Q310+T310)=0),$H$1*H310*Variables!$I$23*0.25,0)</f>
        <v>0</v>
      </c>
      <c r="W310" s="97">
        <f ca="1">IF(AND((K310+J310)=0,(T310+Q310)=0),$I$1*H310*Variables!$Q$23*0.25,0)</f>
        <v>0</v>
      </c>
      <c r="X310" s="95">
        <f ca="1">IF(AND(NOT(K310=0),(H310-H309)&gt;0),(H310-H309)*(Variables!$M$5*$H$1+Variables!$U$5*$I$1),0)+IF(AND(NOT((J310+N310+Q310)=0),(H309-H310)&gt;0),(H309-H310)*(Variables!$M$4*$H$1+Variables!$U$4*$I$1),0)</f>
        <v>0</v>
      </c>
      <c r="Y310" s="95">
        <f ca="1">IF(SUM(T310,U309:U310)&gt;0,H310*Variables!$Y$11*0.25*(1-$J$1),0)</f>
        <v>-8.6666009437672749</v>
      </c>
      <c r="Z310" s="95">
        <f ca="1">IF(T310=0,H310*$J$1*Variables!$Y$5*0.25,0)</f>
        <v>0</v>
      </c>
      <c r="AA310" s="95">
        <f t="shared" ca="1" si="9"/>
        <v>-8.6666009437672749</v>
      </c>
      <c r="AB310" s="91">
        <f ca="1">AA310/Variables!$E$49</f>
        <v>-1.3978388618979476</v>
      </c>
    </row>
    <row r="311" spans="1:28" x14ac:dyDescent="0.25">
      <c r="A311" s="61">
        <f>'Water runs'!C318</f>
        <v>30375</v>
      </c>
      <c r="B311" s="61" t="str">
        <f>'Water runs'!B318</f>
        <v>Summer</v>
      </c>
      <c r="C311" s="54">
        <f>'Water runs'!D318/100</f>
        <v>0.91708928571428605</v>
      </c>
      <c r="D311" s="108">
        <f>VLOOKUP(ROW(D311)+4,'Water runs'!$BS$3:$CF$423,MATCH($B$1,Scenarios,0)+1)</f>
        <v>9.2843173738509418E-3</v>
      </c>
      <c r="E311" s="54">
        <f>IF(B311=Variables!$D$8,C311-Variables!$E$8,IF(B311=Variables!$D$9,C311-Variables!$E$9,IF(B311=Variables!$D$10,C311-Variables!$E$10,IF(B311=Variables!$D$11,C311-Variables!$E$11,"ELSE"))))</f>
        <v>-0.34128085034013567</v>
      </c>
      <c r="F311" s="108">
        <f>VLOOKUP(ROW(F311)+4,'Water runs'!$CH$3:$CU$423,MATCH($B$1,Scenarios,0)+1)</f>
        <v>0</v>
      </c>
      <c r="G311" s="65">
        <f ca="1">H311/Variables!$E$49</f>
        <v>0.18562792309622156</v>
      </c>
      <c r="H311" s="62">
        <f ca="1">IF((H310+I311)&gt;(1.1*Variables!$E$50),(1.1*Variables!$E$50),IF((H310+I311)&gt;0,H310+I311,0))</f>
        <v>1.1508931231965738</v>
      </c>
      <c r="I311" s="64">
        <f t="shared" ca="1" si="8"/>
        <v>0.15269312319657369</v>
      </c>
      <c r="J311" s="63">
        <f ca="1">IF(SUM(E307:E310)&lt;Variables!$B$3,-H310,0)</f>
        <v>-0.99820000000000009</v>
      </c>
      <c r="K311" s="64">
        <f ca="1">IF(AND(H310&lt;Variables!$B$6*Variables!$E$50,OR(SUM(D308:D311)&gt;Variables!$B$5,SUM(E308:E311)&gt;Variables!$B$4)),Variables!$B$6*Variables!$E$50+Variables!$B$7*$G$1*Variables!$E$50*SUM(D308:D311),0)</f>
        <v>1.1508931231965738</v>
      </c>
      <c r="L311" s="64">
        <f>IF(B311="Winter",Variables!$B$8*H310,0)</f>
        <v>0</v>
      </c>
      <c r="M311" s="64">
        <f ca="1">IF(AND(B311="Spring",AND(NOT(H310=0),H310&lt;(Variables!$B$9*Variables!$E$50))),(Variables!$B$10*Variables!$E$50+Variables!$B$11*Variables!$E$50*SUM(E308:E311)+$G$1*SUM(D310:D311)*Variables!$E$50*Variables!$B$12),0)</f>
        <v>0</v>
      </c>
      <c r="N311" s="64">
        <f>IF(AND(B311="Spring",AND(SUM(D308:D311)&gt;Variables!$B$13,SUM(D304:D307)&gt;Variables!$B$13)),-Variables!$B$14*Variables!$E$50,0)</f>
        <v>0</v>
      </c>
      <c r="O311" s="64">
        <f>IF(AND(B311="Summer",SUM(C307:D311)&gt;Variables!$B$15),(Variables!$B$16*Variables!$E$50*SUM(C307:C311)+$G$1*Variables!$B$16*Variables!$E$50*SUM(D307:D311)+$G$1*Variables!$E$50*Variables!$B$17*F311),0)</f>
        <v>0</v>
      </c>
      <c r="P311" s="64">
        <f ca="1">IF(AND(AND(B311="Autumn",SUM(D310:E311)&gt;0),NOT(H310=0)),Variables!$B$18*Variables!$E$50+Variables!$B$19*Variables!$E$50*SUM(E310:E311)+$G$1*Variables!$B$19*Variables!$E$50*SUM(D310:D311),0)</f>
        <v>0</v>
      </c>
      <c r="Q311" s="64">
        <f>IF(AND(B311="Autumn",AND((E311+E310)&lt;Variables!$B$20,(D310+D311)=0)),-Variables!$B$21*Variables!$E$50,0)</f>
        <v>0</v>
      </c>
      <c r="R311" s="64">
        <f>IF(B311="Autumn",(SUM(F310:F311)*$G$1*Variables!$B$22*Variables!$E$50),0)</f>
        <v>0</v>
      </c>
      <c r="S311" s="64">
        <f>IF(B311="Spring",($G$1*Variables!$E$50*SUM('Guts (MC)'!F310:F311)*Variables!$B$23),0)</f>
        <v>0</v>
      </c>
      <c r="T311" s="63">
        <f ca="1">IF((H310+SUM(J311:Q311))&lt;(Variables!$B$26*Variables!$E$50),$F$1*((Variables!$B$26*Variables!$E$50)-H310-SUM(J311:Q311)),0)</f>
        <v>0</v>
      </c>
      <c r="U311" s="64">
        <f ca="1">IF(AND(AND(B311="Autumn",SUM(D308:E311)&gt;Variables!$B$27),SUM(J311:Q311)&lt;Variables!$B$28*H310),$F$1*(Variables!$B$28*H310-SUM(J311:Q311)),0)</f>
        <v>0</v>
      </c>
      <c r="V311" s="96">
        <f ca="1">IF(AND((J311+K311)=0,(Q311+T311)=0),$H$1*H311*Variables!$I$23*0.25,0)</f>
        <v>0</v>
      </c>
      <c r="W311" s="97">
        <f ca="1">IF(AND((K311+J311)=0,(T311+Q311)=0),$I$1*H311*Variables!$Q$23*0.25,0)</f>
        <v>0</v>
      </c>
      <c r="X311" s="95">
        <f ca="1">IF(AND(NOT(K311=0),(H311-H310)&gt;0),(H311-H310)*(Variables!$M$5*$H$1+Variables!$U$5*$I$1),0)+IF(AND(NOT((J311+N311+Q311)=0),(H310-H311)&gt;0),(H310-H311)*(Variables!$M$4*$H$1+Variables!$U$4*$I$1),0)</f>
        <v>-17.455033733011788</v>
      </c>
      <c r="Y311" s="95">
        <f ca="1">IF(SUM(T311,U310:U311)&gt;0,H311*Variables!$Y$11*0.25*(1-$J$1),0)</f>
        <v>0</v>
      </c>
      <c r="Z311" s="95">
        <f ca="1">IF(T311=0,H311*$J$1*Variables!$Y$5*0.25,0)</f>
        <v>1.2950848821327883</v>
      </c>
      <c r="AA311" s="95">
        <f t="shared" ca="1" si="9"/>
        <v>-16.159948850879001</v>
      </c>
      <c r="AB311" s="91">
        <f ca="1">AA311/Variables!$E$49</f>
        <v>-2.6064433630449999</v>
      </c>
    </row>
    <row r="312" spans="1:28" x14ac:dyDescent="0.25">
      <c r="A312" s="61">
        <f>'Water runs'!C319</f>
        <v>30467</v>
      </c>
      <c r="B312" s="61" t="str">
        <f>'Water runs'!B319</f>
        <v>Autumn</v>
      </c>
      <c r="C312" s="54">
        <f>'Water runs'!D319/100</f>
        <v>2.4256785714285702</v>
      </c>
      <c r="D312" s="108">
        <f>VLOOKUP(ROW(D312)+4,'Water runs'!$BS$3:$CF$423,MATCH($B$1,Scenarios,0)+1)</f>
        <v>0.91953776356107331</v>
      </c>
      <c r="E312" s="54">
        <f>IF(B312=Variables!$D$8,C312-Variables!$E$8,IF(B312=Variables!$D$9,C312-Variables!$E$9,IF(B312=Variables!$D$10,C312-Variables!$E$10,IF(B312=Variables!$D$11,C312-Variables!$E$11,"ELSE"))))</f>
        <v>1.4310352721088424</v>
      </c>
      <c r="F312" s="108">
        <f>VLOOKUP(ROW(F312)+4,'Water runs'!$CH$3:$CU$423,MATCH($B$1,Scenarios,0)+1)</f>
        <v>0</v>
      </c>
      <c r="G312" s="65">
        <f ca="1">H312/Variables!$E$49</f>
        <v>0.88957711526935446</v>
      </c>
      <c r="H312" s="62">
        <f ca="1">IF((H311+I312)&gt;(1.1*Variables!$E$50),(1.1*Variables!$E$50),IF((H311+I312)&gt;0,H311+I312,0))</f>
        <v>5.5153781146699981</v>
      </c>
      <c r="I312" s="64">
        <f t="shared" ca="1" si="8"/>
        <v>4.3644849914734243</v>
      </c>
      <c r="J312" s="63">
        <f>IF(SUM(E308:E311)&lt;Variables!$B$3,-H311,0)</f>
        <v>0</v>
      </c>
      <c r="K312" s="64">
        <f ca="1">IF(AND(H311&lt;Variables!$B$6*Variables!$E$50,OR(SUM(D309:D312)&gt;Variables!$B$5,SUM(E309:E312)&gt;Variables!$B$4)),Variables!$B$6*Variables!$E$50+Variables!$B$7*$G$1*Variables!$E$50*SUM(D309:D312),0)</f>
        <v>0</v>
      </c>
      <c r="L312" s="64">
        <f>IF(B312="Winter",Variables!$B$8*H311,0)</f>
        <v>0</v>
      </c>
      <c r="M312" s="64">
        <f ca="1">IF(AND(B312="Spring",AND(NOT(H311=0),H311&lt;(Variables!$B$9*Variables!$E$50))),(Variables!$B$10*Variables!$E$50+Variables!$B$11*Variables!$E$50*SUM(E309:E312)+$G$1*SUM(D311:D312)*Variables!$E$50*Variables!$B$12),0)</f>
        <v>0</v>
      </c>
      <c r="N312" s="64">
        <f>IF(AND(B312="Spring",AND(SUM(D309:D312)&gt;Variables!$B$13,SUM(D305:D308)&gt;Variables!$B$13)),-Variables!$B$14*Variables!$E$50,0)</f>
        <v>0</v>
      </c>
      <c r="O312" s="64">
        <f>IF(AND(B312="Summer",SUM(C308:D312)&gt;Variables!$B$15),(Variables!$B$16*Variables!$E$50*SUM(C308:C312)+$G$1*Variables!$B$16*Variables!$E$50*SUM(D308:D312)+$G$1*Variables!$E$50*Variables!$B$17*F312),0)</f>
        <v>0</v>
      </c>
      <c r="P312" s="64">
        <f ca="1">IF(AND(AND(B312="Autumn",SUM(D311:E312)&gt;0),NOT(H311=0)),Variables!$B$18*Variables!$E$50+Variables!$B$19*Variables!$E$50*SUM(E311:E312)+$G$1*Variables!$B$19*Variables!$E$50*SUM(D311:D312),0)</f>
        <v>4.3644849914734243</v>
      </c>
      <c r="Q312" s="64">
        <f>IF(AND(B312="Autumn",AND((E312+E311)&lt;Variables!$B$20,(D311+D312)=0)),-Variables!$B$21*Variables!$E$50,0)</f>
        <v>0</v>
      </c>
      <c r="R312" s="64">
        <f ca="1">IF(B312="Autumn",(SUM(F311:F312)*$G$1*Variables!$B$22*Variables!$E$50),0)</f>
        <v>0</v>
      </c>
      <c r="S312" s="64">
        <f>IF(B312="Spring",($G$1*Variables!$E$50*SUM('Guts (MC)'!F311:F312)*Variables!$B$23),0)</f>
        <v>0</v>
      </c>
      <c r="T312" s="63">
        <f ca="1">IF((H311+SUM(J312:Q312))&lt;(Variables!$B$26*Variables!$E$50),$F$1*((Variables!$B$26*Variables!$E$50)-H311-SUM(J312:Q312)),0)</f>
        <v>0</v>
      </c>
      <c r="U312" s="64">
        <f ca="1">IF(AND(AND(B312="Autumn",SUM(D309:E312)&gt;Variables!$B$27),SUM(J312:Q312)&lt;Variables!$B$28*H311),$F$1*(Variables!$B$28*H311-SUM(J312:Q312)),0)</f>
        <v>0</v>
      </c>
      <c r="V312" s="96">
        <f ca="1">IF(AND((J312+K312)=0,(Q312+T312)=0),$H$1*H312*Variables!$I$23*0.25,0)</f>
        <v>67.226820664965899</v>
      </c>
      <c r="W312" s="97">
        <f ca="1">IF(AND((K312+J312)=0,(T312+Q312)=0),$I$1*H312*Variables!$Q$23*0.25,0)</f>
        <v>21.621015597613223</v>
      </c>
      <c r="X312" s="95">
        <f ca="1">IF(AND(NOT(K312=0),(H312-H311)&gt;0),(H312-H311)*(Variables!$M$5*$H$1+Variables!$U$5*$I$1),0)+IF(AND(NOT((J312+N312+Q312)=0),(H311-H312)&gt;0),(H311-H312)*(Variables!$M$4*$H$1+Variables!$U$4*$I$1),0)</f>
        <v>0</v>
      </c>
      <c r="Y312" s="95">
        <f ca="1">IF(SUM(T312,U311:U312)&gt;0,H312*Variables!$Y$11*0.25*(1-$J$1),0)</f>
        <v>0</v>
      </c>
      <c r="Z312" s="95">
        <f ca="1">IF(T312=0,H312*$J$1*Variables!$Y$5*0.25,0)</f>
        <v>6.2063823925856783</v>
      </c>
      <c r="AA312" s="95">
        <f t="shared" ca="1" si="9"/>
        <v>95.054218655164803</v>
      </c>
      <c r="AB312" s="91">
        <f ca="1">AA312/Variables!$E$49</f>
        <v>15.331325589542709</v>
      </c>
    </row>
    <row r="313" spans="1:28" x14ac:dyDescent="0.25">
      <c r="A313" s="61">
        <f>'Water runs'!C320</f>
        <v>30559</v>
      </c>
      <c r="B313" s="61" t="str">
        <f>'Water runs'!B320</f>
        <v>Winter</v>
      </c>
      <c r="C313" s="54">
        <f>'Water runs'!D320/100</f>
        <v>0.84299999999999997</v>
      </c>
      <c r="D313" s="108">
        <f>VLOOKUP(ROW(D313)+4,'Water runs'!$BS$3:$CF$423,MATCH($B$1,Scenarios,0)+1)</f>
        <v>1.4926626497438618</v>
      </c>
      <c r="E313" s="54">
        <f>IF(B313=Variables!$D$8,C313-Variables!$E$8,IF(B313=Variables!$D$9,C313-Variables!$E$9,IF(B313=Variables!$D$10,C313-Variables!$E$10,IF(B313=Variables!$D$11,C313-Variables!$E$11,"ELSE"))))</f>
        <v>0.27123237433862424</v>
      </c>
      <c r="F313" s="108">
        <f>VLOOKUP(ROW(F313)+4,'Water runs'!$CH$3:$CU$423,MATCH($B$1,Scenarios,0)+1)</f>
        <v>2.2968637914789509</v>
      </c>
      <c r="G313" s="65">
        <f ca="1">H313/Variables!$E$49</f>
        <v>0.44661641947243053</v>
      </c>
      <c r="H313" s="62">
        <f ca="1">IF((H312+I313)&gt;(1.1*Variables!$E$50),(1.1*Variables!$E$50),IF((H312+I313)&gt;0,H312+I313,0))</f>
        <v>2.7690218007290692</v>
      </c>
      <c r="I313" s="64">
        <f t="shared" ca="1" si="8"/>
        <v>-2.7463563139409288</v>
      </c>
      <c r="J313" s="63">
        <f>IF(SUM(E309:E312)&lt;Variables!$B$3,-H312,0)</f>
        <v>0</v>
      </c>
      <c r="K313" s="64">
        <f ca="1">IF(AND(H312&lt;Variables!$B$6*Variables!$E$50,OR(SUM(D310:D313)&gt;Variables!$B$5,SUM(E310:E313)&gt;Variables!$B$4)),Variables!$B$6*Variables!$E$50+Variables!$B$7*$G$1*Variables!$E$50*SUM(D310:D313),0)</f>
        <v>0</v>
      </c>
      <c r="L313" s="64">
        <f ca="1">IF(B313="Winter",Variables!$B$8*H312,0)</f>
        <v>-2.7463563139409288</v>
      </c>
      <c r="M313" s="64">
        <f ca="1">IF(AND(B313="Spring",AND(NOT(H312=0),H312&lt;(Variables!$B$9*Variables!$E$50))),(Variables!$B$10*Variables!$E$50+Variables!$B$11*Variables!$E$50*SUM(E310:E313)+$G$1*SUM(D312:D313)*Variables!$E$50*Variables!$B$12),0)</f>
        <v>0</v>
      </c>
      <c r="N313" s="64">
        <f>IF(AND(B313="Spring",AND(SUM(D310:D313)&gt;Variables!$B$13,SUM(D306:D309)&gt;Variables!$B$13)),-Variables!$B$14*Variables!$E$50,0)</f>
        <v>0</v>
      </c>
      <c r="O313" s="64">
        <f>IF(AND(B313="Summer",SUM(C309:D313)&gt;Variables!$B$15),(Variables!$B$16*Variables!$E$50*SUM(C309:C313)+$G$1*Variables!$B$16*Variables!$E$50*SUM(D309:D313)+$G$1*Variables!$E$50*Variables!$B$17*F313),0)</f>
        <v>0</v>
      </c>
      <c r="P313" s="64">
        <f ca="1">IF(AND(AND(B313="Autumn",SUM(D312:E313)&gt;0),NOT(H312=0)),Variables!$B$18*Variables!$E$50+Variables!$B$19*Variables!$E$50*SUM(E312:E313)+$G$1*Variables!$B$19*Variables!$E$50*SUM(D312:D313),0)</f>
        <v>0</v>
      </c>
      <c r="Q313" s="64">
        <f>IF(AND(B313="Autumn",AND((E313+E312)&lt;Variables!$B$20,(D312+D313)=0)),-Variables!$B$21*Variables!$E$50,0)</f>
        <v>0</v>
      </c>
      <c r="R313" s="64">
        <f>IF(B313="Autumn",(SUM(F312:F313)*$G$1*Variables!$B$22*Variables!$E$50),0)</f>
        <v>0</v>
      </c>
      <c r="S313" s="64">
        <f>IF(B313="Spring",($G$1*Variables!$E$50*SUM('Guts (MC)'!F312:F313)*Variables!$B$23),0)</f>
        <v>0</v>
      </c>
      <c r="T313" s="63">
        <f ca="1">IF((H312+SUM(J313:Q313))&lt;(Variables!$B$26*Variables!$E$50),$F$1*((Variables!$B$26*Variables!$E$50)-H312-SUM(J313:Q313)),0)</f>
        <v>0</v>
      </c>
      <c r="U313" s="64">
        <f ca="1">IF(AND(AND(B313="Autumn",SUM(D310:E313)&gt;Variables!$B$27),SUM(J313:Q313)&lt;Variables!$B$28*H312),$F$1*(Variables!$B$28*H312-SUM(J313:Q313)),0)</f>
        <v>0</v>
      </c>
      <c r="V313" s="96">
        <f ca="1">IF(AND((J313+K313)=0,(Q313+T313)=0),$H$1*H313*Variables!$I$23*0.25,0)</f>
        <v>33.751544888619513</v>
      </c>
      <c r="W313" s="97">
        <f ca="1">IF(AND((K313+J313)=0,(T313+Q313)=0),$I$1*H313*Variables!$Q$23*0.25,0)</f>
        <v>10.854933659843267</v>
      </c>
      <c r="X313" s="95">
        <f ca="1">IF(AND(NOT(K313=0),(H313-H312)&gt;0),(H313-H312)*(Variables!$M$5*$H$1+Variables!$U$5*$I$1),0)+IF(AND(NOT((J313+N313+Q313)=0),(H312-H313)&gt;0),(H312-H313)*(Variables!$M$4*$H$1+Variables!$U$4*$I$1),0)</f>
        <v>0</v>
      </c>
      <c r="Y313" s="95">
        <f ca="1">IF(SUM(T313,U312:U313)&gt;0,H313*Variables!$Y$11*0.25*(1-$J$1),0)</f>
        <v>0</v>
      </c>
      <c r="Z313" s="95">
        <f ca="1">IF(T313=0,H313*$J$1*Variables!$Y$5*0.25,0)</f>
        <v>3.1159437832593735</v>
      </c>
      <c r="AA313" s="95">
        <f t="shared" ca="1" si="9"/>
        <v>47.722422331722157</v>
      </c>
      <c r="AB313" s="91">
        <f ca="1">AA313/Variables!$E$49</f>
        <v>7.6971648922132507</v>
      </c>
    </row>
    <row r="314" spans="1:28" x14ac:dyDescent="0.25">
      <c r="A314" s="61">
        <f>'Water runs'!C321</f>
        <v>30650</v>
      </c>
      <c r="B314" s="61" t="str">
        <f>'Water runs'!B321</f>
        <v>Spring</v>
      </c>
      <c r="C314" s="54">
        <f>'Water runs'!D321/100</f>
        <v>1.35917857142857</v>
      </c>
      <c r="D314" s="108">
        <f>VLOOKUP(ROW(D314)+4,'Water runs'!$BS$3:$CF$423,MATCH($B$1,Scenarios,0)+1)</f>
        <v>2.5178346621905159E-4</v>
      </c>
      <c r="E314" s="54">
        <f>IF(B314=Variables!$D$8,C314-Variables!$E$8,IF(B314=Variables!$D$9,C314-Variables!$E$9,IF(B314=Variables!$D$10,C314-Variables!$E$10,IF(B314=Variables!$D$11,C314-Variables!$E$11,"ELSE"))))</f>
        <v>0.59519636243386087</v>
      </c>
      <c r="F314" s="108">
        <f>VLOOKUP(ROW(F314)+4,'Water runs'!$CH$3:$CU$423,MATCH($B$1,Scenarios,0)+1)</f>
        <v>0</v>
      </c>
      <c r="G314" s="65">
        <f ca="1">H314/Variables!$E$49</f>
        <v>0.49755437611428577</v>
      </c>
      <c r="H314" s="62">
        <f ca="1">IF((H313+I314)&gt;(1.1*Variables!$E$50),(1.1*Variables!$E$50),IF((H313+I314)&gt;0,H313+I314,0))</f>
        <v>3.0848371319085719</v>
      </c>
      <c r="I314" s="64">
        <f t="shared" ca="1" si="8"/>
        <v>0.31581533117950283</v>
      </c>
      <c r="J314" s="63">
        <f>IF(SUM(E310:E313)&lt;Variables!$B$3,-H313,0)</f>
        <v>0</v>
      </c>
      <c r="K314" s="64">
        <f ca="1">IF(AND(H313&lt;Variables!$B$6*Variables!$E$50,OR(SUM(D311:D314)&gt;Variables!$B$5,SUM(E311:E314)&gt;Variables!$B$4)),Variables!$B$6*Variables!$E$50+Variables!$B$7*$G$1*Variables!$E$50*SUM(D311:D314),0)</f>
        <v>0</v>
      </c>
      <c r="L314" s="64">
        <f>IF(B314="Winter",Variables!$B$8*H313,0)</f>
        <v>0</v>
      </c>
      <c r="M314" s="64">
        <f ca="1">IF(AND(B314="Spring",AND(NOT(H313=0),H313&lt;(Variables!$B$9*Variables!$E$50))),(Variables!$B$10*Variables!$E$50+Variables!$B$11*Variables!$E$50*SUM(E311:E314)+$G$1*SUM(D313:D314)*Variables!$E$50*Variables!$B$12),0)</f>
        <v>0</v>
      </c>
      <c r="N314" s="64">
        <f>IF(AND(B314="Spring",AND(SUM(D311:D314)&gt;Variables!$B$13,SUM(D307:D310)&gt;Variables!$B$13)),-Variables!$B$14*Variables!$E$50,0)</f>
        <v>0</v>
      </c>
      <c r="O314" s="64">
        <f>IF(AND(B314="Summer",SUM(C310:D314)&gt;Variables!$B$15),(Variables!$B$16*Variables!$E$50*SUM(C310:C314)+$G$1*Variables!$B$16*Variables!$E$50*SUM(D310:D314)+$G$1*Variables!$E$50*Variables!$B$17*F314),0)</f>
        <v>0</v>
      </c>
      <c r="P314" s="64">
        <f ca="1">IF(AND(AND(B314="Autumn",SUM(D313:E314)&gt;0),NOT(H313=0)),Variables!$B$18*Variables!$E$50+Variables!$B$19*Variables!$E$50*SUM(E313:E314)+$G$1*Variables!$B$19*Variables!$E$50*SUM(D313:D314),0)</f>
        <v>0</v>
      </c>
      <c r="Q314" s="64">
        <f>IF(AND(B314="Autumn",AND((E314+E313)&lt;Variables!$B$20,(D313+D314)=0)),-Variables!$B$21*Variables!$E$50,0)</f>
        <v>0</v>
      </c>
      <c r="R314" s="64">
        <f>IF(B314="Autumn",(SUM(F313:F314)*$G$1*Variables!$B$22*Variables!$E$50),0)</f>
        <v>0</v>
      </c>
      <c r="S314" s="64">
        <f ca="1">IF(B314="Spring",($G$1*Variables!$E$50*SUM('Guts (MC)'!F313:F314)*Variables!$B$23),0)</f>
        <v>0.31581533117950283</v>
      </c>
      <c r="T314" s="63">
        <f ca="1">IF((H313+SUM(J314:Q314))&lt;(Variables!$B$26*Variables!$E$50),$F$1*((Variables!$B$26*Variables!$E$50)-H313-SUM(J314:Q314)),0)</f>
        <v>0</v>
      </c>
      <c r="U314" s="64">
        <f ca="1">IF(AND(AND(B314="Autumn",SUM(D311:E314)&gt;Variables!$B$27),SUM(J314:Q314)&lt;Variables!$B$28*H313),$F$1*(Variables!$B$28*H313-SUM(J314:Q314)),0)</f>
        <v>0</v>
      </c>
      <c r="V314" s="96">
        <f ca="1">IF(AND((J314+K314)=0,(Q314+T314)=0),$H$1*H314*Variables!$I$23*0.25,0)</f>
        <v>37.601010907273711</v>
      </c>
      <c r="W314" s="97">
        <f ca="1">IF(AND((K314+J314)=0,(T314+Q314)=0),$I$1*H314*Variables!$Q$23*0.25,0)</f>
        <v>12.092971752505562</v>
      </c>
      <c r="X314" s="95">
        <f ca="1">IF(AND(NOT(K314=0),(H314-H313)&gt;0),(H314-H313)*(Variables!$M$5*$H$1+Variables!$U$5*$I$1),0)+IF(AND(NOT((J314+N314+Q314)=0),(H313-H314)&gt;0),(H313-H314)*(Variables!$M$4*$H$1+Variables!$U$4*$I$1),0)</f>
        <v>0</v>
      </c>
      <c r="Y314" s="95">
        <f ca="1">IF(SUM(T314,U313:U314)&gt;0,H314*Variables!$Y$11*0.25*(1-$J$1),0)</f>
        <v>0</v>
      </c>
      <c r="Z314" s="95">
        <f ca="1">IF(T314=0,H314*$J$1*Variables!$Y$5*0.25,0)</f>
        <v>3.471326618305191</v>
      </c>
      <c r="AA314" s="95">
        <f t="shared" ca="1" si="9"/>
        <v>53.165309278084464</v>
      </c>
      <c r="AB314" s="91">
        <f ca="1">AA314/Variables!$E$49</f>
        <v>8.575049883562011</v>
      </c>
    </row>
    <row r="315" spans="1:28" x14ac:dyDescent="0.25">
      <c r="A315" s="61">
        <f>'Water runs'!C322</f>
        <v>30740</v>
      </c>
      <c r="B315" s="61" t="str">
        <f>'Water runs'!B322</f>
        <v>Summer</v>
      </c>
      <c r="C315" s="54">
        <f>'Water runs'!D322/100</f>
        <v>2.0966428571428599</v>
      </c>
      <c r="D315" s="108">
        <f>VLOOKUP(ROW(D315)+4,'Water runs'!$BS$3:$CF$423,MATCH($B$1,Scenarios,0)+1)</f>
        <v>0.50346954449362225</v>
      </c>
      <c r="E315" s="54">
        <f>IF(B315=Variables!$D$8,C315-Variables!$E$8,IF(B315=Variables!$D$9,C315-Variables!$E$9,IF(B315=Variables!$D$10,C315-Variables!$E$10,IF(B315=Variables!$D$11,C315-Variables!$E$11,"ELSE"))))</f>
        <v>0.8382727210884382</v>
      </c>
      <c r="F315" s="108">
        <f>VLOOKUP(ROW(F315)+4,'Water runs'!$CH$3:$CU$423,MATCH($B$1,Scenarios,0)+1)</f>
        <v>0.58984077466963314</v>
      </c>
      <c r="G315" s="65">
        <f ca="1">H315/Variables!$E$49</f>
        <v>1.2188674517915843</v>
      </c>
      <c r="H315" s="62">
        <f ca="1">IF((H314+I315)&gt;(1.1*Variables!$E$50),(1.1*Variables!$E$50),IF((H314+I315)&gt;0,H314+I315,0))</f>
        <v>7.5569782011078228</v>
      </c>
      <c r="I315" s="64">
        <f t="shared" ca="1" si="8"/>
        <v>4.4721410691992505</v>
      </c>
      <c r="J315" s="63">
        <f>IF(SUM(E311:E314)&lt;Variables!$B$3,-H314,0)</f>
        <v>0</v>
      </c>
      <c r="K315" s="64">
        <f ca="1">IF(AND(H314&lt;Variables!$B$6*Variables!$E$50,OR(SUM(D312:D315)&gt;Variables!$B$5,SUM(E312:E315)&gt;Variables!$B$4)),Variables!$B$6*Variables!$E$50+Variables!$B$7*$G$1*Variables!$E$50*SUM(D312:D315),0)</f>
        <v>0</v>
      </c>
      <c r="L315" s="64">
        <f>IF(B315="Winter",Variables!$B$8*H314,0)</f>
        <v>0</v>
      </c>
      <c r="M315" s="64">
        <f ca="1">IF(AND(B315="Spring",AND(NOT(H314=0),H314&lt;(Variables!$B$9*Variables!$E$50))),(Variables!$B$10*Variables!$E$50+Variables!$B$11*Variables!$E$50*SUM(E312:E315)+$G$1*SUM(D314:D315)*Variables!$E$50*Variables!$B$12),0)</f>
        <v>0</v>
      </c>
      <c r="N315" s="64">
        <f>IF(AND(B315="Spring",AND(SUM(D312:D315)&gt;Variables!$B$13,SUM(D308:D311)&gt;Variables!$B$13)),-Variables!$B$14*Variables!$E$50,0)</f>
        <v>0</v>
      </c>
      <c r="O315" s="64">
        <f ca="1">IF(AND(B315="Summer",SUM(C311:D315)&gt;Variables!$B$15),(Variables!$B$16*Variables!$E$50*SUM(C311:C315)+$G$1*Variables!$B$16*Variables!$E$50*SUM(D311:D315)+$G$1*Variables!$E$50*Variables!$B$17*F315),0)</f>
        <v>4.4721410691992505</v>
      </c>
      <c r="P315" s="64">
        <f ca="1">IF(AND(AND(B315="Autumn",SUM(D314:E315)&gt;0),NOT(H314=0)),Variables!$B$18*Variables!$E$50+Variables!$B$19*Variables!$E$50*SUM(E314:E315)+$G$1*Variables!$B$19*Variables!$E$50*SUM(D314:D315),0)</f>
        <v>0</v>
      </c>
      <c r="Q315" s="64">
        <f>IF(AND(B315="Autumn",AND((E315+E314)&lt;Variables!$B$20,(D314+D315)=0)),-Variables!$B$21*Variables!$E$50,0)</f>
        <v>0</v>
      </c>
      <c r="R315" s="64">
        <f>IF(B315="Autumn",(SUM(F314:F315)*$G$1*Variables!$B$22*Variables!$E$50),0)</f>
        <v>0</v>
      </c>
      <c r="S315" s="64">
        <f>IF(B315="Spring",($G$1*Variables!$E$50*SUM('Guts (MC)'!F314:F315)*Variables!$B$23),0)</f>
        <v>0</v>
      </c>
      <c r="T315" s="63">
        <f ca="1">IF((H314+SUM(J315:Q315))&lt;(Variables!$B$26*Variables!$E$50),$F$1*((Variables!$B$26*Variables!$E$50)-H314-SUM(J315:Q315)),0)</f>
        <v>0</v>
      </c>
      <c r="U315" s="64">
        <f ca="1">IF(AND(AND(B315="Autumn",SUM(D312:E315)&gt;Variables!$B$27),SUM(J315:Q315)&lt;Variables!$B$28*H314),$F$1*(Variables!$B$28*H314-SUM(J315:Q315)),0)</f>
        <v>0</v>
      </c>
      <c r="V315" s="96">
        <f ca="1">IF(AND((J315+K315)=0,(Q315+T315)=0),$H$1*H315*Variables!$I$23*0.25,0)</f>
        <v>92.111838523573155</v>
      </c>
      <c r="W315" s="97">
        <f ca="1">IF(AND((K315+J315)=0,(T315+Q315)=0),$I$1*H315*Variables!$Q$23*0.25,0)</f>
        <v>29.624359411077556</v>
      </c>
      <c r="X315" s="95">
        <f ca="1">IF(AND(NOT(K315=0),(H315-H314)&gt;0),(H315-H314)*(Variables!$M$5*$H$1+Variables!$U$5*$I$1),0)+IF(AND(NOT((J315+N315+Q315)=0),(H314-H315)&gt;0),(H314-H315)*(Variables!$M$4*$H$1+Variables!$U$4*$I$1),0)</f>
        <v>0</v>
      </c>
      <c r="Y315" s="95">
        <f ca="1">IF(SUM(T315,U314:U315)&gt;0,H315*Variables!$Y$11*0.25*(1-$J$1),0)</f>
        <v>0</v>
      </c>
      <c r="Z315" s="95">
        <f ca="1">IF(T315=0,H315*$J$1*Variables!$Y$5*0.25,0)</f>
        <v>8.5037680959278426</v>
      </c>
      <c r="AA315" s="95">
        <f t="shared" ca="1" si="9"/>
        <v>130.23996603057856</v>
      </c>
      <c r="AB315" s="91">
        <f ca="1">AA315/Variables!$E$49</f>
        <v>21.006446133964282</v>
      </c>
    </row>
    <row r="316" spans="1:28" x14ac:dyDescent="0.25">
      <c r="A316" s="61">
        <f>'Water runs'!C323</f>
        <v>30833</v>
      </c>
      <c r="B316" s="61" t="str">
        <f>'Water runs'!B323</f>
        <v>Autumn</v>
      </c>
      <c r="C316" s="54">
        <f>'Water runs'!D323/100</f>
        <v>0.64849999999999997</v>
      </c>
      <c r="D316" s="108">
        <f>VLOOKUP(ROW(D316)+4,'Water runs'!$BS$3:$CF$423,MATCH($B$1,Scenarios,0)+1)</f>
        <v>5.1148465150159539E-4</v>
      </c>
      <c r="E316" s="54">
        <f>IF(B316=Variables!$D$8,C316-Variables!$E$8,IF(B316=Variables!$D$9,C316-Variables!$E$9,IF(B316=Variables!$D$10,C316-Variables!$E$10,IF(B316=Variables!$D$11,C316-Variables!$E$11,"ELSE"))))</f>
        <v>-0.34614329931972787</v>
      </c>
      <c r="F316" s="108">
        <f>VLOOKUP(ROW(F316)+4,'Water runs'!$CH$3:$CU$423,MATCH($B$1,Scenarios,0)+1)</f>
        <v>0</v>
      </c>
      <c r="G316" s="65">
        <f ca="1">H316/Variables!$E$49</f>
        <v>1.7817605860414254</v>
      </c>
      <c r="H316" s="62">
        <f ca="1">IF((H315+I316)&gt;(1.1*Variables!$E$50),(1.1*Variables!$E$50),IF((H315+I316)&gt;0,H315+I316,0))</f>
        <v>11.046915633456837</v>
      </c>
      <c r="I316" s="64">
        <f t="shared" ca="1" si="8"/>
        <v>3.4899374323490147</v>
      </c>
      <c r="J316" s="63">
        <f>IF(SUM(E312:E315)&lt;Variables!$B$3,-H315,0)</f>
        <v>0</v>
      </c>
      <c r="K316" s="64">
        <f ca="1">IF(AND(H315&lt;Variables!$B$6*Variables!$E$50,OR(SUM(D313:D316)&gt;Variables!$B$5,SUM(E313:E316)&gt;Variables!$B$4)),Variables!$B$6*Variables!$E$50+Variables!$B$7*$G$1*Variables!$E$50*SUM(D313:D316),0)</f>
        <v>0</v>
      </c>
      <c r="L316" s="64">
        <f>IF(B316="Winter",Variables!$B$8*H315,0)</f>
        <v>0</v>
      </c>
      <c r="M316" s="64">
        <f ca="1">IF(AND(B316="Spring",AND(NOT(H315=0),H315&lt;(Variables!$B$9*Variables!$E$50))),(Variables!$B$10*Variables!$E$50+Variables!$B$11*Variables!$E$50*SUM(E313:E316)+$G$1*SUM(D315:D316)*Variables!$E$50*Variables!$B$12),0)</f>
        <v>0</v>
      </c>
      <c r="N316" s="64">
        <f>IF(AND(B316="Spring",AND(SUM(D313:D316)&gt;Variables!$B$13,SUM(D309:D312)&gt;Variables!$B$13)),-Variables!$B$14*Variables!$E$50,0)</f>
        <v>0</v>
      </c>
      <c r="O316" s="64">
        <f>IF(AND(B316="Summer",SUM(C312:D316)&gt;Variables!$B$15),(Variables!$B$16*Variables!$E$50*SUM(C312:C316)+$G$1*Variables!$B$16*Variables!$E$50*SUM(D312:D316)+$G$1*Variables!$E$50*Variables!$B$17*F316),0)</f>
        <v>0</v>
      </c>
      <c r="P316" s="64">
        <f ca="1">IF(AND(AND(B316="Autumn",SUM(D315:E316)&gt;0),NOT(H315=0)),Variables!$B$18*Variables!$E$50+Variables!$B$19*Variables!$E$50*SUM(E315:E316)+$G$1*Variables!$B$19*Variables!$E$50*SUM(D315:D316),0)</f>
        <v>2.3188880839205988</v>
      </c>
      <c r="Q316" s="64">
        <f>IF(AND(B316="Autumn",AND((E316+E315)&lt;Variables!$B$20,(D315+D316)=0)),-Variables!$B$21*Variables!$E$50,0)</f>
        <v>0</v>
      </c>
      <c r="R316" s="64">
        <f ca="1">IF(B316="Autumn",(SUM(F315:F316)*$G$1*Variables!$B$22*Variables!$E$50),0)</f>
        <v>8.9297241850494591E-2</v>
      </c>
      <c r="S316" s="64">
        <f>IF(B316="Spring",($G$1*Variables!$E$50*SUM('Guts (MC)'!F315:F316)*Variables!$B$23),0)</f>
        <v>0</v>
      </c>
      <c r="T316" s="63">
        <f ca="1">IF((H315+SUM(J316:Q316))&lt;(Variables!$B$26*Variables!$E$50),$F$1*((Variables!$B$26*Variables!$E$50)-H315-SUM(J316:Q316)),0)</f>
        <v>0</v>
      </c>
      <c r="U316" s="64">
        <f ca="1">IF(AND(AND(B316="Autumn",SUM(D313:E316)&gt;Variables!$B$27),SUM(J316:Q316)&lt;Variables!$B$28*H315),$F$1*(Variables!$B$28*H315-SUM(J316:Q316)),0)</f>
        <v>1.0817521065779214</v>
      </c>
      <c r="V316" s="96">
        <f ca="1">IF(AND((J316+K316)=0,(Q316+T316)=0),$H$1*H316*Variables!$I$23*0.25,0)</f>
        <v>134.65060794582456</v>
      </c>
      <c r="W316" s="97">
        <f ca="1">IF(AND((K316+J316)=0,(T316+Q316)=0),$I$1*H316*Variables!$Q$23*0.25,0)</f>
        <v>43.305378208104692</v>
      </c>
      <c r="X316" s="95">
        <f ca="1">IF(AND(NOT(K316=0),(H316-H315)&gt;0),(H316-H315)*(Variables!$M$5*$H$1+Variables!$U$5*$I$1),0)+IF(AND(NOT((J316+N316+Q316)=0),(H315-H316)&gt;0),(H315-H316)*(Variables!$M$4*$H$1+Variables!$U$4*$I$1),0)</f>
        <v>0</v>
      </c>
      <c r="Y316" s="95">
        <f ca="1">IF(SUM(T316,U315:U316)&gt;0,H316*Variables!$Y$11*0.25*(1-$J$1),0)</f>
        <v>-95.911850786049371</v>
      </c>
      <c r="Z316" s="95">
        <f ca="1">IF(T316=0,H316*$J$1*Variables!$Y$5*0.25,0)</f>
        <v>12.430948749915075</v>
      </c>
      <c r="AA316" s="95">
        <f t="shared" ca="1" si="9"/>
        <v>94.47508411779495</v>
      </c>
      <c r="AB316" s="91">
        <f ca="1">AA316/Variables!$E$49</f>
        <v>15.237916793192733</v>
      </c>
    </row>
    <row r="317" spans="1:28" x14ac:dyDescent="0.25">
      <c r="A317" s="61">
        <f>'Water runs'!C324</f>
        <v>30925</v>
      </c>
      <c r="B317" s="61" t="str">
        <f>'Water runs'!B324</f>
        <v>Winter</v>
      </c>
      <c r="C317" s="54">
        <f>'Water runs'!D324/100</f>
        <v>1.355375</v>
      </c>
      <c r="D317" s="108">
        <f>VLOOKUP(ROW(D317)+4,'Water runs'!$BS$3:$CF$423,MATCH($B$1,Scenarios,0)+1)</f>
        <v>0.55138124609062622</v>
      </c>
      <c r="E317" s="54">
        <f>IF(B317=Variables!$D$8,C317-Variables!$E$8,IF(B317=Variables!$D$9,C317-Variables!$E$9,IF(B317=Variables!$D$10,C317-Variables!$E$10,IF(B317=Variables!$D$11,C317-Variables!$E$11,"ELSE"))))</f>
        <v>0.78360737433862426</v>
      </c>
      <c r="F317" s="108">
        <f>VLOOKUP(ROW(F317)+4,'Water runs'!$CH$3:$CU$423,MATCH($B$1,Scenarios,0)+1)</f>
        <v>0.51401673805810022</v>
      </c>
      <c r="G317" s="65">
        <f ca="1">H317/Variables!$E$49</f>
        <v>0.89454137211474027</v>
      </c>
      <c r="H317" s="62">
        <f ca="1">IF((H316+I317)&gt;(1.1*Variables!$E$50),(1.1*Variables!$E$50),IF((H316+I317)&gt;0,H316+I317,0))</f>
        <v>5.5461565071113901</v>
      </c>
      <c r="I317" s="64">
        <f t="shared" ref="I317:I364" ca="1" si="10">SUM(J317:U317)</f>
        <v>-5.5007591263454474</v>
      </c>
      <c r="J317" s="63">
        <f>IF(SUM(E313:E316)&lt;Variables!$B$3,-H316,0)</f>
        <v>0</v>
      </c>
      <c r="K317" s="64">
        <f ca="1">IF(AND(H316&lt;Variables!$B$6*Variables!$E$50,OR(SUM(D314:D317)&gt;Variables!$B$5,SUM(E314:E317)&gt;Variables!$B$4)),Variables!$B$6*Variables!$E$50+Variables!$B$7*$G$1*Variables!$E$50*SUM(D314:D317),0)</f>
        <v>0</v>
      </c>
      <c r="L317" s="64">
        <f ca="1">IF(B317="Winter",Variables!$B$8*H316,0)</f>
        <v>-5.5007591263454474</v>
      </c>
      <c r="M317" s="64">
        <f ca="1">IF(AND(B317="Spring",AND(NOT(H316=0),H316&lt;(Variables!$B$9*Variables!$E$50))),(Variables!$B$10*Variables!$E$50+Variables!$B$11*Variables!$E$50*SUM(E314:E317)+$G$1*SUM(D316:D317)*Variables!$E$50*Variables!$B$12),0)</f>
        <v>0</v>
      </c>
      <c r="N317" s="64">
        <f>IF(AND(B317="Spring",AND(SUM(D314:D317)&gt;Variables!$B$13,SUM(D310:D313)&gt;Variables!$B$13)),-Variables!$B$14*Variables!$E$50,0)</f>
        <v>0</v>
      </c>
      <c r="O317" s="64">
        <f>IF(AND(B317="Summer",SUM(C313:D317)&gt;Variables!$B$15),(Variables!$B$16*Variables!$E$50*SUM(C313:C317)+$G$1*Variables!$B$16*Variables!$E$50*SUM(D313:D317)+$G$1*Variables!$E$50*Variables!$B$17*F317),0)</f>
        <v>0</v>
      </c>
      <c r="P317" s="64">
        <f ca="1">IF(AND(AND(B317="Autumn",SUM(D316:E317)&gt;0),NOT(H316=0)),Variables!$B$18*Variables!$E$50+Variables!$B$19*Variables!$E$50*SUM(E316:E317)+$G$1*Variables!$B$19*Variables!$E$50*SUM(D316:D317),0)</f>
        <v>0</v>
      </c>
      <c r="Q317" s="64">
        <f>IF(AND(B317="Autumn",AND((E317+E316)&lt;Variables!$B$20,(D316+D317)=0)),-Variables!$B$21*Variables!$E$50,0)</f>
        <v>0</v>
      </c>
      <c r="R317" s="64">
        <f>IF(B317="Autumn",(SUM(F316:F317)*$G$1*Variables!$B$22*Variables!$E$50),0)</f>
        <v>0</v>
      </c>
      <c r="S317" s="64">
        <f>IF(B317="Spring",($G$1*Variables!$E$50*SUM('Guts (MC)'!F316:F317)*Variables!$B$23),0)</f>
        <v>0</v>
      </c>
      <c r="T317" s="63">
        <f ca="1">IF((H316+SUM(J317:Q317))&lt;(Variables!$B$26*Variables!$E$50),$F$1*((Variables!$B$26*Variables!$E$50)-H316-SUM(J317:Q317)),0)</f>
        <v>0</v>
      </c>
      <c r="U317" s="64">
        <f ca="1">IF(AND(AND(B317="Autumn",SUM(D314:E317)&gt;Variables!$B$27),SUM(J317:Q317)&lt;Variables!$B$28*H316),$F$1*(Variables!$B$28*H316-SUM(J317:Q317)),0)</f>
        <v>0</v>
      </c>
      <c r="V317" s="96">
        <f ca="1">IF(AND((J317+K317)=0,(Q317+T317)=0),$H$1*H317*Variables!$I$23*0.25,0)</f>
        <v>67.60197780306126</v>
      </c>
      <c r="W317" s="97">
        <f ca="1">IF(AND((K317+J317)=0,(T317+Q317)=0),$I$1*H317*Variables!$Q$23*0.25,0)</f>
        <v>21.741670988632524</v>
      </c>
      <c r="X317" s="95">
        <f ca="1">IF(AND(NOT(K317=0),(H317-H316)&gt;0),(H317-H316)*(Variables!$M$5*$H$1+Variables!$U$5*$I$1),0)+IF(AND(NOT((J317+N317+Q317)=0),(H316-H317)&gt;0),(H316-H317)*(Variables!$M$4*$H$1+Variables!$U$4*$I$1),0)</f>
        <v>0</v>
      </c>
      <c r="Y317" s="95">
        <f ca="1">IF(SUM(T317,U316:U317)&gt;0,H317*Variables!$Y$11*0.25*(1-$J$1),0)</f>
        <v>-48.153000619928456</v>
      </c>
      <c r="Z317" s="95">
        <f ca="1">IF(T317=0,H317*$J$1*Variables!$Y$5*0.25,0)</f>
        <v>6.2410169124588055</v>
      </c>
      <c r="AA317" s="95">
        <f t="shared" ca="1" si="9"/>
        <v>47.431665084224129</v>
      </c>
      <c r="AB317" s="91">
        <f ca="1">AA317/Variables!$E$49</f>
        <v>7.6502685619716333</v>
      </c>
    </row>
    <row r="318" spans="1:28" x14ac:dyDescent="0.25">
      <c r="A318" s="61">
        <f>'Water runs'!C325</f>
        <v>31016</v>
      </c>
      <c r="B318" s="61" t="str">
        <f>'Water runs'!B325</f>
        <v>Spring</v>
      </c>
      <c r="C318" s="54">
        <f>'Water runs'!D325/100</f>
        <v>0.73162499999999997</v>
      </c>
      <c r="D318" s="108">
        <f>VLOOKUP(ROW(D318)+4,'Water runs'!$BS$3:$CF$423,MATCH($B$1,Scenarios,0)+1)</f>
        <v>2.3594802809206723E-4</v>
      </c>
      <c r="E318" s="54">
        <f>IF(B318=Variables!$D$8,C318-Variables!$E$8,IF(B318=Variables!$D$9,C318-Variables!$E$9,IF(B318=Variables!$D$10,C318-Variables!$E$10,IF(B318=Variables!$D$11,C318-Variables!$E$11,"ELSE"))))</f>
        <v>-3.2357208994709175E-2</v>
      </c>
      <c r="F318" s="108">
        <f>VLOOKUP(ROW(F318)+4,'Water runs'!$CH$3:$CU$423,MATCH($B$1,Scenarios,0)+1)</f>
        <v>0</v>
      </c>
      <c r="G318" s="65">
        <f ca="1">H318/Variables!$E$49</f>
        <v>0.57736938412552063</v>
      </c>
      <c r="H318" s="62">
        <f ca="1">IF((H317+I318)&gt;(1.1*Variables!$E$50),(1.1*Variables!$E$50),IF((H317+I318)&gt;0,H317+I318,0))</f>
        <v>3.5796901815782283</v>
      </c>
      <c r="I318" s="64">
        <f t="shared" ca="1" si="10"/>
        <v>-1.9664663255331616</v>
      </c>
      <c r="J318" s="63">
        <f>IF(SUM(E314:E317)&lt;Variables!$B$3,-H317,0)</f>
        <v>0</v>
      </c>
      <c r="K318" s="64">
        <f ca="1">IF(AND(H317&lt;Variables!$B$6*Variables!$E$50,OR(SUM(D315:D318)&gt;Variables!$B$5,SUM(E315:E318)&gt;Variables!$B$4)),Variables!$B$6*Variables!$E$50+Variables!$B$7*$G$1*Variables!$E$50*SUM(D315:D318),0)</f>
        <v>0</v>
      </c>
      <c r="L318" s="64">
        <f>IF(B318="Winter",Variables!$B$8*H317,0)</f>
        <v>0</v>
      </c>
      <c r="M318" s="64">
        <f ca="1">IF(AND(B318="Spring",AND(NOT(H317=0),H317&lt;(Variables!$B$9*Variables!$E$50))),(Variables!$B$10*Variables!$E$50+Variables!$B$11*Variables!$E$50*SUM(E315:E318)+$G$1*SUM(D317:D318)*Variables!$E$50*Variables!$B$12),0)</f>
        <v>0</v>
      </c>
      <c r="N318" s="64">
        <f>IF(AND(B318="Spring",AND(SUM(D315:D318)&gt;Variables!$B$13,SUM(D311:D314)&gt;Variables!$B$13)),-Variables!$B$14*Variables!$E$50,0)</f>
        <v>-2.0371428571428569</v>
      </c>
      <c r="O318" s="64">
        <f>IF(AND(B318="Summer",SUM(C314:D318)&gt;Variables!$B$15),(Variables!$B$16*Variables!$E$50*SUM(C314:C318)+$G$1*Variables!$B$16*Variables!$E$50*SUM(D314:D318)+$G$1*Variables!$E$50*Variables!$B$17*F318),0)</f>
        <v>0</v>
      </c>
      <c r="P318" s="64">
        <f ca="1">IF(AND(AND(B318="Autumn",SUM(D317:E318)&gt;0),NOT(H317=0)),Variables!$B$18*Variables!$E$50+Variables!$B$19*Variables!$E$50*SUM(E317:E318)+$G$1*Variables!$B$19*Variables!$E$50*SUM(D317:D318),0)</f>
        <v>0</v>
      </c>
      <c r="Q318" s="64">
        <f>IF(AND(B318="Autumn",AND((E318+E317)&lt;Variables!$B$20,(D317+D318)=0)),-Variables!$B$21*Variables!$E$50,0)</f>
        <v>0</v>
      </c>
      <c r="R318" s="64">
        <f>IF(B318="Autumn",(SUM(F317:F318)*$G$1*Variables!$B$22*Variables!$E$50),0)</f>
        <v>0</v>
      </c>
      <c r="S318" s="64">
        <f ca="1">IF(B318="Spring",($G$1*Variables!$E$50*SUM('Guts (MC)'!F317:F318)*Variables!$B$23),0)</f>
        <v>7.0676531609695295E-2</v>
      </c>
      <c r="T318" s="63">
        <f ca="1">IF((H317+SUM(J318:Q318))&lt;(Variables!$B$26*Variables!$E$50),$F$1*((Variables!$B$26*Variables!$E$50)-H317-SUM(J318:Q318)),0)</f>
        <v>0</v>
      </c>
      <c r="U318" s="64">
        <f ca="1">IF(AND(AND(B318="Autumn",SUM(D315:E318)&gt;Variables!$B$27),SUM(J318:Q318)&lt;Variables!$B$28*H317),$F$1*(Variables!$B$28*H317-SUM(J318:Q318)),0)</f>
        <v>0</v>
      </c>
      <c r="V318" s="96">
        <f ca="1">IF(AND((J318+K318)=0,(Q318+T318)=0),$H$1*H318*Variables!$I$23*0.25,0)</f>
        <v>43.63276367816129</v>
      </c>
      <c r="W318" s="97">
        <f ca="1">IF(AND((K318+J318)=0,(T318+Q318)=0),$I$1*H318*Variables!$Q$23*0.25,0)</f>
        <v>14.032861508563435</v>
      </c>
      <c r="X318" s="95">
        <f ca="1">IF(AND(NOT(K318=0),(H318-H317)&gt;0),(H318-H317)*(Variables!$M$5*$H$1+Variables!$U$5*$I$1),0)+IF(AND(NOT((J318+N318+Q318)=0),(H317-H318)&gt;0),(H317-H318)*(Variables!$M$4*$H$1+Variables!$U$4*$I$1),0)</f>
        <v>112.39777970493205</v>
      </c>
      <c r="Y318" s="95">
        <f ca="1">IF(SUM(T318,U317:U318)&gt;0,H318*Variables!$Y$11*0.25*(1-$J$1),0)</f>
        <v>0</v>
      </c>
      <c r="Z318" s="95">
        <f ca="1">IF(T318=0,H318*$J$1*Variables!$Y$5*0.25,0)</f>
        <v>4.0281782412642899</v>
      </c>
      <c r="AA318" s="95">
        <f t="shared" ca="1" si="9"/>
        <v>174.09158313292107</v>
      </c>
      <c r="AB318" s="91">
        <f ca="1">AA318/Variables!$E$49</f>
        <v>28.079287602084044</v>
      </c>
    </row>
    <row r="319" spans="1:28" x14ac:dyDescent="0.25">
      <c r="A319" s="61">
        <f>'Water runs'!C326</f>
        <v>31106</v>
      </c>
      <c r="B319" s="61" t="str">
        <f>'Water runs'!B326</f>
        <v>Summer</v>
      </c>
      <c r="C319" s="54">
        <f>'Water runs'!D326/100</f>
        <v>0.18725000000000003</v>
      </c>
      <c r="D319" s="108">
        <f>VLOOKUP(ROW(D319)+4,'Water runs'!$BS$3:$CF$423,MATCH($B$1,Scenarios,0)+1)</f>
        <v>0</v>
      </c>
      <c r="E319" s="54">
        <f>IF(B319=Variables!$D$8,C319-Variables!$E$8,IF(B319=Variables!$D$9,C319-Variables!$E$9,IF(B319=Variables!$D$10,C319-Variables!$E$10,IF(B319=Variables!$D$11,C319-Variables!$E$11,"ELSE"))))</f>
        <v>-1.0711201360544216</v>
      </c>
      <c r="F319" s="108">
        <f>VLOOKUP(ROW(F319)+4,'Water runs'!$CH$3:$CU$423,MATCH($B$1,Scenarios,0)+1)</f>
        <v>0</v>
      </c>
      <c r="G319" s="65">
        <f ca="1">H319/Variables!$E$49</f>
        <v>0.57736938412552063</v>
      </c>
      <c r="H319" s="62">
        <f ca="1">IF((H318+I319)&gt;(1.1*Variables!$E$50),(1.1*Variables!$E$50),IF((H318+I319)&gt;0,H318+I319,0))</f>
        <v>3.5796901815782283</v>
      </c>
      <c r="I319" s="64">
        <f t="shared" ca="1" si="10"/>
        <v>0</v>
      </c>
      <c r="J319" s="63">
        <f>IF(SUM(E315:E318)&lt;Variables!$B$3,-H318,0)</f>
        <v>0</v>
      </c>
      <c r="K319" s="64">
        <f ca="1">IF(AND(H318&lt;Variables!$B$6*Variables!$E$50,OR(SUM(D316:D319)&gt;Variables!$B$5,SUM(E316:E319)&gt;Variables!$B$4)),Variables!$B$6*Variables!$E$50+Variables!$B$7*$G$1*Variables!$E$50*SUM(D316:D319),0)</f>
        <v>0</v>
      </c>
      <c r="L319" s="64">
        <f>IF(B319="Winter",Variables!$B$8*H318,0)</f>
        <v>0</v>
      </c>
      <c r="M319" s="64">
        <f ca="1">IF(AND(B319="Spring",AND(NOT(H318=0),H318&lt;(Variables!$B$9*Variables!$E$50))),(Variables!$B$10*Variables!$E$50+Variables!$B$11*Variables!$E$50*SUM(E316:E319)+$G$1*SUM(D318:D319)*Variables!$E$50*Variables!$B$12),0)</f>
        <v>0</v>
      </c>
      <c r="N319" s="64">
        <f>IF(AND(B319="Spring",AND(SUM(D316:D319)&gt;Variables!$B$13,SUM(D312:D315)&gt;Variables!$B$13)),-Variables!$B$14*Variables!$E$50,0)</f>
        <v>0</v>
      </c>
      <c r="O319" s="64">
        <f>IF(AND(B319="Summer",SUM(C315:D319)&gt;Variables!$B$15),(Variables!$B$16*Variables!$E$50*SUM(C315:C319)+$G$1*Variables!$B$16*Variables!$E$50*SUM(D315:D319)+$G$1*Variables!$E$50*Variables!$B$17*F319),0)</f>
        <v>0</v>
      </c>
      <c r="P319" s="64">
        <f ca="1">IF(AND(AND(B319="Autumn",SUM(D318:E319)&gt;0),NOT(H318=0)),Variables!$B$18*Variables!$E$50+Variables!$B$19*Variables!$E$50*SUM(E318:E319)+$G$1*Variables!$B$19*Variables!$E$50*SUM(D318:D319),0)</f>
        <v>0</v>
      </c>
      <c r="Q319" s="64">
        <f>IF(AND(B319="Autumn",AND((E319+E318)&lt;Variables!$B$20,(D318+D319)=0)),-Variables!$B$21*Variables!$E$50,0)</f>
        <v>0</v>
      </c>
      <c r="R319" s="64">
        <f>IF(B319="Autumn",(SUM(F318:F319)*$G$1*Variables!$B$22*Variables!$E$50),0)</f>
        <v>0</v>
      </c>
      <c r="S319" s="64">
        <f>IF(B319="Spring",($G$1*Variables!$E$50*SUM('Guts (MC)'!F318:F319)*Variables!$B$23),0)</f>
        <v>0</v>
      </c>
      <c r="T319" s="63">
        <f ca="1">IF((H318+SUM(J319:Q319))&lt;(Variables!$B$26*Variables!$E$50),$F$1*((Variables!$B$26*Variables!$E$50)-H318-SUM(J319:Q319)),0)</f>
        <v>0</v>
      </c>
      <c r="U319" s="64">
        <f ca="1">IF(AND(AND(B319="Autumn",SUM(D316:E319)&gt;Variables!$B$27),SUM(J319:Q319)&lt;Variables!$B$28*H318),$F$1*(Variables!$B$28*H318-SUM(J319:Q319)),0)</f>
        <v>0</v>
      </c>
      <c r="V319" s="96">
        <f ca="1">IF(AND((J319+K319)=0,(Q319+T319)=0),$H$1*H319*Variables!$I$23*0.25,0)</f>
        <v>43.63276367816129</v>
      </c>
      <c r="W319" s="97">
        <f ca="1">IF(AND((K319+J319)=0,(T319+Q319)=0),$I$1*H319*Variables!$Q$23*0.25,0)</f>
        <v>14.032861508563435</v>
      </c>
      <c r="X319" s="95">
        <f ca="1">IF(AND(NOT(K319=0),(H319-H318)&gt;0),(H319-H318)*(Variables!$M$5*$H$1+Variables!$U$5*$I$1),0)+IF(AND(NOT((J319+N319+Q319)=0),(H318-H319)&gt;0),(H318-H319)*(Variables!$M$4*$H$1+Variables!$U$4*$I$1),0)</f>
        <v>0</v>
      </c>
      <c r="Y319" s="95">
        <f ca="1">IF(SUM(T319,U318:U319)&gt;0,H319*Variables!$Y$11*0.25*(1-$J$1),0)</f>
        <v>0</v>
      </c>
      <c r="Z319" s="95">
        <f ca="1">IF(T319=0,H319*$J$1*Variables!$Y$5*0.25,0)</f>
        <v>4.0281782412642899</v>
      </c>
      <c r="AA319" s="95">
        <f t="shared" ca="1" si="9"/>
        <v>61.693803427989018</v>
      </c>
      <c r="AB319" s="91">
        <f ca="1">AA319/Variables!$E$49</f>
        <v>9.950613456127261</v>
      </c>
    </row>
    <row r="320" spans="1:28" x14ac:dyDescent="0.25">
      <c r="A320" s="61">
        <f>'Water runs'!C327</f>
        <v>31198</v>
      </c>
      <c r="B320" s="61" t="str">
        <f>'Water runs'!B327</f>
        <v>Autumn</v>
      </c>
      <c r="C320" s="54">
        <f>'Water runs'!D327/100</f>
        <v>0.1925</v>
      </c>
      <c r="D320" s="108">
        <f>VLOOKUP(ROW(D320)+4,'Water runs'!$BS$3:$CF$423,MATCH($B$1,Scenarios,0)+1)</f>
        <v>0</v>
      </c>
      <c r="E320" s="54">
        <f>IF(B320=Variables!$D$8,C320-Variables!$E$8,IF(B320=Variables!$D$9,C320-Variables!$E$9,IF(B320=Variables!$D$10,C320-Variables!$E$10,IF(B320=Variables!$D$11,C320-Variables!$E$11,"ELSE"))))</f>
        <v>-0.80214329931972783</v>
      </c>
      <c r="F320" s="108">
        <f>VLOOKUP(ROW(F320)+4,'Water runs'!$CH$3:$CU$423,MATCH($B$1,Scenarios,0)+1)</f>
        <v>0</v>
      </c>
      <c r="G320" s="65">
        <f ca="1">H320/Variables!$E$49</f>
        <v>0.16100000000000003</v>
      </c>
      <c r="H320" s="62">
        <f ca="1">IF((H319+I320)&gt;(1.1*Variables!$E$50),(1.1*Variables!$E$50),IF((H319+I320)&gt;0,H319+I320,0))</f>
        <v>0.9982000000000002</v>
      </c>
      <c r="I320" s="64">
        <f t="shared" ca="1" si="10"/>
        <v>-2.5814901815782281</v>
      </c>
      <c r="J320" s="63">
        <f>IF(SUM(E316:E319)&lt;Variables!$B$3,-H319,0)</f>
        <v>0</v>
      </c>
      <c r="K320" s="64">
        <f ca="1">IF(AND(H319&lt;Variables!$B$6*Variables!$E$50,OR(SUM(D317:D320)&gt;Variables!$B$5,SUM(E317:E320)&gt;Variables!$B$4)),Variables!$B$6*Variables!$E$50+Variables!$B$7*$G$1*Variables!$E$50*SUM(D317:D320),0)</f>
        <v>0</v>
      </c>
      <c r="L320" s="64">
        <f>IF(B320="Winter",Variables!$B$8*H319,0)</f>
        <v>0</v>
      </c>
      <c r="M320" s="64">
        <f ca="1">IF(AND(B320="Spring",AND(NOT(H319=0),H319&lt;(Variables!$B$9*Variables!$E$50))),(Variables!$B$10*Variables!$E$50+Variables!$B$11*Variables!$E$50*SUM(E317:E320)+$G$1*SUM(D319:D320)*Variables!$E$50*Variables!$B$12),0)</f>
        <v>0</v>
      </c>
      <c r="N320" s="64">
        <f>IF(AND(B320="Spring",AND(SUM(D317:D320)&gt;Variables!$B$13,SUM(D313:D316)&gt;Variables!$B$13)),-Variables!$B$14*Variables!$E$50,0)</f>
        <v>0</v>
      </c>
      <c r="O320" s="64">
        <f>IF(AND(B320="Summer",SUM(C316:D320)&gt;Variables!$B$15),(Variables!$B$16*Variables!$E$50*SUM(C316:C320)+$G$1*Variables!$B$16*Variables!$E$50*SUM(D316:D320)+$G$1*Variables!$E$50*Variables!$B$17*F320),0)</f>
        <v>0</v>
      </c>
      <c r="P320" s="64">
        <f ca="1">IF(AND(AND(B320="Autumn",SUM(D319:E320)&gt;0),NOT(H319=0)),Variables!$B$18*Variables!$E$50+Variables!$B$19*Variables!$E$50*SUM(E319:E320)+$G$1*Variables!$B$19*Variables!$E$50*SUM(D319:D320),0)</f>
        <v>0</v>
      </c>
      <c r="Q320" s="64">
        <f>IF(AND(B320="Autumn",AND((E320+E319)&lt;Variables!$B$20,(D319+D320)=0)),-Variables!$B$21*Variables!$E$50,0)</f>
        <v>-4.0327172013864514</v>
      </c>
      <c r="R320" s="64">
        <f ca="1">IF(B320="Autumn",(SUM(F319:F320)*$G$1*Variables!$B$22*Variables!$E$50),0)</f>
        <v>0</v>
      </c>
      <c r="S320" s="64">
        <f>IF(B320="Spring",($G$1*Variables!$E$50*SUM('Guts (MC)'!F319:F320)*Variables!$B$23),0)</f>
        <v>0</v>
      </c>
      <c r="T320" s="63">
        <f ca="1">IF((H319+SUM(J320:Q320))&lt;(Variables!$B$26*Variables!$E$50),$F$1*((Variables!$B$26*Variables!$E$50)-H319-SUM(J320:Q320)),0)</f>
        <v>1.4512270198082233</v>
      </c>
      <c r="U320" s="64">
        <f ca="1">IF(AND(AND(B320="Autumn",SUM(D317:E320)&gt;Variables!$B$27),SUM(J320:Q320)&lt;Variables!$B$28*H319),$F$1*(Variables!$B$28*H319-SUM(J320:Q320)),0)</f>
        <v>0</v>
      </c>
      <c r="V320" s="96">
        <f ca="1">IF(AND((J320+K320)=0,(Q320+T320)=0),$H$1*H320*Variables!$I$23*0.25,0)</f>
        <v>0</v>
      </c>
      <c r="W320" s="97">
        <f ca="1">IF(AND((K320+J320)=0,(T320+Q320)=0),$I$1*H320*Variables!$Q$23*0.25,0)</f>
        <v>0</v>
      </c>
      <c r="X320" s="95">
        <f ca="1">IF(AND(NOT(K320=0),(H320-H319)&gt;0),(H320-H319)*(Variables!$M$5*$H$1+Variables!$U$5*$I$1),0)+IF(AND(NOT((J320+N320+Q320)=0),(H319-H320)&gt;0),(H319-H320)*(Variables!$M$4*$H$1+Variables!$U$4*$I$1),0)</f>
        <v>147.55084334373549</v>
      </c>
      <c r="Y320" s="95">
        <f ca="1">IF(SUM(T320,U319:U320)&gt;0,H320*Variables!$Y$11*0.25*(1-$J$1),0)</f>
        <v>-8.6666009437672749</v>
      </c>
      <c r="Z320" s="95">
        <f ca="1">IF(T320=0,H320*$J$1*Variables!$Y$5*0.25,0)</f>
        <v>0</v>
      </c>
      <c r="AA320" s="95">
        <f t="shared" ca="1" si="9"/>
        <v>138.88424239996823</v>
      </c>
      <c r="AB320" s="91">
        <f ca="1">AA320/Variables!$E$49</f>
        <v>22.400684258059393</v>
      </c>
    </row>
    <row r="321" spans="1:28" x14ac:dyDescent="0.25">
      <c r="A321" s="61">
        <f>'Water runs'!C328</f>
        <v>31290</v>
      </c>
      <c r="B321" s="61" t="str">
        <f>'Water runs'!B328</f>
        <v>Winter</v>
      </c>
      <c r="C321" s="54">
        <f>'Water runs'!D328/100</f>
        <v>0.81957142857142895</v>
      </c>
      <c r="D321" s="108">
        <f>VLOOKUP(ROW(D321)+4,'Water runs'!$BS$3:$CF$423,MATCH($B$1,Scenarios,0)+1)</f>
        <v>0</v>
      </c>
      <c r="E321" s="54">
        <f>IF(B321=Variables!$D$8,C321-Variables!$E$8,IF(B321=Variables!$D$9,C321-Variables!$E$9,IF(B321=Variables!$D$10,C321-Variables!$E$10,IF(B321=Variables!$D$11,C321-Variables!$E$11,"ELSE"))))</f>
        <v>0.24780380291005322</v>
      </c>
      <c r="F321" s="108">
        <f>VLOOKUP(ROW(F321)+4,'Water runs'!$CH$3:$CU$423,MATCH($B$1,Scenarios,0)+1)</f>
        <v>0</v>
      </c>
      <c r="G321" s="65">
        <f ca="1">H321/Variables!$E$49</f>
        <v>0.161</v>
      </c>
      <c r="H321" s="62">
        <f ca="1">IF((H320+I321)&gt;(1.1*Variables!$E$50),(1.1*Variables!$E$50),IF((H320+I321)&gt;0,H320+I321,0))</f>
        <v>0.99820000000000009</v>
      </c>
      <c r="I321" s="64">
        <f t="shared" ca="1" si="10"/>
        <v>-1.1102230246251565E-16</v>
      </c>
      <c r="J321" s="63">
        <f>IF(SUM(E317:E320)&lt;Variables!$B$3,-H320,0)</f>
        <v>0</v>
      </c>
      <c r="K321" s="64">
        <f ca="1">IF(AND(H320&lt;Variables!$B$6*Variables!$E$50,OR(SUM(D318:D321)&gt;Variables!$B$5,SUM(E318:E321)&gt;Variables!$B$4)),Variables!$B$6*Variables!$E$50+Variables!$B$7*$G$1*Variables!$E$50*SUM(D318:D321),0)</f>
        <v>0</v>
      </c>
      <c r="L321" s="64">
        <f ca="1">IF(B321="Winter",Variables!$B$8*H320,0)</f>
        <v>-0.49704894489176155</v>
      </c>
      <c r="M321" s="64">
        <f ca="1">IF(AND(B321="Spring",AND(NOT(H320=0),H320&lt;(Variables!$B$9*Variables!$E$50))),(Variables!$B$10*Variables!$E$50+Variables!$B$11*Variables!$E$50*SUM(E318:E321)+$G$1*SUM(D320:D321)*Variables!$E$50*Variables!$B$12),0)</f>
        <v>0</v>
      </c>
      <c r="N321" s="64">
        <f>IF(AND(B321="Spring",AND(SUM(D318:D321)&gt;Variables!$B$13,SUM(D314:D317)&gt;Variables!$B$13)),-Variables!$B$14*Variables!$E$50,0)</f>
        <v>0</v>
      </c>
      <c r="O321" s="64">
        <f>IF(AND(B321="Summer",SUM(C317:D321)&gt;Variables!$B$15),(Variables!$B$16*Variables!$E$50*SUM(C317:C321)+$G$1*Variables!$B$16*Variables!$E$50*SUM(D317:D321)+$G$1*Variables!$E$50*Variables!$B$17*F321),0)</f>
        <v>0</v>
      </c>
      <c r="P321" s="64">
        <f ca="1">IF(AND(AND(B321="Autumn",SUM(D320:E321)&gt;0),NOT(H320=0)),Variables!$B$18*Variables!$E$50+Variables!$B$19*Variables!$E$50*SUM(E320:E321)+$G$1*Variables!$B$19*Variables!$E$50*SUM(D320:D321),0)</f>
        <v>0</v>
      </c>
      <c r="Q321" s="64">
        <f>IF(AND(B321="Autumn",AND((E321+E320)&lt;Variables!$B$20,(D320+D321)=0)),-Variables!$B$21*Variables!$E$50,0)</f>
        <v>0</v>
      </c>
      <c r="R321" s="64">
        <f>IF(B321="Autumn",(SUM(F320:F321)*$G$1*Variables!$B$22*Variables!$E$50),0)</f>
        <v>0</v>
      </c>
      <c r="S321" s="64">
        <f>IF(B321="Spring",($G$1*Variables!$E$50*SUM('Guts (MC)'!F320:F321)*Variables!$B$23),0)</f>
        <v>0</v>
      </c>
      <c r="T321" s="63">
        <f ca="1">IF((H320+SUM(J321:Q321))&lt;(Variables!$B$26*Variables!$E$50),$F$1*((Variables!$B$26*Variables!$E$50)-H320-SUM(J321:Q321)),0)</f>
        <v>0.49704894489176144</v>
      </c>
      <c r="U321" s="64">
        <f ca="1">IF(AND(AND(B321="Autumn",SUM(D318:E321)&gt;Variables!$B$27),SUM(J321:Q321)&lt;Variables!$B$28*H320),$F$1*(Variables!$B$28*H320-SUM(J321:Q321)),0)</f>
        <v>0</v>
      </c>
      <c r="V321" s="96">
        <f ca="1">IF(AND((J321+K321)=0,(Q321+T321)=0),$H$1*H321*Variables!$I$23*0.25,0)</f>
        <v>0</v>
      </c>
      <c r="W321" s="97">
        <f ca="1">IF(AND((K321+J321)=0,(T321+Q321)=0),$I$1*H321*Variables!$Q$23*0.25,0)</f>
        <v>0</v>
      </c>
      <c r="X321" s="95">
        <f ca="1">IF(AND(NOT(K321=0),(H321-H320)&gt;0),(H321-H320)*(Variables!$M$5*$H$1+Variables!$U$5*$I$1),0)+IF(AND(NOT((J321+N321+Q321)=0),(H320-H321)&gt;0),(H320-H321)*(Variables!$M$4*$H$1+Variables!$U$4*$I$1),0)</f>
        <v>0</v>
      </c>
      <c r="Y321" s="95">
        <f ca="1">IF(SUM(T321,U320:U321)&gt;0,H321*Variables!$Y$11*0.25*(1-$J$1),0)</f>
        <v>-8.6666009437672749</v>
      </c>
      <c r="Z321" s="95">
        <f ca="1">IF(T321=0,H321*$J$1*Variables!$Y$5*0.25,0)</f>
        <v>0</v>
      </c>
      <c r="AA321" s="95">
        <f t="shared" ca="1" si="9"/>
        <v>-8.6666009437672749</v>
      </c>
      <c r="AB321" s="91">
        <f ca="1">AA321/Variables!$E$49</f>
        <v>-1.3978388618979476</v>
      </c>
    </row>
    <row r="322" spans="1:28" x14ac:dyDescent="0.25">
      <c r="A322" s="61">
        <f>'Water runs'!C329</f>
        <v>31381</v>
      </c>
      <c r="B322" s="61" t="str">
        <f>'Water runs'!B329</f>
        <v>Spring</v>
      </c>
      <c r="C322" s="54">
        <f>'Water runs'!D329/100</f>
        <v>1.2090892857142901</v>
      </c>
      <c r="D322" s="108">
        <f>VLOOKUP(ROW(D322)+4,'Water runs'!$BS$3:$CF$423,MATCH($B$1,Scenarios,0)+1)</f>
        <v>0</v>
      </c>
      <c r="E322" s="54">
        <f>IF(B322=Variables!$D$8,C322-Variables!$E$8,IF(B322=Variables!$D$9,C322-Variables!$E$9,IF(B322=Variables!$D$10,C322-Variables!$E$10,IF(B322=Variables!$D$11,C322-Variables!$E$11,"ELSE"))))</f>
        <v>0.44510707671958094</v>
      </c>
      <c r="F322" s="108">
        <f>VLOOKUP(ROW(F322)+4,'Water runs'!$CH$3:$CU$423,MATCH($B$1,Scenarios,0)+1)</f>
        <v>0</v>
      </c>
      <c r="G322" s="65">
        <f ca="1">H322/Variables!$E$49</f>
        <v>0.161</v>
      </c>
      <c r="H322" s="62">
        <f ca="1">IF((H321+I322)&gt;(1.1*Variables!$E$50),(1.1*Variables!$E$50),IF((H321+I322)&gt;0,H321+I322,0))</f>
        <v>0.99820000000000009</v>
      </c>
      <c r="I322" s="64">
        <f t="shared" ca="1" si="10"/>
        <v>0</v>
      </c>
      <c r="J322" s="63">
        <f>IF(SUM(E318:E321)&lt;Variables!$B$3,-H321,0)</f>
        <v>0</v>
      </c>
      <c r="K322" s="64">
        <f ca="1">IF(AND(H321&lt;Variables!$B$6*Variables!$E$50,OR(SUM(D319:D322)&gt;Variables!$B$5,SUM(E319:E322)&gt;Variables!$B$4)),Variables!$B$6*Variables!$E$50+Variables!$B$7*$G$1*Variables!$E$50*SUM(D319:D322),0)</f>
        <v>0</v>
      </c>
      <c r="L322" s="64">
        <f>IF(B322="Winter",Variables!$B$8*H321,0)</f>
        <v>0</v>
      </c>
      <c r="M322" s="64">
        <f ca="1">IF(AND(B322="Spring",AND(NOT(H321=0),H321&lt;(Variables!$B$9*Variables!$E$50))),(Variables!$B$10*Variables!$E$50+Variables!$B$11*Variables!$E$50*SUM(E319:E322)+$G$1*SUM(D321:D322)*Variables!$E$50*Variables!$B$12),0)</f>
        <v>-0.80389290173738082</v>
      </c>
      <c r="N322" s="64">
        <f>IF(AND(B322="Spring",AND(SUM(D319:D322)&gt;Variables!$B$13,SUM(D315:D318)&gt;Variables!$B$13)),-Variables!$B$14*Variables!$E$50,0)</f>
        <v>0</v>
      </c>
      <c r="O322" s="64">
        <f>IF(AND(B322="Summer",SUM(C318:D322)&gt;Variables!$B$15),(Variables!$B$16*Variables!$E$50*SUM(C318:C322)+$G$1*Variables!$B$16*Variables!$E$50*SUM(D318:D322)+$G$1*Variables!$E$50*Variables!$B$17*F322),0)</f>
        <v>0</v>
      </c>
      <c r="P322" s="64">
        <f ca="1">IF(AND(AND(B322="Autumn",SUM(D321:E322)&gt;0),NOT(H321=0)),Variables!$B$18*Variables!$E$50+Variables!$B$19*Variables!$E$50*SUM(E321:E322)+$G$1*Variables!$B$19*Variables!$E$50*SUM(D321:D322),0)</f>
        <v>0</v>
      </c>
      <c r="Q322" s="64">
        <f>IF(AND(B322="Autumn",AND((E322+E321)&lt;Variables!$B$20,(D321+D322)=0)),-Variables!$B$21*Variables!$E$50,0)</f>
        <v>0</v>
      </c>
      <c r="R322" s="64">
        <f>IF(B322="Autumn",(SUM(F321:F322)*$G$1*Variables!$B$22*Variables!$E$50),0)</f>
        <v>0</v>
      </c>
      <c r="S322" s="64">
        <f ca="1">IF(B322="Spring",($G$1*Variables!$E$50*SUM('Guts (MC)'!F321:F322)*Variables!$B$23),0)</f>
        <v>0</v>
      </c>
      <c r="T322" s="63">
        <f ca="1">IF((H321+SUM(J322:Q322))&lt;(Variables!$B$26*Variables!$E$50),$F$1*((Variables!$B$26*Variables!$E$50)-H321-SUM(J322:Q322)),0)</f>
        <v>0.80389290173738082</v>
      </c>
      <c r="U322" s="64">
        <f ca="1">IF(AND(AND(B322="Autumn",SUM(D319:E322)&gt;Variables!$B$27),SUM(J322:Q322)&lt;Variables!$B$28*H321),$F$1*(Variables!$B$28*H321-SUM(J322:Q322)),0)</f>
        <v>0</v>
      </c>
      <c r="V322" s="96">
        <f ca="1">IF(AND((J322+K322)=0,(Q322+T322)=0),$H$1*H322*Variables!$I$23*0.25,0)</f>
        <v>0</v>
      </c>
      <c r="W322" s="97">
        <f ca="1">IF(AND((K322+J322)=0,(T322+Q322)=0),$I$1*H322*Variables!$Q$23*0.25,0)</f>
        <v>0</v>
      </c>
      <c r="X322" s="95">
        <f ca="1">IF(AND(NOT(K322=0),(H322-H321)&gt;0),(H322-H321)*(Variables!$M$5*$H$1+Variables!$U$5*$I$1),0)+IF(AND(NOT((J322+N322+Q322)=0),(H321-H322)&gt;0),(H321-H322)*(Variables!$M$4*$H$1+Variables!$U$4*$I$1),0)</f>
        <v>0</v>
      </c>
      <c r="Y322" s="95">
        <f ca="1">IF(SUM(T322,U321:U322)&gt;0,H322*Variables!$Y$11*0.25*(1-$J$1),0)</f>
        <v>-8.6666009437672749</v>
      </c>
      <c r="Z322" s="95">
        <f ca="1">IF(T322=0,H322*$J$1*Variables!$Y$5*0.25,0)</f>
        <v>0</v>
      </c>
      <c r="AA322" s="95">
        <f t="shared" ca="1" si="9"/>
        <v>-8.6666009437672749</v>
      </c>
      <c r="AB322" s="91">
        <f ca="1">AA322/Variables!$E$49</f>
        <v>-1.3978388618979476</v>
      </c>
    </row>
    <row r="323" spans="1:28" x14ac:dyDescent="0.25">
      <c r="A323" s="61">
        <f>'Water runs'!C330</f>
        <v>31471</v>
      </c>
      <c r="B323" s="61" t="str">
        <f>'Water runs'!B330</f>
        <v>Summer</v>
      </c>
      <c r="C323" s="54">
        <f>'Water runs'!D330/100</f>
        <v>0.65355357142857207</v>
      </c>
      <c r="D323" s="108">
        <f>VLOOKUP(ROW(D323)+4,'Water runs'!$BS$3:$CF$423,MATCH($B$1,Scenarios,0)+1)</f>
        <v>0</v>
      </c>
      <c r="E323" s="54">
        <f>IF(B323=Variables!$D$8,C323-Variables!$E$8,IF(B323=Variables!$D$9,C323-Variables!$E$9,IF(B323=Variables!$D$10,C323-Variables!$E$10,IF(B323=Variables!$D$11,C323-Variables!$E$11,"ELSE"))))</f>
        <v>-0.60481656462584965</v>
      </c>
      <c r="F323" s="108">
        <f>VLOOKUP(ROW(F323)+4,'Water runs'!$CH$3:$CU$423,MATCH($B$1,Scenarios,0)+1)</f>
        <v>0</v>
      </c>
      <c r="G323" s="65">
        <f ca="1">H323/Variables!$E$49</f>
        <v>0.161</v>
      </c>
      <c r="H323" s="62">
        <f ca="1">IF((H322+I323)&gt;(1.1*Variables!$E$50),(1.1*Variables!$E$50),IF((H322+I323)&gt;0,H322+I323,0))</f>
        <v>0.99820000000000009</v>
      </c>
      <c r="I323" s="64">
        <f t="shared" ca="1" si="10"/>
        <v>0</v>
      </c>
      <c r="J323" s="63">
        <f>IF(SUM(E319:E322)&lt;Variables!$B$3,-H322,0)</f>
        <v>0</v>
      </c>
      <c r="K323" s="64">
        <f ca="1">IF(AND(H322&lt;Variables!$B$6*Variables!$E$50,OR(SUM(D320:D323)&gt;Variables!$B$5,SUM(E320:E323)&gt;Variables!$B$4)),Variables!$B$6*Variables!$E$50+Variables!$B$7*$G$1*Variables!$E$50*SUM(D320:D323),0)</f>
        <v>0</v>
      </c>
      <c r="L323" s="64">
        <f>IF(B323="Winter",Variables!$B$8*H322,0)</f>
        <v>0</v>
      </c>
      <c r="M323" s="64">
        <f ca="1">IF(AND(B323="Spring",AND(NOT(H322=0),H322&lt;(Variables!$B$9*Variables!$E$50))),(Variables!$B$10*Variables!$E$50+Variables!$B$11*Variables!$E$50*SUM(E320:E323)+$G$1*SUM(D322:D323)*Variables!$E$50*Variables!$B$12),0)</f>
        <v>0</v>
      </c>
      <c r="N323" s="64">
        <f>IF(AND(B323="Spring",AND(SUM(D320:D323)&gt;Variables!$B$13,SUM(D316:D319)&gt;Variables!$B$13)),-Variables!$B$14*Variables!$E$50,0)</f>
        <v>0</v>
      </c>
      <c r="O323" s="64">
        <f>IF(AND(B323="Summer",SUM(C319:D323)&gt;Variables!$B$15),(Variables!$B$16*Variables!$E$50*SUM(C319:C323)+$G$1*Variables!$B$16*Variables!$E$50*SUM(D319:D323)+$G$1*Variables!$E$50*Variables!$B$17*F323),0)</f>
        <v>0</v>
      </c>
      <c r="P323" s="64">
        <f ca="1">IF(AND(AND(B323="Autumn",SUM(D322:E323)&gt;0),NOT(H322=0)),Variables!$B$18*Variables!$E$50+Variables!$B$19*Variables!$E$50*SUM(E322:E323)+$G$1*Variables!$B$19*Variables!$E$50*SUM(D322:D323),0)</f>
        <v>0</v>
      </c>
      <c r="Q323" s="64">
        <f>IF(AND(B323="Autumn",AND((E323+E322)&lt;Variables!$B$20,(D322+D323)=0)),-Variables!$B$21*Variables!$E$50,0)</f>
        <v>0</v>
      </c>
      <c r="R323" s="64">
        <f>IF(B323="Autumn",(SUM(F322:F323)*$G$1*Variables!$B$22*Variables!$E$50),0)</f>
        <v>0</v>
      </c>
      <c r="S323" s="64">
        <f>IF(B323="Spring",($G$1*Variables!$E$50*SUM('Guts (MC)'!F322:F323)*Variables!$B$23),0)</f>
        <v>0</v>
      </c>
      <c r="T323" s="63">
        <f ca="1">IF((H322+SUM(J323:Q323))&lt;(Variables!$B$26*Variables!$E$50),$F$1*((Variables!$B$26*Variables!$E$50)-H322-SUM(J323:Q323)),0)</f>
        <v>0</v>
      </c>
      <c r="U323" s="64">
        <f ca="1">IF(AND(AND(B323="Autumn",SUM(D320:E323)&gt;Variables!$B$27),SUM(J323:Q323)&lt;Variables!$B$28*H322),$F$1*(Variables!$B$28*H322-SUM(J323:Q323)),0)</f>
        <v>0</v>
      </c>
      <c r="V323" s="96">
        <f ca="1">IF(AND((J323+K323)=0,(Q323+T323)=0),$H$1*H323*Variables!$I$23*0.25,0)</f>
        <v>12.167037507234284</v>
      </c>
      <c r="W323" s="97">
        <f ca="1">IF(AND((K323+J323)=0,(T323+Q323)=0),$I$1*H323*Variables!$Q$23*0.25,0)</f>
        <v>3.9130767321523603</v>
      </c>
      <c r="X323" s="95">
        <f ca="1">IF(AND(NOT(K323=0),(H323-H322)&gt;0),(H323-H322)*(Variables!$M$5*$H$1+Variables!$U$5*$I$1),0)+IF(AND(NOT((J323+N323+Q323)=0),(H322-H323)&gt;0),(H322-H323)*(Variables!$M$4*$H$1+Variables!$U$4*$I$1),0)</f>
        <v>0</v>
      </c>
      <c r="Y323" s="95">
        <f ca="1">IF(SUM(T323,U322:U323)&gt;0,H323*Variables!$Y$11*0.25*(1-$J$1),0)</f>
        <v>0</v>
      </c>
      <c r="Z323" s="95">
        <f ca="1">IF(T323=0,H323*$J$1*Variables!$Y$5*0.25,0)</f>
        <v>1.1232613205250213</v>
      </c>
      <c r="AA323" s="95">
        <f t="shared" ca="1" si="9"/>
        <v>17.203375559911667</v>
      </c>
      <c r="AB323" s="91">
        <f ca="1">AA323/Variables!$E$49</f>
        <v>2.7747379935341399</v>
      </c>
    </row>
    <row r="324" spans="1:28" x14ac:dyDescent="0.25">
      <c r="A324" s="61">
        <f>'Water runs'!C331</f>
        <v>31563</v>
      </c>
      <c r="B324" s="61" t="str">
        <f>'Water runs'!B331</f>
        <v>Autumn</v>
      </c>
      <c r="C324" s="54">
        <f>'Water runs'!D331/100</f>
        <v>0.45250000000000001</v>
      </c>
      <c r="D324" s="108">
        <f>VLOOKUP(ROW(D324)+4,'Water runs'!$BS$3:$CF$423,MATCH($B$1,Scenarios,0)+1)</f>
        <v>0</v>
      </c>
      <c r="E324" s="54">
        <f>IF(B324=Variables!$D$8,C324-Variables!$E$8,IF(B324=Variables!$D$9,C324-Variables!$E$9,IF(B324=Variables!$D$10,C324-Variables!$E$10,IF(B324=Variables!$D$11,C324-Variables!$E$11,"ELSE"))))</f>
        <v>-0.54214329931972782</v>
      </c>
      <c r="F324" s="108">
        <f>VLOOKUP(ROW(F324)+4,'Water runs'!$CH$3:$CU$423,MATCH($B$1,Scenarios,0)+1)</f>
        <v>0</v>
      </c>
      <c r="G324" s="65">
        <f ca="1">H324/Variables!$E$49</f>
        <v>0.34500000000000003</v>
      </c>
      <c r="H324" s="62">
        <f ca="1">IF((H323+I324)&gt;(1.1*Variables!$E$50),(1.1*Variables!$E$50),IF((H323+I324)&gt;0,H323+I324,0))</f>
        <v>2.1390000000000002</v>
      </c>
      <c r="I324" s="64">
        <f t="shared" ca="1" si="10"/>
        <v>1.1408</v>
      </c>
      <c r="J324" s="63">
        <f>IF(SUM(E320:E323)&lt;Variables!$B$3,-H323,0)</f>
        <v>0</v>
      </c>
      <c r="K324" s="64">
        <f ca="1">IF(AND(H323&lt;Variables!$B$6*Variables!$E$50,OR(SUM(D321:D324)&gt;Variables!$B$5,SUM(E321:E324)&gt;Variables!$B$4)),Variables!$B$6*Variables!$E$50+Variables!$B$7*$G$1*Variables!$E$50*SUM(D321:D324),0)</f>
        <v>1.1408</v>
      </c>
      <c r="L324" s="64">
        <f>IF(B324="Winter",Variables!$B$8*H323,0)</f>
        <v>0</v>
      </c>
      <c r="M324" s="64">
        <f ca="1">IF(AND(B324="Spring",AND(NOT(H323=0),H323&lt;(Variables!$B$9*Variables!$E$50))),(Variables!$B$10*Variables!$E$50+Variables!$B$11*Variables!$E$50*SUM(E321:E324)+$G$1*SUM(D323:D324)*Variables!$E$50*Variables!$B$12),0)</f>
        <v>0</v>
      </c>
      <c r="N324" s="64">
        <f>IF(AND(B324="Spring",AND(SUM(D321:D324)&gt;Variables!$B$13,SUM(D317:D320)&gt;Variables!$B$13)),-Variables!$B$14*Variables!$E$50,0)</f>
        <v>0</v>
      </c>
      <c r="O324" s="64">
        <f>IF(AND(B324="Summer",SUM(C320:D324)&gt;Variables!$B$15),(Variables!$B$16*Variables!$E$50*SUM(C320:C324)+$G$1*Variables!$B$16*Variables!$E$50*SUM(D320:D324)+$G$1*Variables!$E$50*Variables!$B$17*F324),0)</f>
        <v>0</v>
      </c>
      <c r="P324" s="64">
        <f ca="1">IF(AND(AND(B324="Autumn",SUM(D323:E324)&gt;0),NOT(H323=0)),Variables!$B$18*Variables!$E$50+Variables!$B$19*Variables!$E$50*SUM(E323:E324)+$G$1*Variables!$B$19*Variables!$E$50*SUM(D323:D324),0)</f>
        <v>0</v>
      </c>
      <c r="Q324" s="64">
        <f>IF(AND(B324="Autumn",AND((E324+E323)&lt;Variables!$B$20,(D323+D324)=0)),-Variables!$B$21*Variables!$E$50,0)</f>
        <v>0</v>
      </c>
      <c r="R324" s="64">
        <f ca="1">IF(B324="Autumn",(SUM(F323:F324)*$G$1*Variables!$B$22*Variables!$E$50),0)</f>
        <v>0</v>
      </c>
      <c r="S324" s="64">
        <f>IF(B324="Spring",($G$1*Variables!$E$50*SUM('Guts (MC)'!F323:F324)*Variables!$B$23),0)</f>
        <v>0</v>
      </c>
      <c r="T324" s="63">
        <f ca="1">IF((H323+SUM(J324:Q324))&lt;(Variables!$B$26*Variables!$E$50),$F$1*((Variables!$B$26*Variables!$E$50)-H323-SUM(J324:Q324)),0)</f>
        <v>0</v>
      </c>
      <c r="U324" s="64">
        <f ca="1">IF(AND(AND(B324="Autumn",SUM(D321:E324)&gt;Variables!$B$27),SUM(J324:Q324)&lt;Variables!$B$28*H323),$F$1*(Variables!$B$28*H323-SUM(J324:Q324)),0)</f>
        <v>0</v>
      </c>
      <c r="V324" s="96">
        <f ca="1">IF(AND((J324+K324)=0,(Q324+T324)=0),$H$1*H324*Variables!$I$23*0.25,0)</f>
        <v>0</v>
      </c>
      <c r="W324" s="97">
        <f ca="1">IF(AND((K324+J324)=0,(T324+Q324)=0),$I$1*H324*Variables!$Q$23*0.25,0)</f>
        <v>0</v>
      </c>
      <c r="X324" s="95">
        <f ca="1">IF(AND(NOT(K324=0),(H324-H323)&gt;0),(H324-H323)*(Variables!$M$5*$H$1+Variables!$U$5*$I$1),0)+IF(AND(NOT((J324+N324+Q324)=0),(H323-H324)&gt;0),(H323-H324)*(Variables!$M$4*$H$1+Variables!$U$4*$I$1),0)</f>
        <v>-130.40994948400319</v>
      </c>
      <c r="Y324" s="95">
        <f ca="1">IF(SUM(T324,U323:U324)&gt;0,H324*Variables!$Y$11*0.25*(1-$J$1),0)</f>
        <v>0</v>
      </c>
      <c r="Z324" s="95">
        <f ca="1">IF(T324=0,H324*$J$1*Variables!$Y$5*0.25,0)</f>
        <v>2.4069885439821888</v>
      </c>
      <c r="AA324" s="95">
        <f t="shared" ca="1" si="9"/>
        <v>-128.00296094002101</v>
      </c>
      <c r="AB324" s="91">
        <f ca="1">AA324/Variables!$E$49</f>
        <v>-20.645638861293712</v>
      </c>
    </row>
    <row r="325" spans="1:28" x14ac:dyDescent="0.25">
      <c r="A325" s="61">
        <f>'Water runs'!C332</f>
        <v>31655</v>
      </c>
      <c r="B325" s="61" t="str">
        <f>'Water runs'!B332</f>
        <v>Winter</v>
      </c>
      <c r="C325" s="54">
        <f>'Water runs'!D332/100</f>
        <v>1.12221428571429</v>
      </c>
      <c r="D325" s="108">
        <f>VLOOKUP(ROW(D325)+4,'Water runs'!$BS$3:$CF$423,MATCH($B$1,Scenarios,0)+1)</f>
        <v>0</v>
      </c>
      <c r="E325" s="54">
        <f>IF(B325=Variables!$D$8,C325-Variables!$E$8,IF(B325=Variables!$D$9,C325-Variables!$E$9,IF(B325=Variables!$D$10,C325-Variables!$E$10,IF(B325=Variables!$D$11,C325-Variables!$E$11,"ELSE"))))</f>
        <v>0.55044666005291432</v>
      </c>
      <c r="F325" s="108">
        <f>VLOOKUP(ROW(F325)+4,'Water runs'!$CH$3:$CU$423,MATCH($B$1,Scenarios,0)+1)</f>
        <v>0</v>
      </c>
      <c r="G325" s="65">
        <f ca="1">H325/Variables!$E$49</f>
        <v>0.17320889001436818</v>
      </c>
      <c r="H325" s="62">
        <f ca="1">IF((H324+I325)&gt;(1.1*Variables!$E$50),(1.1*Variables!$E$50),IF((H324+I325)&gt;0,H324+I325,0))</f>
        <v>1.0738951180890828</v>
      </c>
      <c r="I325" s="64">
        <f t="shared" ca="1" si="10"/>
        <v>-1.0651048819109175</v>
      </c>
      <c r="J325" s="63">
        <f>IF(SUM(E321:E324)&lt;Variables!$B$3,-H324,0)</f>
        <v>0</v>
      </c>
      <c r="K325" s="64">
        <f ca="1">IF(AND(H324&lt;Variables!$B$6*Variables!$E$50,OR(SUM(D322:D325)&gt;Variables!$B$5,SUM(E322:E325)&gt;Variables!$B$4)),Variables!$B$6*Variables!$E$50+Variables!$B$7*$G$1*Variables!$E$50*SUM(D322:D325),0)</f>
        <v>0</v>
      </c>
      <c r="L325" s="64">
        <f ca="1">IF(B325="Winter",Variables!$B$8*H324,0)</f>
        <v>-1.0651048819109175</v>
      </c>
      <c r="M325" s="64">
        <f ca="1">IF(AND(B325="Spring",AND(NOT(H324=0),H324&lt;(Variables!$B$9*Variables!$E$50))),(Variables!$B$10*Variables!$E$50+Variables!$B$11*Variables!$E$50*SUM(E322:E325)+$G$1*SUM(D324:D325)*Variables!$E$50*Variables!$B$12),0)</f>
        <v>0</v>
      </c>
      <c r="N325" s="64">
        <f>IF(AND(B325="Spring",AND(SUM(D322:D325)&gt;Variables!$B$13,SUM(D318:D321)&gt;Variables!$B$13)),-Variables!$B$14*Variables!$E$50,0)</f>
        <v>0</v>
      </c>
      <c r="O325" s="64">
        <f>IF(AND(B325="Summer",SUM(C321:D325)&gt;Variables!$B$15),(Variables!$B$16*Variables!$E$50*SUM(C321:C325)+$G$1*Variables!$B$16*Variables!$E$50*SUM(D321:D325)+$G$1*Variables!$E$50*Variables!$B$17*F325),0)</f>
        <v>0</v>
      </c>
      <c r="P325" s="64">
        <f ca="1">IF(AND(AND(B325="Autumn",SUM(D324:E325)&gt;0),NOT(H324=0)),Variables!$B$18*Variables!$E$50+Variables!$B$19*Variables!$E$50*SUM(E324:E325)+$G$1*Variables!$B$19*Variables!$E$50*SUM(D324:D325),0)</f>
        <v>0</v>
      </c>
      <c r="Q325" s="64">
        <f>IF(AND(B325="Autumn",AND((E325+E324)&lt;Variables!$B$20,(D324+D325)=0)),-Variables!$B$21*Variables!$E$50,0)</f>
        <v>0</v>
      </c>
      <c r="R325" s="64">
        <f>IF(B325="Autumn",(SUM(F324:F325)*$G$1*Variables!$B$22*Variables!$E$50),0)</f>
        <v>0</v>
      </c>
      <c r="S325" s="64">
        <f>IF(B325="Spring",($G$1*Variables!$E$50*SUM('Guts (MC)'!F324:F325)*Variables!$B$23),0)</f>
        <v>0</v>
      </c>
      <c r="T325" s="63">
        <f ca="1">IF((H324+SUM(J325:Q325))&lt;(Variables!$B$26*Variables!$E$50),$F$1*((Variables!$B$26*Variables!$E$50)-H324-SUM(J325:Q325)),0)</f>
        <v>0</v>
      </c>
      <c r="U325" s="64">
        <f ca="1">IF(AND(AND(B325="Autumn",SUM(D322:E325)&gt;Variables!$B$27),SUM(J325:Q325)&lt;Variables!$B$28*H324),$F$1*(Variables!$B$28*H324-SUM(J325:Q325)),0)</f>
        <v>0</v>
      </c>
      <c r="V325" s="96">
        <f ca="1">IF(AND((J325+K325)=0,(Q325+T325)=0),$H$1*H325*Variables!$I$23*0.25,0)</f>
        <v>13.089683611125684</v>
      </c>
      <c r="W325" s="97">
        <f ca="1">IF(AND((K325+J325)=0,(T325+Q325)=0),$I$1*H325*Variables!$Q$23*0.25,0)</f>
        <v>4.2098116603550402</v>
      </c>
      <c r="X325" s="95">
        <f ca="1">IF(AND(NOT(K325=0),(H325-H324)&gt;0),(H325-H324)*(Variables!$M$5*$H$1+Variables!$U$5*$I$1),0)+IF(AND(NOT((J325+N325+Q325)=0),(H324-H325)&gt;0),(H324-H325)*(Variables!$M$4*$H$1+Variables!$U$4*$I$1),0)</f>
        <v>0</v>
      </c>
      <c r="Y325" s="95">
        <f ca="1">IF(SUM(T325,U324:U325)&gt;0,H325*Variables!$Y$11*0.25*(1-$J$1),0)</f>
        <v>0</v>
      </c>
      <c r="Z325" s="95">
        <f ca="1">IF(T325=0,H325*$J$1*Variables!$Y$5*0.25,0)</f>
        <v>1.2084400405230582</v>
      </c>
      <c r="AA325" s="95">
        <f t="shared" ca="1" si="9"/>
        <v>18.507935312003781</v>
      </c>
      <c r="AB325" s="91">
        <f ca="1">AA325/Variables!$E$49</f>
        <v>2.9851508567748031</v>
      </c>
    </row>
    <row r="326" spans="1:28" x14ac:dyDescent="0.25">
      <c r="A326" s="61">
        <f>'Water runs'!C333</f>
        <v>31746</v>
      </c>
      <c r="B326" s="61" t="str">
        <f>'Water runs'!B333</f>
        <v>Spring</v>
      </c>
      <c r="C326" s="54">
        <f>'Water runs'!D333/100</f>
        <v>1.159125</v>
      </c>
      <c r="D326" s="108">
        <f>VLOOKUP(ROW(D326)+4,'Water runs'!$BS$3:$CF$423,MATCH($B$1,Scenarios,0)+1)</f>
        <v>0</v>
      </c>
      <c r="E326" s="54">
        <f>IF(B326=Variables!$D$8,C326-Variables!$E$8,IF(B326=Variables!$D$9,C326-Variables!$E$9,IF(B326=Variables!$D$10,C326-Variables!$E$10,IF(B326=Variables!$D$11,C326-Variables!$E$11,"ELSE"))))</f>
        <v>0.39514279100529082</v>
      </c>
      <c r="F326" s="108">
        <f>VLOOKUP(ROW(F326)+4,'Water runs'!$CH$3:$CU$423,MATCH($B$1,Scenarios,0)+1)</f>
        <v>0</v>
      </c>
      <c r="G326" s="65">
        <f ca="1">H326/Variables!$E$49</f>
        <v>0.33508862018860808</v>
      </c>
      <c r="H326" s="62">
        <f ca="1">IF((H325+I326)&gt;(1.1*Variables!$E$50),(1.1*Variables!$E$50),IF((H325+I326)&gt;0,H325+I326,0))</f>
        <v>2.0775494451693701</v>
      </c>
      <c r="I326" s="64">
        <f t="shared" ca="1" si="10"/>
        <v>1.0036543270802873</v>
      </c>
      <c r="J326" s="63">
        <f>IF(SUM(E322:E325)&lt;Variables!$B$3,-H325,0)</f>
        <v>0</v>
      </c>
      <c r="K326" s="64">
        <f ca="1">IF(AND(H325&lt;Variables!$B$6*Variables!$E$50,OR(SUM(D323:D326)&gt;Variables!$B$5,SUM(E323:E326)&gt;Variables!$B$4)),Variables!$B$6*Variables!$E$50+Variables!$B$7*$G$1*Variables!$E$50*SUM(D323:D326),0)</f>
        <v>1.1408</v>
      </c>
      <c r="L326" s="64">
        <f>IF(B326="Winter",Variables!$B$8*H325,0)</f>
        <v>0</v>
      </c>
      <c r="M326" s="64">
        <f ca="1">IF(AND(B326="Spring",AND(NOT(H325=0),H325&lt;(Variables!$B$9*Variables!$E$50))),(Variables!$B$10*Variables!$E$50+Variables!$B$11*Variables!$E$50*SUM(E323:E326)+$G$1*SUM(D325:D326)*Variables!$E$50*Variables!$B$12),0)</f>
        <v>-0.1371456729197128</v>
      </c>
      <c r="N326" s="64">
        <f>IF(AND(B326="Spring",AND(SUM(D323:D326)&gt;Variables!$B$13,SUM(D319:D322)&gt;Variables!$B$13)),-Variables!$B$14*Variables!$E$50,0)</f>
        <v>0</v>
      </c>
      <c r="O326" s="64">
        <f>IF(AND(B326="Summer",SUM(C322:D326)&gt;Variables!$B$15),(Variables!$B$16*Variables!$E$50*SUM(C322:C326)+$G$1*Variables!$B$16*Variables!$E$50*SUM(D322:D326)+$G$1*Variables!$E$50*Variables!$B$17*F326),0)</f>
        <v>0</v>
      </c>
      <c r="P326" s="64">
        <f ca="1">IF(AND(AND(B326="Autumn",SUM(D325:E326)&gt;0),NOT(H325=0)),Variables!$B$18*Variables!$E$50+Variables!$B$19*Variables!$E$50*SUM(E325:E326)+$G$1*Variables!$B$19*Variables!$E$50*SUM(D325:D326),0)</f>
        <v>0</v>
      </c>
      <c r="Q326" s="64">
        <f>IF(AND(B326="Autumn",AND((E326+E325)&lt;Variables!$B$20,(D325+D326)=0)),-Variables!$B$21*Variables!$E$50,0)</f>
        <v>0</v>
      </c>
      <c r="R326" s="64">
        <f>IF(B326="Autumn",(SUM(F325:F326)*$G$1*Variables!$B$22*Variables!$E$50),0)</f>
        <v>0</v>
      </c>
      <c r="S326" s="64">
        <f ca="1">IF(B326="Spring",($G$1*Variables!$E$50*SUM('Guts (MC)'!F325:F326)*Variables!$B$23),0)</f>
        <v>0</v>
      </c>
      <c r="T326" s="63">
        <f ca="1">IF((H325+SUM(J326:Q326))&lt;(Variables!$B$26*Variables!$E$50),$F$1*((Variables!$B$26*Variables!$E$50)-H325-SUM(J326:Q326)),0)</f>
        <v>0</v>
      </c>
      <c r="U326" s="64">
        <f ca="1">IF(AND(AND(B326="Autumn",SUM(D323:E326)&gt;Variables!$B$27),SUM(J326:Q326)&lt;Variables!$B$28*H325),$F$1*(Variables!$B$28*H325-SUM(J326:Q326)),0)</f>
        <v>0</v>
      </c>
      <c r="V326" s="96">
        <f ca="1">IF(AND((J326+K326)=0,(Q326+T326)=0),$H$1*H326*Variables!$I$23*0.25,0)</f>
        <v>0</v>
      </c>
      <c r="W326" s="97">
        <f ca="1">IF(AND((K326+J326)=0,(T326+Q326)=0),$I$1*H326*Variables!$Q$23*0.25,0)</f>
        <v>0</v>
      </c>
      <c r="X326" s="95">
        <f ca="1">IF(AND(NOT(K326=0),(H326-H325)&gt;0),(H326-H325)*(Variables!$M$5*$H$1+Variables!$U$5*$I$1),0)+IF(AND(NOT((J326+N326+Q326)=0),(H325-H326)&gt;0),(H325-H326)*(Variables!$M$4*$H$1+Variables!$U$4*$I$1),0)</f>
        <v>-114.73221431797114</v>
      </c>
      <c r="Y326" s="95">
        <f ca="1">IF(SUM(T326,U325:U326)&gt;0,H326*Variables!$Y$11*0.25*(1-$J$1),0)</f>
        <v>0</v>
      </c>
      <c r="Z326" s="95">
        <f ca="1">IF(T326=0,H326*$J$1*Variables!$Y$5*0.25,0)</f>
        <v>2.3378390435152996</v>
      </c>
      <c r="AA326" s="95">
        <f t="shared" ca="1" si="9"/>
        <v>-112.39437527445584</v>
      </c>
      <c r="AB326" s="91">
        <f ca="1">AA326/Variables!$E$49</f>
        <v>-18.128125044267069</v>
      </c>
    </row>
    <row r="327" spans="1:28" x14ac:dyDescent="0.25">
      <c r="A327" s="61">
        <f>'Water runs'!C334</f>
        <v>31836</v>
      </c>
      <c r="B327" s="61" t="str">
        <f>'Water runs'!B334</f>
        <v>Summer</v>
      </c>
      <c r="C327" s="54">
        <f>'Water runs'!D334/100</f>
        <v>0.55474999999999997</v>
      </c>
      <c r="D327" s="108">
        <f>VLOOKUP(ROW(D327)+4,'Water runs'!$BS$3:$CF$423,MATCH($B$1,Scenarios,0)+1)</f>
        <v>0</v>
      </c>
      <c r="E327" s="54">
        <f>IF(B327=Variables!$D$8,C327-Variables!$E$8,IF(B327=Variables!$D$9,C327-Variables!$E$9,IF(B327=Variables!$D$10,C327-Variables!$E$10,IF(B327=Variables!$D$11,C327-Variables!$E$11,"ELSE"))))</f>
        <v>-0.70362013605442175</v>
      </c>
      <c r="F327" s="108">
        <f>VLOOKUP(ROW(F327)+4,'Water runs'!$CH$3:$CU$423,MATCH($B$1,Scenarios,0)+1)</f>
        <v>0</v>
      </c>
      <c r="G327" s="65">
        <f ca="1">H327/Variables!$E$49</f>
        <v>0.33508862018860808</v>
      </c>
      <c r="H327" s="62">
        <f ca="1">IF((H326+I327)&gt;(1.1*Variables!$E$50),(1.1*Variables!$E$50),IF((H326+I327)&gt;0,H326+I327,0))</f>
        <v>2.0775494451693701</v>
      </c>
      <c r="I327" s="64">
        <f t="shared" ca="1" si="10"/>
        <v>0</v>
      </c>
      <c r="J327" s="63">
        <f>IF(SUM(E323:E326)&lt;Variables!$B$3,-H326,0)</f>
        <v>0</v>
      </c>
      <c r="K327" s="64">
        <f ca="1">IF(AND(H326&lt;Variables!$B$6*Variables!$E$50,OR(SUM(D324:D327)&gt;Variables!$B$5,SUM(E324:E327)&gt;Variables!$B$4)),Variables!$B$6*Variables!$E$50+Variables!$B$7*$G$1*Variables!$E$50*SUM(D324:D327),0)</f>
        <v>0</v>
      </c>
      <c r="L327" s="64">
        <f>IF(B327="Winter",Variables!$B$8*H326,0)</f>
        <v>0</v>
      </c>
      <c r="M327" s="64">
        <f ca="1">IF(AND(B327="Spring",AND(NOT(H326=0),H326&lt;(Variables!$B$9*Variables!$E$50))),(Variables!$B$10*Variables!$E$50+Variables!$B$11*Variables!$E$50*SUM(E324:E327)+$G$1*SUM(D326:D327)*Variables!$E$50*Variables!$B$12),0)</f>
        <v>0</v>
      </c>
      <c r="N327" s="64">
        <f>IF(AND(B327="Spring",AND(SUM(D324:D327)&gt;Variables!$B$13,SUM(D320:D323)&gt;Variables!$B$13)),-Variables!$B$14*Variables!$E$50,0)</f>
        <v>0</v>
      </c>
      <c r="O327" s="64">
        <f>IF(AND(B327="Summer",SUM(C323:D327)&gt;Variables!$B$15),(Variables!$B$16*Variables!$E$50*SUM(C323:C327)+$G$1*Variables!$B$16*Variables!$E$50*SUM(D323:D327)+$G$1*Variables!$E$50*Variables!$B$17*F327),0)</f>
        <v>0</v>
      </c>
      <c r="P327" s="64">
        <f ca="1">IF(AND(AND(B327="Autumn",SUM(D326:E327)&gt;0),NOT(H326=0)),Variables!$B$18*Variables!$E$50+Variables!$B$19*Variables!$E$50*SUM(E326:E327)+$G$1*Variables!$B$19*Variables!$E$50*SUM(D326:D327),0)</f>
        <v>0</v>
      </c>
      <c r="Q327" s="64">
        <f>IF(AND(B327="Autumn",AND((E327+E326)&lt;Variables!$B$20,(D326+D327)=0)),-Variables!$B$21*Variables!$E$50,0)</f>
        <v>0</v>
      </c>
      <c r="R327" s="64">
        <f>IF(B327="Autumn",(SUM(F326:F327)*$G$1*Variables!$B$22*Variables!$E$50),0)</f>
        <v>0</v>
      </c>
      <c r="S327" s="64">
        <f>IF(B327="Spring",($G$1*Variables!$E$50*SUM('Guts (MC)'!F326:F327)*Variables!$B$23),0)</f>
        <v>0</v>
      </c>
      <c r="T327" s="63">
        <f ca="1">IF((H326+SUM(J327:Q327))&lt;(Variables!$B$26*Variables!$E$50),$F$1*((Variables!$B$26*Variables!$E$50)-H326-SUM(J327:Q327)),0)</f>
        <v>0</v>
      </c>
      <c r="U327" s="64">
        <f ca="1">IF(AND(AND(B327="Autumn",SUM(D324:E327)&gt;Variables!$B$27),SUM(J327:Q327)&lt;Variables!$B$28*H326),$F$1*(Variables!$B$28*H326-SUM(J327:Q327)),0)</f>
        <v>0</v>
      </c>
      <c r="V327" s="96">
        <f ca="1">IF(AND((J327+K327)=0,(Q327+T327)=0),$H$1*H327*Variables!$I$23*0.25,0)</f>
        <v>25.323203789330293</v>
      </c>
      <c r="W327" s="97">
        <f ca="1">IF(AND((K327+J327)=0,(T327+Q327)=0),$I$1*H327*Variables!$Q$23*0.25,0)</f>
        <v>8.1442700799321859</v>
      </c>
      <c r="X327" s="95">
        <f ca="1">IF(AND(NOT(K327=0),(H327-H326)&gt;0),(H327-H326)*(Variables!$M$5*$H$1+Variables!$U$5*$I$1),0)+IF(AND(NOT((J327+N327+Q327)=0),(H326-H327)&gt;0),(H326-H327)*(Variables!$M$4*$H$1+Variables!$U$4*$I$1),0)</f>
        <v>0</v>
      </c>
      <c r="Y327" s="95">
        <f ca="1">IF(SUM(T327,U326:U327)&gt;0,H327*Variables!$Y$11*0.25*(1-$J$1),0)</f>
        <v>0</v>
      </c>
      <c r="Z327" s="95">
        <f ca="1">IF(T327=0,H327*$J$1*Variables!$Y$5*0.25,0)</f>
        <v>2.3378390435152996</v>
      </c>
      <c r="AA327" s="95">
        <f t="shared" ca="1" si="9"/>
        <v>35.805312912777779</v>
      </c>
      <c r="AB327" s="91">
        <f ca="1">AA327/Variables!$E$49</f>
        <v>5.7750504698028671</v>
      </c>
    </row>
    <row r="328" spans="1:28" x14ac:dyDescent="0.25">
      <c r="A328" s="61">
        <f>'Water runs'!C335</f>
        <v>31928</v>
      </c>
      <c r="B328" s="61" t="str">
        <f>'Water runs'!B335</f>
        <v>Autumn</v>
      </c>
      <c r="C328" s="54">
        <f>'Water runs'!D335/100</f>
        <v>0.82055357142857099</v>
      </c>
      <c r="D328" s="108">
        <f>VLOOKUP(ROW(D328)+4,'Water runs'!$BS$3:$CF$423,MATCH($B$1,Scenarios,0)+1)</f>
        <v>0</v>
      </c>
      <c r="E328" s="54">
        <f>IF(B328=Variables!$D$8,C328-Variables!$E$8,IF(B328=Variables!$D$9,C328-Variables!$E$9,IF(B328=Variables!$D$10,C328-Variables!$E$10,IF(B328=Variables!$D$11,C328-Variables!$E$11,"ELSE"))))</f>
        <v>-0.17408972789115684</v>
      </c>
      <c r="F328" s="108">
        <f>VLOOKUP(ROW(F328)+4,'Water runs'!$CH$3:$CU$423,MATCH($B$1,Scenarios,0)+1)</f>
        <v>0</v>
      </c>
      <c r="G328" s="65">
        <f ca="1">H328/Variables!$E$49</f>
        <v>0.33508862018860808</v>
      </c>
      <c r="H328" s="62">
        <f ca="1">IF((H327+I328)&gt;(1.1*Variables!$E$50),(1.1*Variables!$E$50),IF((H327+I328)&gt;0,H327+I328,0))</f>
        <v>2.0775494451693701</v>
      </c>
      <c r="I328" s="64">
        <f t="shared" ca="1" si="10"/>
        <v>0</v>
      </c>
      <c r="J328" s="63">
        <f>IF(SUM(E324:E327)&lt;Variables!$B$3,-H327,0)</f>
        <v>0</v>
      </c>
      <c r="K328" s="64">
        <f ca="1">IF(AND(H327&lt;Variables!$B$6*Variables!$E$50,OR(SUM(D325:D328)&gt;Variables!$B$5,SUM(E325:E328)&gt;Variables!$B$4)),Variables!$B$6*Variables!$E$50+Variables!$B$7*$G$1*Variables!$E$50*SUM(D325:D328),0)</f>
        <v>0</v>
      </c>
      <c r="L328" s="64">
        <f>IF(B328="Winter",Variables!$B$8*H327,0)</f>
        <v>0</v>
      </c>
      <c r="M328" s="64">
        <f ca="1">IF(AND(B328="Spring",AND(NOT(H327=0),H327&lt;(Variables!$B$9*Variables!$E$50))),(Variables!$B$10*Variables!$E$50+Variables!$B$11*Variables!$E$50*SUM(E325:E328)+$G$1*SUM(D327:D328)*Variables!$E$50*Variables!$B$12),0)</f>
        <v>0</v>
      </c>
      <c r="N328" s="64">
        <f>IF(AND(B328="Spring",AND(SUM(D325:D328)&gt;Variables!$B$13,SUM(D321:D324)&gt;Variables!$B$13)),-Variables!$B$14*Variables!$E$50,0)</f>
        <v>0</v>
      </c>
      <c r="O328" s="64">
        <f>IF(AND(B328="Summer",SUM(C324:D328)&gt;Variables!$B$15),(Variables!$B$16*Variables!$E$50*SUM(C324:C328)+$G$1*Variables!$B$16*Variables!$E$50*SUM(D324:D328)+$G$1*Variables!$E$50*Variables!$B$17*F328),0)</f>
        <v>0</v>
      </c>
      <c r="P328" s="64">
        <f ca="1">IF(AND(AND(B328="Autumn",SUM(D327:E328)&gt;0),NOT(H327=0)),Variables!$B$18*Variables!$E$50+Variables!$B$19*Variables!$E$50*SUM(E327:E328)+$G$1*Variables!$B$19*Variables!$E$50*SUM(D327:D328),0)</f>
        <v>0</v>
      </c>
      <c r="Q328" s="64">
        <f>IF(AND(B328="Autumn",AND((E328+E327)&lt;Variables!$B$20,(D327+D328)=0)),-Variables!$B$21*Variables!$E$50,0)</f>
        <v>0</v>
      </c>
      <c r="R328" s="64">
        <f ca="1">IF(B328="Autumn",(SUM(F327:F328)*$G$1*Variables!$B$22*Variables!$E$50),0)</f>
        <v>0</v>
      </c>
      <c r="S328" s="64">
        <f>IF(B328="Spring",($G$1*Variables!$E$50*SUM('Guts (MC)'!F327:F328)*Variables!$B$23),0)</f>
        <v>0</v>
      </c>
      <c r="T328" s="63">
        <f ca="1">IF((H327+SUM(J328:Q328))&lt;(Variables!$B$26*Variables!$E$50),$F$1*((Variables!$B$26*Variables!$E$50)-H327-SUM(J328:Q328)),0)</f>
        <v>0</v>
      </c>
      <c r="U328" s="64">
        <f ca="1">IF(AND(AND(B328="Autumn",SUM(D325:E328)&gt;Variables!$B$27),SUM(J328:Q328)&lt;Variables!$B$28*H327),$F$1*(Variables!$B$28*H327-SUM(J328:Q328)),0)</f>
        <v>0</v>
      </c>
      <c r="V328" s="96">
        <f ca="1">IF(AND((J328+K328)=0,(Q328+T328)=0),$H$1*H328*Variables!$I$23*0.25,0)</f>
        <v>25.323203789330293</v>
      </c>
      <c r="W328" s="97">
        <f ca="1">IF(AND((K328+J328)=0,(T328+Q328)=0),$I$1*H328*Variables!$Q$23*0.25,0)</f>
        <v>8.1442700799321859</v>
      </c>
      <c r="X328" s="95">
        <f ca="1">IF(AND(NOT(K328=0),(H328-H327)&gt;0),(H328-H327)*(Variables!$M$5*$H$1+Variables!$U$5*$I$1),0)+IF(AND(NOT((J328+N328+Q328)=0),(H327-H328)&gt;0),(H327-H328)*(Variables!$M$4*$H$1+Variables!$U$4*$I$1),0)</f>
        <v>0</v>
      </c>
      <c r="Y328" s="95">
        <f ca="1">IF(SUM(T328,U327:U328)&gt;0,H328*Variables!$Y$11*0.25*(1-$J$1),0)</f>
        <v>0</v>
      </c>
      <c r="Z328" s="95">
        <f ca="1">IF(T328=0,H328*$J$1*Variables!$Y$5*0.25,0)</f>
        <v>2.3378390435152996</v>
      </c>
      <c r="AA328" s="95">
        <f t="shared" ca="1" si="9"/>
        <v>35.805312912777779</v>
      </c>
      <c r="AB328" s="91">
        <f ca="1">AA328/Variables!$E$49</f>
        <v>5.7750504698028671</v>
      </c>
    </row>
    <row r="329" spans="1:28" x14ac:dyDescent="0.25">
      <c r="A329" s="61">
        <f>'Water runs'!C336</f>
        <v>32020</v>
      </c>
      <c r="B329" s="61" t="str">
        <f>'Water runs'!B336</f>
        <v>Winter</v>
      </c>
      <c r="C329" s="54">
        <f>'Water runs'!D336/100</f>
        <v>0.7453749999999999</v>
      </c>
      <c r="D329" s="108">
        <f>VLOOKUP(ROW(D329)+4,'Water runs'!$BS$3:$CF$423,MATCH($B$1,Scenarios,0)+1)</f>
        <v>0</v>
      </c>
      <c r="E329" s="54">
        <f>IF(B329=Variables!$D$8,C329-Variables!$E$8,IF(B329=Variables!$D$9,C329-Variables!$E$9,IF(B329=Variables!$D$10,C329-Variables!$E$10,IF(B329=Variables!$D$11,C329-Variables!$E$11,"ELSE"))))</f>
        <v>0.17360737433862417</v>
      </c>
      <c r="F329" s="108">
        <f>VLOOKUP(ROW(F329)+4,'Water runs'!$CH$3:$CU$423,MATCH($B$1,Scenarios,0)+1)</f>
        <v>0</v>
      </c>
      <c r="G329" s="65">
        <f ca="1">H329/Variables!$E$49</f>
        <v>0.1682328346646812</v>
      </c>
      <c r="H329" s="62">
        <f ca="1">IF((H328+I329)&gt;(1.1*Variables!$E$50),(1.1*Variables!$E$50),IF((H328+I329)&gt;0,H328+I329,0))</f>
        <v>1.0430435749210234</v>
      </c>
      <c r="I329" s="64">
        <f t="shared" ca="1" si="10"/>
        <v>-1.0345058702483467</v>
      </c>
      <c r="J329" s="63">
        <f>IF(SUM(E325:E328)&lt;Variables!$B$3,-H328,0)</f>
        <v>0</v>
      </c>
      <c r="K329" s="64">
        <f ca="1">IF(AND(H328&lt;Variables!$B$6*Variables!$E$50,OR(SUM(D326:D329)&gt;Variables!$B$5,SUM(E326:E329)&gt;Variables!$B$4)),Variables!$B$6*Variables!$E$50+Variables!$B$7*$G$1*Variables!$E$50*SUM(D326:D329),0)</f>
        <v>0</v>
      </c>
      <c r="L329" s="64">
        <f ca="1">IF(B329="Winter",Variables!$B$8*H328,0)</f>
        <v>-1.0345058702483467</v>
      </c>
      <c r="M329" s="64">
        <f ca="1">IF(AND(B329="Spring",AND(NOT(H328=0),H328&lt;(Variables!$B$9*Variables!$E$50))),(Variables!$B$10*Variables!$E$50+Variables!$B$11*Variables!$E$50*SUM(E326:E329)+$G$1*SUM(D328:D329)*Variables!$E$50*Variables!$B$12),0)</f>
        <v>0</v>
      </c>
      <c r="N329" s="64">
        <f>IF(AND(B329="Spring",AND(SUM(D326:D329)&gt;Variables!$B$13,SUM(D322:D325)&gt;Variables!$B$13)),-Variables!$B$14*Variables!$E$50,0)</f>
        <v>0</v>
      </c>
      <c r="O329" s="64">
        <f>IF(AND(B329="Summer",SUM(C325:D329)&gt;Variables!$B$15),(Variables!$B$16*Variables!$E$50*SUM(C325:C329)+$G$1*Variables!$B$16*Variables!$E$50*SUM(D325:D329)+$G$1*Variables!$E$50*Variables!$B$17*F329),0)</f>
        <v>0</v>
      </c>
      <c r="P329" s="64">
        <f ca="1">IF(AND(AND(B329="Autumn",SUM(D328:E329)&gt;0),NOT(H328=0)),Variables!$B$18*Variables!$E$50+Variables!$B$19*Variables!$E$50*SUM(E328:E329)+$G$1*Variables!$B$19*Variables!$E$50*SUM(D328:D329),0)</f>
        <v>0</v>
      </c>
      <c r="Q329" s="64">
        <f>IF(AND(B329="Autumn",AND((E329+E328)&lt;Variables!$B$20,(D328+D329)=0)),-Variables!$B$21*Variables!$E$50,0)</f>
        <v>0</v>
      </c>
      <c r="R329" s="64">
        <f>IF(B329="Autumn",(SUM(F328:F329)*$G$1*Variables!$B$22*Variables!$E$50),0)</f>
        <v>0</v>
      </c>
      <c r="S329" s="64">
        <f>IF(B329="Spring",($G$1*Variables!$E$50*SUM('Guts (MC)'!F328:F329)*Variables!$B$23),0)</f>
        <v>0</v>
      </c>
      <c r="T329" s="63">
        <f ca="1">IF((H328+SUM(J329:Q329))&lt;(Variables!$B$26*Variables!$E$50),$F$1*((Variables!$B$26*Variables!$E$50)-H328-SUM(J329:Q329)),0)</f>
        <v>0</v>
      </c>
      <c r="U329" s="64">
        <f ca="1">IF(AND(AND(B329="Autumn",SUM(D326:E329)&gt;Variables!$B$27),SUM(J329:Q329)&lt;Variables!$B$28*H328),$F$1*(Variables!$B$28*H328-SUM(J329:Q329)),0)</f>
        <v>0</v>
      </c>
      <c r="V329" s="96">
        <f ca="1">IF(AND((J329+K329)=0,(Q329+T329)=0),$H$1*H329*Variables!$I$23*0.25,0)</f>
        <v>12.713634840456644</v>
      </c>
      <c r="W329" s="97">
        <f ca="1">IF(AND((K329+J329)=0,(T329+Q329)=0),$I$1*H329*Variables!$Q$23*0.25,0)</f>
        <v>4.0888695087602418</v>
      </c>
      <c r="X329" s="95">
        <f ca="1">IF(AND(NOT(K329=0),(H329-H328)&gt;0),(H329-H328)*(Variables!$M$5*$H$1+Variables!$U$5*$I$1),0)+IF(AND(NOT((J329+N329+Q329)=0),(H328-H329)&gt;0),(H328-H329)*(Variables!$M$4*$H$1+Variables!$U$4*$I$1),0)</f>
        <v>0</v>
      </c>
      <c r="Y329" s="95">
        <f ca="1">IF(SUM(T329,U328:U329)&gt;0,H329*Variables!$Y$11*0.25*(1-$J$1),0)</f>
        <v>0</v>
      </c>
      <c r="Z329" s="95">
        <f ca="1">IF(T329=0,H329*$J$1*Variables!$Y$5*0.25,0)</f>
        <v>1.1737232051001079</v>
      </c>
      <c r="AA329" s="95">
        <f t="shared" ca="1" si="9"/>
        <v>17.976227554316992</v>
      </c>
      <c r="AB329" s="91">
        <f ca="1">AA329/Variables!$E$49</f>
        <v>2.8993915410188698</v>
      </c>
    </row>
    <row r="330" spans="1:28" x14ac:dyDescent="0.25">
      <c r="A330" s="61">
        <f>'Water runs'!C337</f>
        <v>32111</v>
      </c>
      <c r="B330" s="61" t="str">
        <f>'Water runs'!B337</f>
        <v>Spring</v>
      </c>
      <c r="C330" s="54">
        <f>'Water runs'!D337/100</f>
        <v>0.37174999999999997</v>
      </c>
      <c r="D330" s="108">
        <f>VLOOKUP(ROW(D330)+4,'Water runs'!$BS$3:$CF$423,MATCH($B$1,Scenarios,0)+1)</f>
        <v>0</v>
      </c>
      <c r="E330" s="54">
        <f>IF(B330=Variables!$D$8,C330-Variables!$E$8,IF(B330=Variables!$D$9,C330-Variables!$E$9,IF(B330=Variables!$D$10,C330-Variables!$E$10,IF(B330=Variables!$D$11,C330-Variables!$E$11,"ELSE"))))</f>
        <v>-0.39223220899470917</v>
      </c>
      <c r="F330" s="108">
        <f>VLOOKUP(ROW(F330)+4,'Water runs'!$CH$3:$CU$423,MATCH($B$1,Scenarios,0)+1)</f>
        <v>0</v>
      </c>
      <c r="G330" s="65">
        <f ca="1">H330/Variables!$E$49</f>
        <v>0.161</v>
      </c>
      <c r="H330" s="62">
        <f ca="1">IF((H329+I330)&gt;(1.1*Variables!$E$50),(1.1*Variables!$E$50),IF((H329+I330)&gt;0,H329+I330,0))</f>
        <v>0.99820000000000009</v>
      </c>
      <c r="I330" s="64">
        <f t="shared" ca="1" si="10"/>
        <v>-4.484357492102331E-2</v>
      </c>
      <c r="J330" s="63">
        <f>IF(SUM(E326:E329)&lt;Variables!$B$3,-H329,0)</f>
        <v>0</v>
      </c>
      <c r="K330" s="64">
        <f ca="1">IF(AND(H329&lt;Variables!$B$6*Variables!$E$50,OR(SUM(D327:D330)&gt;Variables!$B$5,SUM(E327:E330)&gt;Variables!$B$4)),Variables!$B$6*Variables!$E$50+Variables!$B$7*$G$1*Variables!$E$50*SUM(D327:D330),0)</f>
        <v>0</v>
      </c>
      <c r="L330" s="64">
        <f>IF(B330="Winter",Variables!$B$8*H329,0)</f>
        <v>0</v>
      </c>
      <c r="M330" s="64">
        <f ca="1">IF(AND(B330="Spring",AND(NOT(H329=0),H329&lt;(Variables!$B$9*Variables!$E$50))),(Variables!$B$10*Variables!$E$50+Variables!$B$11*Variables!$E$50*SUM(E327:E330)+$G$1*SUM(D329:D330)*Variables!$E$50*Variables!$B$12),0)</f>
        <v>-0.74667155829417431</v>
      </c>
      <c r="N330" s="64">
        <f>IF(AND(B330="Spring",AND(SUM(D327:D330)&gt;Variables!$B$13,SUM(D323:D326)&gt;Variables!$B$13)),-Variables!$B$14*Variables!$E$50,0)</f>
        <v>0</v>
      </c>
      <c r="O330" s="64">
        <f>IF(AND(B330="Summer",SUM(C326:D330)&gt;Variables!$B$15),(Variables!$B$16*Variables!$E$50*SUM(C326:C330)+$G$1*Variables!$B$16*Variables!$E$50*SUM(D326:D330)+$G$1*Variables!$E$50*Variables!$B$17*F330),0)</f>
        <v>0</v>
      </c>
      <c r="P330" s="64">
        <f ca="1">IF(AND(AND(B330="Autumn",SUM(D329:E330)&gt;0),NOT(H329=0)),Variables!$B$18*Variables!$E$50+Variables!$B$19*Variables!$E$50*SUM(E329:E330)+$G$1*Variables!$B$19*Variables!$E$50*SUM(D329:D330),0)</f>
        <v>0</v>
      </c>
      <c r="Q330" s="64">
        <f>IF(AND(B330="Autumn",AND((E330+E329)&lt;Variables!$B$20,(D329+D330)=0)),-Variables!$B$21*Variables!$E$50,0)</f>
        <v>0</v>
      </c>
      <c r="R330" s="64">
        <f>IF(B330="Autumn",(SUM(F329:F330)*$G$1*Variables!$B$22*Variables!$E$50),0)</f>
        <v>0</v>
      </c>
      <c r="S330" s="64">
        <f ca="1">IF(B330="Spring",($G$1*Variables!$E$50*SUM('Guts (MC)'!F329:F330)*Variables!$B$23),0)</f>
        <v>0</v>
      </c>
      <c r="T330" s="63">
        <f ca="1">IF((H329+SUM(J330:Q330))&lt;(Variables!$B$26*Variables!$E$50),$F$1*((Variables!$B$26*Variables!$E$50)-H329-SUM(J330:Q330)),0)</f>
        <v>0.701827983373151</v>
      </c>
      <c r="U330" s="64">
        <f ca="1">IF(AND(AND(B330="Autumn",SUM(D327:E330)&gt;Variables!$B$27),SUM(J330:Q330)&lt;Variables!$B$28*H329),$F$1*(Variables!$B$28*H329-SUM(J330:Q330)),0)</f>
        <v>0</v>
      </c>
      <c r="V330" s="96">
        <f ca="1">IF(AND((J330+K330)=0,(Q330+T330)=0),$H$1*H330*Variables!$I$23*0.25,0)</f>
        <v>0</v>
      </c>
      <c r="W330" s="97">
        <f ca="1">IF(AND((K330+J330)=0,(T330+Q330)=0),$I$1*H330*Variables!$Q$23*0.25,0)</f>
        <v>0</v>
      </c>
      <c r="X330" s="95">
        <f ca="1">IF(AND(NOT(K330=0),(H330-H329)&gt;0),(H330-H329)*(Variables!$M$5*$H$1+Variables!$U$5*$I$1),0)+IF(AND(NOT((J330+N330+Q330)=0),(H329-H330)&gt;0),(H329-H330)*(Variables!$M$4*$H$1+Variables!$U$4*$I$1),0)</f>
        <v>0</v>
      </c>
      <c r="Y330" s="95">
        <f ca="1">IF(SUM(T330,U329:U330)&gt;0,H330*Variables!$Y$11*0.25*(1-$J$1),0)</f>
        <v>-8.6666009437672749</v>
      </c>
      <c r="Z330" s="95">
        <f ca="1">IF(T330=0,H330*$J$1*Variables!$Y$5*0.25,0)</f>
        <v>0</v>
      </c>
      <c r="AA330" s="95">
        <f t="shared" ca="1" si="9"/>
        <v>-8.6666009437672749</v>
      </c>
      <c r="AB330" s="91">
        <f ca="1">AA330/Variables!$E$49</f>
        <v>-1.3978388618979476</v>
      </c>
    </row>
    <row r="331" spans="1:28" x14ac:dyDescent="0.25">
      <c r="A331" s="61">
        <f>'Water runs'!C338</f>
        <v>32201</v>
      </c>
      <c r="B331" s="61" t="str">
        <f>'Water runs'!B338</f>
        <v>Summer</v>
      </c>
      <c r="C331" s="54">
        <f>'Water runs'!D338/100</f>
        <v>1.1296250000000001</v>
      </c>
      <c r="D331" s="108">
        <f>VLOOKUP(ROW(D331)+4,'Water runs'!$BS$3:$CF$423,MATCH($B$1,Scenarios,0)+1)</f>
        <v>1.8916222614589188E-2</v>
      </c>
      <c r="E331" s="54">
        <f>IF(B331=Variables!$D$8,C331-Variables!$E$8,IF(B331=Variables!$D$9,C331-Variables!$E$9,IF(B331=Variables!$D$10,C331-Variables!$E$10,IF(B331=Variables!$D$11,C331-Variables!$E$11,"ELSE"))))</f>
        <v>-0.12874513605442162</v>
      </c>
      <c r="F331" s="108">
        <f>VLOOKUP(ROW(F331)+4,'Water runs'!$CH$3:$CU$423,MATCH($B$1,Scenarios,0)+1)</f>
        <v>0</v>
      </c>
      <c r="G331" s="65">
        <f ca="1">H331/Variables!$E$49</f>
        <v>0.161</v>
      </c>
      <c r="H331" s="62">
        <f ca="1">IF((H330+I331)&gt;(1.1*Variables!$E$50),(1.1*Variables!$E$50),IF((H330+I331)&gt;0,H330+I331,0))</f>
        <v>0.99820000000000009</v>
      </c>
      <c r="I331" s="64">
        <f t="shared" ca="1" si="10"/>
        <v>0</v>
      </c>
      <c r="J331" s="63">
        <f>IF(SUM(E327:E330)&lt;Variables!$B$3,-H330,0)</f>
        <v>0</v>
      </c>
      <c r="K331" s="64">
        <f ca="1">IF(AND(H330&lt;Variables!$B$6*Variables!$E$50,OR(SUM(D328:D331)&gt;Variables!$B$5,SUM(E328:E331)&gt;Variables!$B$4)),Variables!$B$6*Variables!$E$50+Variables!$B$7*$G$1*Variables!$E$50*SUM(D328:D331),0)</f>
        <v>0</v>
      </c>
      <c r="L331" s="64">
        <f>IF(B331="Winter",Variables!$B$8*H330,0)</f>
        <v>0</v>
      </c>
      <c r="M331" s="64">
        <f ca="1">IF(AND(B331="Spring",AND(NOT(H330=0),H330&lt;(Variables!$B$9*Variables!$E$50))),(Variables!$B$10*Variables!$E$50+Variables!$B$11*Variables!$E$50*SUM(E328:E331)+$G$1*SUM(D330:D331)*Variables!$E$50*Variables!$B$12),0)</f>
        <v>0</v>
      </c>
      <c r="N331" s="64">
        <f>IF(AND(B331="Spring",AND(SUM(D328:D331)&gt;Variables!$B$13,SUM(D324:D327)&gt;Variables!$B$13)),-Variables!$B$14*Variables!$E$50,0)</f>
        <v>0</v>
      </c>
      <c r="O331" s="64">
        <f>IF(AND(B331="Summer",SUM(C327:D331)&gt;Variables!$B$15),(Variables!$B$16*Variables!$E$50*SUM(C327:C331)+$G$1*Variables!$B$16*Variables!$E$50*SUM(D327:D331)+$G$1*Variables!$E$50*Variables!$B$17*F331),0)</f>
        <v>0</v>
      </c>
      <c r="P331" s="64">
        <f ca="1">IF(AND(AND(B331="Autumn",SUM(D330:E331)&gt;0),NOT(H330=0)),Variables!$B$18*Variables!$E$50+Variables!$B$19*Variables!$E$50*SUM(E330:E331)+$G$1*Variables!$B$19*Variables!$E$50*SUM(D330:D331),0)</f>
        <v>0</v>
      </c>
      <c r="Q331" s="64">
        <f>IF(AND(B331="Autumn",AND((E331+E330)&lt;Variables!$B$20,(D330+D331)=0)),-Variables!$B$21*Variables!$E$50,0)</f>
        <v>0</v>
      </c>
      <c r="R331" s="64">
        <f>IF(B331="Autumn",(SUM(F330:F331)*$G$1*Variables!$B$22*Variables!$E$50),0)</f>
        <v>0</v>
      </c>
      <c r="S331" s="64">
        <f>IF(B331="Spring",($G$1*Variables!$E$50*SUM('Guts (MC)'!F330:F331)*Variables!$B$23),0)</f>
        <v>0</v>
      </c>
      <c r="T331" s="63">
        <f ca="1">IF((H330+SUM(J331:Q331))&lt;(Variables!$B$26*Variables!$E$50),$F$1*((Variables!$B$26*Variables!$E$50)-H330-SUM(J331:Q331)),0)</f>
        <v>0</v>
      </c>
      <c r="U331" s="64">
        <f ca="1">IF(AND(AND(B331="Autumn",SUM(D328:E331)&gt;Variables!$B$27),SUM(J331:Q331)&lt;Variables!$B$28*H330),$F$1*(Variables!$B$28*H330-SUM(J331:Q331)),0)</f>
        <v>0</v>
      </c>
      <c r="V331" s="96">
        <f ca="1">IF(AND((J331+K331)=0,(Q331+T331)=0),$H$1*H331*Variables!$I$23*0.25,0)</f>
        <v>12.167037507234284</v>
      </c>
      <c r="W331" s="97">
        <f ca="1">IF(AND((K331+J331)=0,(T331+Q331)=0),$I$1*H331*Variables!$Q$23*0.25,0)</f>
        <v>3.9130767321523603</v>
      </c>
      <c r="X331" s="95">
        <f ca="1">IF(AND(NOT(K331=0),(H331-H330)&gt;0),(H331-H330)*(Variables!$M$5*$H$1+Variables!$U$5*$I$1),0)+IF(AND(NOT((J331+N331+Q331)=0),(H330-H331)&gt;0),(H330-H331)*(Variables!$M$4*$H$1+Variables!$U$4*$I$1),0)</f>
        <v>0</v>
      </c>
      <c r="Y331" s="95">
        <f ca="1">IF(SUM(T331,U330:U331)&gt;0,H331*Variables!$Y$11*0.25*(1-$J$1),0)</f>
        <v>0</v>
      </c>
      <c r="Z331" s="95">
        <f ca="1">IF(T331=0,H331*$J$1*Variables!$Y$5*0.25,0)</f>
        <v>1.1232613205250213</v>
      </c>
      <c r="AA331" s="95">
        <f t="shared" ca="1" si="9"/>
        <v>17.203375559911667</v>
      </c>
      <c r="AB331" s="91">
        <f ca="1">AA331/Variables!$E$49</f>
        <v>2.7747379935341399</v>
      </c>
    </row>
    <row r="332" spans="1:28" x14ac:dyDescent="0.25">
      <c r="A332" s="61">
        <f>'Water runs'!C339</f>
        <v>32294</v>
      </c>
      <c r="B332" s="61" t="str">
        <f>'Water runs'!B339</f>
        <v>Autumn</v>
      </c>
      <c r="C332" s="54">
        <f>'Water runs'!D339/100</f>
        <v>2.2637857142857101</v>
      </c>
      <c r="D332" s="108">
        <f>VLOOKUP(ROW(D332)+4,'Water runs'!$BS$3:$CF$423,MATCH($B$1,Scenarios,0)+1)</f>
        <v>1.0622245623480788</v>
      </c>
      <c r="E332" s="54">
        <f>IF(B332=Variables!$D$8,C332-Variables!$E$8,IF(B332=Variables!$D$9,C332-Variables!$E$9,IF(B332=Variables!$D$10,C332-Variables!$E$10,IF(B332=Variables!$D$11,C332-Variables!$E$11,"ELSE"))))</f>
        <v>1.2691424149659822</v>
      </c>
      <c r="F332" s="108">
        <f>VLOOKUP(ROW(F332)+4,'Water runs'!$CH$3:$CU$423,MATCH($B$1,Scenarios,0)+1)</f>
        <v>2.1957133468990255</v>
      </c>
      <c r="G332" s="65">
        <f ca="1">H332/Variables!$E$49</f>
        <v>1.1730311886013878</v>
      </c>
      <c r="H332" s="62">
        <f ca="1">IF((H331+I332)&gt;(1.1*Variables!$E$50),(1.1*Variables!$E$50),IF((H331+I332)&gt;0,H331+I332,0))</f>
        <v>7.2727933693286051</v>
      </c>
      <c r="I332" s="64">
        <f t="shared" ca="1" si="10"/>
        <v>6.2745933693286053</v>
      </c>
      <c r="J332" s="63">
        <f>IF(SUM(E328:E331)&lt;Variables!$B$3,-H331,0)</f>
        <v>0</v>
      </c>
      <c r="K332" s="64">
        <f ca="1">IF(AND(H331&lt;Variables!$B$6*Variables!$E$50,OR(SUM(D329:D332)&gt;Variables!$B$5,SUM(E329:E332)&gt;Variables!$B$4)),Variables!$B$6*Variables!$E$50+Variables!$B$7*$G$1*Variables!$E$50*SUM(D329:D332),0)</f>
        <v>1.2020946502549548</v>
      </c>
      <c r="L332" s="64">
        <f>IF(B332="Winter",Variables!$B$8*H331,0)</f>
        <v>0</v>
      </c>
      <c r="M332" s="64">
        <f ca="1">IF(AND(B332="Spring",AND(NOT(H331=0),H331&lt;(Variables!$B$9*Variables!$E$50))),(Variables!$B$10*Variables!$E$50+Variables!$B$11*Variables!$E$50*SUM(E329:E332)+$G$1*SUM(D331:D332)*Variables!$E$50*Variables!$B$12),0)</f>
        <v>0</v>
      </c>
      <c r="N332" s="64">
        <f>IF(AND(B332="Spring",AND(SUM(D329:D332)&gt;Variables!$B$13,SUM(D325:D328)&gt;Variables!$B$13)),-Variables!$B$14*Variables!$E$50,0)</f>
        <v>0</v>
      </c>
      <c r="O332" s="64">
        <f>IF(AND(B332="Summer",SUM(C328:D332)&gt;Variables!$B$15),(Variables!$B$16*Variables!$E$50*SUM(C328:C332)+$G$1*Variables!$B$16*Variables!$E$50*SUM(D328:D332)+$G$1*Variables!$E$50*Variables!$B$17*F332),0)</f>
        <v>0</v>
      </c>
      <c r="P332" s="64">
        <f ca="1">IF(AND(AND(B332="Autumn",SUM(D331:E332)&gt;0),NOT(H331=0)),Variables!$B$18*Variables!$E$50+Variables!$B$19*Variables!$E$50*SUM(E331:E332)+$G$1*Variables!$B$19*Variables!$E$50*SUM(D331:D332),0)</f>
        <v>4.7400850335629814</v>
      </c>
      <c r="Q332" s="64">
        <f>IF(AND(B332="Autumn",AND((E332+E331)&lt;Variables!$B$20,(D331+D332)=0)),-Variables!$B$21*Variables!$E$50,0)</f>
        <v>0</v>
      </c>
      <c r="R332" s="64">
        <f ca="1">IF(B332="Autumn",(SUM(F331:F332)*$G$1*Variables!$B$22*Variables!$E$50),0)</f>
        <v>0.33241368551066969</v>
      </c>
      <c r="S332" s="64">
        <f>IF(B332="Spring",($G$1*Variables!$E$50*SUM('Guts (MC)'!F331:F332)*Variables!$B$23),0)</f>
        <v>0</v>
      </c>
      <c r="T332" s="63">
        <f ca="1">IF((H331+SUM(J332:Q332))&lt;(Variables!$B$26*Variables!$E$50),$F$1*((Variables!$B$26*Variables!$E$50)-H331-SUM(J332:Q332)),0)</f>
        <v>0</v>
      </c>
      <c r="U332" s="64">
        <f ca="1">IF(AND(AND(B332="Autumn",SUM(D329:E332)&gt;Variables!$B$27),SUM(J332:Q332)&lt;Variables!$B$28*H331),$F$1*(Variables!$B$28*H331-SUM(J332:Q332)),0)</f>
        <v>0</v>
      </c>
      <c r="V332" s="96">
        <f ca="1">IF(AND((J332+K332)=0,(Q332+T332)=0),$H$1*H332*Variables!$I$23*0.25,0)</f>
        <v>0</v>
      </c>
      <c r="W332" s="97">
        <f ca="1">IF(AND((K332+J332)=0,(T332+Q332)=0),$I$1*H332*Variables!$Q$23*0.25,0)</f>
        <v>0</v>
      </c>
      <c r="X332" s="95">
        <f ca="1">IF(AND(NOT(K332=0),(H332-H331)&gt;0),(H332-H331)*(Variables!$M$5*$H$1+Variables!$U$5*$I$1),0)+IF(AND(NOT((J332+N332+Q332)=0),(H331-H332)&gt;0),(H331-H332)*(Variables!$M$4*$H$1+Variables!$U$4*$I$1),0)</f>
        <v>-717.27682707468853</v>
      </c>
      <c r="Y332" s="95">
        <f ca="1">IF(SUM(T332,U331:U332)&gt;0,H332*Variables!$Y$11*0.25*(1-$J$1),0)</f>
        <v>0</v>
      </c>
      <c r="Z332" s="95">
        <f ca="1">IF(T332=0,H332*$J$1*Variables!$Y$5*0.25,0)</f>
        <v>8.1839786454995664</v>
      </c>
      <c r="AA332" s="95">
        <f t="shared" ca="1" si="9"/>
        <v>-709.09284842918896</v>
      </c>
      <c r="AB332" s="91">
        <f ca="1">AA332/Variables!$E$49</f>
        <v>-114.36981426277241</v>
      </c>
    </row>
    <row r="333" spans="1:28" x14ac:dyDescent="0.25">
      <c r="A333" s="61">
        <f>'Water runs'!C340</f>
        <v>32386</v>
      </c>
      <c r="B333" s="61" t="str">
        <f>'Water runs'!B340</f>
        <v>Winter</v>
      </c>
      <c r="C333" s="54">
        <f>'Water runs'!D340/100</f>
        <v>1.00467857142857</v>
      </c>
      <c r="D333" s="108">
        <f>VLOOKUP(ROW(D333)+4,'Water runs'!$BS$3:$CF$423,MATCH($B$1,Scenarios,0)+1)</f>
        <v>3.1419092787749708E-2</v>
      </c>
      <c r="E333" s="54">
        <f>IF(B333=Variables!$D$8,C333-Variables!$E$8,IF(B333=Variables!$D$9,C333-Variables!$E$9,IF(B333=Variables!$D$10,C333-Variables!$E$10,IF(B333=Variables!$D$11,C333-Variables!$E$11,"ELSE"))))</f>
        <v>0.43291094576719424</v>
      </c>
      <c r="F333" s="108">
        <f>VLOOKUP(ROW(F333)+4,'Water runs'!$CH$3:$CU$423,MATCH($B$1,Scenarios,0)+1)</f>
        <v>0</v>
      </c>
      <c r="G333" s="65">
        <f ca="1">H333/Variables!$E$49</f>
        <v>0.58892588443443872</v>
      </c>
      <c r="H333" s="62">
        <f ca="1">IF((H332+I333)&gt;(1.1*Variables!$E$50),(1.1*Variables!$E$50),IF((H332+I333)&gt;0,H332+I333,0))</f>
        <v>3.6513404834935201</v>
      </c>
      <c r="I333" s="64">
        <f t="shared" ca="1" si="10"/>
        <v>-3.621452885835085</v>
      </c>
      <c r="J333" s="63">
        <f>IF(SUM(E329:E332)&lt;Variables!$B$3,-H332,0)</f>
        <v>0</v>
      </c>
      <c r="K333" s="64">
        <f ca="1">IF(AND(H332&lt;Variables!$B$6*Variables!$E$50,OR(SUM(D330:D333)&gt;Variables!$B$5,SUM(E330:E333)&gt;Variables!$B$4)),Variables!$B$6*Variables!$E$50+Variables!$B$7*$G$1*Variables!$E$50*SUM(D330:D333),0)</f>
        <v>0</v>
      </c>
      <c r="L333" s="64">
        <f ca="1">IF(B333="Winter",Variables!$B$8*H332,0)</f>
        <v>-3.621452885835085</v>
      </c>
      <c r="M333" s="64">
        <f ca="1">IF(AND(B333="Spring",AND(NOT(H332=0),H332&lt;(Variables!$B$9*Variables!$E$50))),(Variables!$B$10*Variables!$E$50+Variables!$B$11*Variables!$E$50*SUM(E330:E333)+$G$1*SUM(D332:D333)*Variables!$E$50*Variables!$B$12),0)</f>
        <v>0</v>
      </c>
      <c r="N333" s="64">
        <f>IF(AND(B333="Spring",AND(SUM(D330:D333)&gt;Variables!$B$13,SUM(D326:D329)&gt;Variables!$B$13)),-Variables!$B$14*Variables!$E$50,0)</f>
        <v>0</v>
      </c>
      <c r="O333" s="64">
        <f>IF(AND(B333="Summer",SUM(C329:D333)&gt;Variables!$B$15),(Variables!$B$16*Variables!$E$50*SUM(C329:C333)+$G$1*Variables!$B$16*Variables!$E$50*SUM(D329:D333)+$G$1*Variables!$E$50*Variables!$B$17*F333),0)</f>
        <v>0</v>
      </c>
      <c r="P333" s="64">
        <f ca="1">IF(AND(AND(B333="Autumn",SUM(D332:E333)&gt;0),NOT(H332=0)),Variables!$B$18*Variables!$E$50+Variables!$B$19*Variables!$E$50*SUM(E332:E333)+$G$1*Variables!$B$19*Variables!$E$50*SUM(D332:D333),0)</f>
        <v>0</v>
      </c>
      <c r="Q333" s="64">
        <f>IF(AND(B333="Autumn",AND((E333+E332)&lt;Variables!$B$20,(D332+D333)=0)),-Variables!$B$21*Variables!$E$50,0)</f>
        <v>0</v>
      </c>
      <c r="R333" s="64">
        <f>IF(B333="Autumn",(SUM(F332:F333)*$G$1*Variables!$B$22*Variables!$E$50),0)</f>
        <v>0</v>
      </c>
      <c r="S333" s="64">
        <f>IF(B333="Spring",($G$1*Variables!$E$50*SUM('Guts (MC)'!F332:F333)*Variables!$B$23),0)</f>
        <v>0</v>
      </c>
      <c r="T333" s="63">
        <f ca="1">IF((H332+SUM(J333:Q333))&lt;(Variables!$B$26*Variables!$E$50),$F$1*((Variables!$B$26*Variables!$E$50)-H332-SUM(J333:Q333)),0)</f>
        <v>0</v>
      </c>
      <c r="U333" s="64">
        <f ca="1">IF(AND(AND(B333="Autumn",SUM(D330:E333)&gt;Variables!$B$27),SUM(J333:Q333)&lt;Variables!$B$28*H332),$F$1*(Variables!$B$28*H332-SUM(J333:Q333)),0)</f>
        <v>0</v>
      </c>
      <c r="V333" s="96">
        <f ca="1">IF(AND((J333+K333)=0,(Q333+T333)=0),$H$1*H333*Variables!$I$23*0.25,0)</f>
        <v>44.506107608043088</v>
      </c>
      <c r="W333" s="97">
        <f ca="1">IF(AND((K333+J333)=0,(T333+Q333)=0),$I$1*H333*Variables!$Q$23*0.25,0)</f>
        <v>14.313740219519577</v>
      </c>
      <c r="X333" s="95">
        <f ca="1">IF(AND(NOT(K333=0),(H333-H332)&gt;0),(H333-H332)*(Variables!$M$5*$H$1+Variables!$U$5*$I$1),0)+IF(AND(NOT((J333+N333+Q333)=0),(H332-H333)&gt;0),(H332-H333)*(Variables!$M$4*$H$1+Variables!$U$4*$I$1),0)</f>
        <v>0</v>
      </c>
      <c r="Y333" s="95">
        <f ca="1">IF(SUM(T333,U332:U333)&gt;0,H333*Variables!$Y$11*0.25*(1-$J$1),0)</f>
        <v>0</v>
      </c>
      <c r="Z333" s="95">
        <f ca="1">IF(T333=0,H333*$J$1*Variables!$Y$5*0.25,0)</f>
        <v>4.1088053828645572</v>
      </c>
      <c r="AA333" s="95">
        <f t="shared" ca="1" si="9"/>
        <v>62.928653210427228</v>
      </c>
      <c r="AB333" s="91">
        <f ca="1">AA333/Variables!$E$49</f>
        <v>10.149782775875359</v>
      </c>
    </row>
    <row r="334" spans="1:28" x14ac:dyDescent="0.25">
      <c r="A334" s="61">
        <f>'Water runs'!C341</f>
        <v>32477</v>
      </c>
      <c r="B334" s="61" t="str">
        <f>'Water runs'!B341</f>
        <v>Spring</v>
      </c>
      <c r="C334" s="54">
        <f>'Water runs'!D341/100</f>
        <v>0.52187499999999998</v>
      </c>
      <c r="D334" s="108">
        <f>VLOOKUP(ROW(D334)+4,'Water runs'!$BS$3:$CF$423,MATCH($B$1,Scenarios,0)+1)</f>
        <v>0</v>
      </c>
      <c r="E334" s="54">
        <f>IF(B334=Variables!$D$8,C334-Variables!$E$8,IF(B334=Variables!$D$9,C334-Variables!$E$9,IF(B334=Variables!$D$10,C334-Variables!$E$10,IF(B334=Variables!$D$11,C334-Variables!$E$11,"ELSE"))))</f>
        <v>-0.24210720899470917</v>
      </c>
      <c r="F334" s="108">
        <f>VLOOKUP(ROW(F334)+4,'Water runs'!$CH$3:$CU$423,MATCH($B$1,Scenarios,0)+1)</f>
        <v>0</v>
      </c>
      <c r="G334" s="65">
        <f ca="1">H334/Variables!$E$49</f>
        <v>0.58892588443443872</v>
      </c>
      <c r="H334" s="62">
        <f ca="1">IF((H333+I334)&gt;(1.1*Variables!$E$50),(1.1*Variables!$E$50),IF((H333+I334)&gt;0,H333+I334,0))</f>
        <v>3.6513404834935201</v>
      </c>
      <c r="I334" s="64">
        <f t="shared" ca="1" si="10"/>
        <v>0</v>
      </c>
      <c r="J334" s="63">
        <f>IF(SUM(E330:E333)&lt;Variables!$B$3,-H333,0)</f>
        <v>0</v>
      </c>
      <c r="K334" s="64">
        <f ca="1">IF(AND(H333&lt;Variables!$B$6*Variables!$E$50,OR(SUM(D331:D334)&gt;Variables!$B$5,SUM(E331:E334)&gt;Variables!$B$4)),Variables!$B$6*Variables!$E$50+Variables!$B$7*$G$1*Variables!$E$50*SUM(D331:D334),0)</f>
        <v>0</v>
      </c>
      <c r="L334" s="64">
        <f>IF(B334="Winter",Variables!$B$8*H333,0)</f>
        <v>0</v>
      </c>
      <c r="M334" s="64">
        <f ca="1">IF(AND(B334="Spring",AND(NOT(H333=0),H333&lt;(Variables!$B$9*Variables!$E$50))),(Variables!$B$10*Variables!$E$50+Variables!$B$11*Variables!$E$50*SUM(E331:E334)+$G$1*SUM(D333:D334)*Variables!$E$50*Variables!$B$12),0)</f>
        <v>0</v>
      </c>
      <c r="N334" s="64">
        <f>IF(AND(B334="Spring",AND(SUM(D331:D334)&gt;Variables!$B$13,SUM(D327:D330)&gt;Variables!$B$13)),-Variables!$B$14*Variables!$E$50,0)</f>
        <v>0</v>
      </c>
      <c r="O334" s="64">
        <f>IF(AND(B334="Summer",SUM(C330:D334)&gt;Variables!$B$15),(Variables!$B$16*Variables!$E$50*SUM(C330:C334)+$G$1*Variables!$B$16*Variables!$E$50*SUM(D330:D334)+$G$1*Variables!$E$50*Variables!$B$17*F334),0)</f>
        <v>0</v>
      </c>
      <c r="P334" s="64">
        <f ca="1">IF(AND(AND(B334="Autumn",SUM(D333:E334)&gt;0),NOT(H333=0)),Variables!$B$18*Variables!$E$50+Variables!$B$19*Variables!$E$50*SUM(E333:E334)+$G$1*Variables!$B$19*Variables!$E$50*SUM(D333:D334),0)</f>
        <v>0</v>
      </c>
      <c r="Q334" s="64">
        <f>IF(AND(B334="Autumn",AND((E334+E333)&lt;Variables!$B$20,(D333+D334)=0)),-Variables!$B$21*Variables!$E$50,0)</f>
        <v>0</v>
      </c>
      <c r="R334" s="64">
        <f>IF(B334="Autumn",(SUM(F333:F334)*$G$1*Variables!$B$22*Variables!$E$50),0)</f>
        <v>0</v>
      </c>
      <c r="S334" s="64">
        <f ca="1">IF(B334="Spring",($G$1*Variables!$E$50*SUM('Guts (MC)'!F333:F334)*Variables!$B$23),0)</f>
        <v>0</v>
      </c>
      <c r="T334" s="63">
        <f ca="1">IF((H333+SUM(J334:Q334))&lt;(Variables!$B$26*Variables!$E$50),$F$1*((Variables!$B$26*Variables!$E$50)-H333-SUM(J334:Q334)),0)</f>
        <v>0</v>
      </c>
      <c r="U334" s="64">
        <f ca="1">IF(AND(AND(B334="Autumn",SUM(D331:E334)&gt;Variables!$B$27),SUM(J334:Q334)&lt;Variables!$B$28*H333),$F$1*(Variables!$B$28*H333-SUM(J334:Q334)),0)</f>
        <v>0</v>
      </c>
      <c r="V334" s="96">
        <f ca="1">IF(AND((J334+K334)=0,(Q334+T334)=0),$H$1*H334*Variables!$I$23*0.25,0)</f>
        <v>44.506107608043088</v>
      </c>
      <c r="W334" s="97">
        <f ca="1">IF(AND((K334+J334)=0,(T334+Q334)=0),$I$1*H334*Variables!$Q$23*0.25,0)</f>
        <v>14.313740219519577</v>
      </c>
      <c r="X334" s="95">
        <f ca="1">IF(AND(NOT(K334=0),(H334-H333)&gt;0),(H334-H333)*(Variables!$M$5*$H$1+Variables!$U$5*$I$1),0)+IF(AND(NOT((J334+N334+Q334)=0),(H333-H334)&gt;0),(H333-H334)*(Variables!$M$4*$H$1+Variables!$U$4*$I$1),0)</f>
        <v>0</v>
      </c>
      <c r="Y334" s="95">
        <f ca="1">IF(SUM(T334,U333:U334)&gt;0,H334*Variables!$Y$11*0.25*(1-$J$1),0)</f>
        <v>0</v>
      </c>
      <c r="Z334" s="95">
        <f ca="1">IF(T334=0,H334*$J$1*Variables!$Y$5*0.25,0)</f>
        <v>4.1088053828645572</v>
      </c>
      <c r="AA334" s="95">
        <f t="shared" ca="1" si="9"/>
        <v>62.928653210427228</v>
      </c>
      <c r="AB334" s="91">
        <f ca="1">AA334/Variables!$E$49</f>
        <v>10.149782775875359</v>
      </c>
    </row>
    <row r="335" spans="1:28" x14ac:dyDescent="0.25">
      <c r="A335" s="61">
        <f>'Water runs'!C342</f>
        <v>32567</v>
      </c>
      <c r="B335" s="61" t="str">
        <f>'Water runs'!B342</f>
        <v>Summer</v>
      </c>
      <c r="C335" s="54">
        <f>'Water runs'!D342/100</f>
        <v>0.71280357142857198</v>
      </c>
      <c r="D335" s="108">
        <f>VLOOKUP(ROW(D335)+4,'Water runs'!$BS$3:$CF$423,MATCH($B$1,Scenarios,0)+1)</f>
        <v>0</v>
      </c>
      <c r="E335" s="54">
        <f>IF(B335=Variables!$D$8,C335-Variables!$E$8,IF(B335=Variables!$D$9,C335-Variables!$E$9,IF(B335=Variables!$D$10,C335-Variables!$E$10,IF(B335=Variables!$D$11,C335-Variables!$E$11,"ELSE"))))</f>
        <v>-0.54556656462584974</v>
      </c>
      <c r="F335" s="108">
        <f>VLOOKUP(ROW(F335)+4,'Water runs'!$CH$3:$CU$423,MATCH($B$1,Scenarios,0)+1)</f>
        <v>0</v>
      </c>
      <c r="G335" s="65">
        <f ca="1">H335/Variables!$E$49</f>
        <v>0.98463681956192672</v>
      </c>
      <c r="H335" s="62">
        <f ca="1">IF((H334+I335)&gt;(1.1*Variables!$E$50),(1.1*Variables!$E$50),IF((H334+I335)&gt;0,H334+I335,0))</f>
        <v>6.1047482812839462</v>
      </c>
      <c r="I335" s="64">
        <f t="shared" ca="1" si="10"/>
        <v>2.4534077977904256</v>
      </c>
      <c r="J335" s="63">
        <f>IF(SUM(E331:E334)&lt;Variables!$B$3,-H334,0)</f>
        <v>0</v>
      </c>
      <c r="K335" s="64">
        <f ca="1">IF(AND(H334&lt;Variables!$B$6*Variables!$E$50,OR(SUM(D332:D335)&gt;Variables!$B$5,SUM(E332:E335)&gt;Variables!$B$4)),Variables!$B$6*Variables!$E$50+Variables!$B$7*$G$1*Variables!$E$50*SUM(D332:D335),0)</f>
        <v>0</v>
      </c>
      <c r="L335" s="64">
        <f>IF(B335="Winter",Variables!$B$8*H334,0)</f>
        <v>0</v>
      </c>
      <c r="M335" s="64">
        <f ca="1">IF(AND(B335="Spring",AND(NOT(H334=0),H334&lt;(Variables!$B$9*Variables!$E$50))),(Variables!$B$10*Variables!$E$50+Variables!$B$11*Variables!$E$50*SUM(E332:E335)+$G$1*SUM(D334:D335)*Variables!$E$50*Variables!$B$12),0)</f>
        <v>0</v>
      </c>
      <c r="N335" s="64">
        <f>IF(AND(B335="Spring",AND(SUM(D332:D335)&gt;Variables!$B$13,SUM(D328:D331)&gt;Variables!$B$13)),-Variables!$B$14*Variables!$E$50,0)</f>
        <v>0</v>
      </c>
      <c r="O335" s="64">
        <f ca="1">IF(AND(B335="Summer",SUM(C331:D335)&gt;Variables!$B$15),(Variables!$B$16*Variables!$E$50*SUM(C331:C335)+$G$1*Variables!$B$16*Variables!$E$50*SUM(D331:D335)+$G$1*Variables!$E$50*Variables!$B$17*F335),0)</f>
        <v>2.4534077977904256</v>
      </c>
      <c r="P335" s="64">
        <f ca="1">IF(AND(AND(B335="Autumn",SUM(D334:E335)&gt;0),NOT(H334=0)),Variables!$B$18*Variables!$E$50+Variables!$B$19*Variables!$E$50*SUM(E334:E335)+$G$1*Variables!$B$19*Variables!$E$50*SUM(D334:D335),0)</f>
        <v>0</v>
      </c>
      <c r="Q335" s="64">
        <f>IF(AND(B335="Autumn",AND((E335+E334)&lt;Variables!$B$20,(D334+D335)=0)),-Variables!$B$21*Variables!$E$50,0)</f>
        <v>0</v>
      </c>
      <c r="R335" s="64">
        <f>IF(B335="Autumn",(SUM(F334:F335)*$G$1*Variables!$B$22*Variables!$E$50),0)</f>
        <v>0</v>
      </c>
      <c r="S335" s="64">
        <f>IF(B335="Spring",($G$1*Variables!$E$50*SUM('Guts (MC)'!F334:F335)*Variables!$B$23),0)</f>
        <v>0</v>
      </c>
      <c r="T335" s="63">
        <f ca="1">IF((H334+SUM(J335:Q335))&lt;(Variables!$B$26*Variables!$E$50),$F$1*((Variables!$B$26*Variables!$E$50)-H334-SUM(J335:Q335)),0)</f>
        <v>0</v>
      </c>
      <c r="U335" s="64">
        <f ca="1">IF(AND(AND(B335="Autumn",SUM(D332:E335)&gt;Variables!$B$27),SUM(J335:Q335)&lt;Variables!$B$28*H334),$F$1*(Variables!$B$28*H334-SUM(J335:Q335)),0)</f>
        <v>0</v>
      </c>
      <c r="V335" s="96">
        <f ca="1">IF(AND((J335+K335)=0,(Q335+T335)=0),$H$1*H335*Variables!$I$23*0.25,0)</f>
        <v>74.410640463439975</v>
      </c>
      <c r="W335" s="97">
        <f ca="1">IF(AND((K335+J335)=0,(T335+Q335)=0),$I$1*H335*Variables!$Q$23*0.25,0)</f>
        <v>23.931425020175638</v>
      </c>
      <c r="X335" s="95">
        <f ca="1">IF(AND(NOT(K335=0),(H335-H334)&gt;0),(H335-H334)*(Variables!$M$5*$H$1+Variables!$U$5*$I$1),0)+IF(AND(NOT((J335+N335+Q335)=0),(H334-H335)&gt;0),(H334-H335)*(Variables!$M$4*$H$1+Variables!$U$4*$I$1),0)</f>
        <v>0</v>
      </c>
      <c r="Y335" s="95">
        <f ca="1">IF(SUM(T335,U334:U335)&gt;0,H335*Variables!$Y$11*0.25*(1-$J$1),0)</f>
        <v>0</v>
      </c>
      <c r="Z335" s="95">
        <f ca="1">IF(T335=0,H335*$J$1*Variables!$Y$5*0.25,0)</f>
        <v>6.8695928830974342</v>
      </c>
      <c r="AA335" s="95">
        <f t="shared" ca="1" si="9"/>
        <v>105.21165836671305</v>
      </c>
      <c r="AB335" s="91">
        <f ca="1">AA335/Variables!$E$49</f>
        <v>16.969622317211783</v>
      </c>
    </row>
    <row r="336" spans="1:28" x14ac:dyDescent="0.25">
      <c r="A336" s="61">
        <f>'Water runs'!C343</f>
        <v>32659</v>
      </c>
      <c r="B336" s="61" t="str">
        <f>'Water runs'!B343</f>
        <v>Autumn</v>
      </c>
      <c r="C336" s="54">
        <f>'Water runs'!D343/100</f>
        <v>2.22266071428571</v>
      </c>
      <c r="D336" s="108">
        <f>VLOOKUP(ROW(D336)+4,'Water runs'!$BS$3:$CF$423,MATCH($B$1,Scenarios,0)+1)</f>
        <v>0.13987680029137206</v>
      </c>
      <c r="E336" s="54">
        <f>IF(B336=Variables!$D$8,C336-Variables!$E$8,IF(B336=Variables!$D$9,C336-Variables!$E$9,IF(B336=Variables!$D$10,C336-Variables!$E$10,IF(B336=Variables!$D$11,C336-Variables!$E$11,"ELSE"))))</f>
        <v>1.2280174149659822</v>
      </c>
      <c r="F336" s="108">
        <f>VLOOKUP(ROW(F336)+4,'Water runs'!$CH$3:$CU$423,MATCH($B$1,Scenarios,0)+1)</f>
        <v>8.5465047229194208E-2</v>
      </c>
      <c r="G336" s="65">
        <f ca="1">H336/Variables!$E$49</f>
        <v>1.4298102809745297</v>
      </c>
      <c r="H336" s="62">
        <f ca="1">IF((H335+I336)&gt;(1.1*Variables!$E$50),(1.1*Variables!$E$50),IF((H335+I336)&gt;0,H335+I336,0))</f>
        <v>8.8648237420420841</v>
      </c>
      <c r="I336" s="64">
        <f t="shared" ca="1" si="10"/>
        <v>2.7600754607581384</v>
      </c>
      <c r="J336" s="63">
        <f>IF(SUM(E332:E335)&lt;Variables!$B$3,-H335,0)</f>
        <v>0</v>
      </c>
      <c r="K336" s="64">
        <f ca="1">IF(AND(H335&lt;Variables!$B$6*Variables!$E$50,OR(SUM(D333:D336)&gt;Variables!$B$5,SUM(E333:E336)&gt;Variables!$B$4)),Variables!$B$6*Variables!$E$50+Variables!$B$7*$G$1*Variables!$E$50*SUM(D333:D336),0)</f>
        <v>0</v>
      </c>
      <c r="L336" s="64">
        <f>IF(B336="Winter",Variables!$B$8*H335,0)</f>
        <v>0</v>
      </c>
      <c r="M336" s="64">
        <f ca="1">IF(AND(B336="Spring",AND(NOT(H335=0),H335&lt;(Variables!$B$9*Variables!$E$50))),(Variables!$B$10*Variables!$E$50+Variables!$B$11*Variables!$E$50*SUM(E333:E336)+$G$1*SUM(D335:D336)*Variables!$E$50*Variables!$B$12),0)</f>
        <v>0</v>
      </c>
      <c r="N336" s="64">
        <f>IF(AND(B336="Spring",AND(SUM(D333:D336)&gt;Variables!$B$13,SUM(D329:D332)&gt;Variables!$B$13)),-Variables!$B$14*Variables!$E$50,0)</f>
        <v>0</v>
      </c>
      <c r="O336" s="64">
        <f>IF(AND(B336="Summer",SUM(C332:D336)&gt;Variables!$B$15),(Variables!$B$16*Variables!$E$50*SUM(C332:C336)+$G$1*Variables!$B$16*Variables!$E$50*SUM(D332:D336)+$G$1*Variables!$E$50*Variables!$B$17*F336),0)</f>
        <v>0</v>
      </c>
      <c r="P336" s="64">
        <f ca="1">IF(AND(AND(B336="Autumn",SUM(D335:E336)&gt;0),NOT(H335=0)),Variables!$B$18*Variables!$E$50+Variables!$B$19*Variables!$E$50*SUM(E335:E336)+$G$1*Variables!$B$19*Variables!$E$50*SUM(D335:D336),0)</f>
        <v>2.1019658150874738</v>
      </c>
      <c r="Q336" s="64">
        <f>IF(AND(B336="Autumn",AND((E336+E335)&lt;Variables!$B$20,(D335+D336)=0)),-Variables!$B$21*Variables!$E$50,0)</f>
        <v>0</v>
      </c>
      <c r="R336" s="64">
        <f ca="1">IF(B336="Autumn",(SUM(F335:F336)*$G$1*Variables!$B$22*Variables!$E$50),0)</f>
        <v>1.2938734180362196E-2</v>
      </c>
      <c r="S336" s="64">
        <f>IF(B336="Spring",($G$1*Variables!$E$50*SUM('Guts (MC)'!F335:F336)*Variables!$B$23),0)</f>
        <v>0</v>
      </c>
      <c r="T336" s="63">
        <f ca="1">IF((H335+SUM(J336:Q336))&lt;(Variables!$B$26*Variables!$E$50),$F$1*((Variables!$B$26*Variables!$E$50)-H335-SUM(J336:Q336)),0)</f>
        <v>0</v>
      </c>
      <c r="U336" s="64">
        <f ca="1">IF(AND(AND(B336="Autumn",SUM(D333:E336)&gt;Variables!$B$27),SUM(J336:Q336)&lt;Variables!$B$28*H335),$F$1*(Variables!$B$28*H335-SUM(J336:Q336)),0)</f>
        <v>0.64517091149030215</v>
      </c>
      <c r="V336" s="96">
        <f ca="1">IF(AND((J336+K336)=0,(Q336+T336)=0),$H$1*H336*Variables!$I$23*0.25,0)</f>
        <v>108.0531386139521</v>
      </c>
      <c r="W336" s="97">
        <f ca="1">IF(AND((K336+J336)=0,(T336+Q336)=0),$I$1*H336*Variables!$Q$23*0.25,0)</f>
        <v>34.751287837724597</v>
      </c>
      <c r="X336" s="95">
        <f ca="1">IF(AND(NOT(K336=0),(H336-H335)&gt;0),(H336-H335)*(Variables!$M$5*$H$1+Variables!$U$5*$I$1),0)+IF(AND(NOT((J336+N336+Q336)=0),(H335-H336)&gt;0),(H335-H336)*(Variables!$M$4*$H$1+Variables!$U$4*$I$1),0)</f>
        <v>0</v>
      </c>
      <c r="Y336" s="95">
        <f ca="1">IF(SUM(T336,U335:U336)&gt;0,H336*Variables!$Y$11*0.25*(1-$J$1),0)</f>
        <v>-76.966429382000072</v>
      </c>
      <c r="Z336" s="95">
        <f ca="1">IF(T336=0,H336*$J$1*Variables!$Y$5*0.25,0)</f>
        <v>9.9754694677497007</v>
      </c>
      <c r="AA336" s="95">
        <f t="shared" ref="AA336:AA399" ca="1" si="11">SUM(V336:Z336)</f>
        <v>75.813466537426336</v>
      </c>
      <c r="AB336" s="91">
        <f ca="1">AA336/Variables!$E$49</f>
        <v>12.227978473778441</v>
      </c>
    </row>
    <row r="337" spans="1:28" x14ac:dyDescent="0.25">
      <c r="A337" s="61">
        <f>'Water runs'!C344</f>
        <v>32751</v>
      </c>
      <c r="B337" s="61" t="str">
        <f>'Water runs'!B344</f>
        <v>Winter</v>
      </c>
      <c r="C337" s="54">
        <f>'Water runs'!D344/100</f>
        <v>0.33007142857142902</v>
      </c>
      <c r="D337" s="108">
        <f>VLOOKUP(ROW(D337)+4,'Water runs'!$BS$3:$CF$423,MATCH($B$1,Scenarios,0)+1)</f>
        <v>1.5091172535016113E-2</v>
      </c>
      <c r="E337" s="54">
        <f>IF(B337=Variables!$D$8,C337-Variables!$E$8,IF(B337=Variables!$D$9,C337-Variables!$E$9,IF(B337=Variables!$D$10,C337-Variables!$E$10,IF(B337=Variables!$D$11,C337-Variables!$E$11,"ELSE"))))</f>
        <v>-0.24169619708994672</v>
      </c>
      <c r="F337" s="108">
        <f>VLOOKUP(ROW(F337)+4,'Water runs'!$CH$3:$CU$423,MATCH($B$1,Scenarios,0)+1)</f>
        <v>0</v>
      </c>
      <c r="G337" s="65">
        <f ca="1">H337/Variables!$E$49</f>
        <v>0.71784304840211632</v>
      </c>
      <c r="H337" s="62">
        <f ca="1">IF((H336+I337)&gt;(1.1*Variables!$E$50),(1.1*Variables!$E$50),IF((H336+I337)&gt;0,H336+I337,0))</f>
        <v>4.4506269000931216</v>
      </c>
      <c r="I337" s="64">
        <f t="shared" ca="1" si="10"/>
        <v>-4.4141968419489626</v>
      </c>
      <c r="J337" s="63">
        <f>IF(SUM(E333:E336)&lt;Variables!$B$3,-H336,0)</f>
        <v>0</v>
      </c>
      <c r="K337" s="64">
        <f ca="1">IF(AND(H336&lt;Variables!$B$6*Variables!$E$50,OR(SUM(D334:D337)&gt;Variables!$B$5,SUM(E334:E337)&gt;Variables!$B$4)),Variables!$B$6*Variables!$E$50+Variables!$B$7*$G$1*Variables!$E$50*SUM(D334:D337),0)</f>
        <v>0</v>
      </c>
      <c r="L337" s="64">
        <f ca="1">IF(B337="Winter",Variables!$B$8*H336,0)</f>
        <v>-4.4141968419489626</v>
      </c>
      <c r="M337" s="64">
        <f ca="1">IF(AND(B337="Spring",AND(NOT(H336=0),H336&lt;(Variables!$B$9*Variables!$E$50))),(Variables!$B$10*Variables!$E$50+Variables!$B$11*Variables!$E$50*SUM(E334:E337)+$G$1*SUM(D336:D337)*Variables!$E$50*Variables!$B$12),0)</f>
        <v>0</v>
      </c>
      <c r="N337" s="64">
        <f>IF(AND(B337="Spring",AND(SUM(D334:D337)&gt;Variables!$B$13,SUM(D330:D333)&gt;Variables!$B$13)),-Variables!$B$14*Variables!$E$50,0)</f>
        <v>0</v>
      </c>
      <c r="O337" s="64">
        <f>IF(AND(B337="Summer",SUM(C333:D337)&gt;Variables!$B$15),(Variables!$B$16*Variables!$E$50*SUM(C333:C337)+$G$1*Variables!$B$16*Variables!$E$50*SUM(D333:D337)+$G$1*Variables!$E$50*Variables!$B$17*F337),0)</f>
        <v>0</v>
      </c>
      <c r="P337" s="64">
        <f ca="1">IF(AND(AND(B337="Autumn",SUM(D336:E337)&gt;0),NOT(H336=0)),Variables!$B$18*Variables!$E$50+Variables!$B$19*Variables!$E$50*SUM(E336:E337)+$G$1*Variables!$B$19*Variables!$E$50*SUM(D336:D337),0)</f>
        <v>0</v>
      </c>
      <c r="Q337" s="64">
        <f>IF(AND(B337="Autumn",AND((E337+E336)&lt;Variables!$B$20,(D336+D337)=0)),-Variables!$B$21*Variables!$E$50,0)</f>
        <v>0</v>
      </c>
      <c r="R337" s="64">
        <f>IF(B337="Autumn",(SUM(F336:F337)*$G$1*Variables!$B$22*Variables!$E$50),0)</f>
        <v>0</v>
      </c>
      <c r="S337" s="64">
        <f>IF(B337="Spring",($G$1*Variables!$E$50*SUM('Guts (MC)'!F336:F337)*Variables!$B$23),0)</f>
        <v>0</v>
      </c>
      <c r="T337" s="63">
        <f ca="1">IF((H336+SUM(J337:Q337))&lt;(Variables!$B$26*Variables!$E$50),$F$1*((Variables!$B$26*Variables!$E$50)-H336-SUM(J337:Q337)),0)</f>
        <v>0</v>
      </c>
      <c r="U337" s="64">
        <f ca="1">IF(AND(AND(B337="Autumn",SUM(D334:E337)&gt;Variables!$B$27),SUM(J337:Q337)&lt;Variables!$B$28*H336),$F$1*(Variables!$B$28*H336-SUM(J337:Q337)),0)</f>
        <v>0</v>
      </c>
      <c r="V337" s="96">
        <f ca="1">IF(AND((J337+K337)=0,(Q337+T337)=0),$H$1*H337*Variables!$I$23*0.25,0)</f>
        <v>54.248591889540023</v>
      </c>
      <c r="W337" s="97">
        <f ca="1">IF(AND((K337+J337)=0,(T337+Q337)=0),$I$1*H337*Variables!$Q$23*0.25,0)</f>
        <v>17.447049254904609</v>
      </c>
      <c r="X337" s="95">
        <f ca="1">IF(AND(NOT(K337=0),(H337-H336)&gt;0),(H337-H336)*(Variables!$M$5*$H$1+Variables!$U$5*$I$1),0)+IF(AND(NOT((J337+N337+Q337)=0),(H336-H337)&gt;0),(H336-H337)*(Variables!$M$4*$H$1+Variables!$U$4*$I$1),0)</f>
        <v>0</v>
      </c>
      <c r="Y337" s="95">
        <f ca="1">IF(SUM(T337,U336:U337)&gt;0,H337*Variables!$Y$11*0.25*(1-$J$1),0)</f>
        <v>-38.641361743841976</v>
      </c>
      <c r="Z337" s="95">
        <f ca="1">IF(T337=0,H337*$J$1*Variables!$Y$5*0.25,0)</f>
        <v>5.008231866322161</v>
      </c>
      <c r="AA337" s="95">
        <f t="shared" ca="1" si="11"/>
        <v>38.062511266924822</v>
      </c>
      <c r="AB337" s="91">
        <f ca="1">AA337/Variables!$E$49</f>
        <v>6.1391147204717456</v>
      </c>
    </row>
    <row r="338" spans="1:28" x14ac:dyDescent="0.25">
      <c r="A338" s="61">
        <f>'Water runs'!C345</f>
        <v>32842</v>
      </c>
      <c r="B338" s="61" t="str">
        <f>'Water runs'!B345</f>
        <v>Spring</v>
      </c>
      <c r="C338" s="54">
        <f>'Water runs'!D345/100</f>
        <v>0.28312500000000002</v>
      </c>
      <c r="D338" s="108">
        <f>VLOOKUP(ROW(D338)+4,'Water runs'!$BS$3:$CF$423,MATCH($B$1,Scenarios,0)+1)</f>
        <v>6.4034552925993082E-2</v>
      </c>
      <c r="E338" s="54">
        <f>IF(B338=Variables!$D$8,C338-Variables!$E$8,IF(B338=Variables!$D$9,C338-Variables!$E$9,IF(B338=Variables!$D$10,C338-Variables!$E$10,IF(B338=Variables!$D$11,C338-Variables!$E$11,"ELSE"))))</f>
        <v>-0.48085720899470913</v>
      </c>
      <c r="F338" s="108">
        <f>VLOOKUP(ROW(F338)+4,'Water runs'!$CH$3:$CU$423,MATCH($B$1,Scenarios,0)+1)</f>
        <v>0</v>
      </c>
      <c r="G338" s="65">
        <f ca="1">H338/Variables!$E$49</f>
        <v>0.71784304840211632</v>
      </c>
      <c r="H338" s="62">
        <f ca="1">IF((H337+I338)&gt;(1.1*Variables!$E$50),(1.1*Variables!$E$50),IF((H337+I338)&gt;0,H337+I338,0))</f>
        <v>4.4506269000931216</v>
      </c>
      <c r="I338" s="64">
        <f t="shared" ca="1" si="10"/>
        <v>0</v>
      </c>
      <c r="J338" s="63">
        <f>IF(SUM(E334:E337)&lt;Variables!$B$3,-H337,0)</f>
        <v>0</v>
      </c>
      <c r="K338" s="64">
        <f ca="1">IF(AND(H337&lt;Variables!$B$6*Variables!$E$50,OR(SUM(D335:D338)&gt;Variables!$B$5,SUM(E335:E338)&gt;Variables!$B$4)),Variables!$B$6*Variables!$E$50+Variables!$B$7*$G$1*Variables!$E$50*SUM(D335:D338),0)</f>
        <v>0</v>
      </c>
      <c r="L338" s="64">
        <f>IF(B338="Winter",Variables!$B$8*H337,0)</f>
        <v>0</v>
      </c>
      <c r="M338" s="64">
        <f ca="1">IF(AND(B338="Spring",AND(NOT(H337=0),H337&lt;(Variables!$B$9*Variables!$E$50))),(Variables!$B$10*Variables!$E$50+Variables!$B$11*Variables!$E$50*SUM(E335:E338)+$G$1*SUM(D337:D338)*Variables!$E$50*Variables!$B$12),0)</f>
        <v>0</v>
      </c>
      <c r="N338" s="64">
        <f>IF(AND(B338="Spring",AND(SUM(D335:D338)&gt;Variables!$B$13,SUM(D331:D334)&gt;Variables!$B$13)),-Variables!$B$14*Variables!$E$50,0)</f>
        <v>0</v>
      </c>
      <c r="O338" s="64">
        <f>IF(AND(B338="Summer",SUM(C334:D338)&gt;Variables!$B$15),(Variables!$B$16*Variables!$E$50*SUM(C334:C338)+$G$1*Variables!$B$16*Variables!$E$50*SUM(D334:D338)+$G$1*Variables!$E$50*Variables!$B$17*F338),0)</f>
        <v>0</v>
      </c>
      <c r="P338" s="64">
        <f ca="1">IF(AND(AND(B338="Autumn",SUM(D337:E338)&gt;0),NOT(H337=0)),Variables!$B$18*Variables!$E$50+Variables!$B$19*Variables!$E$50*SUM(E337:E338)+$G$1*Variables!$B$19*Variables!$E$50*SUM(D337:D338),0)</f>
        <v>0</v>
      </c>
      <c r="Q338" s="64">
        <f>IF(AND(B338="Autumn",AND((E338+E337)&lt;Variables!$B$20,(D337+D338)=0)),-Variables!$B$21*Variables!$E$50,0)</f>
        <v>0</v>
      </c>
      <c r="R338" s="64">
        <f>IF(B338="Autumn",(SUM(F337:F338)*$G$1*Variables!$B$22*Variables!$E$50),0)</f>
        <v>0</v>
      </c>
      <c r="S338" s="64">
        <f ca="1">IF(B338="Spring",($G$1*Variables!$E$50*SUM('Guts (MC)'!F337:F338)*Variables!$B$23),0)</f>
        <v>0</v>
      </c>
      <c r="T338" s="63">
        <f ca="1">IF((H337+SUM(J338:Q338))&lt;(Variables!$B$26*Variables!$E$50),$F$1*((Variables!$B$26*Variables!$E$50)-H337-SUM(J338:Q338)),0)</f>
        <v>0</v>
      </c>
      <c r="U338" s="64">
        <f ca="1">IF(AND(AND(B338="Autumn",SUM(D335:E338)&gt;Variables!$B$27),SUM(J338:Q338)&lt;Variables!$B$28*H337),$F$1*(Variables!$B$28*H337-SUM(J338:Q338)),0)</f>
        <v>0</v>
      </c>
      <c r="V338" s="96">
        <f ca="1">IF(AND((J338+K338)=0,(Q338+T338)=0),$H$1*H338*Variables!$I$23*0.25,0)</f>
        <v>54.248591889540023</v>
      </c>
      <c r="W338" s="97">
        <f ca="1">IF(AND((K338+J338)=0,(T338+Q338)=0),$I$1*H338*Variables!$Q$23*0.25,0)</f>
        <v>17.447049254904609</v>
      </c>
      <c r="X338" s="95">
        <f ca="1">IF(AND(NOT(K338=0),(H338-H337)&gt;0),(H338-H337)*(Variables!$M$5*$H$1+Variables!$U$5*$I$1),0)+IF(AND(NOT((J338+N338+Q338)=0),(H337-H338)&gt;0),(H337-H338)*(Variables!$M$4*$H$1+Variables!$U$4*$I$1),0)</f>
        <v>0</v>
      </c>
      <c r="Y338" s="95">
        <f ca="1">IF(SUM(T338,U337:U338)&gt;0,H338*Variables!$Y$11*0.25*(1-$J$1),0)</f>
        <v>0</v>
      </c>
      <c r="Z338" s="95">
        <f ca="1">IF(T338=0,H338*$J$1*Variables!$Y$5*0.25,0)</f>
        <v>5.008231866322161</v>
      </c>
      <c r="AA338" s="95">
        <f t="shared" ca="1" si="11"/>
        <v>76.703873010766799</v>
      </c>
      <c r="AB338" s="91">
        <f ca="1">AA338/Variables!$E$49</f>
        <v>12.371592421091419</v>
      </c>
    </row>
    <row r="339" spans="1:28" x14ac:dyDescent="0.25">
      <c r="A339" s="61">
        <f>'Water runs'!C346</f>
        <v>32932</v>
      </c>
      <c r="B339" s="61" t="str">
        <f>'Water runs'!B346</f>
        <v>Summer</v>
      </c>
      <c r="C339" s="54">
        <f>'Water runs'!D346/100</f>
        <v>0.75937500000000002</v>
      </c>
      <c r="D339" s="108">
        <f>VLOOKUP(ROW(D339)+4,'Water runs'!$BS$3:$CF$423,MATCH($B$1,Scenarios,0)+1)</f>
        <v>6.7229352568112175E-3</v>
      </c>
      <c r="E339" s="54">
        <f>IF(B339=Variables!$D$8,C339-Variables!$E$8,IF(B339=Variables!$D$9,C339-Variables!$E$9,IF(B339=Variables!$D$10,C339-Variables!$E$10,IF(B339=Variables!$D$11,C339-Variables!$E$11,"ELSE"))))</f>
        <v>-0.4989951360544217</v>
      </c>
      <c r="F339" s="108">
        <f>VLOOKUP(ROW(F339)+4,'Water runs'!$CH$3:$CU$423,MATCH($B$1,Scenarios,0)+1)</f>
        <v>0</v>
      </c>
      <c r="G339" s="65">
        <f ca="1">H339/Variables!$E$49</f>
        <v>0.71784304840211632</v>
      </c>
      <c r="H339" s="62">
        <f ca="1">IF((H338+I339)&gt;(1.1*Variables!$E$50),(1.1*Variables!$E$50),IF((H338+I339)&gt;0,H338+I339,0))</f>
        <v>4.4506269000931216</v>
      </c>
      <c r="I339" s="64">
        <f t="shared" ca="1" si="10"/>
        <v>0</v>
      </c>
      <c r="J339" s="63">
        <f>IF(SUM(E335:E338)&lt;Variables!$B$3,-H338,0)</f>
        <v>0</v>
      </c>
      <c r="K339" s="64">
        <f ca="1">IF(AND(H338&lt;Variables!$B$6*Variables!$E$50,OR(SUM(D336:D339)&gt;Variables!$B$5,SUM(E336:E339)&gt;Variables!$B$4)),Variables!$B$6*Variables!$E$50+Variables!$B$7*$G$1*Variables!$E$50*SUM(D336:D339),0)</f>
        <v>0</v>
      </c>
      <c r="L339" s="64">
        <f>IF(B339="Winter",Variables!$B$8*H338,0)</f>
        <v>0</v>
      </c>
      <c r="M339" s="64">
        <f ca="1">IF(AND(B339="Spring",AND(NOT(H338=0),H338&lt;(Variables!$B$9*Variables!$E$50))),(Variables!$B$10*Variables!$E$50+Variables!$B$11*Variables!$E$50*SUM(E336:E339)+$G$1*SUM(D338:D339)*Variables!$E$50*Variables!$B$12),0)</f>
        <v>0</v>
      </c>
      <c r="N339" s="64">
        <f>IF(AND(B339="Spring",AND(SUM(D336:D339)&gt;Variables!$B$13,SUM(D332:D335)&gt;Variables!$B$13)),-Variables!$B$14*Variables!$E$50,0)</f>
        <v>0</v>
      </c>
      <c r="O339" s="64">
        <f>IF(AND(B339="Summer",SUM(C335:D339)&gt;Variables!$B$15),(Variables!$B$16*Variables!$E$50*SUM(C335:C339)+$G$1*Variables!$B$16*Variables!$E$50*SUM(D335:D339)+$G$1*Variables!$E$50*Variables!$B$17*F339),0)</f>
        <v>0</v>
      </c>
      <c r="P339" s="64">
        <f ca="1">IF(AND(AND(B339="Autumn",SUM(D338:E339)&gt;0),NOT(H338=0)),Variables!$B$18*Variables!$E$50+Variables!$B$19*Variables!$E$50*SUM(E338:E339)+$G$1*Variables!$B$19*Variables!$E$50*SUM(D338:D339),0)</f>
        <v>0</v>
      </c>
      <c r="Q339" s="64">
        <f>IF(AND(B339="Autumn",AND((E339+E338)&lt;Variables!$B$20,(D338+D339)=0)),-Variables!$B$21*Variables!$E$50,0)</f>
        <v>0</v>
      </c>
      <c r="R339" s="64">
        <f>IF(B339="Autumn",(SUM(F338:F339)*$G$1*Variables!$B$22*Variables!$E$50),0)</f>
        <v>0</v>
      </c>
      <c r="S339" s="64">
        <f>IF(B339="Spring",($G$1*Variables!$E$50*SUM('Guts (MC)'!F338:F339)*Variables!$B$23),0)</f>
        <v>0</v>
      </c>
      <c r="T339" s="63">
        <f ca="1">IF((H338+SUM(J339:Q339))&lt;(Variables!$B$26*Variables!$E$50),$F$1*((Variables!$B$26*Variables!$E$50)-H338-SUM(J339:Q339)),0)</f>
        <v>0</v>
      </c>
      <c r="U339" s="64">
        <f ca="1">IF(AND(AND(B339="Autumn",SUM(D336:E339)&gt;Variables!$B$27),SUM(J339:Q339)&lt;Variables!$B$28*H338),$F$1*(Variables!$B$28*H338-SUM(J339:Q339)),0)</f>
        <v>0</v>
      </c>
      <c r="V339" s="96">
        <f ca="1">IF(AND((J339+K339)=0,(Q339+T339)=0),$H$1*H339*Variables!$I$23*0.25,0)</f>
        <v>54.248591889540023</v>
      </c>
      <c r="W339" s="97">
        <f ca="1">IF(AND((K339+J339)=0,(T339+Q339)=0),$I$1*H339*Variables!$Q$23*0.25,0)</f>
        <v>17.447049254904609</v>
      </c>
      <c r="X339" s="95">
        <f ca="1">IF(AND(NOT(K339=0),(H339-H338)&gt;0),(H339-H338)*(Variables!$M$5*$H$1+Variables!$U$5*$I$1),0)+IF(AND(NOT((J339+N339+Q339)=0),(H338-H339)&gt;0),(H338-H339)*(Variables!$M$4*$H$1+Variables!$U$4*$I$1),0)</f>
        <v>0</v>
      </c>
      <c r="Y339" s="95">
        <f ca="1">IF(SUM(T339,U338:U339)&gt;0,H339*Variables!$Y$11*0.25*(1-$J$1),0)</f>
        <v>0</v>
      </c>
      <c r="Z339" s="95">
        <f ca="1">IF(T339=0,H339*$J$1*Variables!$Y$5*0.25,0)</f>
        <v>5.008231866322161</v>
      </c>
      <c r="AA339" s="95">
        <f t="shared" ca="1" si="11"/>
        <v>76.703873010766799</v>
      </c>
      <c r="AB339" s="91">
        <f ca="1">AA339/Variables!$E$49</f>
        <v>12.371592421091419</v>
      </c>
    </row>
    <row r="340" spans="1:28" x14ac:dyDescent="0.25">
      <c r="A340" s="61">
        <f>'Water runs'!C347</f>
        <v>33024</v>
      </c>
      <c r="B340" s="61" t="str">
        <f>'Water runs'!B347</f>
        <v>Autumn</v>
      </c>
      <c r="C340" s="54">
        <f>'Water runs'!D347/100</f>
        <v>3.0741250000000004</v>
      </c>
      <c r="D340" s="108">
        <f>VLOOKUP(ROW(D340)+4,'Water runs'!$BS$3:$CF$423,MATCH($B$1,Scenarios,0)+1)</f>
        <v>0.58550503171046486</v>
      </c>
      <c r="E340" s="54">
        <f>IF(B340=Variables!$D$8,C340-Variables!$E$8,IF(B340=Variables!$D$9,C340-Variables!$E$9,IF(B340=Variables!$D$10,C340-Variables!$E$10,IF(B340=Variables!$D$11,C340-Variables!$E$11,"ELSE"))))</f>
        <v>2.0794817006802724</v>
      </c>
      <c r="F340" s="108">
        <f>VLOOKUP(ROW(F340)+4,'Water runs'!$CH$3:$CU$423,MATCH($B$1,Scenarios,0)+1)</f>
        <v>0.5800837694676918</v>
      </c>
      <c r="G340" s="65">
        <f ca="1">H340/Variables!$E$49</f>
        <v>1.5146413786669071</v>
      </c>
      <c r="H340" s="62">
        <f ca="1">IF((H339+I340)&gt;(1.1*Variables!$E$50),(1.1*Variables!$E$50),IF((H339+I340)&gt;0,H339+I340,0))</f>
        <v>9.3907765477348235</v>
      </c>
      <c r="I340" s="64">
        <f t="shared" ca="1" si="10"/>
        <v>4.9401496476417011</v>
      </c>
      <c r="J340" s="63">
        <f>IF(SUM(E336:E339)&lt;Variables!$B$3,-H339,0)</f>
        <v>0</v>
      </c>
      <c r="K340" s="64">
        <f ca="1">IF(AND(H339&lt;Variables!$B$6*Variables!$E$50,OR(SUM(D337:D340)&gt;Variables!$B$5,SUM(E337:E340)&gt;Variables!$B$4)),Variables!$B$6*Variables!$E$50+Variables!$B$7*$G$1*Variables!$E$50*SUM(D337:D340),0)</f>
        <v>0</v>
      </c>
      <c r="L340" s="64">
        <f>IF(B340="Winter",Variables!$B$8*H339,0)</f>
        <v>0</v>
      </c>
      <c r="M340" s="64">
        <f ca="1">IF(AND(B340="Spring",AND(NOT(H339=0),H339&lt;(Variables!$B$9*Variables!$E$50))),(Variables!$B$10*Variables!$E$50+Variables!$B$11*Variables!$E$50*SUM(E337:E340)+$G$1*SUM(D339:D340)*Variables!$E$50*Variables!$B$12),0)</f>
        <v>0</v>
      </c>
      <c r="N340" s="64">
        <f>IF(AND(B340="Spring",AND(SUM(D337:D340)&gt;Variables!$B$13,SUM(D333:D336)&gt;Variables!$B$13)),-Variables!$B$14*Variables!$E$50,0)</f>
        <v>0</v>
      </c>
      <c r="O340" s="64">
        <f>IF(AND(B340="Summer",SUM(C336:D340)&gt;Variables!$B$15),(Variables!$B$16*Variables!$E$50*SUM(C336:C340)+$G$1*Variables!$B$16*Variables!$E$50*SUM(D336:D340)+$G$1*Variables!$E$50*Variables!$B$17*F340),0)</f>
        <v>0</v>
      </c>
      <c r="P340" s="64">
        <f ca="1">IF(AND(AND(B340="Autumn",SUM(D339:E340)&gt;0),NOT(H339=0)),Variables!$B$18*Variables!$E$50+Variables!$B$19*Variables!$E$50*SUM(E339:E340)+$G$1*Variables!$B$19*Variables!$E$50*SUM(D339:D340),0)</f>
        <v>4.8523295394358623</v>
      </c>
      <c r="Q340" s="64">
        <f>IF(AND(B340="Autumn",AND((E340+E339)&lt;Variables!$B$20,(D339+D340)=0)),-Variables!$B$21*Variables!$E$50,0)</f>
        <v>0</v>
      </c>
      <c r="R340" s="64">
        <f ca="1">IF(B340="Autumn",(SUM(F339:F340)*$G$1*Variables!$B$22*Variables!$E$50),0)</f>
        <v>8.7820108205838909E-2</v>
      </c>
      <c r="S340" s="64">
        <f>IF(B340="Spring",($G$1*Variables!$E$50*SUM('Guts (MC)'!F339:F340)*Variables!$B$23),0)</f>
        <v>0</v>
      </c>
      <c r="T340" s="63">
        <f ca="1">IF((H339+SUM(J340:Q340))&lt;(Variables!$B$26*Variables!$E$50),$F$1*((Variables!$B$26*Variables!$E$50)-H339-SUM(J340:Q340)),0)</f>
        <v>0</v>
      </c>
      <c r="U340" s="64">
        <f ca="1">IF(AND(AND(B340="Autumn",SUM(D337:E340)&gt;Variables!$B$27),SUM(J340:Q340)&lt;Variables!$B$28*H339),$F$1*(Variables!$B$28*H339-SUM(J340:Q340)),0)</f>
        <v>0</v>
      </c>
      <c r="V340" s="96">
        <f ca="1">IF(AND((J340+K340)=0,(Q340+T340)=0),$H$1*H340*Variables!$I$23*0.25,0)</f>
        <v>114.46396561645528</v>
      </c>
      <c r="W340" s="97">
        <f ca="1">IF(AND((K340+J340)=0,(T340+Q340)=0),$I$1*H340*Variables!$Q$23*0.25,0)</f>
        <v>36.813092772774198</v>
      </c>
      <c r="X340" s="95">
        <f ca="1">IF(AND(NOT(K340=0),(H340-H339)&gt;0),(H340-H339)*(Variables!$M$5*$H$1+Variables!$U$5*$I$1),0)+IF(AND(NOT((J340+N340+Q340)=0),(H339-H340)&gt;0),(H339-H340)*(Variables!$M$4*$H$1+Variables!$U$4*$I$1),0)</f>
        <v>0</v>
      </c>
      <c r="Y340" s="95">
        <f ca="1">IF(SUM(T340,U339:U340)&gt;0,H340*Variables!$Y$11*0.25*(1-$J$1),0)</f>
        <v>0</v>
      </c>
      <c r="Z340" s="95">
        <f ca="1">IF(T340=0,H340*$J$1*Variables!$Y$5*0.25,0)</f>
        <v>10.56731723679024</v>
      </c>
      <c r="AA340" s="95">
        <f t="shared" ca="1" si="11"/>
        <v>161.84437562601971</v>
      </c>
      <c r="AB340" s="91">
        <f ca="1">AA340/Variables!$E$49</f>
        <v>26.103931552583823</v>
      </c>
    </row>
    <row r="341" spans="1:28" x14ac:dyDescent="0.25">
      <c r="A341" s="61">
        <f>'Water runs'!C348</f>
        <v>33116</v>
      </c>
      <c r="B341" s="61" t="str">
        <f>'Water runs'!B348</f>
        <v>Winter</v>
      </c>
      <c r="C341" s="54">
        <f>'Water runs'!D348/100</f>
        <v>0.38075000000000003</v>
      </c>
      <c r="D341" s="108">
        <f>VLOOKUP(ROW(D341)+4,'Water runs'!$BS$3:$CF$423,MATCH($B$1,Scenarios,0)+1)</f>
        <v>3.4457121592411655E-2</v>
      </c>
      <c r="E341" s="54">
        <f>IF(B341=Variables!$D$8,C341-Variables!$E$8,IF(B341=Variables!$D$9,C341-Variables!$E$9,IF(B341=Variables!$D$10,C341-Variables!$E$10,IF(B341=Variables!$D$11,C341-Variables!$E$11,"ELSE"))))</f>
        <v>-0.1910176256613757</v>
      </c>
      <c r="F341" s="108">
        <f>VLOOKUP(ROW(F341)+4,'Water runs'!$CH$3:$CU$423,MATCH($B$1,Scenarios,0)+1)</f>
        <v>0</v>
      </c>
      <c r="G341" s="65">
        <f ca="1">H341/Variables!$E$49</f>
        <v>0.76043290425718046</v>
      </c>
      <c r="H341" s="62">
        <f ca="1">IF((H340+I341)&gt;(1.1*Variables!$E$50),(1.1*Variables!$E$50),IF((H340+I341)&gt;0,H340+I341,0))</f>
        <v>4.7146840063945188</v>
      </c>
      <c r="I341" s="64">
        <f t="shared" ca="1" si="10"/>
        <v>-4.6760925413403047</v>
      </c>
      <c r="J341" s="63">
        <f>IF(SUM(E337:E340)&lt;Variables!$B$3,-H340,0)</f>
        <v>0</v>
      </c>
      <c r="K341" s="64">
        <f ca="1">IF(AND(H340&lt;Variables!$B$6*Variables!$E$50,OR(SUM(D338:D341)&gt;Variables!$B$5,SUM(E338:E341)&gt;Variables!$B$4)),Variables!$B$6*Variables!$E$50+Variables!$B$7*$G$1*Variables!$E$50*SUM(D338:D341),0)</f>
        <v>0</v>
      </c>
      <c r="L341" s="64">
        <f ca="1">IF(B341="Winter",Variables!$B$8*H340,0)</f>
        <v>-4.6760925413403047</v>
      </c>
      <c r="M341" s="64">
        <f ca="1">IF(AND(B341="Spring",AND(NOT(H340=0),H340&lt;(Variables!$B$9*Variables!$E$50))),(Variables!$B$10*Variables!$E$50+Variables!$B$11*Variables!$E$50*SUM(E338:E341)+$G$1*SUM(D340:D341)*Variables!$E$50*Variables!$B$12),0)</f>
        <v>0</v>
      </c>
      <c r="N341" s="64">
        <f>IF(AND(B341="Spring",AND(SUM(D338:D341)&gt;Variables!$B$13,SUM(D334:D337)&gt;Variables!$B$13)),-Variables!$B$14*Variables!$E$50,0)</f>
        <v>0</v>
      </c>
      <c r="O341" s="64">
        <f>IF(AND(B341="Summer",SUM(C337:D341)&gt;Variables!$B$15),(Variables!$B$16*Variables!$E$50*SUM(C337:C341)+$G$1*Variables!$B$16*Variables!$E$50*SUM(D337:D341)+$G$1*Variables!$E$50*Variables!$B$17*F341),0)</f>
        <v>0</v>
      </c>
      <c r="P341" s="64">
        <f ca="1">IF(AND(AND(B341="Autumn",SUM(D340:E341)&gt;0),NOT(H340=0)),Variables!$B$18*Variables!$E$50+Variables!$B$19*Variables!$E$50*SUM(E340:E341)+$G$1*Variables!$B$19*Variables!$E$50*SUM(D340:D341),0)</f>
        <v>0</v>
      </c>
      <c r="Q341" s="64">
        <f>IF(AND(B341="Autumn",AND((E341+E340)&lt;Variables!$B$20,(D340+D341)=0)),-Variables!$B$21*Variables!$E$50,0)</f>
        <v>0</v>
      </c>
      <c r="R341" s="64">
        <f>IF(B341="Autumn",(SUM(F340:F341)*$G$1*Variables!$B$22*Variables!$E$50),0)</f>
        <v>0</v>
      </c>
      <c r="S341" s="64">
        <f>IF(B341="Spring",($G$1*Variables!$E$50*SUM('Guts (MC)'!F340:F341)*Variables!$B$23),0)</f>
        <v>0</v>
      </c>
      <c r="T341" s="63">
        <f ca="1">IF((H340+SUM(J341:Q341))&lt;(Variables!$B$26*Variables!$E$50),$F$1*((Variables!$B$26*Variables!$E$50)-H340-SUM(J341:Q341)),0)</f>
        <v>0</v>
      </c>
      <c r="U341" s="64">
        <f ca="1">IF(AND(AND(B341="Autumn",SUM(D338:E341)&gt;Variables!$B$27),SUM(J341:Q341)&lt;Variables!$B$28*H340),$F$1*(Variables!$B$28*H340-SUM(J341:Q341)),0)</f>
        <v>0</v>
      </c>
      <c r="V341" s="96">
        <f ca="1">IF(AND((J341+K341)=0,(Q341+T341)=0),$H$1*H341*Variables!$I$23*0.25,0)</f>
        <v>57.467178061069632</v>
      </c>
      <c r="W341" s="97">
        <f ca="1">IF(AND((K341+J341)=0,(T341+Q341)=0),$I$1*H341*Variables!$Q$23*0.25,0)</f>
        <v>18.482188223675877</v>
      </c>
      <c r="X341" s="95">
        <f ca="1">IF(AND(NOT(K341=0),(H341-H340)&gt;0),(H341-H340)*(Variables!$M$5*$H$1+Variables!$U$5*$I$1),0)+IF(AND(NOT((J341+N341+Q341)=0),(H340-H341)&gt;0),(H340-H341)*(Variables!$M$4*$H$1+Variables!$U$4*$I$1),0)</f>
        <v>0</v>
      </c>
      <c r="Y341" s="95">
        <f ca="1">IF(SUM(T341,U340:U341)&gt;0,H341*Variables!$Y$11*0.25*(1-$J$1),0)</f>
        <v>0</v>
      </c>
      <c r="Z341" s="95">
        <f ca="1">IF(T341=0,H341*$J$1*Variables!$Y$5*0.25,0)</f>
        <v>5.3053718522148916</v>
      </c>
      <c r="AA341" s="95">
        <f t="shared" ca="1" si="11"/>
        <v>81.254738136960398</v>
      </c>
      <c r="AB341" s="91">
        <f ca="1">AA341/Variables!$E$49</f>
        <v>13.105602925316193</v>
      </c>
    </row>
    <row r="342" spans="1:28" x14ac:dyDescent="0.25">
      <c r="A342" s="61">
        <f>'Water runs'!C349</f>
        <v>33207</v>
      </c>
      <c r="B342" s="61" t="str">
        <f>'Water runs'!B349</f>
        <v>Spring</v>
      </c>
      <c r="C342" s="54">
        <f>'Water runs'!D349/100</f>
        <v>0</v>
      </c>
      <c r="D342" s="108">
        <f>VLOOKUP(ROW(D342)+4,'Water runs'!$BS$3:$CF$423,MATCH($B$1,Scenarios,0)+1)</f>
        <v>0</v>
      </c>
      <c r="E342" s="54">
        <f>IF(B342=Variables!$D$8,C342-Variables!$E$8,IF(B342=Variables!$D$9,C342-Variables!$E$9,IF(B342=Variables!$D$10,C342-Variables!$E$10,IF(B342=Variables!$D$11,C342-Variables!$E$11,"ELSE"))))</f>
        <v>-0.76398220899470914</v>
      </c>
      <c r="F342" s="108">
        <f>VLOOKUP(ROW(F342)+4,'Water runs'!$CH$3:$CU$423,MATCH($B$1,Scenarios,0)+1)</f>
        <v>0</v>
      </c>
      <c r="G342" s="65">
        <f ca="1">H342/Variables!$E$49</f>
        <v>0.76043290425718046</v>
      </c>
      <c r="H342" s="62">
        <f ca="1">IF((H341+I342)&gt;(1.1*Variables!$E$50),(1.1*Variables!$E$50),IF((H341+I342)&gt;0,H341+I342,0))</f>
        <v>4.7146840063945188</v>
      </c>
      <c r="I342" s="64">
        <f t="shared" ca="1" si="10"/>
        <v>0</v>
      </c>
      <c r="J342" s="63">
        <f>IF(SUM(E338:E341)&lt;Variables!$B$3,-H341,0)</f>
        <v>0</v>
      </c>
      <c r="K342" s="64">
        <f ca="1">IF(AND(H341&lt;Variables!$B$6*Variables!$E$50,OR(SUM(D339:D342)&gt;Variables!$B$5,SUM(E339:E342)&gt;Variables!$B$4)),Variables!$B$6*Variables!$E$50+Variables!$B$7*$G$1*Variables!$E$50*SUM(D339:D342),0)</f>
        <v>0</v>
      </c>
      <c r="L342" s="64">
        <f>IF(B342="Winter",Variables!$B$8*H341,0)</f>
        <v>0</v>
      </c>
      <c r="M342" s="64">
        <f ca="1">IF(AND(B342="Spring",AND(NOT(H341=0),H341&lt;(Variables!$B$9*Variables!$E$50))),(Variables!$B$10*Variables!$E$50+Variables!$B$11*Variables!$E$50*SUM(E339:E342)+$G$1*SUM(D341:D342)*Variables!$E$50*Variables!$B$12),0)</f>
        <v>0</v>
      </c>
      <c r="N342" s="64">
        <f>IF(AND(B342="Spring",AND(SUM(D339:D342)&gt;Variables!$B$13,SUM(D335:D338)&gt;Variables!$B$13)),-Variables!$B$14*Variables!$E$50,0)</f>
        <v>0</v>
      </c>
      <c r="O342" s="64">
        <f>IF(AND(B342="Summer",SUM(C338:D342)&gt;Variables!$B$15),(Variables!$B$16*Variables!$E$50*SUM(C338:C342)+$G$1*Variables!$B$16*Variables!$E$50*SUM(D338:D342)+$G$1*Variables!$E$50*Variables!$B$17*F342),0)</f>
        <v>0</v>
      </c>
      <c r="P342" s="64">
        <f ca="1">IF(AND(AND(B342="Autumn",SUM(D341:E342)&gt;0),NOT(H341=0)),Variables!$B$18*Variables!$E$50+Variables!$B$19*Variables!$E$50*SUM(E341:E342)+$G$1*Variables!$B$19*Variables!$E$50*SUM(D341:D342),0)</f>
        <v>0</v>
      </c>
      <c r="Q342" s="64">
        <f>IF(AND(B342="Autumn",AND((E342+E341)&lt;Variables!$B$20,(D341+D342)=0)),-Variables!$B$21*Variables!$E$50,0)</f>
        <v>0</v>
      </c>
      <c r="R342" s="64">
        <f>IF(B342="Autumn",(SUM(F341:F342)*$G$1*Variables!$B$22*Variables!$E$50),0)</f>
        <v>0</v>
      </c>
      <c r="S342" s="64">
        <f ca="1">IF(B342="Spring",($G$1*Variables!$E$50*SUM('Guts (MC)'!F341:F342)*Variables!$B$23),0)</f>
        <v>0</v>
      </c>
      <c r="T342" s="63">
        <f ca="1">IF((H341+SUM(J342:Q342))&lt;(Variables!$B$26*Variables!$E$50),$F$1*((Variables!$B$26*Variables!$E$50)-H341-SUM(J342:Q342)),0)</f>
        <v>0</v>
      </c>
      <c r="U342" s="64">
        <f ca="1">IF(AND(AND(B342="Autumn",SUM(D339:E342)&gt;Variables!$B$27),SUM(J342:Q342)&lt;Variables!$B$28*H341),$F$1*(Variables!$B$28*H341-SUM(J342:Q342)),0)</f>
        <v>0</v>
      </c>
      <c r="V342" s="96">
        <f ca="1">IF(AND((J342+K342)=0,(Q342+T342)=0),$H$1*H342*Variables!$I$23*0.25,0)</f>
        <v>57.467178061069632</v>
      </c>
      <c r="W342" s="97">
        <f ca="1">IF(AND((K342+J342)=0,(T342+Q342)=0),$I$1*H342*Variables!$Q$23*0.25,0)</f>
        <v>18.482188223675877</v>
      </c>
      <c r="X342" s="95">
        <f ca="1">IF(AND(NOT(K342=0),(H342-H341)&gt;0),(H342-H341)*(Variables!$M$5*$H$1+Variables!$U$5*$I$1),0)+IF(AND(NOT((J342+N342+Q342)=0),(H341-H342)&gt;0),(H341-H342)*(Variables!$M$4*$H$1+Variables!$U$4*$I$1),0)</f>
        <v>0</v>
      </c>
      <c r="Y342" s="95">
        <f ca="1">IF(SUM(T342,U341:U342)&gt;0,H342*Variables!$Y$11*0.25*(1-$J$1),0)</f>
        <v>0</v>
      </c>
      <c r="Z342" s="95">
        <f ca="1">IF(T342=0,H342*$J$1*Variables!$Y$5*0.25,0)</f>
        <v>5.3053718522148916</v>
      </c>
      <c r="AA342" s="95">
        <f t="shared" ca="1" si="11"/>
        <v>81.254738136960398</v>
      </c>
      <c r="AB342" s="91">
        <f ca="1">AA342/Variables!$E$49</f>
        <v>13.105602925316193</v>
      </c>
    </row>
    <row r="343" spans="1:28" x14ac:dyDescent="0.25">
      <c r="A343" s="61">
        <f>'Water runs'!C350</f>
        <v>33297</v>
      </c>
      <c r="B343" s="61" t="str">
        <f>'Water runs'!B350</f>
        <v>Summer</v>
      </c>
      <c r="C343" s="54">
        <f>'Water runs'!D350/100</f>
        <v>1.4981249999999999</v>
      </c>
      <c r="D343" s="108">
        <f>VLOOKUP(ROW(D343)+4,'Water runs'!$BS$3:$CF$423,MATCH($B$1,Scenarios,0)+1)</f>
        <v>1.7734107158409805E-2</v>
      </c>
      <c r="E343" s="54">
        <f>IF(B343=Variables!$D$8,C343-Variables!$E$8,IF(B343=Variables!$D$9,C343-Variables!$E$9,IF(B343=Variables!$D$10,C343-Variables!$E$10,IF(B343=Variables!$D$11,C343-Variables!$E$11,"ELSE"))))</f>
        <v>0.23975486394557821</v>
      </c>
      <c r="F343" s="108">
        <f>VLOOKUP(ROW(F343)+4,'Water runs'!$CH$3:$CU$423,MATCH($B$1,Scenarios,0)+1)</f>
        <v>0</v>
      </c>
      <c r="G343" s="65">
        <f ca="1">H343/Variables!$E$49</f>
        <v>1.1383761699532882</v>
      </c>
      <c r="H343" s="62">
        <f ca="1">IF((H342+I343)&gt;(1.1*Variables!$E$50),(1.1*Variables!$E$50),IF((H342+I343)&gt;0,H342+I343,0))</f>
        <v>7.057932253710387</v>
      </c>
      <c r="I343" s="64">
        <f t="shared" ca="1" si="10"/>
        <v>2.3432482473158682</v>
      </c>
      <c r="J343" s="63">
        <f>IF(SUM(E339:E342)&lt;Variables!$B$3,-H342,0)</f>
        <v>0</v>
      </c>
      <c r="K343" s="64">
        <f ca="1">IF(AND(H342&lt;Variables!$B$6*Variables!$E$50,OR(SUM(D340:D343)&gt;Variables!$B$5,SUM(E340:E343)&gt;Variables!$B$4)),Variables!$B$6*Variables!$E$50+Variables!$B$7*$G$1*Variables!$E$50*SUM(D340:D343),0)</f>
        <v>0</v>
      </c>
      <c r="L343" s="64">
        <f>IF(B343="Winter",Variables!$B$8*H342,0)</f>
        <v>0</v>
      </c>
      <c r="M343" s="64">
        <f ca="1">IF(AND(B343="Spring",AND(NOT(H342=0),H342&lt;(Variables!$B$9*Variables!$E$50))),(Variables!$B$10*Variables!$E$50+Variables!$B$11*Variables!$E$50*SUM(E340:E343)+$G$1*SUM(D342:D343)*Variables!$E$50*Variables!$B$12),0)</f>
        <v>0</v>
      </c>
      <c r="N343" s="64">
        <f>IF(AND(B343="Spring",AND(SUM(D340:D343)&gt;Variables!$B$13,SUM(D336:D339)&gt;Variables!$B$13)),-Variables!$B$14*Variables!$E$50,0)</f>
        <v>0</v>
      </c>
      <c r="O343" s="64">
        <f ca="1">IF(AND(B343="Summer",SUM(C339:D343)&gt;Variables!$B$15),(Variables!$B$16*Variables!$E$50*SUM(C339:C343)+$G$1*Variables!$B$16*Variables!$E$50*SUM(D339:D343)+$G$1*Variables!$E$50*Variables!$B$17*F343),0)</f>
        <v>2.3432482473158682</v>
      </c>
      <c r="P343" s="64">
        <f ca="1">IF(AND(AND(B343="Autumn",SUM(D342:E343)&gt;0),NOT(H342=0)),Variables!$B$18*Variables!$E$50+Variables!$B$19*Variables!$E$50*SUM(E342:E343)+$G$1*Variables!$B$19*Variables!$E$50*SUM(D342:D343),0)</f>
        <v>0</v>
      </c>
      <c r="Q343" s="64">
        <f>IF(AND(B343="Autumn",AND((E343+E342)&lt;Variables!$B$20,(D342+D343)=0)),-Variables!$B$21*Variables!$E$50,0)</f>
        <v>0</v>
      </c>
      <c r="R343" s="64">
        <f>IF(B343="Autumn",(SUM(F342:F343)*$G$1*Variables!$B$22*Variables!$E$50),0)</f>
        <v>0</v>
      </c>
      <c r="S343" s="64">
        <f>IF(B343="Spring",($G$1*Variables!$E$50*SUM('Guts (MC)'!F342:F343)*Variables!$B$23),0)</f>
        <v>0</v>
      </c>
      <c r="T343" s="63">
        <f ca="1">IF((H342+SUM(J343:Q343))&lt;(Variables!$B$26*Variables!$E$50),$F$1*((Variables!$B$26*Variables!$E$50)-H342-SUM(J343:Q343)),0)</f>
        <v>0</v>
      </c>
      <c r="U343" s="64">
        <f ca="1">IF(AND(AND(B343="Autumn",SUM(D340:E343)&gt;Variables!$B$27),SUM(J343:Q343)&lt;Variables!$B$28*H342),$F$1*(Variables!$B$28*H342-SUM(J343:Q343)),0)</f>
        <v>0</v>
      </c>
      <c r="V343" s="96">
        <f ca="1">IF(AND((J343+K343)=0,(Q343+T343)=0),$H$1*H343*Variables!$I$23*0.25,0)</f>
        <v>86.028978615921517</v>
      </c>
      <c r="W343" s="97">
        <f ca="1">IF(AND((K343+J343)=0,(T343+Q343)=0),$I$1*H343*Variables!$Q$23*0.25,0)</f>
        <v>27.668032938390887</v>
      </c>
      <c r="X343" s="95">
        <f ca="1">IF(AND(NOT(K343=0),(H343-H342)&gt;0),(H343-H342)*(Variables!$M$5*$H$1+Variables!$U$5*$I$1),0)+IF(AND(NOT((J343+N343+Q343)=0),(H342-H343)&gt;0),(H342-H343)*(Variables!$M$4*$H$1+Variables!$U$4*$I$1),0)</f>
        <v>0</v>
      </c>
      <c r="Y343" s="95">
        <f ca="1">IF(SUM(T343,U342:U343)&gt;0,H343*Variables!$Y$11*0.25*(1-$J$1),0)</f>
        <v>0</v>
      </c>
      <c r="Z343" s="95">
        <f ca="1">IF(T343=0,H343*$J$1*Variables!$Y$5*0.25,0)</f>
        <v>7.9421982603474941</v>
      </c>
      <c r="AA343" s="95">
        <f t="shared" ca="1" si="11"/>
        <v>121.63920981465991</v>
      </c>
      <c r="AB343" s="91">
        <f ca="1">AA343/Variables!$E$49</f>
        <v>19.619227389461276</v>
      </c>
    </row>
    <row r="344" spans="1:28" x14ac:dyDescent="0.25">
      <c r="A344" s="61">
        <f>'Water runs'!C351</f>
        <v>33389</v>
      </c>
      <c r="B344" s="61" t="str">
        <f>'Water runs'!B351</f>
        <v>Autumn</v>
      </c>
      <c r="C344" s="54">
        <f>'Water runs'!D351/100</f>
        <v>0.25524999999999998</v>
      </c>
      <c r="D344" s="108">
        <f>VLOOKUP(ROW(D344)+4,'Water runs'!$BS$3:$CF$423,MATCH($B$1,Scenarios,0)+1)</f>
        <v>2.7183904860687735E-2</v>
      </c>
      <c r="E344" s="54">
        <f>IF(B344=Variables!$D$8,C344-Variables!$E$8,IF(B344=Variables!$D$9,C344-Variables!$E$9,IF(B344=Variables!$D$10,C344-Variables!$E$10,IF(B344=Variables!$D$11,C344-Variables!$E$11,"ELSE"))))</f>
        <v>-0.73939329931972786</v>
      </c>
      <c r="F344" s="108">
        <f>VLOOKUP(ROW(F344)+4,'Water runs'!$CH$3:$CU$423,MATCH($B$1,Scenarios,0)+1)</f>
        <v>0</v>
      </c>
      <c r="G344" s="65">
        <f ca="1">H344/Variables!$E$49</f>
        <v>1.1383761699532882</v>
      </c>
      <c r="H344" s="62">
        <f ca="1">IF((H343+I344)&gt;(1.1*Variables!$E$50),(1.1*Variables!$E$50),IF((H343+I344)&gt;0,H343+I344,0))</f>
        <v>7.057932253710387</v>
      </c>
      <c r="I344" s="64">
        <f t="shared" ca="1" si="10"/>
        <v>0</v>
      </c>
      <c r="J344" s="63">
        <f>IF(SUM(E340:E343)&lt;Variables!$B$3,-H343,0)</f>
        <v>0</v>
      </c>
      <c r="K344" s="64">
        <f ca="1">IF(AND(H343&lt;Variables!$B$6*Variables!$E$50,OR(SUM(D341:D344)&gt;Variables!$B$5,SUM(E341:E344)&gt;Variables!$B$4)),Variables!$B$6*Variables!$E$50+Variables!$B$7*$G$1*Variables!$E$50*SUM(D341:D344),0)</f>
        <v>0</v>
      </c>
      <c r="L344" s="64">
        <f>IF(B344="Winter",Variables!$B$8*H343,0)</f>
        <v>0</v>
      </c>
      <c r="M344" s="64">
        <f ca="1">IF(AND(B344="Spring",AND(NOT(H343=0),H343&lt;(Variables!$B$9*Variables!$E$50))),(Variables!$B$10*Variables!$E$50+Variables!$B$11*Variables!$E$50*SUM(E341:E344)+$G$1*SUM(D343:D344)*Variables!$E$50*Variables!$B$12),0)</f>
        <v>0</v>
      </c>
      <c r="N344" s="64">
        <f>IF(AND(B344="Spring",AND(SUM(D341:D344)&gt;Variables!$B$13,SUM(D337:D340)&gt;Variables!$B$13)),-Variables!$B$14*Variables!$E$50,0)</f>
        <v>0</v>
      </c>
      <c r="O344" s="64">
        <f>IF(AND(B344="Summer",SUM(C340:D344)&gt;Variables!$B$15),(Variables!$B$16*Variables!$E$50*SUM(C340:C344)+$G$1*Variables!$B$16*Variables!$E$50*SUM(D340:D344)+$G$1*Variables!$E$50*Variables!$B$17*F344),0)</f>
        <v>0</v>
      </c>
      <c r="P344" s="64">
        <f ca="1">IF(AND(AND(B344="Autumn",SUM(D343:E344)&gt;0),NOT(H343=0)),Variables!$B$18*Variables!$E$50+Variables!$B$19*Variables!$E$50*SUM(E343:E344)+$G$1*Variables!$B$19*Variables!$E$50*SUM(D343:D344),0)</f>
        <v>0</v>
      </c>
      <c r="Q344" s="64">
        <f>IF(AND(B344="Autumn",AND((E344+E343)&lt;Variables!$B$20,(D343+D344)=0)),-Variables!$B$21*Variables!$E$50,0)</f>
        <v>0</v>
      </c>
      <c r="R344" s="64">
        <f ca="1">IF(B344="Autumn",(SUM(F343:F344)*$G$1*Variables!$B$22*Variables!$E$50),0)</f>
        <v>0</v>
      </c>
      <c r="S344" s="64">
        <f>IF(B344="Spring",($G$1*Variables!$E$50*SUM('Guts (MC)'!F343:F344)*Variables!$B$23),0)</f>
        <v>0</v>
      </c>
      <c r="T344" s="63">
        <f ca="1">IF((H343+SUM(J344:Q344))&lt;(Variables!$B$26*Variables!$E$50),$F$1*((Variables!$B$26*Variables!$E$50)-H343-SUM(J344:Q344)),0)</f>
        <v>0</v>
      </c>
      <c r="U344" s="64">
        <f ca="1">IF(AND(AND(B344="Autumn",SUM(D341:E344)&gt;Variables!$B$27),SUM(J344:Q344)&lt;Variables!$B$28*H343),$F$1*(Variables!$B$28*H343-SUM(J344:Q344)),0)</f>
        <v>0</v>
      </c>
      <c r="V344" s="96">
        <f ca="1">IF(AND((J344+K344)=0,(Q344+T344)=0),$H$1*H344*Variables!$I$23*0.25,0)</f>
        <v>86.028978615921517</v>
      </c>
      <c r="W344" s="97">
        <f ca="1">IF(AND((K344+J344)=0,(T344+Q344)=0),$I$1*H344*Variables!$Q$23*0.25,0)</f>
        <v>27.668032938390887</v>
      </c>
      <c r="X344" s="95">
        <f ca="1">IF(AND(NOT(K344=0),(H344-H343)&gt;0),(H344-H343)*(Variables!$M$5*$H$1+Variables!$U$5*$I$1),0)+IF(AND(NOT((J344+N344+Q344)=0),(H343-H344)&gt;0),(H343-H344)*(Variables!$M$4*$H$1+Variables!$U$4*$I$1),0)</f>
        <v>0</v>
      </c>
      <c r="Y344" s="95">
        <f ca="1">IF(SUM(T344,U343:U344)&gt;0,H344*Variables!$Y$11*0.25*(1-$J$1),0)</f>
        <v>0</v>
      </c>
      <c r="Z344" s="95">
        <f ca="1">IF(T344=0,H344*$J$1*Variables!$Y$5*0.25,0)</f>
        <v>7.9421982603474941</v>
      </c>
      <c r="AA344" s="95">
        <f t="shared" ca="1" si="11"/>
        <v>121.63920981465991</v>
      </c>
      <c r="AB344" s="91">
        <f ca="1">AA344/Variables!$E$49</f>
        <v>19.619227389461276</v>
      </c>
    </row>
    <row r="345" spans="1:28" x14ac:dyDescent="0.25">
      <c r="A345" s="61">
        <f>'Water runs'!C352</f>
        <v>33481</v>
      </c>
      <c r="B345" s="61" t="str">
        <f>'Water runs'!B352</f>
        <v>Winter</v>
      </c>
      <c r="C345" s="54">
        <f>'Water runs'!D352/100</f>
        <v>0.16675000000000001</v>
      </c>
      <c r="D345" s="108">
        <f>VLOOKUP(ROW(D345)+4,'Water runs'!$BS$3:$CF$423,MATCH($B$1,Scenarios,0)+1)</f>
        <v>0</v>
      </c>
      <c r="E345" s="54">
        <f>IF(B345=Variables!$D$8,C345-Variables!$E$8,IF(B345=Variables!$D$9,C345-Variables!$E$9,IF(B345=Variables!$D$10,C345-Variables!$E$10,IF(B345=Variables!$D$11,C345-Variables!$E$11,"ELSE"))))</f>
        <v>-0.40501762566137572</v>
      </c>
      <c r="F345" s="108">
        <f>VLOOKUP(ROW(F345)+4,'Water runs'!$CH$3:$CU$423,MATCH($B$1,Scenarios,0)+1)</f>
        <v>0</v>
      </c>
      <c r="G345" s="65">
        <f ca="1">H345/Variables!$E$49</f>
        <v>0.57152716758381672</v>
      </c>
      <c r="H345" s="62">
        <f ca="1">IF((H344+I345)&gt;(1.1*Variables!$E$50),(1.1*Variables!$E$50),IF((H344+I345)&gt;0,H344+I345,0))</f>
        <v>3.543468439019664</v>
      </c>
      <c r="I345" s="64">
        <f t="shared" ca="1" si="10"/>
        <v>-3.514463814690723</v>
      </c>
      <c r="J345" s="63">
        <f>IF(SUM(E341:E344)&lt;Variables!$B$3,-H344,0)</f>
        <v>0</v>
      </c>
      <c r="K345" s="64">
        <f ca="1">IF(AND(H344&lt;Variables!$B$6*Variables!$E$50,OR(SUM(D342:D345)&gt;Variables!$B$5,SUM(E342:E345)&gt;Variables!$B$4)),Variables!$B$6*Variables!$E$50+Variables!$B$7*$G$1*Variables!$E$50*SUM(D342:D345),0)</f>
        <v>0</v>
      </c>
      <c r="L345" s="64">
        <f ca="1">IF(B345="Winter",Variables!$B$8*H344,0)</f>
        <v>-3.514463814690723</v>
      </c>
      <c r="M345" s="64">
        <f ca="1">IF(AND(B345="Spring",AND(NOT(H344=0),H344&lt;(Variables!$B$9*Variables!$E$50))),(Variables!$B$10*Variables!$E$50+Variables!$B$11*Variables!$E$50*SUM(E342:E345)+$G$1*SUM(D344:D345)*Variables!$E$50*Variables!$B$12),0)</f>
        <v>0</v>
      </c>
      <c r="N345" s="64">
        <f>IF(AND(B345="Spring",AND(SUM(D342:D345)&gt;Variables!$B$13,SUM(D338:D341)&gt;Variables!$B$13)),-Variables!$B$14*Variables!$E$50,0)</f>
        <v>0</v>
      </c>
      <c r="O345" s="64">
        <f>IF(AND(B345="Summer",SUM(C341:D345)&gt;Variables!$B$15),(Variables!$B$16*Variables!$E$50*SUM(C341:C345)+$G$1*Variables!$B$16*Variables!$E$50*SUM(D341:D345)+$G$1*Variables!$E$50*Variables!$B$17*F345),0)</f>
        <v>0</v>
      </c>
      <c r="P345" s="64">
        <f ca="1">IF(AND(AND(B345="Autumn",SUM(D344:E345)&gt;0),NOT(H344=0)),Variables!$B$18*Variables!$E$50+Variables!$B$19*Variables!$E$50*SUM(E344:E345)+$G$1*Variables!$B$19*Variables!$E$50*SUM(D344:D345),0)</f>
        <v>0</v>
      </c>
      <c r="Q345" s="64">
        <f>IF(AND(B345="Autumn",AND((E345+E344)&lt;Variables!$B$20,(D344+D345)=0)),-Variables!$B$21*Variables!$E$50,0)</f>
        <v>0</v>
      </c>
      <c r="R345" s="64">
        <f>IF(B345="Autumn",(SUM(F344:F345)*$G$1*Variables!$B$22*Variables!$E$50),0)</f>
        <v>0</v>
      </c>
      <c r="S345" s="64">
        <f>IF(B345="Spring",($G$1*Variables!$E$50*SUM('Guts (MC)'!F344:F345)*Variables!$B$23),0)</f>
        <v>0</v>
      </c>
      <c r="T345" s="63">
        <f ca="1">IF((H344+SUM(J345:Q345))&lt;(Variables!$B$26*Variables!$E$50),$F$1*((Variables!$B$26*Variables!$E$50)-H344-SUM(J345:Q345)),0)</f>
        <v>0</v>
      </c>
      <c r="U345" s="64">
        <f ca="1">IF(AND(AND(B345="Autumn",SUM(D342:E345)&gt;Variables!$B$27),SUM(J345:Q345)&lt;Variables!$B$28*H344),$F$1*(Variables!$B$28*H344-SUM(J345:Q345)),0)</f>
        <v>0</v>
      </c>
      <c r="V345" s="96">
        <f ca="1">IF(AND((J345+K345)=0,(Q345+T345)=0),$H$1*H345*Variables!$I$23*0.25,0)</f>
        <v>43.191257667053861</v>
      </c>
      <c r="W345" s="97">
        <f ca="1">IF(AND((K345+J345)=0,(T345+Q345)=0),$I$1*H345*Variables!$Q$23*0.25,0)</f>
        <v>13.890867461274386</v>
      </c>
      <c r="X345" s="95">
        <f ca="1">IF(AND(NOT(K345=0),(H345-H344)&gt;0),(H345-H344)*(Variables!$M$5*$H$1+Variables!$U$5*$I$1),0)+IF(AND(NOT((J345+N345+Q345)=0),(H344-H345)&gt;0),(H344-H345)*(Variables!$M$4*$H$1+Variables!$U$4*$I$1),0)</f>
        <v>0</v>
      </c>
      <c r="Y345" s="95">
        <f ca="1">IF(SUM(T345,U344:U345)&gt;0,H345*Variables!$Y$11*0.25*(1-$J$1),0)</f>
        <v>0</v>
      </c>
      <c r="Z345" s="95">
        <f ca="1">IF(T345=0,H345*$J$1*Variables!$Y$5*0.25,0)</f>
        <v>3.9874183911560444</v>
      </c>
      <c r="AA345" s="95">
        <f t="shared" ca="1" si="11"/>
        <v>61.069543519484284</v>
      </c>
      <c r="AB345" s="91">
        <f ca="1">AA345/Variables!$E$49</f>
        <v>9.8499263741103675</v>
      </c>
    </row>
    <row r="346" spans="1:28" x14ac:dyDescent="0.25">
      <c r="A346" s="61">
        <f>'Water runs'!C353</f>
        <v>33572</v>
      </c>
      <c r="B346" s="61" t="str">
        <f>'Water runs'!B353</f>
        <v>Spring</v>
      </c>
      <c r="C346" s="54">
        <f>'Water runs'!D353/100</f>
        <v>0.24887499999999999</v>
      </c>
      <c r="D346" s="108">
        <f>VLOOKUP(ROW(D346)+4,'Water runs'!$BS$3:$CF$423,MATCH($B$1,Scenarios,0)+1)</f>
        <v>0</v>
      </c>
      <c r="E346" s="54">
        <f>IF(B346=Variables!$D$8,C346-Variables!$E$8,IF(B346=Variables!$D$9,C346-Variables!$E$9,IF(B346=Variables!$D$10,C346-Variables!$E$10,IF(B346=Variables!$D$11,C346-Variables!$E$11,"ELSE"))))</f>
        <v>-0.51510720899470919</v>
      </c>
      <c r="F346" s="108">
        <f>VLOOKUP(ROW(F346)+4,'Water runs'!$CH$3:$CU$423,MATCH($B$1,Scenarios,0)+1)</f>
        <v>0</v>
      </c>
      <c r="G346" s="65">
        <f ca="1">H346/Variables!$E$49</f>
        <v>0.57152716758381672</v>
      </c>
      <c r="H346" s="62">
        <f ca="1">IF((H345+I346)&gt;(1.1*Variables!$E$50),(1.1*Variables!$E$50),IF((H345+I346)&gt;0,H345+I346,0))</f>
        <v>3.543468439019664</v>
      </c>
      <c r="I346" s="64">
        <f t="shared" ca="1" si="10"/>
        <v>0</v>
      </c>
      <c r="J346" s="63">
        <f>IF(SUM(E342:E345)&lt;Variables!$B$3,-H345,0)</f>
        <v>0</v>
      </c>
      <c r="K346" s="64">
        <f ca="1">IF(AND(H345&lt;Variables!$B$6*Variables!$E$50,OR(SUM(D343:D346)&gt;Variables!$B$5,SUM(E343:E346)&gt;Variables!$B$4)),Variables!$B$6*Variables!$E$50+Variables!$B$7*$G$1*Variables!$E$50*SUM(D343:D346),0)</f>
        <v>0</v>
      </c>
      <c r="L346" s="64">
        <f>IF(B346="Winter",Variables!$B$8*H345,0)</f>
        <v>0</v>
      </c>
      <c r="M346" s="64">
        <f ca="1">IF(AND(B346="Spring",AND(NOT(H345=0),H345&lt;(Variables!$B$9*Variables!$E$50))),(Variables!$B$10*Variables!$E$50+Variables!$B$11*Variables!$E$50*SUM(E343:E346)+$G$1*SUM(D345:D346)*Variables!$E$50*Variables!$B$12),0)</f>
        <v>0</v>
      </c>
      <c r="N346" s="64">
        <f>IF(AND(B346="Spring",AND(SUM(D343:D346)&gt;Variables!$B$13,SUM(D339:D342)&gt;Variables!$B$13)),-Variables!$B$14*Variables!$E$50,0)</f>
        <v>0</v>
      </c>
      <c r="O346" s="64">
        <f>IF(AND(B346="Summer",SUM(C342:D346)&gt;Variables!$B$15),(Variables!$B$16*Variables!$E$50*SUM(C342:C346)+$G$1*Variables!$B$16*Variables!$E$50*SUM(D342:D346)+$G$1*Variables!$E$50*Variables!$B$17*F346),0)</f>
        <v>0</v>
      </c>
      <c r="P346" s="64">
        <f ca="1">IF(AND(AND(B346="Autumn",SUM(D345:E346)&gt;0),NOT(H345=0)),Variables!$B$18*Variables!$E$50+Variables!$B$19*Variables!$E$50*SUM(E345:E346)+$G$1*Variables!$B$19*Variables!$E$50*SUM(D345:D346),0)</f>
        <v>0</v>
      </c>
      <c r="Q346" s="64">
        <f>IF(AND(B346="Autumn",AND((E346+E345)&lt;Variables!$B$20,(D345+D346)=0)),-Variables!$B$21*Variables!$E$50,0)</f>
        <v>0</v>
      </c>
      <c r="R346" s="64">
        <f>IF(B346="Autumn",(SUM(F345:F346)*$G$1*Variables!$B$22*Variables!$E$50),0)</f>
        <v>0</v>
      </c>
      <c r="S346" s="64">
        <f ca="1">IF(B346="Spring",($G$1*Variables!$E$50*SUM('Guts (MC)'!F345:F346)*Variables!$B$23),0)</f>
        <v>0</v>
      </c>
      <c r="T346" s="63">
        <f ca="1">IF((H345+SUM(J346:Q346))&lt;(Variables!$B$26*Variables!$E$50),$F$1*((Variables!$B$26*Variables!$E$50)-H345-SUM(J346:Q346)),0)</f>
        <v>0</v>
      </c>
      <c r="U346" s="64">
        <f ca="1">IF(AND(AND(B346="Autumn",SUM(D343:E346)&gt;Variables!$B$27),SUM(J346:Q346)&lt;Variables!$B$28*H345),$F$1*(Variables!$B$28*H345-SUM(J346:Q346)),0)</f>
        <v>0</v>
      </c>
      <c r="V346" s="96">
        <f ca="1">IF(AND((J346+K346)=0,(Q346+T346)=0),$H$1*H346*Variables!$I$23*0.25,0)</f>
        <v>43.191257667053861</v>
      </c>
      <c r="W346" s="97">
        <f ca="1">IF(AND((K346+J346)=0,(T346+Q346)=0),$I$1*H346*Variables!$Q$23*0.25,0)</f>
        <v>13.890867461274386</v>
      </c>
      <c r="X346" s="95">
        <f ca="1">IF(AND(NOT(K346=0),(H346-H345)&gt;0),(H346-H345)*(Variables!$M$5*$H$1+Variables!$U$5*$I$1),0)+IF(AND(NOT((J346+N346+Q346)=0),(H345-H346)&gt;0),(H345-H346)*(Variables!$M$4*$H$1+Variables!$U$4*$I$1),0)</f>
        <v>0</v>
      </c>
      <c r="Y346" s="95">
        <f ca="1">IF(SUM(T346,U345:U346)&gt;0,H346*Variables!$Y$11*0.25*(1-$J$1),0)</f>
        <v>0</v>
      </c>
      <c r="Z346" s="95">
        <f ca="1">IF(T346=0,H346*$J$1*Variables!$Y$5*0.25,0)</f>
        <v>3.9874183911560444</v>
      </c>
      <c r="AA346" s="95">
        <f t="shared" ca="1" si="11"/>
        <v>61.069543519484284</v>
      </c>
      <c r="AB346" s="91">
        <f ca="1">AA346/Variables!$E$49</f>
        <v>9.8499263741103675</v>
      </c>
    </row>
    <row r="347" spans="1:28" x14ac:dyDescent="0.25">
      <c r="A347" s="61">
        <f>'Water runs'!C354</f>
        <v>33662</v>
      </c>
      <c r="B347" s="61" t="str">
        <f>'Water runs'!B354</f>
        <v>Summer</v>
      </c>
      <c r="C347" s="54">
        <f>'Water runs'!D354/100</f>
        <v>1.2470000000000001</v>
      </c>
      <c r="D347" s="108">
        <f>VLOOKUP(ROW(D347)+4,'Water runs'!$BS$3:$CF$423,MATCH($B$1,Scenarios,0)+1)</f>
        <v>3.317524287603227E-4</v>
      </c>
      <c r="E347" s="54">
        <f>IF(B347=Variables!$D$8,C347-Variables!$E$8,IF(B347=Variables!$D$9,C347-Variables!$E$9,IF(B347=Variables!$D$10,C347-Variables!$E$10,IF(B347=Variables!$D$11,C347-Variables!$E$11,"ELSE"))))</f>
        <v>-1.1370136054421609E-2</v>
      </c>
      <c r="F347" s="108">
        <f>VLOOKUP(ROW(F347)+4,'Water runs'!$CH$3:$CU$423,MATCH($B$1,Scenarios,0)+1)</f>
        <v>0</v>
      </c>
      <c r="G347" s="65">
        <f ca="1">H347/Variables!$E$49</f>
        <v>0.57152716758381672</v>
      </c>
      <c r="H347" s="62">
        <f ca="1">IF((H346+I347)&gt;(1.1*Variables!$E$50),(1.1*Variables!$E$50),IF((H346+I347)&gt;0,H346+I347,0))</f>
        <v>3.543468439019664</v>
      </c>
      <c r="I347" s="64">
        <f t="shared" ca="1" si="10"/>
        <v>0</v>
      </c>
      <c r="J347" s="63">
        <f>IF(SUM(E343:E346)&lt;Variables!$B$3,-H346,0)</f>
        <v>0</v>
      </c>
      <c r="K347" s="64">
        <f ca="1">IF(AND(H346&lt;Variables!$B$6*Variables!$E$50,OR(SUM(D344:D347)&gt;Variables!$B$5,SUM(E344:E347)&gt;Variables!$B$4)),Variables!$B$6*Variables!$E$50+Variables!$B$7*$G$1*Variables!$E$50*SUM(D344:D347),0)</f>
        <v>0</v>
      </c>
      <c r="L347" s="64">
        <f>IF(B347="Winter",Variables!$B$8*H346,0)</f>
        <v>0</v>
      </c>
      <c r="M347" s="64">
        <f ca="1">IF(AND(B347="Spring",AND(NOT(H346=0),H346&lt;(Variables!$B$9*Variables!$E$50))),(Variables!$B$10*Variables!$E$50+Variables!$B$11*Variables!$E$50*SUM(E344:E347)+$G$1*SUM(D346:D347)*Variables!$E$50*Variables!$B$12),0)</f>
        <v>0</v>
      </c>
      <c r="N347" s="64">
        <f>IF(AND(B347="Spring",AND(SUM(D344:D347)&gt;Variables!$B$13,SUM(D340:D343)&gt;Variables!$B$13)),-Variables!$B$14*Variables!$E$50,0)</f>
        <v>0</v>
      </c>
      <c r="O347" s="64">
        <f>IF(AND(B347="Summer",SUM(C343:D347)&gt;Variables!$B$15),(Variables!$B$16*Variables!$E$50*SUM(C343:C347)+$G$1*Variables!$B$16*Variables!$E$50*SUM(D343:D347)+$G$1*Variables!$E$50*Variables!$B$17*F347),0)</f>
        <v>0</v>
      </c>
      <c r="P347" s="64">
        <f ca="1">IF(AND(AND(B347="Autumn",SUM(D346:E347)&gt;0),NOT(H346=0)),Variables!$B$18*Variables!$E$50+Variables!$B$19*Variables!$E$50*SUM(E346:E347)+$G$1*Variables!$B$19*Variables!$E$50*SUM(D346:D347),0)</f>
        <v>0</v>
      </c>
      <c r="Q347" s="64">
        <f>IF(AND(B347="Autumn",AND((E347+E346)&lt;Variables!$B$20,(D346+D347)=0)),-Variables!$B$21*Variables!$E$50,0)</f>
        <v>0</v>
      </c>
      <c r="R347" s="64">
        <f>IF(B347="Autumn",(SUM(F346:F347)*$G$1*Variables!$B$22*Variables!$E$50),0)</f>
        <v>0</v>
      </c>
      <c r="S347" s="64">
        <f>IF(B347="Spring",($G$1*Variables!$E$50*SUM('Guts (MC)'!F346:F347)*Variables!$B$23),0)</f>
        <v>0</v>
      </c>
      <c r="T347" s="63">
        <f ca="1">IF((H346+SUM(J347:Q347))&lt;(Variables!$B$26*Variables!$E$50),$F$1*((Variables!$B$26*Variables!$E$50)-H346-SUM(J347:Q347)),0)</f>
        <v>0</v>
      </c>
      <c r="U347" s="64">
        <f ca="1">IF(AND(AND(B347="Autumn",SUM(D344:E347)&gt;Variables!$B$27),SUM(J347:Q347)&lt;Variables!$B$28*H346),$F$1*(Variables!$B$28*H346-SUM(J347:Q347)),0)</f>
        <v>0</v>
      </c>
      <c r="V347" s="96">
        <f ca="1">IF(AND((J347+K347)=0,(Q347+T347)=0),$H$1*H347*Variables!$I$23*0.25,0)</f>
        <v>43.191257667053861</v>
      </c>
      <c r="W347" s="97">
        <f ca="1">IF(AND((K347+J347)=0,(T347+Q347)=0),$I$1*H347*Variables!$Q$23*0.25,0)</f>
        <v>13.890867461274386</v>
      </c>
      <c r="X347" s="95">
        <f ca="1">IF(AND(NOT(K347=0),(H347-H346)&gt;0),(H347-H346)*(Variables!$M$5*$H$1+Variables!$U$5*$I$1),0)+IF(AND(NOT((J347+N347+Q347)=0),(H346-H347)&gt;0),(H346-H347)*(Variables!$M$4*$H$1+Variables!$U$4*$I$1),0)</f>
        <v>0</v>
      </c>
      <c r="Y347" s="95">
        <f ca="1">IF(SUM(T347,U346:U347)&gt;0,H347*Variables!$Y$11*0.25*(1-$J$1),0)</f>
        <v>0</v>
      </c>
      <c r="Z347" s="95">
        <f ca="1">IF(T347=0,H347*$J$1*Variables!$Y$5*0.25,0)</f>
        <v>3.9874183911560444</v>
      </c>
      <c r="AA347" s="95">
        <f t="shared" ca="1" si="11"/>
        <v>61.069543519484284</v>
      </c>
      <c r="AB347" s="91">
        <f ca="1">AA347/Variables!$E$49</f>
        <v>9.8499263741103675</v>
      </c>
    </row>
    <row r="348" spans="1:28" x14ac:dyDescent="0.25">
      <c r="A348" s="61">
        <f>'Water runs'!C355</f>
        <v>33755</v>
      </c>
      <c r="B348" s="61" t="str">
        <f>'Water runs'!B355</f>
        <v>Autumn</v>
      </c>
      <c r="C348" s="54">
        <f>'Water runs'!D355/100</f>
        <v>0.29575000000000001</v>
      </c>
      <c r="D348" s="108">
        <f>VLOOKUP(ROW(D348)+4,'Water runs'!$BS$3:$CF$423,MATCH($B$1,Scenarios,0)+1)</f>
        <v>0</v>
      </c>
      <c r="E348" s="54">
        <f>IF(B348=Variables!$D$8,C348-Variables!$E$8,IF(B348=Variables!$D$9,C348-Variables!$E$9,IF(B348=Variables!$D$10,C348-Variables!$E$10,IF(B348=Variables!$D$11,C348-Variables!$E$11,"ELSE"))))</f>
        <v>-0.69889329931972788</v>
      </c>
      <c r="F348" s="108">
        <f>VLOOKUP(ROW(F348)+4,'Water runs'!$CH$3:$CU$423,MATCH($B$1,Scenarios,0)+1)</f>
        <v>0</v>
      </c>
      <c r="G348" s="65">
        <f ca="1">H348/Variables!$E$49</f>
        <v>0.57152716758381672</v>
      </c>
      <c r="H348" s="62">
        <f ca="1">IF((H347+I348)&gt;(1.1*Variables!$E$50),(1.1*Variables!$E$50),IF((H347+I348)&gt;0,H347+I348,0))</f>
        <v>3.543468439019664</v>
      </c>
      <c r="I348" s="64">
        <f t="shared" ca="1" si="10"/>
        <v>0</v>
      </c>
      <c r="J348" s="63">
        <f>IF(SUM(E344:E347)&lt;Variables!$B$3,-H347,0)</f>
        <v>0</v>
      </c>
      <c r="K348" s="64">
        <f ca="1">IF(AND(H347&lt;Variables!$B$6*Variables!$E$50,OR(SUM(D345:D348)&gt;Variables!$B$5,SUM(E345:E348)&gt;Variables!$B$4)),Variables!$B$6*Variables!$E$50+Variables!$B$7*$G$1*Variables!$E$50*SUM(D345:D348),0)</f>
        <v>0</v>
      </c>
      <c r="L348" s="64">
        <f>IF(B348="Winter",Variables!$B$8*H347,0)</f>
        <v>0</v>
      </c>
      <c r="M348" s="64">
        <f ca="1">IF(AND(B348="Spring",AND(NOT(H347=0),H347&lt;(Variables!$B$9*Variables!$E$50))),(Variables!$B$10*Variables!$E$50+Variables!$B$11*Variables!$E$50*SUM(E345:E348)+$G$1*SUM(D347:D348)*Variables!$E$50*Variables!$B$12),0)</f>
        <v>0</v>
      </c>
      <c r="N348" s="64">
        <f>IF(AND(B348="Spring",AND(SUM(D345:D348)&gt;Variables!$B$13,SUM(D341:D344)&gt;Variables!$B$13)),-Variables!$B$14*Variables!$E$50,0)</f>
        <v>0</v>
      </c>
      <c r="O348" s="64">
        <f>IF(AND(B348="Summer",SUM(C344:D348)&gt;Variables!$B$15),(Variables!$B$16*Variables!$E$50*SUM(C344:C348)+$G$1*Variables!$B$16*Variables!$E$50*SUM(D344:D348)+$G$1*Variables!$E$50*Variables!$B$17*F348),0)</f>
        <v>0</v>
      </c>
      <c r="P348" s="64">
        <f ca="1">IF(AND(AND(B348="Autumn",SUM(D347:E348)&gt;0),NOT(H347=0)),Variables!$B$18*Variables!$E$50+Variables!$B$19*Variables!$E$50*SUM(E347:E348)+$G$1*Variables!$B$19*Variables!$E$50*SUM(D347:D348),0)</f>
        <v>0</v>
      </c>
      <c r="Q348" s="64">
        <f>IF(AND(B348="Autumn",AND((E348+E347)&lt;Variables!$B$20,(D347+D348)=0)),-Variables!$B$21*Variables!$E$50,0)</f>
        <v>0</v>
      </c>
      <c r="R348" s="64">
        <f ca="1">IF(B348="Autumn",(SUM(F347:F348)*$G$1*Variables!$B$22*Variables!$E$50),0)</f>
        <v>0</v>
      </c>
      <c r="S348" s="64">
        <f>IF(B348="Spring",($G$1*Variables!$E$50*SUM('Guts (MC)'!F347:F348)*Variables!$B$23),0)</f>
        <v>0</v>
      </c>
      <c r="T348" s="63">
        <f ca="1">IF((H347+SUM(J348:Q348))&lt;(Variables!$B$26*Variables!$E$50),$F$1*((Variables!$B$26*Variables!$E$50)-H347-SUM(J348:Q348)),0)</f>
        <v>0</v>
      </c>
      <c r="U348" s="64">
        <f ca="1">IF(AND(AND(B348="Autumn",SUM(D345:E348)&gt;Variables!$B$27),SUM(J348:Q348)&lt;Variables!$B$28*H347),$F$1*(Variables!$B$28*H347-SUM(J348:Q348)),0)</f>
        <v>0</v>
      </c>
      <c r="V348" s="96">
        <f ca="1">IF(AND((J348+K348)=0,(Q348+T348)=0),$H$1*H348*Variables!$I$23*0.25,0)</f>
        <v>43.191257667053861</v>
      </c>
      <c r="W348" s="97">
        <f ca="1">IF(AND((K348+J348)=0,(T348+Q348)=0),$I$1*H348*Variables!$Q$23*0.25,0)</f>
        <v>13.890867461274386</v>
      </c>
      <c r="X348" s="95">
        <f ca="1">IF(AND(NOT(K348=0),(H348-H347)&gt;0),(H348-H347)*(Variables!$M$5*$H$1+Variables!$U$5*$I$1),0)+IF(AND(NOT((J348+N348+Q348)=0),(H347-H348)&gt;0),(H347-H348)*(Variables!$M$4*$H$1+Variables!$U$4*$I$1),0)</f>
        <v>0</v>
      </c>
      <c r="Y348" s="95">
        <f ca="1">IF(SUM(T348,U347:U348)&gt;0,H348*Variables!$Y$11*0.25*(1-$J$1),0)</f>
        <v>0</v>
      </c>
      <c r="Z348" s="95">
        <f ca="1">IF(T348=0,H348*$J$1*Variables!$Y$5*0.25,0)</f>
        <v>3.9874183911560444</v>
      </c>
      <c r="AA348" s="95">
        <f t="shared" ca="1" si="11"/>
        <v>61.069543519484284</v>
      </c>
      <c r="AB348" s="91">
        <f ca="1">AA348/Variables!$E$49</f>
        <v>9.8499263741103675</v>
      </c>
    </row>
    <row r="349" spans="1:28" x14ac:dyDescent="0.25">
      <c r="A349" s="61">
        <f>'Water runs'!C356</f>
        <v>33847</v>
      </c>
      <c r="B349" s="61" t="str">
        <f>'Water runs'!B356</f>
        <v>Winter</v>
      </c>
      <c r="C349" s="54">
        <f>'Water runs'!D356/100</f>
        <v>0.51787499999999997</v>
      </c>
      <c r="D349" s="108">
        <f>VLOOKUP(ROW(D349)+4,'Water runs'!$BS$3:$CF$423,MATCH($B$1,Scenarios,0)+1)</f>
        <v>0</v>
      </c>
      <c r="E349" s="54">
        <f>IF(B349=Variables!$D$8,C349-Variables!$E$8,IF(B349=Variables!$D$9,C349-Variables!$E$9,IF(B349=Variables!$D$10,C349-Variables!$E$10,IF(B349=Variables!$D$11,C349-Variables!$E$11,"ELSE"))))</f>
        <v>-5.3892625661375759E-2</v>
      </c>
      <c r="F349" s="108">
        <f>VLOOKUP(ROW(F349)+4,'Water runs'!$CH$3:$CU$423,MATCH($B$1,Scenarios,0)+1)</f>
        <v>0</v>
      </c>
      <c r="G349" s="65">
        <f ca="1">H349/Variables!$E$49</f>
        <v>0.28693793133405415</v>
      </c>
      <c r="H349" s="62">
        <f ca="1">IF((H348+I349)&gt;(1.1*Variables!$E$50),(1.1*Variables!$E$50),IF((H348+I349)&gt;0,H348+I349,0))</f>
        <v>1.7790151742711358</v>
      </c>
      <c r="I349" s="64">
        <f t="shared" ca="1" si="10"/>
        <v>-1.7644532647485283</v>
      </c>
      <c r="J349" s="63">
        <f>IF(SUM(E345:E348)&lt;Variables!$B$3,-H348,0)</f>
        <v>0</v>
      </c>
      <c r="K349" s="64">
        <f ca="1">IF(AND(H348&lt;Variables!$B$6*Variables!$E$50,OR(SUM(D346:D349)&gt;Variables!$B$5,SUM(E346:E349)&gt;Variables!$B$4)),Variables!$B$6*Variables!$E$50+Variables!$B$7*$G$1*Variables!$E$50*SUM(D346:D349),0)</f>
        <v>0</v>
      </c>
      <c r="L349" s="64">
        <f ca="1">IF(B349="Winter",Variables!$B$8*H348,0)</f>
        <v>-1.7644532647485283</v>
      </c>
      <c r="M349" s="64">
        <f ca="1">IF(AND(B349="Spring",AND(NOT(H348=0),H348&lt;(Variables!$B$9*Variables!$E$50))),(Variables!$B$10*Variables!$E$50+Variables!$B$11*Variables!$E$50*SUM(E346:E349)+$G$1*SUM(D348:D349)*Variables!$E$50*Variables!$B$12),0)</f>
        <v>0</v>
      </c>
      <c r="N349" s="64">
        <f>IF(AND(B349="Spring",AND(SUM(D346:D349)&gt;Variables!$B$13,SUM(D342:D345)&gt;Variables!$B$13)),-Variables!$B$14*Variables!$E$50,0)</f>
        <v>0</v>
      </c>
      <c r="O349" s="64">
        <f>IF(AND(B349="Summer",SUM(C345:D349)&gt;Variables!$B$15),(Variables!$B$16*Variables!$E$50*SUM(C345:C349)+$G$1*Variables!$B$16*Variables!$E$50*SUM(D345:D349)+$G$1*Variables!$E$50*Variables!$B$17*F349),0)</f>
        <v>0</v>
      </c>
      <c r="P349" s="64">
        <f ca="1">IF(AND(AND(B349="Autumn",SUM(D348:E349)&gt;0),NOT(H348=0)),Variables!$B$18*Variables!$E$50+Variables!$B$19*Variables!$E$50*SUM(E348:E349)+$G$1*Variables!$B$19*Variables!$E$50*SUM(D348:D349),0)</f>
        <v>0</v>
      </c>
      <c r="Q349" s="64">
        <f>IF(AND(B349="Autumn",AND((E349+E348)&lt;Variables!$B$20,(D348+D349)=0)),-Variables!$B$21*Variables!$E$50,0)</f>
        <v>0</v>
      </c>
      <c r="R349" s="64">
        <f>IF(B349="Autumn",(SUM(F348:F349)*$G$1*Variables!$B$22*Variables!$E$50),0)</f>
        <v>0</v>
      </c>
      <c r="S349" s="64">
        <f>IF(B349="Spring",($G$1*Variables!$E$50*SUM('Guts (MC)'!F348:F349)*Variables!$B$23),0)</f>
        <v>0</v>
      </c>
      <c r="T349" s="63">
        <f ca="1">IF((H348+SUM(J349:Q349))&lt;(Variables!$B$26*Variables!$E$50),$F$1*((Variables!$B$26*Variables!$E$50)-H348-SUM(J349:Q349)),0)</f>
        <v>0</v>
      </c>
      <c r="U349" s="64">
        <f ca="1">IF(AND(AND(B349="Autumn",SUM(D346:E349)&gt;Variables!$B$27),SUM(J349:Q349)&lt;Variables!$B$28*H348),$F$1*(Variables!$B$28*H348-SUM(J349:Q349)),0)</f>
        <v>0</v>
      </c>
      <c r="V349" s="96">
        <f ca="1">IF(AND((J349+K349)=0,(Q349+T349)=0),$H$1*H349*Variables!$I$23*0.25,0)</f>
        <v>21.684376228507155</v>
      </c>
      <c r="W349" s="97">
        <f ca="1">IF(AND((K349+J349)=0,(T349+Q349)=0),$I$1*H349*Variables!$Q$23*0.25,0)</f>
        <v>6.973976041460987</v>
      </c>
      <c r="X349" s="95">
        <f ca="1">IF(AND(NOT(K349=0),(H349-H348)&gt;0),(H349-H348)*(Variables!$M$5*$H$1+Variables!$U$5*$I$1),0)+IF(AND(NOT((J349+N349+Q349)=0),(H348-H349)&gt;0),(H348-H349)*(Variables!$M$4*$H$1+Variables!$U$4*$I$1),0)</f>
        <v>0</v>
      </c>
      <c r="Y349" s="95">
        <f ca="1">IF(SUM(T349,U348:U349)&gt;0,H349*Variables!$Y$11*0.25*(1-$J$1),0)</f>
        <v>0</v>
      </c>
      <c r="Z349" s="95">
        <f ca="1">IF(T349=0,H349*$J$1*Variables!$Y$5*0.25,0)</f>
        <v>2.0019023581304816</v>
      </c>
      <c r="AA349" s="95">
        <f t="shared" ca="1" si="11"/>
        <v>30.660254628098624</v>
      </c>
      <c r="AB349" s="91">
        <f ca="1">AA349/Variables!$E$49</f>
        <v>4.9452023593707457</v>
      </c>
    </row>
    <row r="350" spans="1:28" x14ac:dyDescent="0.25">
      <c r="A350" s="61">
        <f>'Water runs'!C357</f>
        <v>33938</v>
      </c>
      <c r="B350" s="61" t="str">
        <f>'Water runs'!B357</f>
        <v>Spring</v>
      </c>
      <c r="C350" s="54">
        <f>'Water runs'!D357/100</f>
        <v>0.68575000000000008</v>
      </c>
      <c r="D350" s="108">
        <f>VLOOKUP(ROW(D350)+4,'Water runs'!$BS$3:$CF$423,MATCH($B$1,Scenarios,0)+1)</f>
        <v>0</v>
      </c>
      <c r="E350" s="54">
        <f>IF(B350=Variables!$D$8,C350-Variables!$E$8,IF(B350=Variables!$D$9,C350-Variables!$E$9,IF(B350=Variables!$D$10,C350-Variables!$E$10,IF(B350=Variables!$D$11,C350-Variables!$E$11,"ELSE"))))</f>
        <v>-7.8232208994709063E-2</v>
      </c>
      <c r="F350" s="108">
        <f>VLOOKUP(ROW(F350)+4,'Water runs'!$CH$3:$CU$423,MATCH($B$1,Scenarios,0)+1)</f>
        <v>0</v>
      </c>
      <c r="G350" s="65">
        <f ca="1">H350/Variables!$E$49</f>
        <v>0.19440270948124855</v>
      </c>
      <c r="H350" s="62">
        <f ca="1">IF((H349+I350)&gt;(1.1*Variables!$E$50),(1.1*Variables!$E$50),IF((H349+I350)&gt;0,H349+I350,0))</f>
        <v>1.2052967987837411</v>
      </c>
      <c r="I350" s="64">
        <f t="shared" ca="1" si="10"/>
        <v>-0.57371837548739457</v>
      </c>
      <c r="J350" s="63">
        <f>IF(SUM(E346:E349)&lt;Variables!$B$3,-H349,0)</f>
        <v>0</v>
      </c>
      <c r="K350" s="64">
        <f ca="1">IF(AND(H349&lt;Variables!$B$6*Variables!$E$50,OR(SUM(D347:D350)&gt;Variables!$B$5,SUM(E347:E350)&gt;Variables!$B$4)),Variables!$B$6*Variables!$E$50+Variables!$B$7*$G$1*Variables!$E$50*SUM(D347:D350),0)</f>
        <v>0</v>
      </c>
      <c r="L350" s="64">
        <f>IF(B350="Winter",Variables!$B$8*H349,0)</f>
        <v>0</v>
      </c>
      <c r="M350" s="64">
        <f ca="1">IF(AND(B350="Spring",AND(NOT(H349=0),H349&lt;(Variables!$B$9*Variables!$E$50))),(Variables!$B$10*Variables!$E$50+Variables!$B$11*Variables!$E$50*SUM(E347:E350)+$G$1*SUM(D349:D350)*Variables!$E$50*Variables!$B$12),0)</f>
        <v>-0.57371837548739457</v>
      </c>
      <c r="N350" s="64">
        <f>IF(AND(B350="Spring",AND(SUM(D347:D350)&gt;Variables!$B$13,SUM(D343:D346)&gt;Variables!$B$13)),-Variables!$B$14*Variables!$E$50,0)</f>
        <v>0</v>
      </c>
      <c r="O350" s="64">
        <f>IF(AND(B350="Summer",SUM(C346:D350)&gt;Variables!$B$15),(Variables!$B$16*Variables!$E$50*SUM(C346:C350)+$G$1*Variables!$B$16*Variables!$E$50*SUM(D346:D350)+$G$1*Variables!$E$50*Variables!$B$17*F350),0)</f>
        <v>0</v>
      </c>
      <c r="P350" s="64">
        <f ca="1">IF(AND(AND(B350="Autumn",SUM(D349:E350)&gt;0),NOT(H349=0)),Variables!$B$18*Variables!$E$50+Variables!$B$19*Variables!$E$50*SUM(E349:E350)+$G$1*Variables!$B$19*Variables!$E$50*SUM(D349:D350),0)</f>
        <v>0</v>
      </c>
      <c r="Q350" s="64">
        <f>IF(AND(B350="Autumn",AND((E350+E349)&lt;Variables!$B$20,(D349+D350)=0)),-Variables!$B$21*Variables!$E$50,0)</f>
        <v>0</v>
      </c>
      <c r="R350" s="64">
        <f>IF(B350="Autumn",(SUM(F349:F350)*$G$1*Variables!$B$22*Variables!$E$50),0)</f>
        <v>0</v>
      </c>
      <c r="S350" s="64">
        <f ca="1">IF(B350="Spring",($G$1*Variables!$E$50*SUM('Guts (MC)'!F349:F350)*Variables!$B$23),0)</f>
        <v>0</v>
      </c>
      <c r="T350" s="63">
        <f ca="1">IF((H349+SUM(J350:Q350))&lt;(Variables!$B$26*Variables!$E$50),$F$1*((Variables!$B$26*Variables!$E$50)-H349-SUM(J350:Q350)),0)</f>
        <v>0</v>
      </c>
      <c r="U350" s="64">
        <f ca="1">IF(AND(AND(B350="Autumn",SUM(D347:E350)&gt;Variables!$B$27),SUM(J350:Q350)&lt;Variables!$B$28*H349),$F$1*(Variables!$B$28*H349-SUM(J350:Q350)),0)</f>
        <v>0</v>
      </c>
      <c r="V350" s="96">
        <f ca="1">IF(AND((J350+K350)=0,(Q350+T350)=0),$H$1*H350*Variables!$I$23*0.25,0)</f>
        <v>14.691335762523732</v>
      </c>
      <c r="W350" s="97">
        <f ca="1">IF(AND((K350+J350)=0,(T350+Q350)=0),$I$1*H350*Variables!$Q$23*0.25,0)</f>
        <v>4.7249237213568245</v>
      </c>
      <c r="X350" s="95">
        <f ca="1">IF(AND(NOT(K350=0),(H350-H349)&gt;0),(H350-H349)*(Variables!$M$5*$H$1+Variables!$U$5*$I$1),0)+IF(AND(NOT((J350+N350+Q350)=0),(H349-H350)&gt;0),(H349-H350)*(Variables!$M$4*$H$1+Variables!$U$4*$I$1),0)</f>
        <v>0</v>
      </c>
      <c r="Y350" s="95">
        <f ca="1">IF(SUM(T350,U349:U350)&gt;0,H350*Variables!$Y$11*0.25*(1-$J$1),0)</f>
        <v>0</v>
      </c>
      <c r="Z350" s="95">
        <f ca="1">IF(T350=0,H350*$J$1*Variables!$Y$5*0.25,0)</f>
        <v>1.3563046221462689</v>
      </c>
      <c r="AA350" s="95">
        <f t="shared" ca="1" si="11"/>
        <v>20.772564106026824</v>
      </c>
      <c r="AB350" s="91">
        <f ca="1">AA350/Variables!$E$49</f>
        <v>3.3504135654881972</v>
      </c>
    </row>
    <row r="351" spans="1:28" x14ac:dyDescent="0.25">
      <c r="A351" s="61">
        <f>'Water runs'!C358</f>
        <v>34028</v>
      </c>
      <c r="B351" s="61" t="str">
        <f>'Water runs'!B358</f>
        <v>Summer</v>
      </c>
      <c r="C351" s="54">
        <f>'Water runs'!D358/100</f>
        <v>1.4908928571428601</v>
      </c>
      <c r="D351" s="108">
        <f>VLOOKUP(ROW(D351)+4,'Water runs'!$BS$3:$CF$423,MATCH($B$1,Scenarios,0)+1)</f>
        <v>0</v>
      </c>
      <c r="E351" s="54">
        <f>IF(B351=Variables!$D$8,C351-Variables!$E$8,IF(B351=Variables!$D$9,C351-Variables!$E$9,IF(B351=Variables!$D$10,C351-Variables!$E$10,IF(B351=Variables!$D$11,C351-Variables!$E$11,"ELSE"))))</f>
        <v>0.23252272108843841</v>
      </c>
      <c r="F351" s="108">
        <f>VLOOKUP(ROW(F351)+4,'Water runs'!$CH$3:$CU$423,MATCH($B$1,Scenarios,0)+1)</f>
        <v>0</v>
      </c>
      <c r="G351" s="65">
        <f ca="1">H351/Variables!$E$49</f>
        <v>0.19440270948124855</v>
      </c>
      <c r="H351" s="62">
        <f ca="1">IF((H350+I351)&gt;(1.1*Variables!$E$50),(1.1*Variables!$E$50),IF((H350+I351)&gt;0,H350+I351,0))</f>
        <v>1.2052967987837411</v>
      </c>
      <c r="I351" s="64">
        <f t="shared" ca="1" si="10"/>
        <v>0</v>
      </c>
      <c r="J351" s="63">
        <f>IF(SUM(E347:E350)&lt;Variables!$B$3,-H350,0)</f>
        <v>0</v>
      </c>
      <c r="K351" s="64">
        <f ca="1">IF(AND(H350&lt;Variables!$B$6*Variables!$E$50,OR(SUM(D348:D351)&gt;Variables!$B$5,SUM(E348:E351)&gt;Variables!$B$4)),Variables!$B$6*Variables!$E$50+Variables!$B$7*$G$1*Variables!$E$50*SUM(D348:D351),0)</f>
        <v>0</v>
      </c>
      <c r="L351" s="64">
        <f>IF(B351="Winter",Variables!$B$8*H350,0)</f>
        <v>0</v>
      </c>
      <c r="M351" s="64">
        <f ca="1">IF(AND(B351="Spring",AND(NOT(H350=0),H350&lt;(Variables!$B$9*Variables!$E$50))),(Variables!$B$10*Variables!$E$50+Variables!$B$11*Variables!$E$50*SUM(E348:E351)+$G$1*SUM(D350:D351)*Variables!$E$50*Variables!$B$12),0)</f>
        <v>0</v>
      </c>
      <c r="N351" s="64">
        <f>IF(AND(B351="Spring",AND(SUM(D348:D351)&gt;Variables!$B$13,SUM(D344:D347)&gt;Variables!$B$13)),-Variables!$B$14*Variables!$E$50,0)</f>
        <v>0</v>
      </c>
      <c r="O351" s="64">
        <f>IF(AND(B351="Summer",SUM(C347:D351)&gt;Variables!$B$15),(Variables!$B$16*Variables!$E$50*SUM(C347:C351)+$G$1*Variables!$B$16*Variables!$E$50*SUM(D347:D351)+$G$1*Variables!$E$50*Variables!$B$17*F351),0)</f>
        <v>0</v>
      </c>
      <c r="P351" s="64">
        <f ca="1">IF(AND(AND(B351="Autumn",SUM(D350:E351)&gt;0),NOT(H350=0)),Variables!$B$18*Variables!$E$50+Variables!$B$19*Variables!$E$50*SUM(E350:E351)+$G$1*Variables!$B$19*Variables!$E$50*SUM(D350:D351),0)</f>
        <v>0</v>
      </c>
      <c r="Q351" s="64">
        <f>IF(AND(B351="Autumn",AND((E351+E350)&lt;Variables!$B$20,(D350+D351)=0)),-Variables!$B$21*Variables!$E$50,0)</f>
        <v>0</v>
      </c>
      <c r="R351" s="64">
        <f>IF(B351="Autumn",(SUM(F350:F351)*$G$1*Variables!$B$22*Variables!$E$50),0)</f>
        <v>0</v>
      </c>
      <c r="S351" s="64">
        <f>IF(B351="Spring",($G$1*Variables!$E$50*SUM('Guts (MC)'!F350:F351)*Variables!$B$23),0)</f>
        <v>0</v>
      </c>
      <c r="T351" s="63">
        <f ca="1">IF((H350+SUM(J351:Q351))&lt;(Variables!$B$26*Variables!$E$50),$F$1*((Variables!$B$26*Variables!$E$50)-H350-SUM(J351:Q351)),0)</f>
        <v>0</v>
      </c>
      <c r="U351" s="64">
        <f ca="1">IF(AND(AND(B351="Autumn",SUM(D348:E351)&gt;Variables!$B$27),SUM(J351:Q351)&lt;Variables!$B$28*H350),$F$1*(Variables!$B$28*H350-SUM(J351:Q351)),0)</f>
        <v>0</v>
      </c>
      <c r="V351" s="96">
        <f ca="1">IF(AND((J351+K351)=0,(Q351+T351)=0),$H$1*H351*Variables!$I$23*0.25,0)</f>
        <v>14.691335762523732</v>
      </c>
      <c r="W351" s="97">
        <f ca="1">IF(AND((K351+J351)=0,(T351+Q351)=0),$I$1*H351*Variables!$Q$23*0.25,0)</f>
        <v>4.7249237213568245</v>
      </c>
      <c r="X351" s="95">
        <f ca="1">IF(AND(NOT(K351=0),(H351-H350)&gt;0),(H351-H350)*(Variables!$M$5*$H$1+Variables!$U$5*$I$1),0)+IF(AND(NOT((J351+N351+Q351)=0),(H350-H351)&gt;0),(H350-H351)*(Variables!$M$4*$H$1+Variables!$U$4*$I$1),0)</f>
        <v>0</v>
      </c>
      <c r="Y351" s="95">
        <f ca="1">IF(SUM(T351,U350:U351)&gt;0,H351*Variables!$Y$11*0.25*(1-$J$1),0)</f>
        <v>0</v>
      </c>
      <c r="Z351" s="95">
        <f ca="1">IF(T351=0,H351*$J$1*Variables!$Y$5*0.25,0)</f>
        <v>1.3563046221462689</v>
      </c>
      <c r="AA351" s="95">
        <f t="shared" ca="1" si="11"/>
        <v>20.772564106026824</v>
      </c>
      <c r="AB351" s="91">
        <f ca="1">AA351/Variables!$E$49</f>
        <v>3.3504135654881972</v>
      </c>
    </row>
    <row r="352" spans="1:28" x14ac:dyDescent="0.25">
      <c r="A352" s="61">
        <f>'Water runs'!C359</f>
        <v>34120</v>
      </c>
      <c r="B352" s="61" t="str">
        <f>'Water runs'!B359</f>
        <v>Autumn</v>
      </c>
      <c r="C352" s="54">
        <f>'Water runs'!D359/100</f>
        <v>0.47412500000000002</v>
      </c>
      <c r="D352" s="108">
        <f>VLOOKUP(ROW(D352)+4,'Water runs'!$BS$3:$CF$423,MATCH($B$1,Scenarios,0)+1)</f>
        <v>0</v>
      </c>
      <c r="E352" s="54">
        <f>IF(B352=Variables!$D$8,C352-Variables!$E$8,IF(B352=Variables!$D$9,C352-Variables!$E$9,IF(B352=Variables!$D$10,C352-Variables!$E$10,IF(B352=Variables!$D$11,C352-Variables!$E$11,"ELSE"))))</f>
        <v>-0.52051829931972782</v>
      </c>
      <c r="F352" s="108">
        <f>VLOOKUP(ROW(F352)+4,'Water runs'!$CH$3:$CU$423,MATCH($B$1,Scenarios,0)+1)</f>
        <v>0</v>
      </c>
      <c r="G352" s="65">
        <f ca="1">H352/Variables!$E$49</f>
        <v>0.19440270948124855</v>
      </c>
      <c r="H352" s="62">
        <f ca="1">IF((H351+I352)&gt;(1.1*Variables!$E$50),(1.1*Variables!$E$50),IF((H351+I352)&gt;0,H351+I352,0))</f>
        <v>1.2052967987837411</v>
      </c>
      <c r="I352" s="64">
        <f t="shared" ca="1" si="10"/>
        <v>0</v>
      </c>
      <c r="J352" s="63">
        <f>IF(SUM(E348:E351)&lt;Variables!$B$3,-H351,0)</f>
        <v>0</v>
      </c>
      <c r="K352" s="64">
        <f ca="1">IF(AND(H351&lt;Variables!$B$6*Variables!$E$50,OR(SUM(D349:D352)&gt;Variables!$B$5,SUM(E349:E352)&gt;Variables!$B$4)),Variables!$B$6*Variables!$E$50+Variables!$B$7*$G$1*Variables!$E$50*SUM(D349:D352),0)</f>
        <v>0</v>
      </c>
      <c r="L352" s="64">
        <f>IF(B352="Winter",Variables!$B$8*H351,0)</f>
        <v>0</v>
      </c>
      <c r="M352" s="64">
        <f ca="1">IF(AND(B352="Spring",AND(NOT(H351=0),H351&lt;(Variables!$B$9*Variables!$E$50))),(Variables!$B$10*Variables!$E$50+Variables!$B$11*Variables!$E$50*SUM(E349:E352)+$G$1*SUM(D351:D352)*Variables!$E$50*Variables!$B$12),0)</f>
        <v>0</v>
      </c>
      <c r="N352" s="64">
        <f>IF(AND(B352="Spring",AND(SUM(D349:D352)&gt;Variables!$B$13,SUM(D345:D348)&gt;Variables!$B$13)),-Variables!$B$14*Variables!$E$50,0)</f>
        <v>0</v>
      </c>
      <c r="O352" s="64">
        <f>IF(AND(B352="Summer",SUM(C348:D352)&gt;Variables!$B$15),(Variables!$B$16*Variables!$E$50*SUM(C348:C352)+$G$1*Variables!$B$16*Variables!$E$50*SUM(D348:D352)+$G$1*Variables!$E$50*Variables!$B$17*F352),0)</f>
        <v>0</v>
      </c>
      <c r="P352" s="64">
        <f ca="1">IF(AND(AND(B352="Autumn",SUM(D351:E352)&gt;0),NOT(H351=0)),Variables!$B$18*Variables!$E$50+Variables!$B$19*Variables!$E$50*SUM(E351:E352)+$G$1*Variables!$B$19*Variables!$E$50*SUM(D351:D352),0)</f>
        <v>0</v>
      </c>
      <c r="Q352" s="64">
        <f>IF(AND(B352="Autumn",AND((E352+E351)&lt;Variables!$B$20,(D351+D352)=0)),-Variables!$B$21*Variables!$E$50,0)</f>
        <v>0</v>
      </c>
      <c r="R352" s="64">
        <f ca="1">IF(B352="Autumn",(SUM(F351:F352)*$G$1*Variables!$B$22*Variables!$E$50),0)</f>
        <v>0</v>
      </c>
      <c r="S352" s="64">
        <f>IF(B352="Spring",($G$1*Variables!$E$50*SUM('Guts (MC)'!F351:F352)*Variables!$B$23),0)</f>
        <v>0</v>
      </c>
      <c r="T352" s="63">
        <f ca="1">IF((H351+SUM(J352:Q352))&lt;(Variables!$B$26*Variables!$E$50),$F$1*((Variables!$B$26*Variables!$E$50)-H351-SUM(J352:Q352)),0)</f>
        <v>0</v>
      </c>
      <c r="U352" s="64">
        <f ca="1">IF(AND(AND(B352="Autumn",SUM(D349:E352)&gt;Variables!$B$27),SUM(J352:Q352)&lt;Variables!$B$28*H351),$F$1*(Variables!$B$28*H351-SUM(J352:Q352)),0)</f>
        <v>0</v>
      </c>
      <c r="V352" s="96">
        <f ca="1">IF(AND((J352+K352)=0,(Q352+T352)=0),$H$1*H352*Variables!$I$23*0.25,0)</f>
        <v>14.691335762523732</v>
      </c>
      <c r="W352" s="97">
        <f ca="1">IF(AND((K352+J352)=0,(T352+Q352)=0),$I$1*H352*Variables!$Q$23*0.25,0)</f>
        <v>4.7249237213568245</v>
      </c>
      <c r="X352" s="95">
        <f ca="1">IF(AND(NOT(K352=0),(H352-H351)&gt;0),(H352-H351)*(Variables!$M$5*$H$1+Variables!$U$5*$I$1),0)+IF(AND(NOT((J352+N352+Q352)=0),(H351-H352)&gt;0),(H351-H352)*(Variables!$M$4*$H$1+Variables!$U$4*$I$1),0)</f>
        <v>0</v>
      </c>
      <c r="Y352" s="95">
        <f ca="1">IF(SUM(T352,U351:U352)&gt;0,H352*Variables!$Y$11*0.25*(1-$J$1),0)</f>
        <v>0</v>
      </c>
      <c r="Z352" s="95">
        <f ca="1">IF(T352=0,H352*$J$1*Variables!$Y$5*0.25,0)</f>
        <v>1.3563046221462689</v>
      </c>
      <c r="AA352" s="95">
        <f t="shared" ca="1" si="11"/>
        <v>20.772564106026824</v>
      </c>
      <c r="AB352" s="91">
        <f ca="1">AA352/Variables!$E$49</f>
        <v>3.3504135654881972</v>
      </c>
    </row>
    <row r="353" spans="1:28" x14ac:dyDescent="0.25">
      <c r="A353" s="61">
        <f>'Water runs'!C360</f>
        <v>34212</v>
      </c>
      <c r="B353" s="61" t="str">
        <f>'Water runs'!B360</f>
        <v>Winter</v>
      </c>
      <c r="C353" s="54">
        <f>'Water runs'!D360/100</f>
        <v>0.828125</v>
      </c>
      <c r="D353" s="108">
        <f>VLOOKUP(ROW(D353)+4,'Water runs'!$BS$3:$CF$423,MATCH($B$1,Scenarios,0)+1)</f>
        <v>0</v>
      </c>
      <c r="E353" s="54">
        <f>IF(B353=Variables!$D$8,C353-Variables!$E$8,IF(B353=Variables!$D$9,C353-Variables!$E$9,IF(B353=Variables!$D$10,C353-Variables!$E$10,IF(B353=Variables!$D$11,C353-Variables!$E$11,"ELSE"))))</f>
        <v>0.25635737433862427</v>
      </c>
      <c r="F353" s="108">
        <f>VLOOKUP(ROW(F353)+4,'Water runs'!$CH$3:$CU$423,MATCH($B$1,Scenarios,0)+1)</f>
        <v>0</v>
      </c>
      <c r="G353" s="65">
        <f ca="1">H353/Variables!$E$49</f>
        <v>0.161</v>
      </c>
      <c r="H353" s="62">
        <f ca="1">IF((H352+I353)&gt;(1.1*Variables!$E$50),(1.1*Variables!$E$50),IF((H352+I353)&gt;0,H352+I353,0))</f>
        <v>0.99820000000000009</v>
      </c>
      <c r="I353" s="64">
        <f t="shared" ca="1" si="10"/>
        <v>-0.20709679878374099</v>
      </c>
      <c r="J353" s="63">
        <f>IF(SUM(E349:E352)&lt;Variables!$B$3,-H352,0)</f>
        <v>0</v>
      </c>
      <c r="K353" s="64">
        <f ca="1">IF(AND(H352&lt;Variables!$B$6*Variables!$E$50,OR(SUM(D350:D353)&gt;Variables!$B$5,SUM(E350:E353)&gt;Variables!$B$4)),Variables!$B$6*Variables!$E$50+Variables!$B$7*$G$1*Variables!$E$50*SUM(D350:D353),0)</f>
        <v>0</v>
      </c>
      <c r="L353" s="64">
        <f ca="1">IF(B353="Winter",Variables!$B$8*H352,0)</f>
        <v>-0.60017181137735542</v>
      </c>
      <c r="M353" s="64">
        <f ca="1">IF(AND(B353="Spring",AND(NOT(H352=0),H352&lt;(Variables!$B$9*Variables!$E$50))),(Variables!$B$10*Variables!$E$50+Variables!$B$11*Variables!$E$50*SUM(E350:E353)+$G$1*SUM(D352:D353)*Variables!$E$50*Variables!$B$12),0)</f>
        <v>0</v>
      </c>
      <c r="N353" s="64">
        <f>IF(AND(B353="Spring",AND(SUM(D350:D353)&gt;Variables!$B$13,SUM(D346:D349)&gt;Variables!$B$13)),-Variables!$B$14*Variables!$E$50,0)</f>
        <v>0</v>
      </c>
      <c r="O353" s="64">
        <f>IF(AND(B353="Summer",SUM(C349:D353)&gt;Variables!$B$15),(Variables!$B$16*Variables!$E$50*SUM(C349:C353)+$G$1*Variables!$B$16*Variables!$E$50*SUM(D349:D353)+$G$1*Variables!$E$50*Variables!$B$17*F353),0)</f>
        <v>0</v>
      </c>
      <c r="P353" s="64">
        <f ca="1">IF(AND(AND(B353="Autumn",SUM(D352:E353)&gt;0),NOT(H352=0)),Variables!$B$18*Variables!$E$50+Variables!$B$19*Variables!$E$50*SUM(E352:E353)+$G$1*Variables!$B$19*Variables!$E$50*SUM(D352:D353),0)</f>
        <v>0</v>
      </c>
      <c r="Q353" s="64">
        <f>IF(AND(B353="Autumn",AND((E353+E352)&lt;Variables!$B$20,(D352+D353)=0)),-Variables!$B$21*Variables!$E$50,0)</f>
        <v>0</v>
      </c>
      <c r="R353" s="64">
        <f>IF(B353="Autumn",(SUM(F352:F353)*$G$1*Variables!$B$22*Variables!$E$50),0)</f>
        <v>0</v>
      </c>
      <c r="S353" s="64">
        <f>IF(B353="Spring",($G$1*Variables!$E$50*SUM('Guts (MC)'!F352:F353)*Variables!$B$23),0)</f>
        <v>0</v>
      </c>
      <c r="T353" s="63">
        <f ca="1">IF((H352+SUM(J353:Q353))&lt;(Variables!$B$26*Variables!$E$50),$F$1*((Variables!$B$26*Variables!$E$50)-H352-SUM(J353:Q353)),0)</f>
        <v>0.39307501259361444</v>
      </c>
      <c r="U353" s="64">
        <f ca="1">IF(AND(AND(B353="Autumn",SUM(D350:E353)&gt;Variables!$B$27),SUM(J353:Q353)&lt;Variables!$B$28*H352),$F$1*(Variables!$B$28*H352-SUM(J353:Q353)),0)</f>
        <v>0</v>
      </c>
      <c r="V353" s="96">
        <f ca="1">IF(AND((J353+K353)=0,(Q353+T353)=0),$H$1*H353*Variables!$I$23*0.25,0)</f>
        <v>0</v>
      </c>
      <c r="W353" s="97">
        <f ca="1">IF(AND((K353+J353)=0,(T353+Q353)=0),$I$1*H353*Variables!$Q$23*0.25,0)</f>
        <v>0</v>
      </c>
      <c r="X353" s="95">
        <f ca="1">IF(AND(NOT(K353=0),(H353-H352)&gt;0),(H353-H352)*(Variables!$M$5*$H$1+Variables!$U$5*$I$1),0)+IF(AND(NOT((J353+N353+Q353)=0),(H352-H353)&gt;0),(H352-H353)*(Variables!$M$4*$H$1+Variables!$U$4*$I$1),0)</f>
        <v>0</v>
      </c>
      <c r="Y353" s="95">
        <f ca="1">IF(SUM(T353,U352:U353)&gt;0,H353*Variables!$Y$11*0.25*(1-$J$1),0)</f>
        <v>-8.6666009437672749</v>
      </c>
      <c r="Z353" s="95">
        <f ca="1">IF(T353=0,H353*$J$1*Variables!$Y$5*0.25,0)</f>
        <v>0</v>
      </c>
      <c r="AA353" s="95">
        <f t="shared" ca="1" si="11"/>
        <v>-8.6666009437672749</v>
      </c>
      <c r="AB353" s="91">
        <f ca="1">AA353/Variables!$E$49</f>
        <v>-1.3978388618979476</v>
      </c>
    </row>
    <row r="354" spans="1:28" x14ac:dyDescent="0.25">
      <c r="A354" s="61">
        <f>'Water runs'!C361</f>
        <v>34303</v>
      </c>
      <c r="B354" s="61" t="str">
        <f>'Water runs'!B361</f>
        <v>Spring</v>
      </c>
      <c r="C354" s="54">
        <f>'Water runs'!D361/100</f>
        <v>1.5263749999999998</v>
      </c>
      <c r="D354" s="108">
        <f>VLOOKUP(ROW(D354)+4,'Water runs'!$BS$3:$CF$423,MATCH($B$1,Scenarios,0)+1)</f>
        <v>0</v>
      </c>
      <c r="E354" s="54">
        <f>IF(B354=Variables!$D$8,C354-Variables!$E$8,IF(B354=Variables!$D$9,C354-Variables!$E$9,IF(B354=Variables!$D$10,C354-Variables!$E$10,IF(B354=Variables!$D$11,C354-Variables!$E$11,"ELSE"))))</f>
        <v>0.76239279100529067</v>
      </c>
      <c r="F354" s="108">
        <f>VLOOKUP(ROW(F354)+4,'Water runs'!$CH$3:$CU$423,MATCH($B$1,Scenarios,0)+1)</f>
        <v>0</v>
      </c>
      <c r="G354" s="65">
        <f ca="1">H354/Variables!$E$49</f>
        <v>0.42527241148074763</v>
      </c>
      <c r="H354" s="62">
        <f ca="1">IF((H353+I354)&gt;(1.1*Variables!$E$50),(1.1*Variables!$E$50),IF((H353+I354)&gt;0,H353+I354,0))</f>
        <v>2.6366889511806355</v>
      </c>
      <c r="I354" s="64">
        <f t="shared" ca="1" si="10"/>
        <v>1.6384889511806355</v>
      </c>
      <c r="J354" s="63">
        <f>IF(SUM(E350:E353)&lt;Variables!$B$3,-H353,0)</f>
        <v>0</v>
      </c>
      <c r="K354" s="64">
        <f ca="1">IF(AND(H353&lt;Variables!$B$6*Variables!$E$50,OR(SUM(D351:D354)&gt;Variables!$B$5,SUM(E351:E354)&gt;Variables!$B$4)),Variables!$B$6*Variables!$E$50+Variables!$B$7*$G$1*Variables!$E$50*SUM(D351:D354),0)</f>
        <v>1.1408</v>
      </c>
      <c r="L354" s="64">
        <f>IF(B354="Winter",Variables!$B$8*H353,0)</f>
        <v>0</v>
      </c>
      <c r="M354" s="64">
        <f ca="1">IF(AND(B354="Spring",AND(NOT(H353=0),H353&lt;(Variables!$B$9*Variables!$E$50))),(Variables!$B$10*Variables!$E$50+Variables!$B$11*Variables!$E$50*SUM(E351:E354)+$G$1*SUM(D353:D354)*Variables!$E$50*Variables!$B$12),0)</f>
        <v>0.4976889511806355</v>
      </c>
      <c r="N354" s="64">
        <f>IF(AND(B354="Spring",AND(SUM(D351:D354)&gt;Variables!$B$13,SUM(D347:D350)&gt;Variables!$B$13)),-Variables!$B$14*Variables!$E$50,0)</f>
        <v>0</v>
      </c>
      <c r="O354" s="64">
        <f>IF(AND(B354="Summer",SUM(C350:D354)&gt;Variables!$B$15),(Variables!$B$16*Variables!$E$50*SUM(C350:C354)+$G$1*Variables!$B$16*Variables!$E$50*SUM(D350:D354)+$G$1*Variables!$E$50*Variables!$B$17*F354),0)</f>
        <v>0</v>
      </c>
      <c r="P354" s="64">
        <f ca="1">IF(AND(AND(B354="Autumn",SUM(D353:E354)&gt;0),NOT(H353=0)),Variables!$B$18*Variables!$E$50+Variables!$B$19*Variables!$E$50*SUM(E353:E354)+$G$1*Variables!$B$19*Variables!$E$50*SUM(D353:D354),0)</f>
        <v>0</v>
      </c>
      <c r="Q354" s="64">
        <f>IF(AND(B354="Autumn",AND((E354+E353)&lt;Variables!$B$20,(D353+D354)=0)),-Variables!$B$21*Variables!$E$50,0)</f>
        <v>0</v>
      </c>
      <c r="R354" s="64">
        <f>IF(B354="Autumn",(SUM(F353:F354)*$G$1*Variables!$B$22*Variables!$E$50),0)</f>
        <v>0</v>
      </c>
      <c r="S354" s="64">
        <f ca="1">IF(B354="Spring",($G$1*Variables!$E$50*SUM('Guts (MC)'!F353:F354)*Variables!$B$23),0)</f>
        <v>0</v>
      </c>
      <c r="T354" s="63">
        <f ca="1">IF((H353+SUM(J354:Q354))&lt;(Variables!$B$26*Variables!$E$50),$F$1*((Variables!$B$26*Variables!$E$50)-H353-SUM(J354:Q354)),0)</f>
        <v>0</v>
      </c>
      <c r="U354" s="64">
        <f ca="1">IF(AND(AND(B354="Autumn",SUM(D351:E354)&gt;Variables!$B$27),SUM(J354:Q354)&lt;Variables!$B$28*H353),$F$1*(Variables!$B$28*H353-SUM(J354:Q354)),0)</f>
        <v>0</v>
      </c>
      <c r="V354" s="96">
        <f ca="1">IF(AND((J354+K354)=0,(Q354+T354)=0),$H$1*H354*Variables!$I$23*0.25,0)</f>
        <v>0</v>
      </c>
      <c r="W354" s="97">
        <f ca="1">IF(AND((K354+J354)=0,(T354+Q354)=0),$I$1*H354*Variables!$Q$23*0.25,0)</f>
        <v>0</v>
      </c>
      <c r="X354" s="95">
        <f ca="1">IF(AND(NOT(K354=0),(H354-H353)&gt;0),(H354-H353)*(Variables!$M$5*$H$1+Variables!$U$5*$I$1),0)+IF(AND(NOT((J354+N354+Q354)=0),(H353-H354)&gt;0),(H353-H354)*(Variables!$M$4*$H$1+Variables!$U$4*$I$1),0)</f>
        <v>-187.30299908271738</v>
      </c>
      <c r="Y354" s="95">
        <f ca="1">IF(SUM(T354,U353:U354)&gt;0,H354*Variables!$Y$11*0.25*(1-$J$1),0)</f>
        <v>0</v>
      </c>
      <c r="Z354" s="95">
        <f ca="1">IF(T354=0,H354*$J$1*Variables!$Y$5*0.25,0)</f>
        <v>2.9670313695821418</v>
      </c>
      <c r="AA354" s="95">
        <f t="shared" ca="1" si="11"/>
        <v>-184.33596771313523</v>
      </c>
      <c r="AB354" s="91">
        <f ca="1">AA354/Variables!$E$49</f>
        <v>-29.731607695666973</v>
      </c>
    </row>
    <row r="355" spans="1:28" x14ac:dyDescent="0.25">
      <c r="A355" s="61">
        <f>'Water runs'!C362</f>
        <v>34393</v>
      </c>
      <c r="B355" s="61" t="str">
        <f>'Water runs'!B362</f>
        <v>Summer</v>
      </c>
      <c r="C355" s="54">
        <f>'Water runs'!D362/100</f>
        <v>0.85724999999999996</v>
      </c>
      <c r="D355" s="108">
        <f>VLOOKUP(ROW(D355)+4,'Water runs'!$BS$3:$CF$423,MATCH($B$1,Scenarios,0)+1)</f>
        <v>7.3238109565396406E-2</v>
      </c>
      <c r="E355" s="54">
        <f>IF(B355=Variables!$D$8,C355-Variables!$E$8,IF(B355=Variables!$D$9,C355-Variables!$E$9,IF(B355=Variables!$D$10,C355-Variables!$E$10,IF(B355=Variables!$D$11,C355-Variables!$E$11,"ELSE"))))</f>
        <v>-0.40112013605442176</v>
      </c>
      <c r="F355" s="108">
        <f>VLOOKUP(ROW(F355)+4,'Water runs'!$CH$3:$CU$423,MATCH($B$1,Scenarios,0)+1)</f>
        <v>3.3344682063991007E-2</v>
      </c>
      <c r="G355" s="65">
        <f ca="1">H355/Variables!$E$49</f>
        <v>0.42527241148074763</v>
      </c>
      <c r="H355" s="62">
        <f ca="1">IF((H354+I355)&gt;(1.1*Variables!$E$50),(1.1*Variables!$E$50),IF((H354+I355)&gt;0,H354+I355,0))</f>
        <v>2.6366889511806355</v>
      </c>
      <c r="I355" s="64">
        <f t="shared" ca="1" si="10"/>
        <v>0</v>
      </c>
      <c r="J355" s="63">
        <f>IF(SUM(E351:E354)&lt;Variables!$B$3,-H354,0)</f>
        <v>0</v>
      </c>
      <c r="K355" s="64">
        <f ca="1">IF(AND(H354&lt;Variables!$B$6*Variables!$E$50,OR(SUM(D352:D355)&gt;Variables!$B$5,SUM(E352:E355)&gt;Variables!$B$4)),Variables!$B$6*Variables!$E$50+Variables!$B$7*$G$1*Variables!$E$50*SUM(D352:D355),0)</f>
        <v>0</v>
      </c>
      <c r="L355" s="64">
        <f>IF(B355="Winter",Variables!$B$8*H354,0)</f>
        <v>0</v>
      </c>
      <c r="M355" s="64">
        <f ca="1">IF(AND(B355="Spring",AND(NOT(H354=0),H354&lt;(Variables!$B$9*Variables!$E$50))),(Variables!$B$10*Variables!$E$50+Variables!$B$11*Variables!$E$50*SUM(E352:E355)+$G$1*SUM(D354:D355)*Variables!$E$50*Variables!$B$12),0)</f>
        <v>0</v>
      </c>
      <c r="N355" s="64">
        <f>IF(AND(B355="Spring",AND(SUM(D352:D355)&gt;Variables!$B$13,SUM(D348:D351)&gt;Variables!$B$13)),-Variables!$B$14*Variables!$E$50,0)</f>
        <v>0</v>
      </c>
      <c r="O355" s="64">
        <f>IF(AND(B355="Summer",SUM(C351:D355)&gt;Variables!$B$15),(Variables!$B$16*Variables!$E$50*SUM(C351:C355)+$G$1*Variables!$B$16*Variables!$E$50*SUM(D351:D355)+$G$1*Variables!$E$50*Variables!$B$17*F355),0)</f>
        <v>0</v>
      </c>
      <c r="P355" s="64">
        <f ca="1">IF(AND(AND(B355="Autumn",SUM(D354:E355)&gt;0),NOT(H354=0)),Variables!$B$18*Variables!$E$50+Variables!$B$19*Variables!$E$50*SUM(E354:E355)+$G$1*Variables!$B$19*Variables!$E$50*SUM(D354:D355),0)</f>
        <v>0</v>
      </c>
      <c r="Q355" s="64">
        <f>IF(AND(B355="Autumn",AND((E355+E354)&lt;Variables!$B$20,(D354+D355)=0)),-Variables!$B$21*Variables!$E$50,0)</f>
        <v>0</v>
      </c>
      <c r="R355" s="64">
        <f>IF(B355="Autumn",(SUM(F354:F355)*$G$1*Variables!$B$22*Variables!$E$50),0)</f>
        <v>0</v>
      </c>
      <c r="S355" s="64">
        <f>IF(B355="Spring",($G$1*Variables!$E$50*SUM('Guts (MC)'!F354:F355)*Variables!$B$23),0)</f>
        <v>0</v>
      </c>
      <c r="T355" s="63">
        <f ca="1">IF((H354+SUM(J355:Q355))&lt;(Variables!$B$26*Variables!$E$50),$F$1*((Variables!$B$26*Variables!$E$50)-H354-SUM(J355:Q355)),0)</f>
        <v>0</v>
      </c>
      <c r="U355" s="64">
        <f ca="1">IF(AND(AND(B355="Autumn",SUM(D352:E355)&gt;Variables!$B$27),SUM(J355:Q355)&lt;Variables!$B$28*H354),$F$1*(Variables!$B$28*H354-SUM(J355:Q355)),0)</f>
        <v>0</v>
      </c>
      <c r="V355" s="96">
        <f ca="1">IF(AND((J355+K355)=0,(Q355+T355)=0),$H$1*H355*Variables!$I$23*0.25,0)</f>
        <v>32.138542740858561</v>
      </c>
      <c r="W355" s="97">
        <f ca="1">IF(AND((K355+J355)=0,(T355+Q355)=0),$I$1*H355*Variables!$Q$23*0.25,0)</f>
        <v>10.336171293115763</v>
      </c>
      <c r="X355" s="95">
        <f ca="1">IF(AND(NOT(K355=0),(H355-H354)&gt;0),(H355-H354)*(Variables!$M$5*$H$1+Variables!$U$5*$I$1),0)+IF(AND(NOT((J355+N355+Q355)=0),(H354-H355)&gt;0),(H354-H355)*(Variables!$M$4*$H$1+Variables!$U$4*$I$1),0)</f>
        <v>0</v>
      </c>
      <c r="Y355" s="95">
        <f ca="1">IF(SUM(T355,U354:U355)&gt;0,H355*Variables!$Y$11*0.25*(1-$J$1),0)</f>
        <v>0</v>
      </c>
      <c r="Z355" s="95">
        <f ca="1">IF(T355=0,H355*$J$1*Variables!$Y$5*0.25,0)</f>
        <v>2.9670313695821418</v>
      </c>
      <c r="AA355" s="95">
        <f t="shared" ca="1" si="11"/>
        <v>45.441745403556467</v>
      </c>
      <c r="AB355" s="91">
        <f ca="1">AA355/Variables!$E$49</f>
        <v>7.3293137747671722</v>
      </c>
    </row>
    <row r="356" spans="1:28" x14ac:dyDescent="0.25">
      <c r="A356" s="61">
        <f>'Water runs'!C363</f>
        <v>34485</v>
      </c>
      <c r="B356" s="61" t="str">
        <f>'Water runs'!B363</f>
        <v>Autumn</v>
      </c>
      <c r="C356" s="54">
        <f>'Water runs'!D363/100</f>
        <v>0.51037500000000002</v>
      </c>
      <c r="D356" s="108">
        <f>VLOOKUP(ROW(D356)+4,'Water runs'!$BS$3:$CF$423,MATCH($B$1,Scenarios,0)+1)</f>
        <v>0.23799317492616728</v>
      </c>
      <c r="E356" s="54">
        <f>IF(B356=Variables!$D$8,C356-Variables!$E$8,IF(B356=Variables!$D$9,C356-Variables!$E$9,IF(B356=Variables!$D$10,C356-Variables!$E$10,IF(B356=Variables!$D$11,C356-Variables!$E$11,"ELSE"))))</f>
        <v>-0.48426829931972781</v>
      </c>
      <c r="F356" s="108">
        <f>VLOOKUP(ROW(F356)+4,'Water runs'!$CH$3:$CU$423,MATCH($B$1,Scenarios,0)+1)</f>
        <v>0.21876420240857014</v>
      </c>
      <c r="G356" s="65">
        <f ca="1">H356/Variables!$E$49</f>
        <v>0.43142842712587581</v>
      </c>
      <c r="H356" s="62">
        <f ca="1">IF((H355+I356)&gt;(1.1*Variables!$E$50),(1.1*Variables!$E$50),IF((H355+I356)&gt;0,H355+I356,0))</f>
        <v>2.6748562481804301</v>
      </c>
      <c r="I356" s="64">
        <f t="shared" ca="1" si="10"/>
        <v>3.8167296999794396E-2</v>
      </c>
      <c r="J356" s="63">
        <f>IF(SUM(E352:E355)&lt;Variables!$B$3,-H355,0)</f>
        <v>0</v>
      </c>
      <c r="K356" s="64">
        <f ca="1">IF(AND(H355&lt;Variables!$B$6*Variables!$E$50,OR(SUM(D353:D356)&gt;Variables!$B$5,SUM(E353:E356)&gt;Variables!$B$4)),Variables!$B$6*Variables!$E$50+Variables!$B$7*$G$1*Variables!$E$50*SUM(D353:D356),0)</f>
        <v>0</v>
      </c>
      <c r="L356" s="64">
        <f>IF(B356="Winter",Variables!$B$8*H355,0)</f>
        <v>0</v>
      </c>
      <c r="M356" s="64">
        <f ca="1">IF(AND(B356="Spring",AND(NOT(H355=0),H355&lt;(Variables!$B$9*Variables!$E$50))),(Variables!$B$10*Variables!$E$50+Variables!$B$11*Variables!$E$50*SUM(E353:E356)+$G$1*SUM(D355:D356)*Variables!$E$50*Variables!$B$12),0)</f>
        <v>0</v>
      </c>
      <c r="N356" s="64">
        <f>IF(AND(B356="Spring",AND(SUM(D353:D356)&gt;Variables!$B$13,SUM(D349:D352)&gt;Variables!$B$13)),-Variables!$B$14*Variables!$E$50,0)</f>
        <v>0</v>
      </c>
      <c r="O356" s="64">
        <f>IF(AND(B356="Summer",SUM(C352:D356)&gt;Variables!$B$15),(Variables!$B$16*Variables!$E$50*SUM(C352:C356)+$G$1*Variables!$B$16*Variables!$E$50*SUM(D352:D356)+$G$1*Variables!$E$50*Variables!$B$17*F356),0)</f>
        <v>0</v>
      </c>
      <c r="P356" s="64">
        <f ca="1">IF(AND(AND(B356="Autumn",SUM(D355:E356)&gt;0),NOT(H355=0)),Variables!$B$18*Variables!$E$50+Variables!$B$19*Variables!$E$50*SUM(E355:E356)+$G$1*Variables!$B$19*Variables!$E$50*SUM(D355:D356),0)</f>
        <v>0</v>
      </c>
      <c r="Q356" s="64">
        <f>IF(AND(B356="Autumn",AND((E356+E355)&lt;Variables!$B$20,(D355+D356)=0)),-Variables!$B$21*Variables!$E$50,0)</f>
        <v>0</v>
      </c>
      <c r="R356" s="64">
        <f ca="1">IF(B356="Autumn",(SUM(F355:F356)*$G$1*Variables!$B$22*Variables!$E$50),0)</f>
        <v>3.8167296999794396E-2</v>
      </c>
      <c r="S356" s="64">
        <f>IF(B356="Spring",($G$1*Variables!$E$50*SUM('Guts (MC)'!F355:F356)*Variables!$B$23),0)</f>
        <v>0</v>
      </c>
      <c r="T356" s="63">
        <f ca="1">IF((H355+SUM(J356:Q356))&lt;(Variables!$B$26*Variables!$E$50),$F$1*((Variables!$B$26*Variables!$E$50)-H355-SUM(J356:Q356)),0)</f>
        <v>0</v>
      </c>
      <c r="U356" s="64">
        <f ca="1">IF(AND(AND(B356="Autumn",SUM(D353:E356)&gt;Variables!$B$27),SUM(J356:Q356)&lt;Variables!$B$28*H355),$F$1*(Variables!$B$28*H355-SUM(J356:Q356)),0)</f>
        <v>0</v>
      </c>
      <c r="V356" s="96">
        <f ca="1">IF(AND((J356+K356)=0,(Q356+T356)=0),$H$1*H356*Variables!$I$23*0.25,0)</f>
        <v>32.603763071600142</v>
      </c>
      <c r="W356" s="97">
        <f ca="1">IF(AND((K356+J356)=0,(T356+Q356)=0),$I$1*H356*Variables!$Q$23*0.25,0)</f>
        <v>10.485792172517732</v>
      </c>
      <c r="X356" s="95">
        <f ca="1">IF(AND(NOT(K356=0),(H356-H355)&gt;0),(H356-H355)*(Variables!$M$5*$H$1+Variables!$U$5*$I$1),0)+IF(AND(NOT((J356+N356+Q356)=0),(H355-H356)&gt;0),(H355-H356)*(Variables!$M$4*$H$1+Variables!$U$4*$I$1),0)</f>
        <v>0</v>
      </c>
      <c r="Y356" s="95">
        <f ca="1">IF(SUM(T356,U355:U356)&gt;0,H356*Variables!$Y$11*0.25*(1-$J$1),0)</f>
        <v>0</v>
      </c>
      <c r="Z356" s="95">
        <f ca="1">IF(T356=0,H356*$J$1*Variables!$Y$5*0.25,0)</f>
        <v>3.0099805264934423</v>
      </c>
      <c r="AA356" s="95">
        <f t="shared" ca="1" si="11"/>
        <v>46.099535770611318</v>
      </c>
      <c r="AB356" s="91">
        <f ca="1">AA356/Variables!$E$49</f>
        <v>7.4354089952598894</v>
      </c>
    </row>
    <row r="357" spans="1:28" x14ac:dyDescent="0.25">
      <c r="A357" s="61">
        <f>'Water runs'!C364</f>
        <v>34577</v>
      </c>
      <c r="B357" s="61" t="str">
        <f>'Water runs'!B364</f>
        <v>Winter</v>
      </c>
      <c r="C357" s="54">
        <f>'Water runs'!D364/100</f>
        <v>0</v>
      </c>
      <c r="D357" s="108">
        <f>VLOOKUP(ROW(D357)+4,'Water runs'!$BS$3:$CF$423,MATCH($B$1,Scenarios,0)+1)</f>
        <v>0</v>
      </c>
      <c r="E357" s="54">
        <f>IF(B357=Variables!$D$8,C357-Variables!$E$8,IF(B357=Variables!$D$9,C357-Variables!$E$9,IF(B357=Variables!$D$10,C357-Variables!$E$10,IF(B357=Variables!$D$11,C357-Variables!$E$11,"ELSE"))))</f>
        <v>-0.57176762566137573</v>
      </c>
      <c r="F357" s="108">
        <f>VLOOKUP(ROW(F357)+4,'Water runs'!$CH$3:$CU$423,MATCH($B$1,Scenarios,0)+1)</f>
        <v>0</v>
      </c>
      <c r="G357" s="65">
        <f ca="1">H357/Variables!$E$49</f>
        <v>0.21660069270468893</v>
      </c>
      <c r="H357" s="62">
        <f ca="1">IF((H356+I357)&gt;(1.1*Variables!$E$50),(1.1*Variables!$E$50),IF((H356+I357)&gt;0,H356+I357,0))</f>
        <v>1.3429242947690714</v>
      </c>
      <c r="I357" s="64">
        <f t="shared" ca="1" si="10"/>
        <v>-1.3319319534113587</v>
      </c>
      <c r="J357" s="63">
        <f>IF(SUM(E353:E356)&lt;Variables!$B$3,-H356,0)</f>
        <v>0</v>
      </c>
      <c r="K357" s="64">
        <f ca="1">IF(AND(H356&lt;Variables!$B$6*Variables!$E$50,OR(SUM(D354:D357)&gt;Variables!$B$5,SUM(E354:E357)&gt;Variables!$B$4)),Variables!$B$6*Variables!$E$50+Variables!$B$7*$G$1*Variables!$E$50*SUM(D354:D357),0)</f>
        <v>0</v>
      </c>
      <c r="L357" s="64">
        <f ca="1">IF(B357="Winter",Variables!$B$8*H356,0)</f>
        <v>-1.3319319534113587</v>
      </c>
      <c r="M357" s="64">
        <f ca="1">IF(AND(B357="Spring",AND(NOT(H356=0),H356&lt;(Variables!$B$9*Variables!$E$50))),(Variables!$B$10*Variables!$E$50+Variables!$B$11*Variables!$E$50*SUM(E354:E357)+$G$1*SUM(D356:D357)*Variables!$E$50*Variables!$B$12),0)</f>
        <v>0</v>
      </c>
      <c r="N357" s="64">
        <f>IF(AND(B357="Spring",AND(SUM(D354:D357)&gt;Variables!$B$13,SUM(D350:D353)&gt;Variables!$B$13)),-Variables!$B$14*Variables!$E$50,0)</f>
        <v>0</v>
      </c>
      <c r="O357" s="64">
        <f>IF(AND(B357="Summer",SUM(C353:D357)&gt;Variables!$B$15),(Variables!$B$16*Variables!$E$50*SUM(C353:C357)+$G$1*Variables!$B$16*Variables!$E$50*SUM(D353:D357)+$G$1*Variables!$E$50*Variables!$B$17*F357),0)</f>
        <v>0</v>
      </c>
      <c r="P357" s="64">
        <f ca="1">IF(AND(AND(B357="Autumn",SUM(D356:E357)&gt;0),NOT(H356=0)),Variables!$B$18*Variables!$E$50+Variables!$B$19*Variables!$E$50*SUM(E356:E357)+$G$1*Variables!$B$19*Variables!$E$50*SUM(D356:D357),0)</f>
        <v>0</v>
      </c>
      <c r="Q357" s="64">
        <f>IF(AND(B357="Autumn",AND((E357+E356)&lt;Variables!$B$20,(D356+D357)=0)),-Variables!$B$21*Variables!$E$50,0)</f>
        <v>0</v>
      </c>
      <c r="R357" s="64">
        <f>IF(B357="Autumn",(SUM(F356:F357)*$G$1*Variables!$B$22*Variables!$E$50),0)</f>
        <v>0</v>
      </c>
      <c r="S357" s="64">
        <f>IF(B357="Spring",($G$1*Variables!$E$50*SUM('Guts (MC)'!F356:F357)*Variables!$B$23),0)</f>
        <v>0</v>
      </c>
      <c r="T357" s="63">
        <f ca="1">IF((H356+SUM(J357:Q357))&lt;(Variables!$B$26*Variables!$E$50),$F$1*((Variables!$B$26*Variables!$E$50)-H356-SUM(J357:Q357)),0)</f>
        <v>0</v>
      </c>
      <c r="U357" s="64">
        <f ca="1">IF(AND(AND(B357="Autumn",SUM(D354:E357)&gt;Variables!$B$27),SUM(J357:Q357)&lt;Variables!$B$28*H356),$F$1*(Variables!$B$28*H356-SUM(J357:Q357)),0)</f>
        <v>0</v>
      </c>
      <c r="V357" s="96">
        <f ca="1">IF(AND((J357+K357)=0,(Q357+T357)=0),$H$1*H357*Variables!$I$23*0.25,0)</f>
        <v>16.368874237458861</v>
      </c>
      <c r="W357" s="97">
        <f ca="1">IF(AND((K357+J357)=0,(T357+Q357)=0),$I$1*H357*Variables!$Q$23*0.25,0)</f>
        <v>5.2644418061540481</v>
      </c>
      <c r="X357" s="95">
        <f ca="1">IF(AND(NOT(K357=0),(H357-H356)&gt;0),(H357-H356)*(Variables!$M$5*$H$1+Variables!$U$5*$I$1),0)+IF(AND(NOT((J357+N357+Q357)=0),(H356-H357)&gt;0),(H356-H357)*(Variables!$M$4*$H$1+Variables!$U$4*$I$1),0)</f>
        <v>0</v>
      </c>
      <c r="Y357" s="95">
        <f ca="1">IF(SUM(T357,U356:U357)&gt;0,H357*Variables!$Y$11*0.25*(1-$J$1),0)</f>
        <v>0</v>
      </c>
      <c r="Z357" s="95">
        <f ca="1">IF(T357=0,H357*$J$1*Variables!$Y$5*0.25,0)</f>
        <v>1.5111750317646162</v>
      </c>
      <c r="AA357" s="95">
        <f t="shared" ca="1" si="11"/>
        <v>23.144491075377523</v>
      </c>
      <c r="AB357" s="91">
        <f ca="1">AA357/Variables!$E$49</f>
        <v>3.7329824315125038</v>
      </c>
    </row>
    <row r="358" spans="1:28" x14ac:dyDescent="0.25">
      <c r="A358" s="61">
        <f>'Water runs'!C365</f>
        <v>34668</v>
      </c>
      <c r="B358" s="61" t="str">
        <f>'Water runs'!B365</f>
        <v>Spring</v>
      </c>
      <c r="C358" s="54">
        <f>'Water runs'!D365/100</f>
        <v>0.64426785714285695</v>
      </c>
      <c r="D358" s="108">
        <f>VLOOKUP(ROW(D358)+4,'Water runs'!$BS$3:$CF$423,MATCH($B$1,Scenarios,0)+1)</f>
        <v>0</v>
      </c>
      <c r="E358" s="54">
        <f>IF(B358=Variables!$D$8,C358-Variables!$E$8,IF(B358=Variables!$D$9,C358-Variables!$E$9,IF(B358=Variables!$D$10,C358-Variables!$E$10,IF(B358=Variables!$D$11,C358-Variables!$E$11,"ELSE"))))</f>
        <v>-0.1197143518518522</v>
      </c>
      <c r="F358" s="108">
        <f>VLOOKUP(ROW(F358)+4,'Water runs'!$CH$3:$CU$423,MATCH($B$1,Scenarios,0)+1)</f>
        <v>0</v>
      </c>
      <c r="G358" s="65">
        <f ca="1">H358/Variables!$E$49</f>
        <v>0.161</v>
      </c>
      <c r="H358" s="62">
        <f ca="1">IF((H357+I358)&gt;(1.1*Variables!$E$50),(1.1*Variables!$E$50),IF((H357+I358)&gt;0,H357+I358,0))</f>
        <v>0.99820000000000009</v>
      </c>
      <c r="I358" s="64">
        <f t="shared" ca="1" si="10"/>
        <v>-0.34472429476907129</v>
      </c>
      <c r="J358" s="63">
        <f>IF(SUM(E354:E357)&lt;Variables!$B$3,-H357,0)</f>
        <v>0</v>
      </c>
      <c r="K358" s="64">
        <f ca="1">IF(AND(H357&lt;Variables!$B$6*Variables!$E$50,OR(SUM(D355:D358)&gt;Variables!$B$5,SUM(E355:E358)&gt;Variables!$B$4)),Variables!$B$6*Variables!$E$50+Variables!$B$7*$G$1*Variables!$E$50*SUM(D355:D358),0)</f>
        <v>0</v>
      </c>
      <c r="L358" s="64">
        <f>IF(B358="Winter",Variables!$B$8*H357,0)</f>
        <v>0</v>
      </c>
      <c r="M358" s="64">
        <f ca="1">IF(AND(B358="Spring",AND(NOT(H357=0),H357&lt;(Variables!$B$9*Variables!$E$50))),(Variables!$B$10*Variables!$E$50+Variables!$B$11*Variables!$E$50*SUM(E355:E358)+$G$1*SUM(D357:D358)*Variables!$E$50*Variables!$B$12),0)</f>
        <v>-1.0739460220682007</v>
      </c>
      <c r="N358" s="64">
        <f>IF(AND(B358="Spring",AND(SUM(D355:D358)&gt;Variables!$B$13,SUM(D351:D354)&gt;Variables!$B$13)),-Variables!$B$14*Variables!$E$50,0)</f>
        <v>0</v>
      </c>
      <c r="O358" s="64">
        <f>IF(AND(B358="Summer",SUM(C354:D358)&gt;Variables!$B$15),(Variables!$B$16*Variables!$E$50*SUM(C354:C358)+$G$1*Variables!$B$16*Variables!$E$50*SUM(D354:D358)+$G$1*Variables!$E$50*Variables!$B$17*F358),0)</f>
        <v>0</v>
      </c>
      <c r="P358" s="64">
        <f ca="1">IF(AND(AND(B358="Autumn",SUM(D357:E358)&gt;0),NOT(H357=0)),Variables!$B$18*Variables!$E$50+Variables!$B$19*Variables!$E$50*SUM(E357:E358)+$G$1*Variables!$B$19*Variables!$E$50*SUM(D357:D358),0)</f>
        <v>0</v>
      </c>
      <c r="Q358" s="64">
        <f>IF(AND(B358="Autumn",AND((E358+E357)&lt;Variables!$B$20,(D357+D358)=0)),-Variables!$B$21*Variables!$E$50,0)</f>
        <v>0</v>
      </c>
      <c r="R358" s="64">
        <f>IF(B358="Autumn",(SUM(F357:F358)*$G$1*Variables!$B$22*Variables!$E$50),0)</f>
        <v>0</v>
      </c>
      <c r="S358" s="64">
        <f ca="1">IF(B358="Spring",($G$1*Variables!$E$50*SUM('Guts (MC)'!F357:F358)*Variables!$B$23),0)</f>
        <v>0</v>
      </c>
      <c r="T358" s="63">
        <f ca="1">IF((H357+SUM(J358:Q358))&lt;(Variables!$B$26*Variables!$E$50),$F$1*((Variables!$B$26*Variables!$E$50)-H357-SUM(J358:Q358)),0)</f>
        <v>0.72922172729912937</v>
      </c>
      <c r="U358" s="64">
        <f ca="1">IF(AND(AND(B358="Autumn",SUM(D355:E358)&gt;Variables!$B$27),SUM(J358:Q358)&lt;Variables!$B$28*H357),$F$1*(Variables!$B$28*H357-SUM(J358:Q358)),0)</f>
        <v>0</v>
      </c>
      <c r="V358" s="96">
        <f ca="1">IF(AND((J358+K358)=0,(Q358+T358)=0),$H$1*H358*Variables!$I$23*0.25,0)</f>
        <v>0</v>
      </c>
      <c r="W358" s="97">
        <f ca="1">IF(AND((K358+J358)=0,(T358+Q358)=0),$I$1*H358*Variables!$Q$23*0.25,0)</f>
        <v>0</v>
      </c>
      <c r="X358" s="95">
        <f ca="1">IF(AND(NOT(K358=0),(H358-H357)&gt;0),(H358-H357)*(Variables!$M$5*$H$1+Variables!$U$5*$I$1),0)+IF(AND(NOT((J358+N358+Q358)=0),(H357-H358)&gt;0),(H357-H358)*(Variables!$M$4*$H$1+Variables!$U$4*$I$1),0)</f>
        <v>0</v>
      </c>
      <c r="Y358" s="95">
        <f ca="1">IF(SUM(T358,U357:U358)&gt;0,H358*Variables!$Y$11*0.25*(1-$J$1),0)</f>
        <v>-8.6666009437672749</v>
      </c>
      <c r="Z358" s="95">
        <f ca="1">IF(T358=0,H358*$J$1*Variables!$Y$5*0.25,0)</f>
        <v>0</v>
      </c>
      <c r="AA358" s="95">
        <f t="shared" ca="1" si="11"/>
        <v>-8.6666009437672749</v>
      </c>
      <c r="AB358" s="91">
        <f ca="1">AA358/Variables!$E$49</f>
        <v>-1.3978388618979476</v>
      </c>
    </row>
    <row r="359" spans="1:28" x14ac:dyDescent="0.25">
      <c r="A359" s="61">
        <f>'Water runs'!C366</f>
        <v>34758</v>
      </c>
      <c r="B359" s="61" t="str">
        <f>'Water runs'!B366</f>
        <v>Summer</v>
      </c>
      <c r="C359" s="54">
        <f>'Water runs'!D366/100</f>
        <v>1.9843500000000001</v>
      </c>
      <c r="D359" s="108">
        <f>VLOOKUP(ROW(D359)+4,'Water runs'!$BS$3:$CF$423,MATCH($B$1,Scenarios,0)+1)</f>
        <v>0</v>
      </c>
      <c r="E359" s="54">
        <f>IF(B359=Variables!$D$8,C359-Variables!$E$8,IF(B359=Variables!$D$9,C359-Variables!$E$9,IF(B359=Variables!$D$10,C359-Variables!$E$10,IF(B359=Variables!$D$11,C359-Variables!$E$11,"ELSE"))))</f>
        <v>0.72597986394557834</v>
      </c>
      <c r="F359" s="108">
        <f>VLOOKUP(ROW(F359)+4,'Water runs'!$CH$3:$CU$423,MATCH($B$1,Scenarios,0)+1)</f>
        <v>0</v>
      </c>
      <c r="G359" s="65">
        <f ca="1">H359/Variables!$E$49</f>
        <v>0.34717627179505783</v>
      </c>
      <c r="H359" s="62">
        <f ca="1">IF((H358+I359)&gt;(1.1*Variables!$E$50),(1.1*Variables!$E$50),IF((H358+I359)&gt;0,H358+I359,0))</f>
        <v>2.1524928851293588</v>
      </c>
      <c r="I359" s="64">
        <f t="shared" ca="1" si="10"/>
        <v>1.1542928851293586</v>
      </c>
      <c r="J359" s="63">
        <f>IF(SUM(E355:E358)&lt;Variables!$B$3,-H358,0)</f>
        <v>0</v>
      </c>
      <c r="K359" s="64">
        <f ca="1">IF(AND(H358&lt;Variables!$B$6*Variables!$E$50,OR(SUM(D356:D359)&gt;Variables!$B$5,SUM(E356:E359)&gt;Variables!$B$4)),Variables!$B$6*Variables!$E$50+Variables!$B$7*$G$1*Variables!$E$50*SUM(D356:D359),0)</f>
        <v>1.1542928851293586</v>
      </c>
      <c r="L359" s="64">
        <f>IF(B359="Winter",Variables!$B$8*H358,0)</f>
        <v>0</v>
      </c>
      <c r="M359" s="64">
        <f ca="1">IF(AND(B359="Spring",AND(NOT(H358=0),H358&lt;(Variables!$B$9*Variables!$E$50))),(Variables!$B$10*Variables!$E$50+Variables!$B$11*Variables!$E$50*SUM(E356:E359)+$G$1*SUM(D358:D359)*Variables!$E$50*Variables!$B$12),0)</f>
        <v>0</v>
      </c>
      <c r="N359" s="64">
        <f>IF(AND(B359="Spring",AND(SUM(D356:D359)&gt;Variables!$B$13,SUM(D352:D355)&gt;Variables!$B$13)),-Variables!$B$14*Variables!$E$50,0)</f>
        <v>0</v>
      </c>
      <c r="O359" s="64">
        <f>IF(AND(B359="Summer",SUM(C355:D359)&gt;Variables!$B$15),(Variables!$B$16*Variables!$E$50*SUM(C355:C359)+$G$1*Variables!$B$16*Variables!$E$50*SUM(D355:D359)+$G$1*Variables!$E$50*Variables!$B$17*F359),0)</f>
        <v>0</v>
      </c>
      <c r="P359" s="64">
        <f ca="1">IF(AND(AND(B359="Autumn",SUM(D358:E359)&gt;0),NOT(H358=0)),Variables!$B$18*Variables!$E$50+Variables!$B$19*Variables!$E$50*SUM(E358:E359)+$G$1*Variables!$B$19*Variables!$E$50*SUM(D358:D359),0)</f>
        <v>0</v>
      </c>
      <c r="Q359" s="64">
        <f>IF(AND(B359="Autumn",AND((E359+E358)&lt;Variables!$B$20,(D358+D359)=0)),-Variables!$B$21*Variables!$E$50,0)</f>
        <v>0</v>
      </c>
      <c r="R359" s="64">
        <f>IF(B359="Autumn",(SUM(F358:F359)*$G$1*Variables!$B$22*Variables!$E$50),0)</f>
        <v>0</v>
      </c>
      <c r="S359" s="64">
        <f>IF(B359="Spring",($G$1*Variables!$E$50*SUM('Guts (MC)'!F358:F359)*Variables!$B$23),0)</f>
        <v>0</v>
      </c>
      <c r="T359" s="63">
        <f ca="1">IF((H358+SUM(J359:Q359))&lt;(Variables!$B$26*Variables!$E$50),$F$1*((Variables!$B$26*Variables!$E$50)-H358-SUM(J359:Q359)),0)</f>
        <v>0</v>
      </c>
      <c r="U359" s="64">
        <f ca="1">IF(AND(AND(B359="Autumn",SUM(D356:E359)&gt;Variables!$B$27),SUM(J359:Q359)&lt;Variables!$B$28*H358),$F$1*(Variables!$B$28*H358-SUM(J359:Q359)),0)</f>
        <v>0</v>
      </c>
      <c r="V359" s="96">
        <f ca="1">IF(AND((J359+K359)=0,(Q359+T359)=0),$H$1*H359*Variables!$I$23*0.25,0)</f>
        <v>0</v>
      </c>
      <c r="W359" s="97">
        <f ca="1">IF(AND((K359+J359)=0,(T359+Q359)=0),$I$1*H359*Variables!$Q$23*0.25,0)</f>
        <v>0</v>
      </c>
      <c r="X359" s="95">
        <f ca="1">IF(AND(NOT(K359=0),(H359-H358)&gt;0),(H359-H358)*(Variables!$M$5*$H$1+Variables!$U$5*$I$1),0)+IF(AND(NOT((J359+N359+Q359)=0),(H358-H359)&gt;0),(H358-H359)*(Variables!$M$4*$H$1+Variables!$U$4*$I$1),0)</f>
        <v>-131.95238152126922</v>
      </c>
      <c r="Y359" s="95">
        <f ca="1">IF(SUM(T359,U358:U359)&gt;0,H359*Variables!$Y$11*0.25*(1-$J$1),0)</f>
        <v>0</v>
      </c>
      <c r="Z359" s="95">
        <f ca="1">IF(T359=0,H359*$J$1*Variables!$Y$5*0.25,0)</f>
        <v>2.422171910009133</v>
      </c>
      <c r="AA359" s="95">
        <f t="shared" ca="1" si="11"/>
        <v>-129.53020961126009</v>
      </c>
      <c r="AB359" s="91">
        <f ca="1">AA359/Variables!$E$49</f>
        <v>-20.891969292138725</v>
      </c>
    </row>
    <row r="360" spans="1:28" x14ac:dyDescent="0.25">
      <c r="A360" s="61">
        <f>'Water runs'!C367</f>
        <v>34850</v>
      </c>
      <c r="B360" s="61" t="str">
        <f>'Water runs'!B367</f>
        <v>Autumn</v>
      </c>
      <c r="C360" s="54">
        <f>'Water runs'!D367/100</f>
        <v>1.040875</v>
      </c>
      <c r="D360" s="108">
        <f>VLOOKUP(ROW(D360)+4,'Water runs'!$BS$3:$CF$423,MATCH($B$1,Scenarios,0)+1)</f>
        <v>3.6761969611794234E-3</v>
      </c>
      <c r="E360" s="54">
        <f>IF(B360=Variables!$D$8,C360-Variables!$E$8,IF(B360=Variables!$D$9,C360-Variables!$E$9,IF(B360=Variables!$D$10,C360-Variables!$E$10,IF(B360=Variables!$D$11,C360-Variables!$E$11,"ELSE"))))</f>
        <v>4.6231700680272159E-2</v>
      </c>
      <c r="F360" s="108">
        <f>VLOOKUP(ROW(F360)+4,'Water runs'!$CH$3:$CU$423,MATCH($B$1,Scenarios,0)+1)</f>
        <v>0</v>
      </c>
      <c r="G360" s="65">
        <f ca="1">H360/Variables!$E$49</f>
        <v>0.67966397598522965</v>
      </c>
      <c r="H360" s="62">
        <f ca="1">IF((H359+I360)&gt;(1.1*Variables!$E$50),(1.1*Variables!$E$50),IF((H359+I360)&gt;0,H359+I360,0))</f>
        <v>4.2139166511084243</v>
      </c>
      <c r="I360" s="64">
        <f t="shared" ca="1" si="10"/>
        <v>2.0614237659790655</v>
      </c>
      <c r="J360" s="63">
        <f>IF(SUM(E356:E359)&lt;Variables!$B$3,-H359,0)</f>
        <v>0</v>
      </c>
      <c r="K360" s="64">
        <f ca="1">IF(AND(H359&lt;Variables!$B$6*Variables!$E$50,OR(SUM(D357:D360)&gt;Variables!$B$5,SUM(E357:E360)&gt;Variables!$B$4)),Variables!$B$6*Variables!$E$50+Variables!$B$7*$G$1*Variables!$E$50*SUM(D357:D360),0)</f>
        <v>0</v>
      </c>
      <c r="L360" s="64">
        <f>IF(B360="Winter",Variables!$B$8*H359,0)</f>
        <v>0</v>
      </c>
      <c r="M360" s="64">
        <f ca="1">IF(AND(B360="Spring",AND(NOT(H359=0),H359&lt;(Variables!$B$9*Variables!$E$50))),(Variables!$B$10*Variables!$E$50+Variables!$B$11*Variables!$E$50*SUM(E357:E360)+$G$1*SUM(D359:D360)*Variables!$E$50*Variables!$B$12),0)</f>
        <v>0</v>
      </c>
      <c r="N360" s="64">
        <f>IF(AND(B360="Spring",AND(SUM(D357:D360)&gt;Variables!$B$13,SUM(D353:D356)&gt;Variables!$B$13)),-Variables!$B$14*Variables!$E$50,0)</f>
        <v>0</v>
      </c>
      <c r="O360" s="64">
        <f>IF(AND(B360="Summer",SUM(C356:D360)&gt;Variables!$B$15),(Variables!$B$16*Variables!$E$50*SUM(C356:C360)+$G$1*Variables!$B$16*Variables!$E$50*SUM(D356:D360)+$G$1*Variables!$E$50*Variables!$B$17*F360),0)</f>
        <v>0</v>
      </c>
      <c r="P360" s="64">
        <f ca="1">IF(AND(AND(B360="Autumn",SUM(D359:E360)&gt;0),NOT(H359=0)),Variables!$B$18*Variables!$E$50+Variables!$B$19*Variables!$E$50*SUM(E359:E360)+$G$1*Variables!$B$19*Variables!$E$50*SUM(D359:D360),0)</f>
        <v>2.0614237659790655</v>
      </c>
      <c r="Q360" s="64">
        <f>IF(AND(B360="Autumn",AND((E360+E359)&lt;Variables!$B$20,(D359+D360)=0)),-Variables!$B$21*Variables!$E$50,0)</f>
        <v>0</v>
      </c>
      <c r="R360" s="64">
        <f ca="1">IF(B360="Autumn",(SUM(F359:F360)*$G$1*Variables!$B$22*Variables!$E$50),0)</f>
        <v>0</v>
      </c>
      <c r="S360" s="64">
        <f>IF(B360="Spring",($G$1*Variables!$E$50*SUM('Guts (MC)'!F359:F360)*Variables!$B$23),0)</f>
        <v>0</v>
      </c>
      <c r="T360" s="63">
        <f ca="1">IF((H359+SUM(J360:Q360))&lt;(Variables!$B$26*Variables!$E$50),$F$1*((Variables!$B$26*Variables!$E$50)-H359-SUM(J360:Q360)),0)</f>
        <v>0</v>
      </c>
      <c r="U360" s="64">
        <f ca="1">IF(AND(AND(B360="Autumn",SUM(D357:E360)&gt;Variables!$B$27),SUM(J360:Q360)&lt;Variables!$B$28*H359),$F$1*(Variables!$B$28*H359-SUM(J360:Q360)),0)</f>
        <v>0</v>
      </c>
      <c r="V360" s="96">
        <f ca="1">IF(AND((J360+K360)=0,(Q360+T360)=0),$H$1*H360*Variables!$I$23*0.25,0)</f>
        <v>51.363335951107267</v>
      </c>
      <c r="W360" s="97">
        <f ca="1">IF(AND((K360+J360)=0,(T360+Q360)=0),$I$1*H360*Variables!$Q$23*0.25,0)</f>
        <v>16.519113603167472</v>
      </c>
      <c r="X360" s="95">
        <f ca="1">IF(AND(NOT(K360=0),(H360-H359)&gt;0),(H360-H359)*(Variables!$M$5*$H$1+Variables!$U$5*$I$1),0)+IF(AND(NOT((J360+N360+Q360)=0),(H359-H360)&gt;0),(H359-H360)*(Variables!$M$4*$H$1+Variables!$U$4*$I$1),0)</f>
        <v>0</v>
      </c>
      <c r="Y360" s="95">
        <f ca="1">IF(SUM(T360,U359:U360)&gt;0,H360*Variables!$Y$11*0.25*(1-$J$1),0)</f>
        <v>0</v>
      </c>
      <c r="Z360" s="95">
        <f ca="1">IF(T360=0,H360*$J$1*Variables!$Y$5*0.25,0)</f>
        <v>4.7418649389966179</v>
      </c>
      <c r="AA360" s="95">
        <f t="shared" ca="1" si="11"/>
        <v>72.624314493271356</v>
      </c>
      <c r="AB360" s="91">
        <f ca="1">AA360/Variables!$E$49</f>
        <v>11.71359911181796</v>
      </c>
    </row>
    <row r="361" spans="1:28" x14ac:dyDescent="0.25">
      <c r="A361" s="61">
        <f>'Water runs'!C368</f>
        <v>34942</v>
      </c>
      <c r="B361" s="61" t="str">
        <f>'Water runs'!B368</f>
        <v>Winter</v>
      </c>
      <c r="C361" s="54">
        <f>'Water runs'!D368/100</f>
        <v>0.24350000000000002</v>
      </c>
      <c r="D361" s="108">
        <f>VLOOKUP(ROW(D361)+4,'Water runs'!$BS$3:$CF$423,MATCH($B$1,Scenarios,0)+1)</f>
        <v>0</v>
      </c>
      <c r="E361" s="54">
        <f>IF(B361=Variables!$D$8,C361-Variables!$E$8,IF(B361=Variables!$D$9,C361-Variables!$E$9,IF(B361=Variables!$D$10,C361-Variables!$E$10,IF(B361=Variables!$D$11,C361-Variables!$E$11,"ELSE"))))</f>
        <v>-0.32826762566137568</v>
      </c>
      <c r="F361" s="108">
        <f>VLOOKUP(ROW(F361)+4,'Water runs'!$CH$3:$CU$423,MATCH($B$1,Scenarios,0)+1)</f>
        <v>0</v>
      </c>
      <c r="G361" s="65">
        <f ca="1">H361/Variables!$E$49</f>
        <v>0.34122853003812703</v>
      </c>
      <c r="H361" s="62">
        <f ca="1">IF((H360+I361)&gt;(1.1*Variables!$E$50),(1.1*Variables!$E$50),IF((H360+I361)&gt;0,H360+I361,0))</f>
        <v>2.1156168862363876</v>
      </c>
      <c r="I361" s="64">
        <f t="shared" ca="1" si="10"/>
        <v>-2.0982997648720367</v>
      </c>
      <c r="J361" s="63">
        <f>IF(SUM(E357:E360)&lt;Variables!$B$3,-H360,0)</f>
        <v>0</v>
      </c>
      <c r="K361" s="64">
        <f ca="1">IF(AND(H360&lt;Variables!$B$6*Variables!$E$50,OR(SUM(D358:D361)&gt;Variables!$B$5,SUM(E358:E361)&gt;Variables!$B$4)),Variables!$B$6*Variables!$E$50+Variables!$B$7*$G$1*Variables!$E$50*SUM(D358:D361),0)</f>
        <v>0</v>
      </c>
      <c r="L361" s="64">
        <f ca="1">IF(B361="Winter",Variables!$B$8*H360,0)</f>
        <v>-2.0982997648720367</v>
      </c>
      <c r="M361" s="64">
        <f ca="1">IF(AND(B361="Spring",AND(NOT(H360=0),H360&lt;(Variables!$B$9*Variables!$E$50))),(Variables!$B$10*Variables!$E$50+Variables!$B$11*Variables!$E$50*SUM(E358:E361)+$G$1*SUM(D360:D361)*Variables!$E$50*Variables!$B$12),0)</f>
        <v>0</v>
      </c>
      <c r="N361" s="64">
        <f>IF(AND(B361="Spring",AND(SUM(D358:D361)&gt;Variables!$B$13,SUM(D354:D357)&gt;Variables!$B$13)),-Variables!$B$14*Variables!$E$50,0)</f>
        <v>0</v>
      </c>
      <c r="O361" s="64">
        <f>IF(AND(B361="Summer",SUM(C357:D361)&gt;Variables!$B$15),(Variables!$B$16*Variables!$E$50*SUM(C357:C361)+$G$1*Variables!$B$16*Variables!$E$50*SUM(D357:D361)+$G$1*Variables!$E$50*Variables!$B$17*F361),0)</f>
        <v>0</v>
      </c>
      <c r="P361" s="64">
        <f ca="1">IF(AND(AND(B361="Autumn",SUM(D360:E361)&gt;0),NOT(H360=0)),Variables!$B$18*Variables!$E$50+Variables!$B$19*Variables!$E$50*SUM(E360:E361)+$G$1*Variables!$B$19*Variables!$E$50*SUM(D360:D361),0)</f>
        <v>0</v>
      </c>
      <c r="Q361" s="64">
        <f>IF(AND(B361="Autumn",AND((E361+E360)&lt;Variables!$B$20,(D360+D361)=0)),-Variables!$B$21*Variables!$E$50,0)</f>
        <v>0</v>
      </c>
      <c r="R361" s="64">
        <f>IF(B361="Autumn",(SUM(F360:F361)*$G$1*Variables!$B$22*Variables!$E$50),0)</f>
        <v>0</v>
      </c>
      <c r="S361" s="64">
        <f>IF(B361="Spring",($G$1*Variables!$E$50*SUM('Guts (MC)'!F360:F361)*Variables!$B$23),0)</f>
        <v>0</v>
      </c>
      <c r="T361" s="63">
        <f ca="1">IF((H360+SUM(J361:Q361))&lt;(Variables!$B$26*Variables!$E$50),$F$1*((Variables!$B$26*Variables!$E$50)-H360-SUM(J361:Q361)),0)</f>
        <v>0</v>
      </c>
      <c r="U361" s="64">
        <f ca="1">IF(AND(AND(B361="Autumn",SUM(D358:E361)&gt;Variables!$B$27),SUM(J361:Q361)&lt;Variables!$B$28*H360),$F$1*(Variables!$B$28*H360-SUM(J361:Q361)),0)</f>
        <v>0</v>
      </c>
      <c r="V361" s="96">
        <f ca="1">IF(AND((J361+K361)=0,(Q361+T361)=0),$H$1*H361*Variables!$I$23*0.25,0)</f>
        <v>25.787206978337338</v>
      </c>
      <c r="W361" s="97">
        <f ca="1">IF(AND((K361+J361)=0,(T361+Q361)=0),$I$1*H361*Variables!$Q$23*0.25,0)</f>
        <v>8.2934995107996734</v>
      </c>
      <c r="X361" s="95">
        <f ca="1">IF(AND(NOT(K361=0),(H361-H360)&gt;0),(H361-H360)*(Variables!$M$5*$H$1+Variables!$U$5*$I$1),0)+IF(AND(NOT((J361+N361+Q361)=0),(H360-H361)&gt;0),(H360-H361)*(Variables!$M$4*$H$1+Variables!$U$4*$I$1),0)</f>
        <v>0</v>
      </c>
      <c r="Y361" s="95">
        <f ca="1">IF(SUM(T361,U360:U361)&gt;0,H361*Variables!$Y$11*0.25*(1-$J$1),0)</f>
        <v>0</v>
      </c>
      <c r="Z361" s="95">
        <f ca="1">IF(T361=0,H361*$J$1*Variables!$Y$5*0.25,0)</f>
        <v>2.3806758338598661</v>
      </c>
      <c r="AA361" s="95">
        <f t="shared" ca="1" si="11"/>
        <v>36.461382322996883</v>
      </c>
      <c r="AB361" s="91">
        <f ca="1">AA361/Variables!$E$49</f>
        <v>5.8808681166124002</v>
      </c>
    </row>
    <row r="362" spans="1:28" x14ac:dyDescent="0.25">
      <c r="A362" s="61">
        <f>'Water runs'!C369</f>
        <v>35033</v>
      </c>
      <c r="B362" s="61" t="str">
        <f>'Water runs'!B369</f>
        <v>Spring</v>
      </c>
      <c r="C362" s="54">
        <f>'Water runs'!D369/100</f>
        <v>0.84187500000000004</v>
      </c>
      <c r="D362" s="108">
        <f>VLOOKUP(ROW(D362)+4,'Water runs'!$BS$3:$CF$423,MATCH($B$1,Scenarios,0)+1)</f>
        <v>0</v>
      </c>
      <c r="E362" s="54">
        <f>IF(B362=Variables!$D$8,C362-Variables!$E$8,IF(B362=Variables!$D$9,C362-Variables!$E$9,IF(B362=Variables!$D$10,C362-Variables!$E$10,IF(B362=Variables!$D$11,C362-Variables!$E$11,"ELSE"))))</f>
        <v>7.7892791005290896E-2</v>
      </c>
      <c r="F362" s="108">
        <f>VLOOKUP(ROW(F362)+4,'Water runs'!$CH$3:$CU$423,MATCH($B$1,Scenarios,0)+1)</f>
        <v>0</v>
      </c>
      <c r="G362" s="65">
        <f ca="1">H362/Variables!$E$49</f>
        <v>0.39855159506247945</v>
      </c>
      <c r="H362" s="62">
        <f ca="1">IF((H361+I362)&gt;(1.1*Variables!$E$50),(1.1*Variables!$E$50),IF((H361+I362)&gt;0,H361+I362,0))</f>
        <v>2.4710198893873727</v>
      </c>
      <c r="I362" s="64">
        <f t="shared" ca="1" si="10"/>
        <v>0.355403003150985</v>
      </c>
      <c r="J362" s="63">
        <f>IF(SUM(E358:E361)&lt;Variables!$B$3,-H361,0)</f>
        <v>0</v>
      </c>
      <c r="K362" s="64">
        <f ca="1">IF(AND(H361&lt;Variables!$B$6*Variables!$E$50,OR(SUM(D359:D362)&gt;Variables!$B$5,SUM(E359:E362)&gt;Variables!$B$4)),Variables!$B$6*Variables!$E$50+Variables!$B$7*$G$1*Variables!$E$50*SUM(D359:D362),0)</f>
        <v>0</v>
      </c>
      <c r="L362" s="64">
        <f>IF(B362="Winter",Variables!$B$8*H361,0)</f>
        <v>0</v>
      </c>
      <c r="M362" s="64">
        <f ca="1">IF(AND(B362="Spring",AND(NOT(H361=0),H361&lt;(Variables!$B$9*Variables!$E$50))),(Variables!$B$10*Variables!$E$50+Variables!$B$11*Variables!$E$50*SUM(E359:E362)+$G$1*SUM(D361:D362)*Variables!$E$50*Variables!$B$12),0)</f>
        <v>0.355403003150985</v>
      </c>
      <c r="N362" s="64">
        <f>IF(AND(B362="Spring",AND(SUM(D359:D362)&gt;Variables!$B$13,SUM(D355:D358)&gt;Variables!$B$13)),-Variables!$B$14*Variables!$E$50,0)</f>
        <v>0</v>
      </c>
      <c r="O362" s="64">
        <f>IF(AND(B362="Summer",SUM(C358:D362)&gt;Variables!$B$15),(Variables!$B$16*Variables!$E$50*SUM(C358:C362)+$G$1*Variables!$B$16*Variables!$E$50*SUM(D358:D362)+$G$1*Variables!$E$50*Variables!$B$17*F362),0)</f>
        <v>0</v>
      </c>
      <c r="P362" s="64">
        <f ca="1">IF(AND(AND(B362="Autumn",SUM(D361:E362)&gt;0),NOT(H361=0)),Variables!$B$18*Variables!$E$50+Variables!$B$19*Variables!$E$50*SUM(E361:E362)+$G$1*Variables!$B$19*Variables!$E$50*SUM(D361:D362),0)</f>
        <v>0</v>
      </c>
      <c r="Q362" s="64">
        <f>IF(AND(B362="Autumn",AND((E362+E361)&lt;Variables!$B$20,(D361+D362)=0)),-Variables!$B$21*Variables!$E$50,0)</f>
        <v>0</v>
      </c>
      <c r="R362" s="64">
        <f>IF(B362="Autumn",(SUM(F361:F362)*$G$1*Variables!$B$22*Variables!$E$50),0)</f>
        <v>0</v>
      </c>
      <c r="S362" s="64">
        <f ca="1">IF(B362="Spring",($G$1*Variables!$E$50*SUM('Guts (MC)'!F361:F362)*Variables!$B$23),0)</f>
        <v>0</v>
      </c>
      <c r="T362" s="63">
        <f ca="1">IF((H361+SUM(J362:Q362))&lt;(Variables!$B$26*Variables!$E$50),$F$1*((Variables!$B$26*Variables!$E$50)-H361-SUM(J362:Q362)),0)</f>
        <v>0</v>
      </c>
      <c r="U362" s="64">
        <f ca="1">IF(AND(AND(B362="Autumn",SUM(D359:E362)&gt;Variables!$B$27),SUM(J362:Q362)&lt;Variables!$B$28*H361),$F$1*(Variables!$B$28*H361-SUM(J362:Q362)),0)</f>
        <v>0</v>
      </c>
      <c r="V362" s="96">
        <f ca="1">IF(AND((J362+K362)=0,(Q362+T362)=0),$H$1*H362*Variables!$I$23*0.25,0)</f>
        <v>30.119206246541843</v>
      </c>
      <c r="W362" s="97">
        <f ca="1">IF(AND((K362+J362)=0,(T362+Q362)=0),$I$1*H362*Variables!$Q$23*0.25,0)</f>
        <v>9.6867265416223471</v>
      </c>
      <c r="X362" s="95">
        <f ca="1">IF(AND(NOT(K362=0),(H362-H361)&gt;0),(H362-H361)*(Variables!$M$5*$H$1+Variables!$U$5*$I$1),0)+IF(AND(NOT((J362+N362+Q362)=0),(H361-H362)&gt;0),(H361-H362)*(Variables!$M$4*$H$1+Variables!$U$4*$I$1),0)</f>
        <v>0</v>
      </c>
      <c r="Y362" s="95">
        <f ca="1">IF(SUM(T362,U361:U362)&gt;0,H362*Variables!$Y$11*0.25*(1-$J$1),0)</f>
        <v>0</v>
      </c>
      <c r="Z362" s="95">
        <f ca="1">IF(T362=0,H362*$J$1*Variables!$Y$5*0.25,0)</f>
        <v>2.7806061550759891</v>
      </c>
      <c r="AA362" s="95">
        <f t="shared" ca="1" si="11"/>
        <v>42.586538943240178</v>
      </c>
      <c r="AB362" s="91">
        <f ca="1">AA362/Variables!$E$49</f>
        <v>6.8687966037484154</v>
      </c>
    </row>
    <row r="363" spans="1:28" x14ac:dyDescent="0.25">
      <c r="A363" s="61">
        <f>'Water runs'!C370</f>
        <v>35123</v>
      </c>
      <c r="B363" s="61" t="str">
        <f>'Water runs'!B370</f>
        <v>Summer</v>
      </c>
      <c r="C363" s="54">
        <f>'Water runs'!D370/100</f>
        <v>1.0483750000000001</v>
      </c>
      <c r="D363" s="108">
        <f>VLOOKUP(ROW(D363)+4,'Water runs'!$BS$3:$CF$423,MATCH($B$1,Scenarios,0)+1)</f>
        <v>1.0331039834044609</v>
      </c>
      <c r="E363" s="54">
        <f>IF(B363=Variables!$D$8,C363-Variables!$E$8,IF(B363=Variables!$D$9,C363-Variables!$E$9,IF(B363=Variables!$D$10,C363-Variables!$E$10,IF(B363=Variables!$D$11,C363-Variables!$E$11,"ELSE"))))</f>
        <v>-0.20999513605442166</v>
      </c>
      <c r="F363" s="108">
        <f>VLOOKUP(ROW(F363)+4,'Water runs'!$CH$3:$CU$423,MATCH($B$1,Scenarios,0)+1)</f>
        <v>2.2682934940102455</v>
      </c>
      <c r="G363" s="65">
        <f ca="1">H363/Variables!$E$49</f>
        <v>0.39855159506247945</v>
      </c>
      <c r="H363" s="62">
        <f ca="1">IF((H362+I363)&gt;(1.1*Variables!$E$50),(1.1*Variables!$E$50),IF((H362+I363)&gt;0,H362+I363,0))</f>
        <v>2.4710198893873727</v>
      </c>
      <c r="I363" s="64">
        <f t="shared" ca="1" si="10"/>
        <v>0</v>
      </c>
      <c r="J363" s="63">
        <f>IF(SUM(E359:E362)&lt;Variables!$B$3,-H362,0)</f>
        <v>0</v>
      </c>
      <c r="K363" s="64">
        <f ca="1">IF(AND(H362&lt;Variables!$B$6*Variables!$E$50,OR(SUM(D360:D363)&gt;Variables!$B$5,SUM(E360:E363)&gt;Variables!$B$4)),Variables!$B$6*Variables!$E$50+Variables!$B$7*$G$1*Variables!$E$50*SUM(D360:D363),0)</f>
        <v>0</v>
      </c>
      <c r="L363" s="64">
        <f>IF(B363="Winter",Variables!$B$8*H362,0)</f>
        <v>0</v>
      </c>
      <c r="M363" s="64">
        <f ca="1">IF(AND(B363="Spring",AND(NOT(H362=0),H362&lt;(Variables!$B$9*Variables!$E$50))),(Variables!$B$10*Variables!$E$50+Variables!$B$11*Variables!$E$50*SUM(E360:E363)+$G$1*SUM(D362:D363)*Variables!$E$50*Variables!$B$12),0)</f>
        <v>0</v>
      </c>
      <c r="N363" s="64">
        <f>IF(AND(B363="Spring",AND(SUM(D360:D363)&gt;Variables!$B$13,SUM(D356:D359)&gt;Variables!$B$13)),-Variables!$B$14*Variables!$E$50,0)</f>
        <v>0</v>
      </c>
      <c r="O363" s="64">
        <f>IF(AND(B363="Summer",SUM(C359:D363)&gt;Variables!$B$15),(Variables!$B$16*Variables!$E$50*SUM(C359:C363)+$G$1*Variables!$B$16*Variables!$E$50*SUM(D359:D363)+$G$1*Variables!$E$50*Variables!$B$17*F363),0)</f>
        <v>0</v>
      </c>
      <c r="P363" s="64">
        <f ca="1">IF(AND(AND(B363="Autumn",SUM(D362:E363)&gt;0),NOT(H362=0)),Variables!$B$18*Variables!$E$50+Variables!$B$19*Variables!$E$50*SUM(E362:E363)+$G$1*Variables!$B$19*Variables!$E$50*SUM(D362:D363),0)</f>
        <v>0</v>
      </c>
      <c r="Q363" s="64">
        <f>IF(AND(B363="Autumn",AND((E363+E362)&lt;Variables!$B$20,(D362+D363)=0)),-Variables!$B$21*Variables!$E$50,0)</f>
        <v>0</v>
      </c>
      <c r="R363" s="64">
        <f>IF(B363="Autumn",(SUM(F362:F363)*$G$1*Variables!$B$22*Variables!$E$50),0)</f>
        <v>0</v>
      </c>
      <c r="S363" s="64">
        <f>IF(B363="Spring",($G$1*Variables!$E$50*SUM('Guts (MC)'!F362:F363)*Variables!$B$23),0)</f>
        <v>0</v>
      </c>
      <c r="T363" s="63">
        <f ca="1">IF((H362+SUM(J363:Q363))&lt;(Variables!$B$26*Variables!$E$50),$F$1*((Variables!$B$26*Variables!$E$50)-H362-SUM(J363:Q363)),0)</f>
        <v>0</v>
      </c>
      <c r="U363" s="64">
        <f ca="1">IF(AND(AND(B363="Autumn",SUM(D360:E363)&gt;Variables!$B$27),SUM(J363:Q363)&lt;Variables!$B$28*H362),$F$1*(Variables!$B$28*H362-SUM(J363:Q363)),0)</f>
        <v>0</v>
      </c>
      <c r="V363" s="96">
        <f ca="1">IF(AND((J363+K363)=0,(Q363+T363)=0),$H$1*H363*Variables!$I$23*0.25,0)</f>
        <v>30.119206246541843</v>
      </c>
      <c r="W363" s="97">
        <f ca="1">IF(AND((K363+J363)=0,(T363+Q363)=0),$I$1*H363*Variables!$Q$23*0.25,0)</f>
        <v>9.6867265416223471</v>
      </c>
      <c r="X363" s="95">
        <f ca="1">IF(AND(NOT(K363=0),(H363-H362)&gt;0),(H363-H362)*(Variables!$M$5*$H$1+Variables!$U$5*$I$1),0)+IF(AND(NOT((J363+N363+Q363)=0),(H362-H363)&gt;0),(H362-H363)*(Variables!$M$4*$H$1+Variables!$U$4*$I$1),0)</f>
        <v>0</v>
      </c>
      <c r="Y363" s="95">
        <f ca="1">IF(SUM(T363,U362:U363)&gt;0,H363*Variables!$Y$11*0.25*(1-$J$1),0)</f>
        <v>0</v>
      </c>
      <c r="Z363" s="95">
        <f ca="1">IF(T363=0,H363*$J$1*Variables!$Y$5*0.25,0)</f>
        <v>2.7806061550759891</v>
      </c>
      <c r="AA363" s="95">
        <f t="shared" ca="1" si="11"/>
        <v>42.586538943240178</v>
      </c>
      <c r="AB363" s="91">
        <f ca="1">AA363/Variables!$E$49</f>
        <v>6.8687966037484154</v>
      </c>
    </row>
    <row r="364" spans="1:28" x14ac:dyDescent="0.25">
      <c r="A364" s="61">
        <f>'Water runs'!C371</f>
        <v>35216</v>
      </c>
      <c r="B364" s="61" t="str">
        <f>'Water runs'!B371</f>
        <v>Autumn</v>
      </c>
      <c r="C364" s="54">
        <f>'Water runs'!D371/100</f>
        <v>1.6425000000000001</v>
      </c>
      <c r="D364" s="108">
        <f>VLOOKUP(ROW(D364)+4,'Water runs'!$BS$3:$CF$423,MATCH($B$1,Scenarios,0)+1)</f>
        <v>0.66656901479821695</v>
      </c>
      <c r="E364" s="54">
        <f>IF(B364=Variables!$D$8,C364-Variables!$E$8,IF(B364=Variables!$D$9,C364-Variables!$E$9,IF(B364=Variables!$D$10,C364-Variables!$E$10,IF(B364=Variables!$D$11,C364-Variables!$E$11,"ELSE"))))</f>
        <v>0.64785670068027224</v>
      </c>
      <c r="F364" s="108">
        <f>VLOOKUP(ROW(F364)+4,'Water runs'!$CH$3:$CU$423,MATCH($B$1,Scenarios,0)+1)</f>
        <v>0</v>
      </c>
      <c r="G364" s="65">
        <f ca="1">H364/Variables!$E$49</f>
        <v>1.1441508564457084</v>
      </c>
      <c r="H364" s="62">
        <f ca="1">IF((H363+I364)&gt;(1.1*Variables!$E$50),(1.1*Variables!$E$50),IF((H363+I364)&gt;0,H363+I364,0))</f>
        <v>7.0937353099633915</v>
      </c>
      <c r="I364" s="64">
        <f t="shared" ca="1" si="10"/>
        <v>4.6227154205760188</v>
      </c>
      <c r="J364" s="63">
        <f>IF(SUM(E360:E363)&lt;Variables!$B$3,-H363,0)</f>
        <v>0</v>
      </c>
      <c r="K364" s="64">
        <f ca="1">IF(AND(H363&lt;Variables!$B$6*Variables!$E$50,OR(SUM(D361:D364)&gt;Variables!$B$5,SUM(E361:E364)&gt;Variables!$B$4)),Variables!$B$6*Variables!$E$50+Variables!$B$7*$G$1*Variables!$E$50*SUM(D361:D364),0)</f>
        <v>0</v>
      </c>
      <c r="L364" s="64">
        <f>IF(B364="Winter",Variables!$B$8*H363,0)</f>
        <v>0</v>
      </c>
      <c r="M364" s="64">
        <f ca="1">IF(AND(B364="Spring",AND(NOT(H363=0),H363&lt;(Variables!$B$9*Variables!$E$50))),(Variables!$B$10*Variables!$E$50+Variables!$B$11*Variables!$E$50*SUM(E361:E364)+$G$1*SUM(D363:D364)*Variables!$E$50*Variables!$B$12),0)</f>
        <v>0</v>
      </c>
      <c r="N364" s="64">
        <f>IF(AND(B364="Spring",AND(SUM(D361:D364)&gt;Variables!$B$13,SUM(D357:D360)&gt;Variables!$B$13)),-Variables!$B$14*Variables!$E$50,0)</f>
        <v>0</v>
      </c>
      <c r="O364" s="64">
        <f>IF(AND(B364="Summer",SUM(C360:D364)&gt;Variables!$B$15),(Variables!$B$16*Variables!$E$50*SUM(C360:C364)+$G$1*Variables!$B$16*Variables!$E$50*SUM(D360:D364)+$G$1*Variables!$E$50*Variables!$B$17*F364),0)</f>
        <v>0</v>
      </c>
      <c r="P364" s="64">
        <f ca="1">IF(AND(AND(B364="Autumn",SUM(D363:E364)&gt;0),NOT(H363=0)),Variables!$B$18*Variables!$E$50+Variables!$B$19*Variables!$E$50*SUM(E363:E364)+$G$1*Variables!$B$19*Variables!$E$50*SUM(D363:D364),0)</f>
        <v>4.2793136731536148</v>
      </c>
      <c r="Q364" s="64">
        <f>IF(AND(B364="Autumn",AND((E364+E363)&lt;Variables!$B$20,(D363+D364)=0)),-Variables!$B$21*Variables!$E$50,0)</f>
        <v>0</v>
      </c>
      <c r="R364" s="64">
        <f ca="1">IF(B364="Autumn",(SUM(F363:F364)*$G$1*Variables!$B$22*Variables!$E$50),0)</f>
        <v>0.34340174742240376</v>
      </c>
      <c r="S364" s="64">
        <f>IF(B364="Spring",($G$1*Variables!$E$50*SUM('Guts (MC)'!F363:F364)*Variables!$B$23),0)</f>
        <v>0</v>
      </c>
      <c r="T364" s="63">
        <f ca="1">IF((H363+SUM(J364:Q364))&lt;(Variables!$B$26*Variables!$E$50),$F$1*((Variables!$B$26*Variables!$E$50)-H363-SUM(J364:Q364)),0)</f>
        <v>0</v>
      </c>
      <c r="U364" s="64">
        <f ca="1">IF(AND(AND(B364="Autumn",SUM(D361:E364)&gt;Variables!$B$27),SUM(J364:Q364)&lt;Variables!$B$28*H363),$F$1*(Variables!$B$28*H363-SUM(J364:Q364)),0)</f>
        <v>0</v>
      </c>
      <c r="V364" s="96">
        <f ca="1">IF(AND((J364+K364)=0,(Q364+T364)=0),$H$1*H364*Variables!$I$23*0.25,0)</f>
        <v>86.465381269000986</v>
      </c>
      <c r="W364" s="97">
        <f ca="1">IF(AND((K364+J364)=0,(T364+Q364)=0),$I$1*H364*Variables!$Q$23*0.25,0)</f>
        <v>27.808385679688794</v>
      </c>
      <c r="X364" s="95">
        <f ca="1">IF(AND(NOT(K364=0),(H364-H363)&gt;0),(H364-H363)*(Variables!$M$5*$H$1+Variables!$U$5*$I$1),0)+IF(AND(NOT((J364+N364+Q364)=0),(H363-H364)&gt;0),(H363-H364)*(Variables!$M$4*$H$1+Variables!$U$4*$I$1),0)</f>
        <v>0</v>
      </c>
      <c r="Y364" s="95">
        <f ca="1">IF(SUM(T364,U363:U364)&gt;0,H364*Variables!$Y$11*0.25*(1-$J$1),0)</f>
        <v>0</v>
      </c>
      <c r="Z364" s="95">
        <f ca="1">IF(T364=0,H364*$J$1*Variables!$Y$5*0.25,0)</f>
        <v>7.982486968267331</v>
      </c>
      <c r="AA364" s="95">
        <f t="shared" ca="1" si="11"/>
        <v>122.25625391695712</v>
      </c>
      <c r="AB364" s="91">
        <f ca="1">AA364/Variables!$E$49</f>
        <v>19.718750631767278</v>
      </c>
    </row>
    <row r="365" spans="1:28" x14ac:dyDescent="0.25">
      <c r="A365" s="61">
        <f>'Water runs'!C372</f>
        <v>35308</v>
      </c>
      <c r="B365" s="61" t="str">
        <f>'Water runs'!B372</f>
        <v>Winter</v>
      </c>
      <c r="C365" s="54">
        <f>'Water runs'!D372/100</f>
        <v>1.0081249999999999</v>
      </c>
      <c r="D365" s="108">
        <f>VLOOKUP(ROW(D365)+4,'Water runs'!$BS$3:$CF$423,MATCH($B$1,Scenarios,0)+1)</f>
        <v>0.14581588136089754</v>
      </c>
      <c r="E365" s="54">
        <f>IF(B365=Variables!$D$8,C365-Variables!$E$8,IF(B365=Variables!$D$9,C365-Variables!$E$9,IF(B365=Variables!$D$10,C365-Variables!$E$10,IF(B365=Variables!$D$11,C365-Variables!$E$11,"ELSE"))))</f>
        <v>0.4363573743386242</v>
      </c>
      <c r="F365" s="108">
        <f>VLOOKUP(ROW(F365)+4,'Water runs'!$CH$3:$CU$423,MATCH($B$1,Scenarios,0)+1)</f>
        <v>0.76081362481096448</v>
      </c>
      <c r="G365" s="65">
        <f ca="1">H365/Variables!$E$49</f>
        <v>0.57442637638826044</v>
      </c>
      <c r="H365" s="62">
        <f ca="1">IF((H364+I365)&gt;(1.1*Variables!$E$50),(1.1*Variables!$E$50),IF((H364+I365)&gt;0,H364+I365,0))</f>
        <v>3.5614435336072146</v>
      </c>
      <c r="I365" s="64">
        <f ca="1">SUM(J365:U365)</f>
        <v>-3.532291776356177</v>
      </c>
      <c r="J365" s="63">
        <f>IF(SUM(E361:E364)&lt;Variables!$B$3,-H364,0)</f>
        <v>0</v>
      </c>
      <c r="K365" s="64">
        <f ca="1">IF(AND(H364&lt;Variables!$B$6*Variables!$E$50,OR(SUM(D362:D365)&gt;Variables!$B$5,SUM(E362:E365)&gt;Variables!$B$4)),Variables!$B$6*Variables!$E$50+Variables!$B$7*$G$1*Variables!$E$50*SUM(D362:D365),0)</f>
        <v>0</v>
      </c>
      <c r="L365" s="64">
        <f ca="1">IF(B365="Winter",Variables!$B$8*H364,0)</f>
        <v>-3.532291776356177</v>
      </c>
      <c r="M365" s="64">
        <f ca="1">IF(AND(B365="Spring",AND(NOT(H364=0),H364&lt;(Variables!$B$9*Variables!$E$50))),(Variables!$B$10*Variables!$E$50+Variables!$B$11*Variables!$E$50*SUM(E362:E365)+$G$1*SUM(D364:D365)*Variables!$E$50*Variables!$B$12),0)</f>
        <v>0</v>
      </c>
      <c r="N365" s="64">
        <f>IF(AND(B365="Spring",AND(SUM(D362:D365)&gt;Variables!$B$13,SUM(D358:D361)&gt;Variables!$B$13)),-Variables!$B$14*Variables!$E$50,0)</f>
        <v>0</v>
      </c>
      <c r="O365" s="64">
        <f>IF(AND(B365="Summer",SUM(C361:D365)&gt;Variables!$B$15),(Variables!$B$16*Variables!$E$50*SUM(C361:C365)+$G$1*Variables!$B$16*Variables!$E$50*SUM(D361:D365)+$G$1*Variables!$E$50*Variables!$B$17*F365),0)</f>
        <v>0</v>
      </c>
      <c r="P365" s="64">
        <f ca="1">IF(AND(AND(B365="Autumn",SUM(D364:E365)&gt;0),NOT(H364=0)),Variables!$B$18*Variables!$E$50+Variables!$B$19*Variables!$E$50*SUM(E364:E365)+$G$1*Variables!$B$19*Variables!$E$50*SUM(D364:D365),0)</f>
        <v>0</v>
      </c>
      <c r="Q365" s="64">
        <f>IF(AND(B365="Autumn",AND((E365+E364)&lt;Variables!$B$20,(D364+D365)=0)),-Variables!$B$21*Variables!$E$50,0)</f>
        <v>0</v>
      </c>
      <c r="R365" s="64">
        <f>IF(B365="Autumn",(SUM(F364:F365)*$G$1*Variables!$B$22*Variables!$E$50),0)</f>
        <v>0</v>
      </c>
      <c r="S365" s="64">
        <f>IF(B365="Spring",($G$1*Variables!$E$50*SUM('Guts (MC)'!F364:F365)*Variables!$B$23),0)</f>
        <v>0</v>
      </c>
      <c r="T365" s="63">
        <f ca="1">IF((H364+SUM(J365:Q365))&lt;(Variables!$B$26*Variables!$E$50),$F$1*((Variables!$B$26*Variables!$E$50)-H364-SUM(J365:Q365)),0)</f>
        <v>0</v>
      </c>
      <c r="U365" s="64">
        <f ca="1">IF(AND(AND(B365="Autumn",SUM(D362:E365)&gt;Variables!$B$27),SUM(J365:Q365)&lt;Variables!$B$28*H364),$F$1*(Variables!$B$28*H364-SUM(J365:Q365)),0)</f>
        <v>0</v>
      </c>
      <c r="V365" s="96">
        <f ca="1">IF(AND((J365+K365)=0,(Q365+T365)=0),$H$1*H365*Variables!$I$23*0.25,0)</f>
        <v>43.410355693544354</v>
      </c>
      <c r="W365" s="97">
        <f ca="1">IF(AND((K365+J365)=0,(T365+Q365)=0),$I$1*H365*Variables!$Q$23*0.25,0)</f>
        <v>13.961332222232892</v>
      </c>
      <c r="X365" s="95">
        <f ca="1">IF(AND(NOT(K365=0),(H365-H364)&gt;0),(H365-H364)*(Variables!$M$5*$H$1+Variables!$U$5*$I$1),0)+IF(AND(NOT((J365+N365+Q365)=0),(H364-H365)&gt;0),(H364-H365)*(Variables!$M$4*$H$1+Variables!$U$4*$I$1),0)</f>
        <v>0</v>
      </c>
      <c r="Y365" s="95">
        <f ca="1">IF(SUM(T365,U364:U365)&gt;0,H365*Variables!$Y$11*0.25*(1-$J$1),0)</f>
        <v>0</v>
      </c>
      <c r="Z365" s="95">
        <f ca="1">IF(T365=0,H365*$J$1*Variables!$Y$5*0.25,0)</f>
        <v>4.0076455284862131</v>
      </c>
      <c r="AA365" s="95">
        <f t="shared" ca="1" si="11"/>
        <v>61.379333444263459</v>
      </c>
      <c r="AB365" s="91">
        <f ca="1">AA365/Variables!$E$49</f>
        <v>9.8998924910102346</v>
      </c>
    </row>
    <row r="366" spans="1:28" x14ac:dyDescent="0.25">
      <c r="A366" s="61">
        <f>'Water runs'!C373</f>
        <v>35399</v>
      </c>
      <c r="B366" s="61" t="str">
        <f>'Water runs'!B373</f>
        <v>Spring</v>
      </c>
      <c r="C366" s="54">
        <f>'Water runs'!D373/100</f>
        <v>0.61517857142857102</v>
      </c>
      <c r="D366" s="108">
        <f>VLOOKUP(ROW(D366)+4,'Water runs'!$BS$3:$CF$423,MATCH($B$1,Scenarios,0)+1)</f>
        <v>0</v>
      </c>
      <c r="E366" s="54">
        <f>IF(B366=Variables!$D$8,C366-Variables!$E$8,IF(B366=Variables!$D$9,C366-Variables!$E$9,IF(B366=Variables!$D$10,C366-Variables!$E$10,IF(B366=Variables!$D$11,C366-Variables!$E$11,"ELSE"))))</f>
        <v>-0.14880363756613812</v>
      </c>
      <c r="F366" s="108">
        <f>VLOOKUP(ROW(F366)+4,'Water runs'!$CH$3:$CU$423,MATCH($B$1,Scenarios,0)+1)</f>
        <v>0</v>
      </c>
      <c r="G366" s="65">
        <f ca="1">H366/Variables!$E$49</f>
        <v>0.59129907540372961</v>
      </c>
      <c r="H366" s="62">
        <f ca="1">IF((H365+I366)&gt;(1.1*Variables!$E$50),(1.1*Variables!$E$50),IF((H365+I366)&gt;0,H365+I366,0))</f>
        <v>3.6660542675031236</v>
      </c>
      <c r="I366" s="64">
        <f t="shared" ref="I366:I417" ca="1" si="12">SUM(J366:U366)</f>
        <v>0.10461073389590882</v>
      </c>
      <c r="J366" s="63">
        <f>IF(SUM(E362:E365)&lt;Variables!$B$3,-H365,0)</f>
        <v>0</v>
      </c>
      <c r="K366" s="64">
        <f ca="1">IF(AND(H365&lt;Variables!$B$6*Variables!$E$50,OR(SUM(D363:D366)&gt;Variables!$B$5,SUM(E363:E366)&gt;Variables!$B$4)),Variables!$B$6*Variables!$E$50+Variables!$B$7*$G$1*Variables!$E$50*SUM(D363:D366),0)</f>
        <v>0</v>
      </c>
      <c r="L366" s="64">
        <f>IF(B366="Winter",Variables!$B$8*H365,0)</f>
        <v>0</v>
      </c>
      <c r="M366" s="64">
        <f ca="1">IF(AND(B366="Spring",AND(NOT(H365=0),H365&lt;(Variables!$B$9*Variables!$E$50))),(Variables!$B$10*Variables!$E$50+Variables!$B$11*Variables!$E$50*SUM(E363:E366)+$G$1*SUM(D365:D366)*Variables!$E$50*Variables!$B$12),0)</f>
        <v>0</v>
      </c>
      <c r="N366" s="64">
        <f>IF(AND(B366="Spring",AND(SUM(D363:D366)&gt;Variables!$B$13,SUM(D359:D362)&gt;Variables!$B$13)),-Variables!$B$14*Variables!$E$50,0)</f>
        <v>0</v>
      </c>
      <c r="O366" s="64">
        <f>IF(AND(B366="Summer",SUM(C362:D366)&gt;Variables!$B$15),(Variables!$B$16*Variables!$E$50*SUM(C362:C366)+$G$1*Variables!$B$16*Variables!$E$50*SUM(D362:D366)+$G$1*Variables!$E$50*Variables!$B$17*F366),0)</f>
        <v>0</v>
      </c>
      <c r="P366" s="64">
        <f ca="1">IF(AND(AND(B366="Autumn",SUM(D365:E366)&gt;0),NOT(H365=0)),Variables!$B$18*Variables!$E$50+Variables!$B$19*Variables!$E$50*SUM(E365:E366)+$G$1*Variables!$B$19*Variables!$E$50*SUM(D365:D366),0)</f>
        <v>0</v>
      </c>
      <c r="Q366" s="64">
        <f>IF(AND(B366="Autumn",AND((E366+E365)&lt;Variables!$B$20,(D365+D366)=0)),-Variables!$B$21*Variables!$E$50,0)</f>
        <v>0</v>
      </c>
      <c r="R366" s="64">
        <f>IF(B366="Autumn",(SUM(F365:F366)*$G$1*Variables!$B$22*Variables!$E$50),0)</f>
        <v>0</v>
      </c>
      <c r="S366" s="64">
        <f ca="1">IF(B366="Spring",($G$1*Variables!$E$50*SUM('Guts (MC)'!F365:F366)*Variables!$B$23),0)</f>
        <v>0.10461073389590882</v>
      </c>
      <c r="T366" s="63">
        <f ca="1">IF((H365+SUM(J366:Q366))&lt;(Variables!$B$26*Variables!$E$50),$F$1*((Variables!$B$26*Variables!$E$50)-H365-SUM(J366:Q366)),0)</f>
        <v>0</v>
      </c>
      <c r="U366" s="64">
        <f ca="1">IF(AND(AND(B366="Autumn",SUM(D363:E366)&gt;Variables!$B$27),SUM(J366:Q366)&lt;Variables!$B$28*H365),$F$1*(Variables!$B$28*H365-SUM(J366:Q366)),0)</f>
        <v>0</v>
      </c>
      <c r="V366" s="96">
        <f ca="1">IF(AND((J366+K366)=0,(Q366+T366)=0),$H$1*H366*Variables!$I$23*0.25,0)</f>
        <v>44.685453592733722</v>
      </c>
      <c r="W366" s="97">
        <f ca="1">IF(AND((K366+J366)=0,(T366+Q366)=0),$I$1*H366*Variables!$Q$23*0.25,0)</f>
        <v>14.371420209351168</v>
      </c>
      <c r="X366" s="95">
        <f ca="1">IF(AND(NOT(K366=0),(H366-H365)&gt;0),(H366-H365)*(Variables!$M$5*$H$1+Variables!$U$5*$I$1),0)+IF(AND(NOT((J366+N366+Q366)=0),(H365-H366)&gt;0),(H365-H366)*(Variables!$M$4*$H$1+Variables!$U$4*$I$1),0)</f>
        <v>0</v>
      </c>
      <c r="Y366" s="95">
        <f ca="1">IF(SUM(T366,U365:U366)&gt;0,H366*Variables!$Y$11*0.25*(1-$J$1),0)</f>
        <v>0</v>
      </c>
      <c r="Z366" s="95">
        <f ca="1">IF(T366=0,H366*$J$1*Variables!$Y$5*0.25,0)</f>
        <v>4.1253626103305425</v>
      </c>
      <c r="AA366" s="95">
        <f t="shared" ca="1" si="11"/>
        <v>63.182236412415435</v>
      </c>
      <c r="AB366" s="91">
        <f ca="1">AA366/Variables!$E$49</f>
        <v>10.190683292325069</v>
      </c>
    </row>
    <row r="367" spans="1:28" x14ac:dyDescent="0.25">
      <c r="A367" s="61">
        <f>'Water runs'!C374</f>
        <v>35489</v>
      </c>
      <c r="B367" s="61" t="str">
        <f>'Water runs'!B374</f>
        <v>Summer</v>
      </c>
      <c r="C367" s="54">
        <f>'Water runs'!D374/100</f>
        <v>1.3169999999999999</v>
      </c>
      <c r="D367" s="108">
        <f>VLOOKUP(ROW(D367)+4,'Water runs'!$BS$3:$CF$423,MATCH($B$1,Scenarios,0)+1)</f>
        <v>7.9711636671707609E-2</v>
      </c>
      <c r="E367" s="54">
        <f>IF(B367=Variables!$D$8,C367-Variables!$E$8,IF(B367=Variables!$D$9,C367-Variables!$E$9,IF(B367=Variables!$D$10,C367-Variables!$E$10,IF(B367=Variables!$D$11,C367-Variables!$E$11,"ELSE"))))</f>
        <v>5.8629863945578231E-2</v>
      </c>
      <c r="F367" s="108">
        <f>VLOOKUP(ROW(F367)+4,'Water runs'!$CH$3:$CU$423,MATCH($B$1,Scenarios,0)+1)</f>
        <v>0</v>
      </c>
      <c r="G367" s="65">
        <f ca="1">H367/Variables!$E$49</f>
        <v>1.0261465091546675</v>
      </c>
      <c r="H367" s="62">
        <f ca="1">IF((H366+I367)&gt;(1.1*Variables!$E$50),(1.1*Variables!$E$50),IF((H366+I367)&gt;0,H366+I367,0))</f>
        <v>6.3621083567589389</v>
      </c>
      <c r="I367" s="64">
        <f t="shared" ca="1" si="12"/>
        <v>2.6960540892558154</v>
      </c>
      <c r="J367" s="63">
        <f>IF(SUM(E363:E366)&lt;Variables!$B$3,-H366,0)</f>
        <v>0</v>
      </c>
      <c r="K367" s="64">
        <f ca="1">IF(AND(H366&lt;Variables!$B$6*Variables!$E$50,OR(SUM(D364:D367)&gt;Variables!$B$5,SUM(E364:E367)&gt;Variables!$B$4)),Variables!$B$6*Variables!$E$50+Variables!$B$7*$G$1*Variables!$E$50*SUM(D364:D367),0)</f>
        <v>0</v>
      </c>
      <c r="L367" s="64">
        <f>IF(B367="Winter",Variables!$B$8*H366,0)</f>
        <v>0</v>
      </c>
      <c r="M367" s="64">
        <f ca="1">IF(AND(B367="Spring",AND(NOT(H366=0),H366&lt;(Variables!$B$9*Variables!$E$50))),(Variables!$B$10*Variables!$E$50+Variables!$B$11*Variables!$E$50*SUM(E364:E367)+$G$1*SUM(D366:D367)*Variables!$E$50*Variables!$B$12),0)</f>
        <v>0</v>
      </c>
      <c r="N367" s="64">
        <f>IF(AND(B367="Spring",AND(SUM(D364:D367)&gt;Variables!$B$13,SUM(D360:D363)&gt;Variables!$B$13)),-Variables!$B$14*Variables!$E$50,0)</f>
        <v>0</v>
      </c>
      <c r="O367" s="64">
        <f ca="1">IF(AND(B367="Summer",SUM(C363:D367)&gt;Variables!$B$15),(Variables!$B$16*Variables!$E$50*SUM(C363:C367)+$G$1*Variables!$B$16*Variables!$E$50*SUM(D363:D367)+$G$1*Variables!$E$50*Variables!$B$17*F367),0)</f>
        <v>2.6960540892558154</v>
      </c>
      <c r="P367" s="64">
        <f ca="1">IF(AND(AND(B367="Autumn",SUM(D366:E367)&gt;0),NOT(H366=0)),Variables!$B$18*Variables!$E$50+Variables!$B$19*Variables!$E$50*SUM(E366:E367)+$G$1*Variables!$B$19*Variables!$E$50*SUM(D366:D367),0)</f>
        <v>0</v>
      </c>
      <c r="Q367" s="64">
        <f>IF(AND(B367="Autumn",AND((E367+E366)&lt;Variables!$B$20,(D366+D367)=0)),-Variables!$B$21*Variables!$E$50,0)</f>
        <v>0</v>
      </c>
      <c r="R367" s="64">
        <f>IF(B367="Autumn",(SUM(F366:F367)*$G$1*Variables!$B$22*Variables!$E$50),0)</f>
        <v>0</v>
      </c>
      <c r="S367" s="64">
        <f>IF(B367="Spring",($G$1*Variables!$E$50*SUM('Guts (MC)'!F366:F367)*Variables!$B$23),0)</f>
        <v>0</v>
      </c>
      <c r="T367" s="63">
        <f ca="1">IF((H366+SUM(J367:Q367))&lt;(Variables!$B$26*Variables!$E$50),$F$1*((Variables!$B$26*Variables!$E$50)-H366-SUM(J367:Q367)),0)</f>
        <v>0</v>
      </c>
      <c r="U367" s="64">
        <f ca="1">IF(AND(AND(B367="Autumn",SUM(D364:E367)&gt;Variables!$B$27),SUM(J367:Q367)&lt;Variables!$B$28*H366),$F$1*(Variables!$B$28*H366-SUM(J367:Q367)),0)</f>
        <v>0</v>
      </c>
      <c r="V367" s="96">
        <f ca="1">IF(AND((J367+K367)=0,(Q367+T367)=0),$H$1*H367*Variables!$I$23*0.25,0)</f>
        <v>77.547596675791098</v>
      </c>
      <c r="W367" s="97">
        <f ca="1">IF(AND((K367+J367)=0,(T367+Q367)=0),$I$1*H367*Variables!$Q$23*0.25,0)</f>
        <v>24.940310737593155</v>
      </c>
      <c r="X367" s="95">
        <f ca="1">IF(AND(NOT(K367=0),(H367-H366)&gt;0),(H367-H366)*(Variables!$M$5*$H$1+Variables!$U$5*$I$1),0)+IF(AND(NOT((J367+N367+Q367)=0),(H366-H367)&gt;0),(H366-H367)*(Variables!$M$4*$H$1+Variables!$U$4*$I$1),0)</f>
        <v>0</v>
      </c>
      <c r="Y367" s="95">
        <f ca="1">IF(SUM(T367,U366:U367)&gt;0,H367*Variables!$Y$11*0.25*(1-$J$1),0)</f>
        <v>0</v>
      </c>
      <c r="Z367" s="95">
        <f ca="1">IF(T367=0,H367*$J$1*Variables!$Y$5*0.25,0)</f>
        <v>7.1591967883553576</v>
      </c>
      <c r="AA367" s="95">
        <f t="shared" ca="1" si="11"/>
        <v>109.64710420173961</v>
      </c>
      <c r="AB367" s="91">
        <f ca="1">AA367/Variables!$E$49</f>
        <v>17.685016806732193</v>
      </c>
    </row>
    <row r="368" spans="1:28" x14ac:dyDescent="0.25">
      <c r="A368" s="61">
        <f>'Water runs'!C375</f>
        <v>35581</v>
      </c>
      <c r="B368" s="61" t="str">
        <f>'Water runs'!B375</f>
        <v>Autumn</v>
      </c>
      <c r="C368" s="54">
        <f>'Water runs'!D375/100</f>
        <v>0.87762499999999999</v>
      </c>
      <c r="D368" s="108">
        <f>VLOOKUP(ROW(D368)+4,'Water runs'!$BS$3:$CF$423,MATCH($B$1,Scenarios,0)+1)</f>
        <v>0.1740085036302742</v>
      </c>
      <c r="E368" s="54">
        <f>IF(B368=Variables!$D$8,C368-Variables!$E$8,IF(B368=Variables!$D$9,C368-Variables!$E$9,IF(B368=Variables!$D$10,C368-Variables!$E$10,IF(B368=Variables!$D$11,C368-Variables!$E$11,"ELSE"))))</f>
        <v>-0.11701829931972785</v>
      </c>
      <c r="F368" s="108">
        <f>VLOOKUP(ROW(F368)+4,'Water runs'!$CH$3:$CU$423,MATCH($B$1,Scenarios,0)+1)</f>
        <v>0.37016682634066778</v>
      </c>
      <c r="G368" s="65">
        <f ca="1">H368/Variables!$E$49</f>
        <v>1.1448414257944026</v>
      </c>
      <c r="H368" s="62">
        <f ca="1">IF((H367+I368)&gt;(1.1*Variables!$E$50),(1.1*Variables!$E$50),IF((H367+I368)&gt;0,H367+I368,0))</f>
        <v>7.0980168399252959</v>
      </c>
      <c r="I368" s="64">
        <f t="shared" ca="1" si="12"/>
        <v>0.73590848316635715</v>
      </c>
      <c r="J368" s="63">
        <f>IF(SUM(E364:E367)&lt;Variables!$B$3,-H367,0)</f>
        <v>0</v>
      </c>
      <c r="K368" s="64">
        <f ca="1">IF(AND(H367&lt;Variables!$B$6*Variables!$E$50,OR(SUM(D365:D368)&gt;Variables!$B$5,SUM(E365:E368)&gt;Variables!$B$4)),Variables!$B$6*Variables!$E$50+Variables!$B$7*$G$1*Variables!$E$50*SUM(D365:D368),0)</f>
        <v>0</v>
      </c>
      <c r="L368" s="64">
        <f>IF(B368="Winter",Variables!$B$8*H367,0)</f>
        <v>0</v>
      </c>
      <c r="M368" s="64">
        <f ca="1">IF(AND(B368="Spring",AND(NOT(H367=0),H367&lt;(Variables!$B$9*Variables!$E$50))),(Variables!$B$10*Variables!$E$50+Variables!$B$11*Variables!$E$50*SUM(E365:E368)+$G$1*SUM(D367:D368)*Variables!$E$50*Variables!$B$12),0)</f>
        <v>0</v>
      </c>
      <c r="N368" s="64">
        <f>IF(AND(B368="Spring",AND(SUM(D365:D368)&gt;Variables!$B$13,SUM(D361:D364)&gt;Variables!$B$13)),-Variables!$B$14*Variables!$E$50,0)</f>
        <v>0</v>
      </c>
      <c r="O368" s="64">
        <f>IF(AND(B368="Summer",SUM(C364:D368)&gt;Variables!$B$15),(Variables!$B$16*Variables!$E$50*SUM(C364:C368)+$G$1*Variables!$B$16*Variables!$E$50*SUM(D364:D368)+$G$1*Variables!$E$50*Variables!$B$17*F368),0)</f>
        <v>0</v>
      </c>
      <c r="P368" s="64">
        <f ca="1">IF(AND(AND(B368="Autumn",SUM(D367:E368)&gt;0),NOT(H367=0)),Variables!$B$18*Variables!$E$50+Variables!$B$19*Variables!$E$50*SUM(E367:E368)+$G$1*Variables!$B$19*Variables!$E$50*SUM(D367:D368),0)</f>
        <v>0.6798681447626812</v>
      </c>
      <c r="Q368" s="64">
        <f>IF(AND(B368="Autumn",AND((E368+E367)&lt;Variables!$B$20,(D367+D368)=0)),-Variables!$B$21*Variables!$E$50,0)</f>
        <v>0</v>
      </c>
      <c r="R368" s="64">
        <f ca="1">IF(B368="Autumn",(SUM(F367:F368)*$G$1*Variables!$B$22*Variables!$E$50),0)</f>
        <v>5.6040338403675997E-2</v>
      </c>
      <c r="S368" s="64">
        <f>IF(B368="Spring",($G$1*Variables!$E$50*SUM('Guts (MC)'!F367:F368)*Variables!$B$23),0)</f>
        <v>0</v>
      </c>
      <c r="T368" s="63">
        <f ca="1">IF((H367+SUM(J368:Q368))&lt;(Variables!$B$26*Variables!$E$50),$F$1*((Variables!$B$26*Variables!$E$50)-H367-SUM(J368:Q368)),0)</f>
        <v>0</v>
      </c>
      <c r="U368" s="64">
        <f ca="1">IF(AND(AND(B368="Autumn",SUM(D365:E368)&gt;Variables!$B$27),SUM(J368:Q368)&lt;Variables!$B$28*H367),$F$1*(Variables!$B$28*H367-SUM(J368:Q368)),0)</f>
        <v>0</v>
      </c>
      <c r="V368" s="96">
        <f ca="1">IF(AND((J368+K368)=0,(Q368+T368)=0),$H$1*H368*Variables!$I$23*0.25,0)</f>
        <v>86.517568742087377</v>
      </c>
      <c r="W368" s="97">
        <f ca="1">IF(AND((K368+J368)=0,(T368+Q368)=0),$I$1*H368*Variables!$Q$23*0.25,0)</f>
        <v>27.825169846460927</v>
      </c>
      <c r="X368" s="95">
        <f ca="1">IF(AND(NOT(K368=0),(H368-H367)&gt;0),(H368-H367)*(Variables!$M$5*$H$1+Variables!$U$5*$I$1),0)+IF(AND(NOT((J368+N368+Q368)=0),(H367-H368)&gt;0),(H367-H368)*(Variables!$M$4*$H$1+Variables!$U$4*$I$1),0)</f>
        <v>0</v>
      </c>
      <c r="Y368" s="95">
        <f ca="1">IF(SUM(T368,U367:U368)&gt;0,H368*Variables!$Y$11*0.25*(1-$J$1),0)</f>
        <v>0</v>
      </c>
      <c r="Z368" s="95">
        <f ca="1">IF(T368=0,H368*$J$1*Variables!$Y$5*0.25,0)</f>
        <v>7.9873049175749609</v>
      </c>
      <c r="AA368" s="95">
        <f t="shared" ca="1" si="11"/>
        <v>122.33004350612326</v>
      </c>
      <c r="AB368" s="91">
        <f ca="1">AA368/Variables!$E$49</f>
        <v>19.730652178406977</v>
      </c>
    </row>
    <row r="369" spans="1:28" x14ac:dyDescent="0.25">
      <c r="A369" s="61">
        <f>'Water runs'!C376</f>
        <v>35673</v>
      </c>
      <c r="B369" s="61" t="str">
        <f>'Water runs'!B376</f>
        <v>Winter</v>
      </c>
      <c r="C369" s="54">
        <f>'Water runs'!D376/100</f>
        <v>0.25662499999999999</v>
      </c>
      <c r="D369" s="108">
        <f>VLOOKUP(ROW(D369)+4,'Water runs'!$BS$3:$CF$423,MATCH($B$1,Scenarios,0)+1)</f>
        <v>0</v>
      </c>
      <c r="E369" s="54">
        <f>IF(B369=Variables!$D$8,C369-Variables!$E$8,IF(B369=Variables!$D$9,C369-Variables!$E$9,IF(B369=Variables!$D$10,C369-Variables!$E$10,IF(B369=Variables!$D$11,C369-Variables!$E$11,"ELSE"))))</f>
        <v>-0.31514262566137574</v>
      </c>
      <c r="F369" s="108">
        <f>VLOOKUP(ROW(F369)+4,'Water runs'!$CH$3:$CU$423,MATCH($B$1,Scenarios,0)+1)</f>
        <v>0</v>
      </c>
      <c r="G369" s="65">
        <f ca="1">H369/Variables!$E$49</f>
        <v>0.57477308001250749</v>
      </c>
      <c r="H369" s="62">
        <f ca="1">IF((H368+I369)&gt;(1.1*Variables!$E$50),(1.1*Variables!$E$50),IF((H368+I369)&gt;0,H368+I369,0))</f>
        <v>3.5635930960775468</v>
      </c>
      <c r="I369" s="64">
        <f t="shared" ca="1" si="12"/>
        <v>-3.534423743847749</v>
      </c>
      <c r="J369" s="63">
        <f>IF(SUM(E365:E368)&lt;Variables!$B$3,-H368,0)</f>
        <v>0</v>
      </c>
      <c r="K369" s="64">
        <f ca="1">IF(AND(H368&lt;Variables!$B$6*Variables!$E$50,OR(SUM(D366:D369)&gt;Variables!$B$5,SUM(E366:E369)&gt;Variables!$B$4)),Variables!$B$6*Variables!$E$50+Variables!$B$7*$G$1*Variables!$E$50*SUM(D366:D369),0)</f>
        <v>0</v>
      </c>
      <c r="L369" s="64">
        <f ca="1">IF(B369="Winter",Variables!$B$8*H368,0)</f>
        <v>-3.534423743847749</v>
      </c>
      <c r="M369" s="64">
        <f ca="1">IF(AND(B369="Spring",AND(NOT(H368=0),H368&lt;(Variables!$B$9*Variables!$E$50))),(Variables!$B$10*Variables!$E$50+Variables!$B$11*Variables!$E$50*SUM(E366:E369)+$G$1*SUM(D368:D369)*Variables!$E$50*Variables!$B$12),0)</f>
        <v>0</v>
      </c>
      <c r="N369" s="64">
        <f>IF(AND(B369="Spring",AND(SUM(D366:D369)&gt;Variables!$B$13,SUM(D362:D365)&gt;Variables!$B$13)),-Variables!$B$14*Variables!$E$50,0)</f>
        <v>0</v>
      </c>
      <c r="O369" s="64">
        <f>IF(AND(B369="Summer",SUM(C365:D369)&gt;Variables!$B$15),(Variables!$B$16*Variables!$E$50*SUM(C365:C369)+$G$1*Variables!$B$16*Variables!$E$50*SUM(D365:D369)+$G$1*Variables!$E$50*Variables!$B$17*F369),0)</f>
        <v>0</v>
      </c>
      <c r="P369" s="64">
        <f ca="1">IF(AND(AND(B369="Autumn",SUM(D368:E369)&gt;0),NOT(H368=0)),Variables!$B$18*Variables!$E$50+Variables!$B$19*Variables!$E$50*SUM(E368:E369)+$G$1*Variables!$B$19*Variables!$E$50*SUM(D368:D369),0)</f>
        <v>0</v>
      </c>
      <c r="Q369" s="64">
        <f>IF(AND(B369="Autumn",AND((E369+E368)&lt;Variables!$B$20,(D368+D369)=0)),-Variables!$B$21*Variables!$E$50,0)</f>
        <v>0</v>
      </c>
      <c r="R369" s="64">
        <f>IF(B369="Autumn",(SUM(F368:F369)*$G$1*Variables!$B$22*Variables!$E$50),0)</f>
        <v>0</v>
      </c>
      <c r="S369" s="64">
        <f>IF(B369="Spring",($G$1*Variables!$E$50*SUM('Guts (MC)'!F368:F369)*Variables!$B$23),0)</f>
        <v>0</v>
      </c>
      <c r="T369" s="63">
        <f ca="1">IF((H368+SUM(J369:Q369))&lt;(Variables!$B$26*Variables!$E$50),$F$1*((Variables!$B$26*Variables!$E$50)-H368-SUM(J369:Q369)),0)</f>
        <v>0</v>
      </c>
      <c r="U369" s="64">
        <f ca="1">IF(AND(AND(B369="Autumn",SUM(D366:E369)&gt;Variables!$B$27),SUM(J369:Q369)&lt;Variables!$B$28*H368),$F$1*(Variables!$B$28*H368-SUM(J369:Q369)),0)</f>
        <v>0</v>
      </c>
      <c r="V369" s="96">
        <f ca="1">IF(AND((J369+K369)=0,(Q369+T369)=0),$H$1*H369*Variables!$I$23*0.25,0)</f>
        <v>43.436556662489131</v>
      </c>
      <c r="W369" s="97">
        <f ca="1">IF(AND((K369+J369)=0,(T369+Q369)=0),$I$1*H369*Variables!$Q$23*0.25,0)</f>
        <v>13.969758792947141</v>
      </c>
      <c r="X369" s="95">
        <f ca="1">IF(AND(NOT(K369=0),(H369-H368)&gt;0),(H369-H368)*(Variables!$M$5*$H$1+Variables!$U$5*$I$1),0)+IF(AND(NOT((J369+N369+Q369)=0),(H368-H369)&gt;0),(H368-H369)*(Variables!$M$4*$H$1+Variables!$U$4*$I$1),0)</f>
        <v>0</v>
      </c>
      <c r="Y369" s="95">
        <f ca="1">IF(SUM(T369,U368:U369)&gt;0,H369*Variables!$Y$11*0.25*(1-$J$1),0)</f>
        <v>0</v>
      </c>
      <c r="Z369" s="95">
        <f ca="1">IF(T369=0,H369*$J$1*Variables!$Y$5*0.25,0)</f>
        <v>4.0100644028390242</v>
      </c>
      <c r="AA369" s="95">
        <f t="shared" ca="1" si="11"/>
        <v>61.416379858275292</v>
      </c>
      <c r="AB369" s="91">
        <f ca="1">AA369/Variables!$E$49</f>
        <v>9.9058677190766602</v>
      </c>
    </row>
    <row r="370" spans="1:28" x14ac:dyDescent="0.25">
      <c r="A370" s="61">
        <f>'Water runs'!C377</f>
        <v>35764</v>
      </c>
      <c r="B370" s="61" t="str">
        <f>'Water runs'!B377</f>
        <v>Spring</v>
      </c>
      <c r="C370" s="54">
        <f>'Water runs'!D377/100</f>
        <v>0.93275000000000008</v>
      </c>
      <c r="D370" s="108">
        <f>VLOOKUP(ROW(D370)+4,'Water runs'!$BS$3:$CF$423,MATCH($B$1,Scenarios,0)+1)</f>
        <v>0</v>
      </c>
      <c r="E370" s="54">
        <f>IF(B370=Variables!$D$8,C370-Variables!$E$8,IF(B370=Variables!$D$9,C370-Variables!$E$9,IF(B370=Variables!$D$10,C370-Variables!$E$10,IF(B370=Variables!$D$11,C370-Variables!$E$11,"ELSE"))))</f>
        <v>0.16876779100529093</v>
      </c>
      <c r="F370" s="108">
        <f>VLOOKUP(ROW(F370)+4,'Water runs'!$CH$3:$CU$423,MATCH($B$1,Scenarios,0)+1)</f>
        <v>0</v>
      </c>
      <c r="G370" s="65">
        <f ca="1">H370/Variables!$E$49</f>
        <v>0.57477308001250749</v>
      </c>
      <c r="H370" s="62">
        <f ca="1">IF((H369+I370)&gt;(1.1*Variables!$E$50),(1.1*Variables!$E$50),IF((H369+I370)&gt;0,H369+I370,0))</f>
        <v>3.5635930960775468</v>
      </c>
      <c r="I370" s="64">
        <f t="shared" ca="1" si="12"/>
        <v>0</v>
      </c>
      <c r="J370" s="63">
        <f>IF(SUM(E366:E369)&lt;Variables!$B$3,-H369,0)</f>
        <v>0</v>
      </c>
      <c r="K370" s="64">
        <f ca="1">IF(AND(H369&lt;Variables!$B$6*Variables!$E$50,OR(SUM(D367:D370)&gt;Variables!$B$5,SUM(E367:E370)&gt;Variables!$B$4)),Variables!$B$6*Variables!$E$50+Variables!$B$7*$G$1*Variables!$E$50*SUM(D367:D370),0)</f>
        <v>0</v>
      </c>
      <c r="L370" s="64">
        <f>IF(B370="Winter",Variables!$B$8*H369,0)</f>
        <v>0</v>
      </c>
      <c r="M370" s="64">
        <f ca="1">IF(AND(B370="Spring",AND(NOT(H369=0),H369&lt;(Variables!$B$9*Variables!$E$50))),(Variables!$B$10*Variables!$E$50+Variables!$B$11*Variables!$E$50*SUM(E367:E370)+$G$1*SUM(D369:D370)*Variables!$E$50*Variables!$B$12),0)</f>
        <v>0</v>
      </c>
      <c r="N370" s="64">
        <f>IF(AND(B370="Spring",AND(SUM(D367:D370)&gt;Variables!$B$13,SUM(D363:D366)&gt;Variables!$B$13)),-Variables!$B$14*Variables!$E$50,0)</f>
        <v>0</v>
      </c>
      <c r="O370" s="64">
        <f>IF(AND(B370="Summer",SUM(C366:D370)&gt;Variables!$B$15),(Variables!$B$16*Variables!$E$50*SUM(C366:C370)+$G$1*Variables!$B$16*Variables!$E$50*SUM(D366:D370)+$G$1*Variables!$E$50*Variables!$B$17*F370),0)</f>
        <v>0</v>
      </c>
      <c r="P370" s="64">
        <f ca="1">IF(AND(AND(B370="Autumn",SUM(D369:E370)&gt;0),NOT(H369=0)),Variables!$B$18*Variables!$E$50+Variables!$B$19*Variables!$E$50*SUM(E369:E370)+$G$1*Variables!$B$19*Variables!$E$50*SUM(D369:D370),0)</f>
        <v>0</v>
      </c>
      <c r="Q370" s="64">
        <f>IF(AND(B370="Autumn",AND((E370+E369)&lt;Variables!$B$20,(D369+D370)=0)),-Variables!$B$21*Variables!$E$50,0)</f>
        <v>0</v>
      </c>
      <c r="R370" s="64">
        <f>IF(B370="Autumn",(SUM(F369:F370)*$G$1*Variables!$B$22*Variables!$E$50),0)</f>
        <v>0</v>
      </c>
      <c r="S370" s="64">
        <f ca="1">IF(B370="Spring",($G$1*Variables!$E$50*SUM('Guts (MC)'!F369:F370)*Variables!$B$23),0)</f>
        <v>0</v>
      </c>
      <c r="T370" s="63">
        <f ca="1">IF((H369+SUM(J370:Q370))&lt;(Variables!$B$26*Variables!$E$50),$F$1*((Variables!$B$26*Variables!$E$50)-H369-SUM(J370:Q370)),0)</f>
        <v>0</v>
      </c>
      <c r="U370" s="64">
        <f ca="1">IF(AND(AND(B370="Autumn",SUM(D367:E370)&gt;Variables!$B$27),SUM(J370:Q370)&lt;Variables!$B$28*H369),$F$1*(Variables!$B$28*H369-SUM(J370:Q370)),0)</f>
        <v>0</v>
      </c>
      <c r="V370" s="96">
        <f ca="1">IF(AND((J370+K370)=0,(Q370+T370)=0),$H$1*H370*Variables!$I$23*0.25,0)</f>
        <v>43.436556662489131</v>
      </c>
      <c r="W370" s="97">
        <f ca="1">IF(AND((K370+J370)=0,(T370+Q370)=0),$I$1*H370*Variables!$Q$23*0.25,0)</f>
        <v>13.969758792947141</v>
      </c>
      <c r="X370" s="95">
        <f ca="1">IF(AND(NOT(K370=0),(H370-H369)&gt;0),(H370-H369)*(Variables!$M$5*$H$1+Variables!$U$5*$I$1),0)+IF(AND(NOT((J370+N370+Q370)=0),(H369-H370)&gt;0),(H369-H370)*(Variables!$M$4*$H$1+Variables!$U$4*$I$1),0)</f>
        <v>0</v>
      </c>
      <c r="Y370" s="95">
        <f ca="1">IF(SUM(T370,U369:U370)&gt;0,H370*Variables!$Y$11*0.25*(1-$J$1),0)</f>
        <v>0</v>
      </c>
      <c r="Z370" s="95">
        <f ca="1">IF(T370=0,H370*$J$1*Variables!$Y$5*0.25,0)</f>
        <v>4.0100644028390242</v>
      </c>
      <c r="AA370" s="95">
        <f t="shared" ca="1" si="11"/>
        <v>61.416379858275292</v>
      </c>
      <c r="AB370" s="91">
        <f ca="1">AA370/Variables!$E$49</f>
        <v>9.9058677190766602</v>
      </c>
    </row>
    <row r="371" spans="1:28" x14ac:dyDescent="0.25">
      <c r="A371" s="61">
        <f>'Water runs'!C378</f>
        <v>35854</v>
      </c>
      <c r="B371" s="61" t="str">
        <f>'Water runs'!B378</f>
        <v>Summer</v>
      </c>
      <c r="C371" s="54">
        <f>'Water runs'!D378/100</f>
        <v>1.7602500000000001</v>
      </c>
      <c r="D371" s="108">
        <f>VLOOKUP(ROW(D371)+4,'Water runs'!$BS$3:$CF$423,MATCH($B$1,Scenarios,0)+1)</f>
        <v>4.9989311079264284E-2</v>
      </c>
      <c r="E371" s="54">
        <f>IF(B371=Variables!$D$8,C371-Variables!$E$8,IF(B371=Variables!$D$9,C371-Variables!$E$9,IF(B371=Variables!$D$10,C371-Variables!$E$10,IF(B371=Variables!$D$11,C371-Variables!$E$11,"ELSE"))))</f>
        <v>0.50187986394557837</v>
      </c>
      <c r="F371" s="108">
        <f>VLOOKUP(ROW(F371)+4,'Water runs'!$CH$3:$CU$423,MATCH($B$1,Scenarios,0)+1)</f>
        <v>0</v>
      </c>
      <c r="G371" s="65">
        <f ca="1">H371/Variables!$E$49</f>
        <v>0.57477308001250749</v>
      </c>
      <c r="H371" s="62">
        <f ca="1">IF((H370+I371)&gt;(1.1*Variables!$E$50),(1.1*Variables!$E$50),IF((H370+I371)&gt;0,H370+I371,0))</f>
        <v>3.5635930960775468</v>
      </c>
      <c r="I371" s="64">
        <f t="shared" ca="1" si="12"/>
        <v>0</v>
      </c>
      <c r="J371" s="63">
        <f>IF(SUM(E367:E370)&lt;Variables!$B$3,-H370,0)</f>
        <v>0</v>
      </c>
      <c r="K371" s="64">
        <f ca="1">IF(AND(H370&lt;Variables!$B$6*Variables!$E$50,OR(SUM(D368:D371)&gt;Variables!$B$5,SUM(E368:E371)&gt;Variables!$B$4)),Variables!$B$6*Variables!$E$50+Variables!$B$7*$G$1*Variables!$E$50*SUM(D368:D371),0)</f>
        <v>0</v>
      </c>
      <c r="L371" s="64">
        <f>IF(B371="Winter",Variables!$B$8*H370,0)</f>
        <v>0</v>
      </c>
      <c r="M371" s="64">
        <f ca="1">IF(AND(B371="Spring",AND(NOT(H370=0),H370&lt;(Variables!$B$9*Variables!$E$50))),(Variables!$B$10*Variables!$E$50+Variables!$B$11*Variables!$E$50*SUM(E368:E371)+$G$1*SUM(D370:D371)*Variables!$E$50*Variables!$B$12),0)</f>
        <v>0</v>
      </c>
      <c r="N371" s="64">
        <f>IF(AND(B371="Spring",AND(SUM(D368:D371)&gt;Variables!$B$13,SUM(D364:D367)&gt;Variables!$B$13)),-Variables!$B$14*Variables!$E$50,0)</f>
        <v>0</v>
      </c>
      <c r="O371" s="64">
        <f>IF(AND(B371="Summer",SUM(C367:D371)&gt;Variables!$B$15),(Variables!$B$16*Variables!$E$50*SUM(C367:C371)+$G$1*Variables!$B$16*Variables!$E$50*SUM(D367:D371)+$G$1*Variables!$E$50*Variables!$B$17*F371),0)</f>
        <v>0</v>
      </c>
      <c r="P371" s="64">
        <f ca="1">IF(AND(AND(B371="Autumn",SUM(D370:E371)&gt;0),NOT(H370=0)),Variables!$B$18*Variables!$E$50+Variables!$B$19*Variables!$E$50*SUM(E370:E371)+$G$1*Variables!$B$19*Variables!$E$50*SUM(D370:D371),0)</f>
        <v>0</v>
      </c>
      <c r="Q371" s="64">
        <f>IF(AND(B371="Autumn",AND((E371+E370)&lt;Variables!$B$20,(D370+D371)=0)),-Variables!$B$21*Variables!$E$50,0)</f>
        <v>0</v>
      </c>
      <c r="R371" s="64">
        <f>IF(B371="Autumn",(SUM(F370:F371)*$G$1*Variables!$B$22*Variables!$E$50),0)</f>
        <v>0</v>
      </c>
      <c r="S371" s="64">
        <f>IF(B371="Spring",($G$1*Variables!$E$50*SUM('Guts (MC)'!F370:F371)*Variables!$B$23),0)</f>
        <v>0</v>
      </c>
      <c r="T371" s="63">
        <f ca="1">IF((H370+SUM(J371:Q371))&lt;(Variables!$B$26*Variables!$E$50),$F$1*((Variables!$B$26*Variables!$E$50)-H370-SUM(J371:Q371)),0)</f>
        <v>0</v>
      </c>
      <c r="U371" s="64">
        <f ca="1">IF(AND(AND(B371="Autumn",SUM(D368:E371)&gt;Variables!$B$27),SUM(J371:Q371)&lt;Variables!$B$28*H370),$F$1*(Variables!$B$28*H370-SUM(J371:Q371)),0)</f>
        <v>0</v>
      </c>
      <c r="V371" s="96">
        <f ca="1">IF(AND((J371+K371)=0,(Q371+T371)=0),$H$1*H371*Variables!$I$23*0.25,0)</f>
        <v>43.436556662489131</v>
      </c>
      <c r="W371" s="97">
        <f ca="1">IF(AND((K371+J371)=0,(T371+Q371)=0),$I$1*H371*Variables!$Q$23*0.25,0)</f>
        <v>13.969758792947141</v>
      </c>
      <c r="X371" s="95">
        <f ca="1">IF(AND(NOT(K371=0),(H371-H370)&gt;0),(H371-H370)*(Variables!$M$5*$H$1+Variables!$U$5*$I$1),0)+IF(AND(NOT((J371+N371+Q371)=0),(H370-H371)&gt;0),(H370-H371)*(Variables!$M$4*$H$1+Variables!$U$4*$I$1),0)</f>
        <v>0</v>
      </c>
      <c r="Y371" s="95">
        <f ca="1">IF(SUM(T371,U370:U371)&gt;0,H371*Variables!$Y$11*0.25*(1-$J$1),0)</f>
        <v>0</v>
      </c>
      <c r="Z371" s="95">
        <f ca="1">IF(T371=0,H371*$J$1*Variables!$Y$5*0.25,0)</f>
        <v>4.0100644028390242</v>
      </c>
      <c r="AA371" s="95">
        <f t="shared" ca="1" si="11"/>
        <v>61.416379858275292</v>
      </c>
      <c r="AB371" s="91">
        <f ca="1">AA371/Variables!$E$49</f>
        <v>9.9058677190766602</v>
      </c>
    </row>
    <row r="372" spans="1:28" x14ac:dyDescent="0.25">
      <c r="A372" s="61">
        <f>'Water runs'!C379</f>
        <v>35946</v>
      </c>
      <c r="B372" s="61" t="str">
        <f>'Water runs'!B379</f>
        <v>Autumn</v>
      </c>
      <c r="C372" s="54">
        <f>'Water runs'!D379/100</f>
        <v>1.0687500000000001</v>
      </c>
      <c r="D372" s="108">
        <f>VLOOKUP(ROW(D372)+4,'Water runs'!$BS$3:$CF$423,MATCH($B$1,Scenarios,0)+1)</f>
        <v>4.608350026524359E-2</v>
      </c>
      <c r="E372" s="54">
        <f>IF(B372=Variables!$D$8,C372-Variables!$E$8,IF(B372=Variables!$D$9,C372-Variables!$E$9,IF(B372=Variables!$D$10,C372-Variables!$E$10,IF(B372=Variables!$D$11,C372-Variables!$E$11,"ELSE"))))</f>
        <v>7.4106700680272253E-2</v>
      </c>
      <c r="F372" s="108">
        <f>VLOOKUP(ROW(F372)+4,'Water runs'!$CH$3:$CU$423,MATCH($B$1,Scenarios,0)+1)</f>
        <v>0</v>
      </c>
      <c r="G372" s="65">
        <f ca="1">H372/Variables!$E$49</f>
        <v>0.86396415026060724</v>
      </c>
      <c r="H372" s="62">
        <f ca="1">IF((H371+I372)&gt;(1.1*Variables!$E$50),(1.1*Variables!$E$50),IF((H371+I372)&gt;0,H371+I372,0))</f>
        <v>5.356577731615765</v>
      </c>
      <c r="I372" s="64">
        <f t="shared" ca="1" si="12"/>
        <v>1.7929846355382186</v>
      </c>
      <c r="J372" s="63">
        <f>IF(SUM(E368:E371)&lt;Variables!$B$3,-H371,0)</f>
        <v>0</v>
      </c>
      <c r="K372" s="64">
        <f ca="1">IF(AND(H371&lt;Variables!$B$6*Variables!$E$50,OR(SUM(D369:D372)&gt;Variables!$B$5,SUM(E369:E372)&gt;Variables!$B$4)),Variables!$B$6*Variables!$E$50+Variables!$B$7*$G$1*Variables!$E$50*SUM(D369:D372),0)</f>
        <v>0</v>
      </c>
      <c r="L372" s="64">
        <f>IF(B372="Winter",Variables!$B$8*H371,0)</f>
        <v>0</v>
      </c>
      <c r="M372" s="64">
        <f ca="1">IF(AND(B372="Spring",AND(NOT(H371=0),H371&lt;(Variables!$B$9*Variables!$E$50))),(Variables!$B$10*Variables!$E$50+Variables!$B$11*Variables!$E$50*SUM(E369:E372)+$G$1*SUM(D371:D372)*Variables!$E$50*Variables!$B$12),0)</f>
        <v>0</v>
      </c>
      <c r="N372" s="64">
        <f>IF(AND(B372="Spring",AND(SUM(D369:D372)&gt;Variables!$B$13,SUM(D365:D368)&gt;Variables!$B$13)),-Variables!$B$14*Variables!$E$50,0)</f>
        <v>0</v>
      </c>
      <c r="O372" s="64">
        <f>IF(AND(B372="Summer",SUM(C368:D372)&gt;Variables!$B$15),(Variables!$B$16*Variables!$E$50*SUM(C368:C372)+$G$1*Variables!$B$16*Variables!$E$50*SUM(D368:D372)+$G$1*Variables!$E$50*Variables!$B$17*F372),0)</f>
        <v>0</v>
      </c>
      <c r="P372" s="64">
        <f ca="1">IF(AND(AND(B372="Autumn",SUM(D371:E372)&gt;0),NOT(H371=0)),Variables!$B$18*Variables!$E$50+Variables!$B$19*Variables!$E$50*SUM(E371:E372)+$G$1*Variables!$B$19*Variables!$E$50*SUM(D371:D372),0)</f>
        <v>1.7929846355382186</v>
      </c>
      <c r="Q372" s="64">
        <f>IF(AND(B372="Autumn",AND((E372+E371)&lt;Variables!$B$20,(D371+D372)=0)),-Variables!$B$21*Variables!$E$50,0)</f>
        <v>0</v>
      </c>
      <c r="R372" s="64">
        <f ca="1">IF(B372="Autumn",(SUM(F371:F372)*$G$1*Variables!$B$22*Variables!$E$50),0)</f>
        <v>0</v>
      </c>
      <c r="S372" s="64">
        <f>IF(B372="Spring",($G$1*Variables!$E$50*SUM('Guts (MC)'!F371:F372)*Variables!$B$23),0)</f>
        <v>0</v>
      </c>
      <c r="T372" s="63">
        <f ca="1">IF((H371+SUM(J372:Q372))&lt;(Variables!$B$26*Variables!$E$50),$F$1*((Variables!$B$26*Variables!$E$50)-H371-SUM(J372:Q372)),0)</f>
        <v>0</v>
      </c>
      <c r="U372" s="64">
        <f ca="1">IF(AND(AND(B372="Autumn",SUM(D369:E372)&gt;Variables!$B$27),SUM(J372:Q372)&lt;Variables!$B$28*H371),$F$1*(Variables!$B$28*H371-SUM(J372:Q372)),0)</f>
        <v>0</v>
      </c>
      <c r="V372" s="96">
        <f ca="1">IF(AND((J372+K372)=0,(Q372+T372)=0),$H$1*H372*Variables!$I$23*0.25,0)</f>
        <v>65.291206342401253</v>
      </c>
      <c r="W372" s="97">
        <f ca="1">IF(AND((K372+J372)=0,(T372+Q372)=0),$I$1*H372*Variables!$Q$23*0.25,0)</f>
        <v>20.998496980115323</v>
      </c>
      <c r="X372" s="95">
        <f ca="1">IF(AND(NOT(K372=0),(H372-H371)&gt;0),(H372-H371)*(Variables!$M$5*$H$1+Variables!$U$5*$I$1),0)+IF(AND(NOT((J372+N372+Q372)=0),(H371-H372)&gt;0),(H371-H372)*(Variables!$M$4*$H$1+Variables!$U$4*$I$1),0)</f>
        <v>0</v>
      </c>
      <c r="Y372" s="95">
        <f ca="1">IF(SUM(T372,U371:U372)&gt;0,H372*Variables!$Y$11*0.25*(1-$J$1),0)</f>
        <v>0</v>
      </c>
      <c r="Z372" s="95">
        <f ca="1">IF(T372=0,H372*$J$1*Variables!$Y$5*0.25,0)</f>
        <v>6.0276864118509783</v>
      </c>
      <c r="AA372" s="95">
        <f t="shared" ca="1" si="11"/>
        <v>92.317389734367552</v>
      </c>
      <c r="AB372" s="91">
        <f ca="1">AA372/Variables!$E$49</f>
        <v>14.889901570059282</v>
      </c>
    </row>
    <row r="373" spans="1:28" x14ac:dyDescent="0.25">
      <c r="A373" s="61">
        <f>'Water runs'!C380</f>
        <v>36038</v>
      </c>
      <c r="B373" s="61" t="str">
        <f>'Water runs'!B380</f>
        <v>Winter</v>
      </c>
      <c r="C373" s="54">
        <f>'Water runs'!D380/100</f>
        <v>2.0202142857142902</v>
      </c>
      <c r="D373" s="108">
        <f>VLOOKUP(ROW(D373)+4,'Water runs'!$BS$3:$CF$423,MATCH($B$1,Scenarios,0)+1)</f>
        <v>0</v>
      </c>
      <c r="E373" s="54">
        <f>IF(B373=Variables!$D$8,C373-Variables!$E$8,IF(B373=Variables!$D$9,C373-Variables!$E$9,IF(B373=Variables!$D$10,C373-Variables!$E$10,IF(B373=Variables!$D$11,C373-Variables!$E$11,"ELSE"))))</f>
        <v>1.4484466600529144</v>
      </c>
      <c r="F373" s="108">
        <f>VLOOKUP(ROW(F373)+4,'Water runs'!$CH$3:$CU$423,MATCH($B$1,Scenarios,0)+1)</f>
        <v>0</v>
      </c>
      <c r="G373" s="65">
        <f ca="1">H373/Variables!$E$49</f>
        <v>0.43375730863433787</v>
      </c>
      <c r="H373" s="62">
        <f ca="1">IF((H372+I373)&gt;(1.1*Variables!$E$50),(1.1*Variables!$E$50),IF((H372+I373)&gt;0,H372+I373,0))</f>
        <v>2.6892953135328947</v>
      </c>
      <c r="I373" s="64">
        <f t="shared" ca="1" si="12"/>
        <v>-2.6672824180828703</v>
      </c>
      <c r="J373" s="63">
        <f>IF(SUM(E369:E372)&lt;Variables!$B$3,-H372,0)</f>
        <v>0</v>
      </c>
      <c r="K373" s="64">
        <f ca="1">IF(AND(H372&lt;Variables!$B$6*Variables!$E$50,OR(SUM(D370:D373)&gt;Variables!$B$5,SUM(E370:E373)&gt;Variables!$B$4)),Variables!$B$6*Variables!$E$50+Variables!$B$7*$G$1*Variables!$E$50*SUM(D370:D373),0)</f>
        <v>0</v>
      </c>
      <c r="L373" s="64">
        <f ca="1">IF(B373="Winter",Variables!$B$8*H372,0)</f>
        <v>-2.6672824180828703</v>
      </c>
      <c r="M373" s="64">
        <f ca="1">IF(AND(B373="Spring",AND(NOT(H372=0),H372&lt;(Variables!$B$9*Variables!$E$50))),(Variables!$B$10*Variables!$E$50+Variables!$B$11*Variables!$E$50*SUM(E370:E373)+$G$1*SUM(D372:D373)*Variables!$E$50*Variables!$B$12),0)</f>
        <v>0</v>
      </c>
      <c r="N373" s="64">
        <f>IF(AND(B373="Spring",AND(SUM(D370:D373)&gt;Variables!$B$13,SUM(D366:D369)&gt;Variables!$B$13)),-Variables!$B$14*Variables!$E$50,0)</f>
        <v>0</v>
      </c>
      <c r="O373" s="64">
        <f>IF(AND(B373="Summer",SUM(C369:D373)&gt;Variables!$B$15),(Variables!$B$16*Variables!$E$50*SUM(C369:C373)+$G$1*Variables!$B$16*Variables!$E$50*SUM(D369:D373)+$G$1*Variables!$E$50*Variables!$B$17*F373),0)</f>
        <v>0</v>
      </c>
      <c r="P373" s="64">
        <f ca="1">IF(AND(AND(B373="Autumn",SUM(D372:E373)&gt;0),NOT(H372=0)),Variables!$B$18*Variables!$E$50+Variables!$B$19*Variables!$E$50*SUM(E372:E373)+$G$1*Variables!$B$19*Variables!$E$50*SUM(D372:D373),0)</f>
        <v>0</v>
      </c>
      <c r="Q373" s="64">
        <f>IF(AND(B373="Autumn",AND((E373+E372)&lt;Variables!$B$20,(D372+D373)=0)),-Variables!$B$21*Variables!$E$50,0)</f>
        <v>0</v>
      </c>
      <c r="R373" s="64">
        <f>IF(B373="Autumn",(SUM(F372:F373)*$G$1*Variables!$B$22*Variables!$E$50),0)</f>
        <v>0</v>
      </c>
      <c r="S373" s="64">
        <f>IF(B373="Spring",($G$1*Variables!$E$50*SUM('Guts (MC)'!F372:F373)*Variables!$B$23),0)</f>
        <v>0</v>
      </c>
      <c r="T373" s="63">
        <f ca="1">IF((H372+SUM(J373:Q373))&lt;(Variables!$B$26*Variables!$E$50),$F$1*((Variables!$B$26*Variables!$E$50)-H372-SUM(J373:Q373)),0)</f>
        <v>0</v>
      </c>
      <c r="U373" s="64">
        <f ca="1">IF(AND(AND(B373="Autumn",SUM(D370:E373)&gt;Variables!$B$27),SUM(J373:Q373)&lt;Variables!$B$28*H372),$F$1*(Variables!$B$28*H372-SUM(J373:Q373)),0)</f>
        <v>0</v>
      </c>
      <c r="V373" s="96">
        <f ca="1">IF(AND((J373+K373)=0,(Q373+T373)=0),$H$1*H373*Variables!$I$23*0.25,0)</f>
        <v>32.779760516714191</v>
      </c>
      <c r="W373" s="97">
        <f ca="1">IF(AND((K373+J373)=0,(T373+Q373)=0),$I$1*H373*Variables!$Q$23*0.25,0)</f>
        <v>10.542395228683587</v>
      </c>
      <c r="X373" s="95">
        <f ca="1">IF(AND(NOT(K373=0),(H373-H372)&gt;0),(H373-H372)*(Variables!$M$5*$H$1+Variables!$U$5*$I$1),0)+IF(AND(NOT((J373+N373+Q373)=0),(H372-H373)&gt;0),(H372-H373)*(Variables!$M$4*$H$1+Variables!$U$4*$I$1),0)</f>
        <v>0</v>
      </c>
      <c r="Y373" s="95">
        <f ca="1">IF(SUM(T373,U372:U373)&gt;0,H373*Variables!$Y$11*0.25*(1-$J$1),0)</f>
        <v>0</v>
      </c>
      <c r="Z373" s="95">
        <f ca="1">IF(T373=0,H373*$J$1*Variables!$Y$5*0.25,0)</f>
        <v>3.0262286166707177</v>
      </c>
      <c r="AA373" s="95">
        <f t="shared" ca="1" si="11"/>
        <v>46.348384362068501</v>
      </c>
      <c r="AB373" s="91">
        <f ca="1">AA373/Variables!$E$49</f>
        <v>7.4755458648497584</v>
      </c>
    </row>
    <row r="374" spans="1:28" x14ac:dyDescent="0.25">
      <c r="A374" s="61">
        <f>'Water runs'!C381</f>
        <v>36129</v>
      </c>
      <c r="B374" s="61" t="str">
        <f>'Water runs'!B381</f>
        <v>Spring</v>
      </c>
      <c r="C374" s="54">
        <f>'Water runs'!D381/100</f>
        <v>1.59775</v>
      </c>
      <c r="D374" s="108">
        <f>VLOOKUP(ROW(D374)+4,'Water runs'!$BS$3:$CF$423,MATCH($B$1,Scenarios,0)+1)</f>
        <v>0.44180238956761336</v>
      </c>
      <c r="E374" s="54">
        <f>IF(B374=Variables!$D$8,C374-Variables!$E$8,IF(B374=Variables!$D$9,C374-Variables!$E$9,IF(B374=Variables!$D$10,C374-Variables!$E$10,IF(B374=Variables!$D$11,C374-Variables!$E$11,"ELSE"))))</f>
        <v>0.83376779100529086</v>
      </c>
      <c r="F374" s="108">
        <f>VLOOKUP(ROW(F374)+4,'Water runs'!$CH$3:$CU$423,MATCH($B$1,Scenarios,0)+1)</f>
        <v>1.0068868320414255</v>
      </c>
      <c r="G374" s="65">
        <f ca="1">H374/Variables!$E$49</f>
        <v>0.45608721691364257</v>
      </c>
      <c r="H374" s="62">
        <f ca="1">IF((H373+I374)&gt;(1.1*Variables!$E$50),(1.1*Variables!$E$50),IF((H373+I374)&gt;0,H373+I374,0))</f>
        <v>2.8277407448645842</v>
      </c>
      <c r="I374" s="64">
        <f t="shared" ca="1" si="12"/>
        <v>0.13844543133168954</v>
      </c>
      <c r="J374" s="63">
        <f>IF(SUM(E370:E373)&lt;Variables!$B$3,-H373,0)</f>
        <v>0</v>
      </c>
      <c r="K374" s="64">
        <f ca="1">IF(AND(H373&lt;Variables!$B$6*Variables!$E$50,OR(SUM(D371:D374)&gt;Variables!$B$5,SUM(E371:E374)&gt;Variables!$B$4)),Variables!$B$6*Variables!$E$50+Variables!$B$7*$G$1*Variables!$E$50*SUM(D371:D374),0)</f>
        <v>0</v>
      </c>
      <c r="L374" s="64">
        <f>IF(B374="Winter",Variables!$B$8*H373,0)</f>
        <v>0</v>
      </c>
      <c r="M374" s="64">
        <f ca="1">IF(AND(B374="Spring",AND(NOT(H373=0),H373&lt;(Variables!$B$9*Variables!$E$50))),(Variables!$B$10*Variables!$E$50+Variables!$B$11*Variables!$E$50*SUM(E371:E374)+$G$1*SUM(D373:D374)*Variables!$E$50*Variables!$B$12),0)</f>
        <v>0</v>
      </c>
      <c r="N374" s="64">
        <f>IF(AND(B374="Spring",AND(SUM(D371:D374)&gt;Variables!$B$13,SUM(D367:D370)&gt;Variables!$B$13)),-Variables!$B$14*Variables!$E$50,0)</f>
        <v>0</v>
      </c>
      <c r="O374" s="64">
        <f>IF(AND(B374="Summer",SUM(C370:D374)&gt;Variables!$B$15),(Variables!$B$16*Variables!$E$50*SUM(C370:C374)+$G$1*Variables!$B$16*Variables!$E$50*SUM(D370:D374)+$G$1*Variables!$E$50*Variables!$B$17*F374),0)</f>
        <v>0</v>
      </c>
      <c r="P374" s="64">
        <f ca="1">IF(AND(AND(B374="Autumn",SUM(D373:E374)&gt;0),NOT(H373=0)),Variables!$B$18*Variables!$E$50+Variables!$B$19*Variables!$E$50*SUM(E373:E374)+$G$1*Variables!$B$19*Variables!$E$50*SUM(D373:D374),0)</f>
        <v>0</v>
      </c>
      <c r="Q374" s="64">
        <f>IF(AND(B374="Autumn",AND((E374+E373)&lt;Variables!$B$20,(D373+D374)=0)),-Variables!$B$21*Variables!$E$50,0)</f>
        <v>0</v>
      </c>
      <c r="R374" s="64">
        <f>IF(B374="Autumn",(SUM(F373:F374)*$G$1*Variables!$B$22*Variables!$E$50),0)</f>
        <v>0</v>
      </c>
      <c r="S374" s="64">
        <f ca="1">IF(B374="Spring",($G$1*Variables!$E$50*SUM('Guts (MC)'!F373:F374)*Variables!$B$23),0)</f>
        <v>0.13844543133168954</v>
      </c>
      <c r="T374" s="63">
        <f ca="1">IF((H373+SUM(J374:Q374))&lt;(Variables!$B$26*Variables!$E$50),$F$1*((Variables!$B$26*Variables!$E$50)-H373-SUM(J374:Q374)),0)</f>
        <v>0</v>
      </c>
      <c r="U374" s="64">
        <f ca="1">IF(AND(AND(B374="Autumn",SUM(D371:E374)&gt;Variables!$B$27),SUM(J374:Q374)&lt;Variables!$B$28*H373),$F$1*(Variables!$B$28*H373-SUM(J374:Q374)),0)</f>
        <v>0</v>
      </c>
      <c r="V374" s="96">
        <f ca="1">IF(AND((J374+K374)=0,(Q374+T374)=0),$H$1*H374*Variables!$I$23*0.25,0)</f>
        <v>34.467268787319178</v>
      </c>
      <c r="W374" s="97">
        <f ca="1">IF(AND((K374+J374)=0,(T374+Q374)=0),$I$1*H374*Variables!$Q$23*0.25,0)</f>
        <v>11.085119728800628</v>
      </c>
      <c r="X374" s="95">
        <f ca="1">IF(AND(NOT(K374=0),(H374-H373)&gt;0),(H374-H373)*(Variables!$M$5*$H$1+Variables!$U$5*$I$1),0)+IF(AND(NOT((J374+N374+Q374)=0),(H373-H374)&gt;0),(H373-H374)*(Variables!$M$4*$H$1+Variables!$U$4*$I$1),0)</f>
        <v>0</v>
      </c>
      <c r="Y374" s="95">
        <f ca="1">IF(SUM(T374,U373:U374)&gt;0,H374*Variables!$Y$11*0.25*(1-$J$1),0)</f>
        <v>0</v>
      </c>
      <c r="Z374" s="95">
        <f ca="1">IF(T374=0,H374*$J$1*Variables!$Y$5*0.25,0)</f>
        <v>3.1820194381677021</v>
      </c>
      <c r="AA374" s="95">
        <f t="shared" ca="1" si="11"/>
        <v>48.734407954287505</v>
      </c>
      <c r="AB374" s="91">
        <f ca="1">AA374/Variables!$E$49</f>
        <v>7.8603883797237906</v>
      </c>
    </row>
    <row r="375" spans="1:28" x14ac:dyDescent="0.25">
      <c r="A375" s="61">
        <f>'Water runs'!C382</f>
        <v>36219</v>
      </c>
      <c r="B375" s="61" t="str">
        <f>'Water runs'!B382</f>
        <v>Summer</v>
      </c>
      <c r="C375" s="54">
        <f>'Water runs'!D382/100</f>
        <v>1.153</v>
      </c>
      <c r="D375" s="108">
        <f>VLOOKUP(ROW(D375)+4,'Water runs'!$BS$3:$CF$423,MATCH($B$1,Scenarios,0)+1)</f>
        <v>9.8330153049509497E-2</v>
      </c>
      <c r="E375" s="54">
        <f>IF(B375=Variables!$D$8,C375-Variables!$E$8,IF(B375=Variables!$D$9,C375-Variables!$E$9,IF(B375=Variables!$D$10,C375-Variables!$E$10,IF(B375=Variables!$D$11,C375-Variables!$E$11,"ELSE"))))</f>
        <v>-0.10537013605442169</v>
      </c>
      <c r="F375" s="108">
        <f>VLOOKUP(ROW(F375)+4,'Water runs'!$CH$3:$CU$423,MATCH($B$1,Scenarios,0)+1)</f>
        <v>0.28378490724392119</v>
      </c>
      <c r="G375" s="65">
        <f ca="1">H375/Variables!$E$49</f>
        <v>1.0041098466510205</v>
      </c>
      <c r="H375" s="62">
        <f ca="1">IF((H374+I375)&gt;(1.1*Variables!$E$50),(1.1*Variables!$E$50),IF((H374+I375)&gt;0,H374+I375,0))</f>
        <v>6.2254810492363282</v>
      </c>
      <c r="I375" s="64">
        <f t="shared" ca="1" si="12"/>
        <v>3.397740304371744</v>
      </c>
      <c r="J375" s="63">
        <f>IF(SUM(E371:E374)&lt;Variables!$B$3,-H374,0)</f>
        <v>0</v>
      </c>
      <c r="K375" s="64">
        <f ca="1">IF(AND(H374&lt;Variables!$B$6*Variables!$E$50,OR(SUM(D372:D375)&gt;Variables!$B$5,SUM(E372:E375)&gt;Variables!$B$4)),Variables!$B$6*Variables!$E$50+Variables!$B$7*$G$1*Variables!$E$50*SUM(D372:D375),0)</f>
        <v>0</v>
      </c>
      <c r="L375" s="64">
        <f>IF(B375="Winter",Variables!$B$8*H374,0)</f>
        <v>0</v>
      </c>
      <c r="M375" s="64">
        <f ca="1">IF(AND(B375="Spring",AND(NOT(H374=0),H374&lt;(Variables!$B$9*Variables!$E$50))),(Variables!$B$10*Variables!$E$50+Variables!$B$11*Variables!$E$50*SUM(E372:E375)+$G$1*SUM(D374:D375)*Variables!$E$50*Variables!$B$12),0)</f>
        <v>0</v>
      </c>
      <c r="N375" s="64">
        <f>IF(AND(B375="Spring",AND(SUM(D372:D375)&gt;Variables!$B$13,SUM(D368:D371)&gt;Variables!$B$13)),-Variables!$B$14*Variables!$E$50,0)</f>
        <v>0</v>
      </c>
      <c r="O375" s="64">
        <f ca="1">IF(AND(B375="Summer",SUM(C371:D375)&gt;Variables!$B$15),(Variables!$B$16*Variables!$E$50*SUM(C371:C375)+$G$1*Variables!$B$16*Variables!$E$50*SUM(D371:D375)+$G$1*Variables!$E$50*Variables!$B$17*F375),0)</f>
        <v>3.397740304371744</v>
      </c>
      <c r="P375" s="64">
        <f ca="1">IF(AND(AND(B375="Autumn",SUM(D374:E375)&gt;0),NOT(H374=0)),Variables!$B$18*Variables!$E$50+Variables!$B$19*Variables!$E$50*SUM(E374:E375)+$G$1*Variables!$B$19*Variables!$E$50*SUM(D374:D375),0)</f>
        <v>0</v>
      </c>
      <c r="Q375" s="64">
        <f>IF(AND(B375="Autumn",AND((E375+E374)&lt;Variables!$B$20,(D374+D375)=0)),-Variables!$B$21*Variables!$E$50,0)</f>
        <v>0</v>
      </c>
      <c r="R375" s="64">
        <f>IF(B375="Autumn",(SUM(F374:F375)*$G$1*Variables!$B$22*Variables!$E$50),0)</f>
        <v>0</v>
      </c>
      <c r="S375" s="64">
        <f>IF(B375="Spring",($G$1*Variables!$E$50*SUM('Guts (MC)'!F374:F375)*Variables!$B$23),0)</f>
        <v>0</v>
      </c>
      <c r="T375" s="63">
        <f ca="1">IF((H374+SUM(J375:Q375))&lt;(Variables!$B$26*Variables!$E$50),$F$1*((Variables!$B$26*Variables!$E$50)-H374-SUM(J375:Q375)),0)</f>
        <v>0</v>
      </c>
      <c r="U375" s="64">
        <f ca="1">IF(AND(AND(B375="Autumn",SUM(D372:E375)&gt;Variables!$B$27),SUM(J375:Q375)&lt;Variables!$B$28*H374),$F$1*(Variables!$B$28*H374-SUM(J375:Q375)),0)</f>
        <v>0</v>
      </c>
      <c r="V375" s="96">
        <f ca="1">IF(AND((J375+K375)=0,(Q375+T375)=0),$H$1*H375*Variables!$I$23*0.25,0)</f>
        <v>75.882249475690884</v>
      </c>
      <c r="W375" s="97">
        <f ca="1">IF(AND((K375+J375)=0,(T375+Q375)=0),$I$1*H375*Variables!$Q$23*0.25,0)</f>
        <v>24.404713524566358</v>
      </c>
      <c r="X375" s="95">
        <f ca="1">IF(AND(NOT(K375=0),(H375-H374)&gt;0),(H375-H374)*(Variables!$M$5*$H$1+Variables!$U$5*$I$1),0)+IF(AND(NOT((J375+N375+Q375)=0),(H374-H375)&gt;0),(H374-H375)*(Variables!$M$4*$H$1+Variables!$U$4*$I$1),0)</f>
        <v>0</v>
      </c>
      <c r="Y375" s="95">
        <f ca="1">IF(SUM(T375,U374:U375)&gt;0,H375*Variables!$Y$11*0.25*(1-$J$1),0)</f>
        <v>0</v>
      </c>
      <c r="Z375" s="95">
        <f ca="1">IF(T375=0,H375*$J$1*Variables!$Y$5*0.25,0)</f>
        <v>7.0054518776484596</v>
      </c>
      <c r="AA375" s="95">
        <f t="shared" ca="1" si="11"/>
        <v>107.2924148779057</v>
      </c>
      <c r="AB375" s="91">
        <f ca="1">AA375/Variables!$E$49</f>
        <v>17.305228206113821</v>
      </c>
    </row>
    <row r="376" spans="1:28" x14ac:dyDescent="0.25">
      <c r="A376" s="61">
        <f>'Water runs'!C383</f>
        <v>36311</v>
      </c>
      <c r="B376" s="61" t="str">
        <f>'Water runs'!B383</f>
        <v>Autumn</v>
      </c>
      <c r="C376" s="54">
        <f>'Water runs'!D383/100</f>
        <v>1.0974107142857101</v>
      </c>
      <c r="D376" s="108">
        <f>VLOOKUP(ROW(D376)+4,'Water runs'!$BS$3:$CF$423,MATCH($B$1,Scenarios,0)+1)</f>
        <v>0.1958883284903285</v>
      </c>
      <c r="E376" s="54">
        <f>IF(B376=Variables!$D$8,C376-Variables!$E$8,IF(B376=Variables!$D$9,C376-Variables!$E$9,IF(B376=Variables!$D$10,C376-Variables!$E$10,IF(B376=Variables!$D$11,C376-Variables!$E$11,"ELSE"))))</f>
        <v>0.1027674149659823</v>
      </c>
      <c r="F376" s="108">
        <f>VLOOKUP(ROW(F376)+4,'Water runs'!$CH$3:$CU$423,MATCH($B$1,Scenarios,0)+1)</f>
        <v>0.28378490724392119</v>
      </c>
      <c r="G376" s="65">
        <f ca="1">H376/Variables!$E$49</f>
        <v>1.469818244435251</v>
      </c>
      <c r="H376" s="62">
        <f ca="1">IF((H375+I376)&gt;(1.1*Variables!$E$50),(1.1*Variables!$E$50),IF((H375+I376)&gt;0,H375+I376,0))</f>
        <v>9.1128731154985569</v>
      </c>
      <c r="I376" s="64">
        <f t="shared" ca="1" si="12"/>
        <v>2.8873920662622288</v>
      </c>
      <c r="J376" s="63">
        <f>IF(SUM(E372:E375)&lt;Variables!$B$3,-H375,0)</f>
        <v>0</v>
      </c>
      <c r="K376" s="64">
        <f ca="1">IF(AND(H375&lt;Variables!$B$6*Variables!$E$50,OR(SUM(D373:D376)&gt;Variables!$B$5,SUM(E373:E376)&gt;Variables!$B$4)),Variables!$B$6*Variables!$E$50+Variables!$B$7*$G$1*Variables!$E$50*SUM(D373:D376),0)</f>
        <v>0</v>
      </c>
      <c r="L376" s="64">
        <f>IF(B376="Winter",Variables!$B$8*H375,0)</f>
        <v>0</v>
      </c>
      <c r="M376" s="64">
        <f ca="1">IF(AND(B376="Spring",AND(NOT(H375=0),H375&lt;(Variables!$B$9*Variables!$E$50))),(Variables!$B$10*Variables!$E$50+Variables!$B$11*Variables!$E$50*SUM(E373:E376)+$G$1*SUM(D375:D376)*Variables!$E$50*Variables!$B$12),0)</f>
        <v>0</v>
      </c>
      <c r="N376" s="64">
        <f>IF(AND(B376="Spring",AND(SUM(D373:D376)&gt;Variables!$B$13,SUM(D369:D372)&gt;Variables!$B$13)),-Variables!$B$14*Variables!$E$50,0)</f>
        <v>0</v>
      </c>
      <c r="O376" s="64">
        <f>IF(AND(B376="Summer",SUM(C372:D376)&gt;Variables!$B$15),(Variables!$B$16*Variables!$E$50*SUM(C372:C376)+$G$1*Variables!$B$16*Variables!$E$50*SUM(D372:D376)+$G$1*Variables!$E$50*Variables!$B$17*F376),0)</f>
        <v>0</v>
      </c>
      <c r="P376" s="64">
        <f ca="1">IF(AND(AND(B376="Autumn",SUM(D375:E376)&gt;0),NOT(H375=0)),Variables!$B$18*Variables!$E$50+Variables!$B$19*Variables!$E$50*SUM(E375:E376)+$G$1*Variables!$B$19*Variables!$E$50*SUM(D375:D376),0)</f>
        <v>0.87227859437180988</v>
      </c>
      <c r="Q376" s="64">
        <f>IF(AND(B376="Autumn",AND((E376+E375)&lt;Variables!$B$20,(D375+D376)=0)),-Variables!$B$21*Variables!$E$50,0)</f>
        <v>0</v>
      </c>
      <c r="R376" s="64">
        <f ca="1">IF(B376="Autumn",(SUM(F375:F376)*$G$1*Variables!$B$22*Variables!$E$50),0)</f>
        <v>8.5925594105880826E-2</v>
      </c>
      <c r="S376" s="64">
        <f>IF(B376="Spring",($G$1*Variables!$E$50*SUM('Guts (MC)'!F375:F376)*Variables!$B$23),0)</f>
        <v>0</v>
      </c>
      <c r="T376" s="63">
        <f ca="1">IF((H375+SUM(J376:Q376))&lt;(Variables!$B$26*Variables!$E$50),$F$1*((Variables!$B$26*Variables!$E$50)-H375-SUM(J376:Q376)),0)</f>
        <v>0</v>
      </c>
      <c r="U376" s="64">
        <f ca="1">IF(AND(AND(B376="Autumn",SUM(D373:E376)&gt;Variables!$B$27),SUM(J376:Q376)&lt;Variables!$B$28*H375),$F$1*(Variables!$B$28*H375-SUM(J376:Q376)),0)</f>
        <v>1.9291878777845379</v>
      </c>
      <c r="V376" s="96">
        <f ca="1">IF(AND((J376+K376)=0,(Q376+T376)=0),$H$1*H376*Variables!$I$23*0.25,0)</f>
        <v>111.07660688733506</v>
      </c>
      <c r="W376" s="97">
        <f ca="1">IF(AND((K376+J376)=0,(T376+Q376)=0),$I$1*H376*Variables!$Q$23*0.25,0)</f>
        <v>35.723674365171497</v>
      </c>
      <c r="X376" s="95">
        <f ca="1">IF(AND(NOT(K376=0),(H376-H375)&gt;0),(H376-H375)*(Variables!$M$5*$H$1+Variables!$U$5*$I$1),0)+IF(AND(NOT((J376+N376+Q376)=0),(H375-H376)&gt;0),(H375-H376)*(Variables!$M$4*$H$1+Variables!$U$4*$I$1),0)</f>
        <v>0</v>
      </c>
      <c r="Y376" s="95">
        <f ca="1">IF(SUM(T376,U375:U376)&gt;0,H376*Variables!$Y$11*0.25*(1-$J$1),0)</f>
        <v>-79.120050834713695</v>
      </c>
      <c r="Z376" s="95">
        <f ca="1">IF(T376=0,H376*$J$1*Variables!$Y$5*0.25,0)</f>
        <v>10.254596162584527</v>
      </c>
      <c r="AA376" s="95">
        <f t="shared" ca="1" si="11"/>
        <v>77.934826580377376</v>
      </c>
      <c r="AB376" s="91">
        <f ca="1">AA376/Variables!$E$49</f>
        <v>12.570133319415705</v>
      </c>
    </row>
    <row r="377" spans="1:28" x14ac:dyDescent="0.25">
      <c r="A377" s="61">
        <f>'Water runs'!C384</f>
        <v>36403</v>
      </c>
      <c r="B377" s="61" t="str">
        <f>'Water runs'!B384</f>
        <v>Winter</v>
      </c>
      <c r="C377" s="54">
        <f>'Water runs'!D384/100</f>
        <v>0.66562500000000002</v>
      </c>
      <c r="D377" s="108">
        <f>VLOOKUP(ROW(D377)+4,'Water runs'!$BS$3:$CF$423,MATCH($B$1,Scenarios,0)+1)</f>
        <v>0</v>
      </c>
      <c r="E377" s="54">
        <f>IF(B377=Variables!$D$8,C377-Variables!$E$8,IF(B377=Variables!$D$9,C377-Variables!$E$9,IF(B377=Variables!$D$10,C377-Variables!$E$10,IF(B377=Variables!$D$11,C377-Variables!$E$11,"ELSE"))))</f>
        <v>9.3857374338624289E-2</v>
      </c>
      <c r="F377" s="108">
        <f>VLOOKUP(ROW(F377)+4,'Water runs'!$CH$3:$CU$423,MATCH($B$1,Scenarios,0)+1)</f>
        <v>0</v>
      </c>
      <c r="G377" s="65">
        <f ca="1">H377/Variables!$E$49</f>
        <v>0.73792923664202059</v>
      </c>
      <c r="H377" s="62">
        <f ca="1">IF((H376+I377)&gt;(1.1*Variables!$E$50),(1.1*Variables!$E$50),IF((H376+I377)&gt;0,H376+I377,0))</f>
        <v>4.575161267180528</v>
      </c>
      <c r="I377" s="64">
        <f t="shared" ca="1" si="12"/>
        <v>-4.537711848318029</v>
      </c>
      <c r="J377" s="63">
        <f>IF(SUM(E373:E376)&lt;Variables!$B$3,-H376,0)</f>
        <v>0</v>
      </c>
      <c r="K377" s="64">
        <f ca="1">IF(AND(H376&lt;Variables!$B$6*Variables!$E$50,OR(SUM(D374:D377)&gt;Variables!$B$5,SUM(E374:E377)&gt;Variables!$B$4)),Variables!$B$6*Variables!$E$50+Variables!$B$7*$G$1*Variables!$E$50*SUM(D374:D377),0)</f>
        <v>0</v>
      </c>
      <c r="L377" s="64">
        <f ca="1">IF(B377="Winter",Variables!$B$8*H376,0)</f>
        <v>-4.537711848318029</v>
      </c>
      <c r="M377" s="64">
        <f ca="1">IF(AND(B377="Spring",AND(NOT(H376=0),H376&lt;(Variables!$B$9*Variables!$E$50))),(Variables!$B$10*Variables!$E$50+Variables!$B$11*Variables!$E$50*SUM(E374:E377)+$G$1*SUM(D376:D377)*Variables!$E$50*Variables!$B$12),0)</f>
        <v>0</v>
      </c>
      <c r="N377" s="64">
        <f>IF(AND(B377="Spring",AND(SUM(D374:D377)&gt;Variables!$B$13,SUM(D370:D373)&gt;Variables!$B$13)),-Variables!$B$14*Variables!$E$50,0)</f>
        <v>0</v>
      </c>
      <c r="O377" s="64">
        <f>IF(AND(B377="Summer",SUM(C373:D377)&gt;Variables!$B$15),(Variables!$B$16*Variables!$E$50*SUM(C373:C377)+$G$1*Variables!$B$16*Variables!$E$50*SUM(D373:D377)+$G$1*Variables!$E$50*Variables!$B$17*F377),0)</f>
        <v>0</v>
      </c>
      <c r="P377" s="64">
        <f ca="1">IF(AND(AND(B377="Autumn",SUM(D376:E377)&gt;0),NOT(H376=0)),Variables!$B$18*Variables!$E$50+Variables!$B$19*Variables!$E$50*SUM(E376:E377)+$G$1*Variables!$B$19*Variables!$E$50*SUM(D376:D377),0)</f>
        <v>0</v>
      </c>
      <c r="Q377" s="64">
        <f>IF(AND(B377="Autumn",AND((E377+E376)&lt;Variables!$B$20,(D376+D377)=0)),-Variables!$B$21*Variables!$E$50,0)</f>
        <v>0</v>
      </c>
      <c r="R377" s="64">
        <f>IF(B377="Autumn",(SUM(F376:F377)*$G$1*Variables!$B$22*Variables!$E$50),0)</f>
        <v>0</v>
      </c>
      <c r="S377" s="64">
        <f>IF(B377="Spring",($G$1*Variables!$E$50*SUM('Guts (MC)'!F376:F377)*Variables!$B$23),0)</f>
        <v>0</v>
      </c>
      <c r="T377" s="63">
        <f ca="1">IF((H376+SUM(J377:Q377))&lt;(Variables!$B$26*Variables!$E$50),$F$1*((Variables!$B$26*Variables!$E$50)-H376-SUM(J377:Q377)),0)</f>
        <v>0</v>
      </c>
      <c r="U377" s="64">
        <f ca="1">IF(AND(AND(B377="Autumn",SUM(D374:E377)&gt;Variables!$B$27),SUM(J377:Q377)&lt;Variables!$B$28*H376),$F$1*(Variables!$B$28*H376-SUM(J377:Q377)),0)</f>
        <v>0</v>
      </c>
      <c r="V377" s="96">
        <f ca="1">IF(AND((J377+K377)=0,(Q377+T377)=0),$H$1*H377*Variables!$I$23*0.25,0)</f>
        <v>55.766538508746748</v>
      </c>
      <c r="W377" s="97">
        <f ca="1">IF(AND((K377+J377)=0,(T377+Q377)=0),$I$1*H377*Variables!$Q$23*0.25,0)</f>
        <v>17.935240533408965</v>
      </c>
      <c r="X377" s="95">
        <f ca="1">IF(AND(NOT(K377=0),(H377-H376)&gt;0),(H377-H376)*(Variables!$M$5*$H$1+Variables!$U$5*$I$1),0)+IF(AND(NOT((J377+N377+Q377)=0),(H376-H377)&gt;0),(H376-H377)*(Variables!$M$4*$H$1+Variables!$U$4*$I$1),0)</f>
        <v>0</v>
      </c>
      <c r="Y377" s="95">
        <f ca="1">IF(SUM(T377,U376:U377)&gt;0,H377*Variables!$Y$11*0.25*(1-$J$1),0)</f>
        <v>-39.722597631771428</v>
      </c>
      <c r="Z377" s="95">
        <f ca="1">IF(T377=0,H377*$J$1*Variables!$Y$5*0.25,0)</f>
        <v>5.1483687503387383</v>
      </c>
      <c r="AA377" s="95">
        <f t="shared" ca="1" si="11"/>
        <v>39.127550160723032</v>
      </c>
      <c r="AB377" s="91">
        <f ca="1">AA377/Variables!$E$49</f>
        <v>6.3108951872133918</v>
      </c>
    </row>
    <row r="378" spans="1:28" x14ac:dyDescent="0.25">
      <c r="A378" s="61">
        <f>'Water runs'!C385</f>
        <v>36494</v>
      </c>
      <c r="B378" s="61" t="str">
        <f>'Water runs'!B385</f>
        <v>Spring</v>
      </c>
      <c r="C378" s="54">
        <f>'Water runs'!D385/100</f>
        <v>1.4424107142857099</v>
      </c>
      <c r="D378" s="108">
        <f>VLOOKUP(ROW(D378)+4,'Water runs'!$BS$3:$CF$423,MATCH($B$1,Scenarios,0)+1)</f>
        <v>1.3555135036698628E-3</v>
      </c>
      <c r="E378" s="54">
        <f>IF(B378=Variables!$D$8,C378-Variables!$E$8,IF(B378=Variables!$D$9,C378-Variables!$E$9,IF(B378=Variables!$D$10,C378-Variables!$E$10,IF(B378=Variables!$D$11,C378-Variables!$E$11,"ELSE"))))</f>
        <v>0.67842850529100074</v>
      </c>
      <c r="F378" s="108">
        <f>VLOOKUP(ROW(F378)+4,'Water runs'!$CH$3:$CU$423,MATCH($B$1,Scenarios,0)+1)</f>
        <v>0</v>
      </c>
      <c r="G378" s="65">
        <f ca="1">H378/Variables!$E$49</f>
        <v>0.73792923664202059</v>
      </c>
      <c r="H378" s="62">
        <f ca="1">IF((H377+I378)&gt;(1.1*Variables!$E$50),(1.1*Variables!$E$50),IF((H377+I378)&gt;0,H377+I378,0))</f>
        <v>4.575161267180528</v>
      </c>
      <c r="I378" s="64">
        <f t="shared" ca="1" si="12"/>
        <v>0</v>
      </c>
      <c r="J378" s="63">
        <f>IF(SUM(E374:E377)&lt;Variables!$B$3,-H377,0)</f>
        <v>0</v>
      </c>
      <c r="K378" s="64">
        <f ca="1">IF(AND(H377&lt;Variables!$B$6*Variables!$E$50,OR(SUM(D375:D378)&gt;Variables!$B$5,SUM(E375:E378)&gt;Variables!$B$4)),Variables!$B$6*Variables!$E$50+Variables!$B$7*$G$1*Variables!$E$50*SUM(D375:D378),0)</f>
        <v>0</v>
      </c>
      <c r="L378" s="64">
        <f>IF(B378="Winter",Variables!$B$8*H377,0)</f>
        <v>0</v>
      </c>
      <c r="M378" s="64">
        <f ca="1">IF(AND(B378="Spring",AND(NOT(H377=0),H377&lt;(Variables!$B$9*Variables!$E$50))),(Variables!$B$10*Variables!$E$50+Variables!$B$11*Variables!$E$50*SUM(E375:E378)+$G$1*SUM(D377:D378)*Variables!$E$50*Variables!$B$12),0)</f>
        <v>0</v>
      </c>
      <c r="N378" s="64">
        <f>IF(AND(B378="Spring",AND(SUM(D375:D378)&gt;Variables!$B$13,SUM(D371:D374)&gt;Variables!$B$13)),-Variables!$B$14*Variables!$E$50,0)</f>
        <v>0</v>
      </c>
      <c r="O378" s="64">
        <f>IF(AND(B378="Summer",SUM(C374:D378)&gt;Variables!$B$15),(Variables!$B$16*Variables!$E$50*SUM(C374:C378)+$G$1*Variables!$B$16*Variables!$E$50*SUM(D374:D378)+$G$1*Variables!$E$50*Variables!$B$17*F378),0)</f>
        <v>0</v>
      </c>
      <c r="P378" s="64">
        <f ca="1">IF(AND(AND(B378="Autumn",SUM(D377:E378)&gt;0),NOT(H377=0)),Variables!$B$18*Variables!$E$50+Variables!$B$19*Variables!$E$50*SUM(E377:E378)+$G$1*Variables!$B$19*Variables!$E$50*SUM(D377:D378),0)</f>
        <v>0</v>
      </c>
      <c r="Q378" s="64">
        <f>IF(AND(B378="Autumn",AND((E378+E377)&lt;Variables!$B$20,(D377+D378)=0)),-Variables!$B$21*Variables!$E$50,0)</f>
        <v>0</v>
      </c>
      <c r="R378" s="64">
        <f>IF(B378="Autumn",(SUM(F377:F378)*$G$1*Variables!$B$22*Variables!$E$50),0)</f>
        <v>0</v>
      </c>
      <c r="S378" s="64">
        <f ca="1">IF(B378="Spring",($G$1*Variables!$E$50*SUM('Guts (MC)'!F377:F378)*Variables!$B$23),0)</f>
        <v>0</v>
      </c>
      <c r="T378" s="63">
        <f ca="1">IF((H377+SUM(J378:Q378))&lt;(Variables!$B$26*Variables!$E$50),$F$1*((Variables!$B$26*Variables!$E$50)-H377-SUM(J378:Q378)),0)</f>
        <v>0</v>
      </c>
      <c r="U378" s="64">
        <f ca="1">IF(AND(AND(B378="Autumn",SUM(D375:E378)&gt;Variables!$B$27),SUM(J378:Q378)&lt;Variables!$B$28*H377),$F$1*(Variables!$B$28*H377-SUM(J378:Q378)),0)</f>
        <v>0</v>
      </c>
      <c r="V378" s="96">
        <f ca="1">IF(AND((J378+K378)=0,(Q378+T378)=0),$H$1*H378*Variables!$I$23*0.25,0)</f>
        <v>55.766538508746748</v>
      </c>
      <c r="W378" s="97">
        <f ca="1">IF(AND((K378+J378)=0,(T378+Q378)=0),$I$1*H378*Variables!$Q$23*0.25,0)</f>
        <v>17.935240533408965</v>
      </c>
      <c r="X378" s="95">
        <f ca="1">IF(AND(NOT(K378=0),(H378-H377)&gt;0),(H378-H377)*(Variables!$M$5*$H$1+Variables!$U$5*$I$1),0)+IF(AND(NOT((J378+N378+Q378)=0),(H377-H378)&gt;0),(H377-H378)*(Variables!$M$4*$H$1+Variables!$U$4*$I$1),0)</f>
        <v>0</v>
      </c>
      <c r="Y378" s="95">
        <f ca="1">IF(SUM(T378,U377:U378)&gt;0,H378*Variables!$Y$11*0.25*(1-$J$1),0)</f>
        <v>0</v>
      </c>
      <c r="Z378" s="95">
        <f ca="1">IF(T378=0,H378*$J$1*Variables!$Y$5*0.25,0)</f>
        <v>5.1483687503387383</v>
      </c>
      <c r="AA378" s="95">
        <f t="shared" ca="1" si="11"/>
        <v>78.850147792494454</v>
      </c>
      <c r="AB378" s="91">
        <f ca="1">AA378/Variables!$E$49</f>
        <v>12.717765772982975</v>
      </c>
    </row>
    <row r="379" spans="1:28" x14ac:dyDescent="0.25">
      <c r="A379" s="61">
        <f>'Water runs'!C386</f>
        <v>36584</v>
      </c>
      <c r="B379" s="61" t="str">
        <f>'Water runs'!B386</f>
        <v>Summer</v>
      </c>
      <c r="C379" s="54">
        <f>'Water runs'!D386/100</f>
        <v>1.7723988095238099</v>
      </c>
      <c r="D379" s="108">
        <f>VLOOKUP(ROW(D379)+4,'Water runs'!$BS$3:$CF$423,MATCH($B$1,Scenarios,0)+1)</f>
        <v>2.421713552759721E-2</v>
      </c>
      <c r="E379" s="54">
        <f>IF(B379=Variables!$D$8,C379-Variables!$E$8,IF(B379=Variables!$D$9,C379-Variables!$E$9,IF(B379=Variables!$D$10,C379-Variables!$E$10,IF(B379=Variables!$D$11,C379-Variables!$E$11,"ELSE"))))</f>
        <v>0.51402867346938819</v>
      </c>
      <c r="F379" s="108">
        <f>VLOOKUP(ROW(F379)+4,'Water runs'!$CH$3:$CU$423,MATCH($B$1,Scenarios,0)+1)</f>
        <v>0</v>
      </c>
      <c r="G379" s="65">
        <f ca="1">H379/Variables!$E$49</f>
        <v>1.1256077558034252</v>
      </c>
      <c r="H379" s="62">
        <f ca="1">IF((H378+I379)&gt;(1.1*Variables!$E$50),(1.1*Variables!$E$50),IF((H378+I379)&gt;0,H378+I379,0))</f>
        <v>6.9787680859812369</v>
      </c>
      <c r="I379" s="64">
        <f t="shared" ca="1" si="12"/>
        <v>2.4036068188007085</v>
      </c>
      <c r="J379" s="63">
        <f>IF(SUM(E375:E378)&lt;Variables!$B$3,-H378,0)</f>
        <v>0</v>
      </c>
      <c r="K379" s="64">
        <f ca="1">IF(AND(H378&lt;Variables!$B$6*Variables!$E$50,OR(SUM(D376:D379)&gt;Variables!$B$5,SUM(E376:E379)&gt;Variables!$B$4)),Variables!$B$6*Variables!$E$50+Variables!$B$7*$G$1*Variables!$E$50*SUM(D376:D379),0)</f>
        <v>0</v>
      </c>
      <c r="L379" s="64">
        <f>IF(B379="Winter",Variables!$B$8*H378,0)</f>
        <v>0</v>
      </c>
      <c r="M379" s="64">
        <f ca="1">IF(AND(B379="Spring",AND(NOT(H378=0),H378&lt;(Variables!$B$9*Variables!$E$50))),(Variables!$B$10*Variables!$E$50+Variables!$B$11*Variables!$E$50*SUM(E376:E379)+$G$1*SUM(D378:D379)*Variables!$E$50*Variables!$B$12),0)</f>
        <v>0</v>
      </c>
      <c r="N379" s="64">
        <f>IF(AND(B379="Spring",AND(SUM(D376:D379)&gt;Variables!$B$13,SUM(D372:D375)&gt;Variables!$B$13)),-Variables!$B$14*Variables!$E$50,0)</f>
        <v>0</v>
      </c>
      <c r="O379" s="64">
        <f ca="1">IF(AND(B379="Summer",SUM(C375:D379)&gt;Variables!$B$15),(Variables!$B$16*Variables!$E$50*SUM(C375:C379)+$G$1*Variables!$B$16*Variables!$E$50*SUM(D375:D379)+$G$1*Variables!$E$50*Variables!$B$17*F379),0)</f>
        <v>2.4036068188007085</v>
      </c>
      <c r="P379" s="64">
        <f ca="1">IF(AND(AND(B379="Autumn",SUM(D378:E379)&gt;0),NOT(H378=0)),Variables!$B$18*Variables!$E$50+Variables!$B$19*Variables!$E$50*SUM(E378:E379)+$G$1*Variables!$B$19*Variables!$E$50*SUM(D378:D379),0)</f>
        <v>0</v>
      </c>
      <c r="Q379" s="64">
        <f>IF(AND(B379="Autumn",AND((E379+E378)&lt;Variables!$B$20,(D378+D379)=0)),-Variables!$B$21*Variables!$E$50,0)</f>
        <v>0</v>
      </c>
      <c r="R379" s="64">
        <f>IF(B379="Autumn",(SUM(F378:F379)*$G$1*Variables!$B$22*Variables!$E$50),0)</f>
        <v>0</v>
      </c>
      <c r="S379" s="64">
        <f>IF(B379="Spring",($G$1*Variables!$E$50*SUM('Guts (MC)'!F378:F379)*Variables!$B$23),0)</f>
        <v>0</v>
      </c>
      <c r="T379" s="63">
        <f ca="1">IF((H378+SUM(J379:Q379))&lt;(Variables!$B$26*Variables!$E$50),$F$1*((Variables!$B$26*Variables!$E$50)-H378-SUM(J379:Q379)),0)</f>
        <v>0</v>
      </c>
      <c r="U379" s="64">
        <f ca="1">IF(AND(AND(B379="Autumn",SUM(D376:E379)&gt;Variables!$B$27),SUM(J379:Q379)&lt;Variables!$B$28*H378),$F$1*(Variables!$B$28*H378-SUM(J379:Q379)),0)</f>
        <v>0</v>
      </c>
      <c r="V379" s="96">
        <f ca="1">IF(AND((J379+K379)=0,(Q379+T379)=0),$H$1*H379*Variables!$I$23*0.25,0)</f>
        <v>85.064048343441499</v>
      </c>
      <c r="W379" s="97">
        <f ca="1">IF(AND((K379+J379)=0,(T379+Q379)=0),$I$1*H379*Variables!$Q$23*0.25,0)</f>
        <v>27.357698874314405</v>
      </c>
      <c r="X379" s="95">
        <f ca="1">IF(AND(NOT(K379=0),(H379-H378)&gt;0),(H379-H378)*(Variables!$M$5*$H$1+Variables!$U$5*$I$1),0)+IF(AND(NOT((J379+N379+Q379)=0),(H378-H379)&gt;0),(H378-H379)*(Variables!$M$4*$H$1+Variables!$U$4*$I$1),0)</f>
        <v>0</v>
      </c>
      <c r="Y379" s="95">
        <f ca="1">IF(SUM(T379,U378:U379)&gt;0,H379*Variables!$Y$11*0.25*(1-$J$1),0)</f>
        <v>0</v>
      </c>
      <c r="Z379" s="95">
        <f ca="1">IF(T379=0,H379*$J$1*Variables!$Y$5*0.25,0)</f>
        <v>7.8531158644531756</v>
      </c>
      <c r="AA379" s="95">
        <f t="shared" ca="1" si="11"/>
        <v>120.27486308220908</v>
      </c>
      <c r="AB379" s="91">
        <f ca="1">AA379/Variables!$E$49</f>
        <v>19.399171464872431</v>
      </c>
    </row>
    <row r="380" spans="1:28" x14ac:dyDescent="0.25">
      <c r="A380" s="61">
        <f>'Water runs'!C387</f>
        <v>36677</v>
      </c>
      <c r="B380" s="61" t="str">
        <f>'Water runs'!B387</f>
        <v>Autumn</v>
      </c>
      <c r="C380" s="54">
        <f>'Water runs'!D387/100</f>
        <v>2.34517857142857</v>
      </c>
      <c r="D380" s="108">
        <f>VLOOKUP(ROW(D380)+4,'Water runs'!$BS$3:$CF$423,MATCH($B$1,Scenarios,0)+1)</f>
        <v>9.8733956721747595E-4</v>
      </c>
      <c r="E380" s="54">
        <f>IF(B380=Variables!$D$8,C380-Variables!$E$8,IF(B380=Variables!$D$9,C380-Variables!$E$9,IF(B380=Variables!$D$10,C380-Variables!$E$10,IF(B380=Variables!$D$11,C380-Variables!$E$11,"ELSE"))))</f>
        <v>1.3505352721088422</v>
      </c>
      <c r="F380" s="108">
        <f>VLOOKUP(ROW(F380)+4,'Water runs'!$CH$3:$CU$423,MATCH($B$1,Scenarios,0)+1)</f>
        <v>0</v>
      </c>
      <c r="G380" s="65">
        <f ca="1">H380/Variables!$E$49</f>
        <v>1.8494125855142076</v>
      </c>
      <c r="H380" s="62">
        <f ca="1">IF((H379+I380)&gt;(1.1*Variables!$E$50),(1.1*Variables!$E$50),IF((H379+I380)&gt;0,H379+I380,0))</f>
        <v>11.466358030188088</v>
      </c>
      <c r="I380" s="64">
        <f t="shared" ca="1" si="12"/>
        <v>4.4875899442068512</v>
      </c>
      <c r="J380" s="63">
        <f>IF(SUM(E376:E379)&lt;Variables!$B$3,-H379,0)</f>
        <v>0</v>
      </c>
      <c r="K380" s="64">
        <f ca="1">IF(AND(H379&lt;Variables!$B$6*Variables!$E$50,OR(SUM(D377:D380)&gt;Variables!$B$5,SUM(E377:E380)&gt;Variables!$B$4)),Variables!$B$6*Variables!$E$50+Variables!$B$7*$G$1*Variables!$E$50*SUM(D377:D380),0)</f>
        <v>0</v>
      </c>
      <c r="L380" s="64">
        <f>IF(B380="Winter",Variables!$B$8*H379,0)</f>
        <v>0</v>
      </c>
      <c r="M380" s="64">
        <f ca="1">IF(AND(B380="Spring",AND(NOT(H379=0),H379&lt;(Variables!$B$9*Variables!$E$50))),(Variables!$B$10*Variables!$E$50+Variables!$B$11*Variables!$E$50*SUM(E377:E380)+$G$1*SUM(D379:D380)*Variables!$E$50*Variables!$B$12),0)</f>
        <v>0</v>
      </c>
      <c r="N380" s="64">
        <f>IF(AND(B380="Spring",AND(SUM(D377:D380)&gt;Variables!$B$13,SUM(D373:D376)&gt;Variables!$B$13)),-Variables!$B$14*Variables!$E$50,0)</f>
        <v>0</v>
      </c>
      <c r="O380" s="64">
        <f>IF(AND(B380="Summer",SUM(C376:D380)&gt;Variables!$B$15),(Variables!$B$16*Variables!$E$50*SUM(C376:C380)+$G$1*Variables!$B$16*Variables!$E$50*SUM(D376:D380)+$G$1*Variables!$E$50*Variables!$B$17*F380),0)</f>
        <v>0</v>
      </c>
      <c r="P380" s="64">
        <f ca="1">IF(AND(AND(B380="Autumn",SUM(D379:E380)&gt;0),NOT(H379=0)),Variables!$B$18*Variables!$E$50+Variables!$B$19*Variables!$E$50*SUM(E379:E380)+$G$1*Variables!$B$19*Variables!$E$50*SUM(D379:D380),0)</f>
        <v>4.4875899442068512</v>
      </c>
      <c r="Q380" s="64">
        <f>IF(AND(B380="Autumn",AND((E380+E379)&lt;Variables!$B$20,(D379+D380)=0)),-Variables!$B$21*Variables!$E$50,0)</f>
        <v>0</v>
      </c>
      <c r="R380" s="64">
        <f ca="1">IF(B380="Autumn",(SUM(F379:F380)*$G$1*Variables!$B$22*Variables!$E$50),0)</f>
        <v>0</v>
      </c>
      <c r="S380" s="64">
        <f>IF(B380="Spring",($G$1*Variables!$E$50*SUM('Guts (MC)'!F379:F380)*Variables!$B$23),0)</f>
        <v>0</v>
      </c>
      <c r="T380" s="63">
        <f ca="1">IF((H379+SUM(J380:Q380))&lt;(Variables!$B$26*Variables!$E$50),$F$1*((Variables!$B$26*Variables!$E$50)-H379-SUM(J380:Q380)),0)</f>
        <v>0</v>
      </c>
      <c r="U380" s="64">
        <f ca="1">IF(AND(AND(B380="Autumn",SUM(D377:E380)&gt;Variables!$B$27),SUM(J380:Q380)&lt;Variables!$B$28*H379),$F$1*(Variables!$B$28*H379-SUM(J380:Q380)),0)</f>
        <v>0</v>
      </c>
      <c r="V380" s="96">
        <f ca="1">IF(AND((J380+K380)=0,(Q380+T380)=0),$H$1*H380*Variables!$I$23*0.25,0)</f>
        <v>139.7631819521894</v>
      </c>
      <c r="W380" s="97">
        <f ca="1">IF(AND((K380+J380)=0,(T380+Q380)=0),$I$1*H380*Variables!$Q$23*0.25,0)</f>
        <v>44.949648177176286</v>
      </c>
      <c r="X380" s="95">
        <f ca="1">IF(AND(NOT(K380=0),(H380-H379)&gt;0),(H380-H379)*(Variables!$M$5*$H$1+Variables!$U$5*$I$1),0)+IF(AND(NOT((J380+N380+Q380)=0),(H379-H380)&gt;0),(H379-H380)*(Variables!$M$4*$H$1+Variables!$U$4*$I$1),0)</f>
        <v>0</v>
      </c>
      <c r="Y380" s="95">
        <f ca="1">IF(SUM(T380,U379:U380)&gt;0,H380*Variables!$Y$11*0.25*(1-$J$1),0)</f>
        <v>0</v>
      </c>
      <c r="Z380" s="95">
        <f ca="1">IF(T380=0,H380*$J$1*Variables!$Y$5*0.25,0)</f>
        <v>12.902941757765731</v>
      </c>
      <c r="AA380" s="95">
        <f t="shared" ca="1" si="11"/>
        <v>197.61577188713142</v>
      </c>
      <c r="AB380" s="91">
        <f ca="1">AA380/Variables!$E$49</f>
        <v>31.873511594698616</v>
      </c>
    </row>
    <row r="381" spans="1:28" x14ac:dyDescent="0.25">
      <c r="A381" s="61">
        <f>'Water runs'!C388</f>
        <v>36769</v>
      </c>
      <c r="B381" s="61" t="str">
        <f>'Water runs'!B388</f>
        <v>Winter</v>
      </c>
      <c r="C381" s="54">
        <f>'Water runs'!D388/100</f>
        <v>0.21137499999999998</v>
      </c>
      <c r="D381" s="108">
        <f>VLOOKUP(ROW(D381)+4,'Water runs'!$BS$3:$CF$423,MATCH($B$1,Scenarios,0)+1)</f>
        <v>0</v>
      </c>
      <c r="E381" s="54">
        <f>IF(B381=Variables!$D$8,C381-Variables!$E$8,IF(B381=Variables!$D$9,C381-Variables!$E$9,IF(B381=Variables!$D$10,C381-Variables!$E$10,IF(B381=Variables!$D$11,C381-Variables!$E$11,"ELSE"))))</f>
        <v>-0.36039262566137575</v>
      </c>
      <c r="F381" s="108">
        <f>VLOOKUP(ROW(F381)+4,'Water runs'!$CH$3:$CU$423,MATCH($B$1,Scenarios,0)+1)</f>
        <v>0</v>
      </c>
      <c r="G381" s="65">
        <f ca="1">H381/Variables!$E$49</f>
        <v>0.92850638004498165</v>
      </c>
      <c r="H381" s="62">
        <f ca="1">IF((H380+I381)&gt;(1.1*Variables!$E$50),(1.1*Variables!$E$50),IF((H380+I381)&gt;0,H380+I381,0))</f>
        <v>5.7567395562788866</v>
      </c>
      <c r="I381" s="64">
        <f t="shared" ca="1" si="12"/>
        <v>-5.7096184739092015</v>
      </c>
      <c r="J381" s="63">
        <f>IF(SUM(E377:E380)&lt;Variables!$B$3,-H380,0)</f>
        <v>0</v>
      </c>
      <c r="K381" s="64">
        <f ca="1">IF(AND(H380&lt;Variables!$B$6*Variables!$E$50,OR(SUM(D378:D381)&gt;Variables!$B$5,SUM(E378:E381)&gt;Variables!$B$4)),Variables!$B$6*Variables!$E$50+Variables!$B$7*$G$1*Variables!$E$50*SUM(D378:D381),0)</f>
        <v>0</v>
      </c>
      <c r="L381" s="64">
        <f ca="1">IF(B381="Winter",Variables!$B$8*H380,0)</f>
        <v>-5.7096184739092015</v>
      </c>
      <c r="M381" s="64">
        <f ca="1">IF(AND(B381="Spring",AND(NOT(H380=0),H380&lt;(Variables!$B$9*Variables!$E$50))),(Variables!$B$10*Variables!$E$50+Variables!$B$11*Variables!$E$50*SUM(E378:E381)+$G$1*SUM(D380:D381)*Variables!$E$50*Variables!$B$12),0)</f>
        <v>0</v>
      </c>
      <c r="N381" s="64">
        <f>IF(AND(B381="Spring",AND(SUM(D378:D381)&gt;Variables!$B$13,SUM(D374:D377)&gt;Variables!$B$13)),-Variables!$B$14*Variables!$E$50,0)</f>
        <v>0</v>
      </c>
      <c r="O381" s="64">
        <f>IF(AND(B381="Summer",SUM(C377:D381)&gt;Variables!$B$15),(Variables!$B$16*Variables!$E$50*SUM(C377:C381)+$G$1*Variables!$B$16*Variables!$E$50*SUM(D377:D381)+$G$1*Variables!$E$50*Variables!$B$17*F381),0)</f>
        <v>0</v>
      </c>
      <c r="P381" s="64">
        <f ca="1">IF(AND(AND(B381="Autumn",SUM(D380:E381)&gt;0),NOT(H380=0)),Variables!$B$18*Variables!$E$50+Variables!$B$19*Variables!$E$50*SUM(E380:E381)+$G$1*Variables!$B$19*Variables!$E$50*SUM(D380:D381),0)</f>
        <v>0</v>
      </c>
      <c r="Q381" s="64">
        <f>IF(AND(B381="Autumn",AND((E381+E380)&lt;Variables!$B$20,(D380+D381)=0)),-Variables!$B$21*Variables!$E$50,0)</f>
        <v>0</v>
      </c>
      <c r="R381" s="64">
        <f>IF(B381="Autumn",(SUM(F380:F381)*$G$1*Variables!$B$22*Variables!$E$50),0)</f>
        <v>0</v>
      </c>
      <c r="S381" s="64">
        <f>IF(B381="Spring",($G$1*Variables!$E$50*SUM('Guts (MC)'!F380:F381)*Variables!$B$23),0)</f>
        <v>0</v>
      </c>
      <c r="T381" s="63">
        <f ca="1">IF((H380+SUM(J381:Q381))&lt;(Variables!$B$26*Variables!$E$50),$F$1*((Variables!$B$26*Variables!$E$50)-H380-SUM(J381:Q381)),0)</f>
        <v>0</v>
      </c>
      <c r="U381" s="64">
        <f ca="1">IF(AND(AND(B381="Autumn",SUM(D378:E381)&gt;Variables!$B$27),SUM(J381:Q381)&lt;Variables!$B$28*H380),$F$1*(Variables!$B$28*H380-SUM(J381:Q381)),0)</f>
        <v>0</v>
      </c>
      <c r="V381" s="96">
        <f ca="1">IF(AND((J381+K381)=0,(Q381+T381)=0),$H$1*H381*Variables!$I$23*0.25,0)</f>
        <v>70.168769886420009</v>
      </c>
      <c r="W381" s="97">
        <f ca="1">IF(AND((K381+J381)=0,(T381+Q381)=0),$I$1*H381*Variables!$Q$23*0.25,0)</f>
        <v>22.567184542913253</v>
      </c>
      <c r="X381" s="95">
        <f ca="1">IF(AND(NOT(K381=0),(H381-H380)&gt;0),(H381-H380)*(Variables!$M$5*$H$1+Variables!$U$5*$I$1),0)+IF(AND(NOT((J381+N381+Q381)=0),(H380-H381)&gt;0),(H380-H381)*(Variables!$M$4*$H$1+Variables!$U$4*$I$1),0)</f>
        <v>0</v>
      </c>
      <c r="Y381" s="95">
        <f ca="1">IF(SUM(T381,U380:U381)&gt;0,H381*Variables!$Y$11*0.25*(1-$J$1),0)</f>
        <v>0</v>
      </c>
      <c r="Z381" s="95">
        <f ca="1">IF(T381=0,H381*$J$1*Variables!$Y$5*0.25,0)</f>
        <v>6.477983245746791</v>
      </c>
      <c r="AA381" s="95">
        <f t="shared" ca="1" si="11"/>
        <v>99.213937675080047</v>
      </c>
      <c r="AB381" s="91">
        <f ca="1">AA381/Variables!$E$49</f>
        <v>16.002248012109686</v>
      </c>
    </row>
    <row r="382" spans="1:28" x14ac:dyDescent="0.25">
      <c r="A382" s="61">
        <f>'Water runs'!C389</f>
        <v>36860</v>
      </c>
      <c r="B382" s="61" t="str">
        <f>'Water runs'!B389</f>
        <v>Spring</v>
      </c>
      <c r="C382" s="54">
        <f>'Water runs'!D389/100</f>
        <v>1.8658214285714301</v>
      </c>
      <c r="D382" s="108">
        <f>VLOOKUP(ROW(D382)+4,'Water runs'!$BS$3:$CF$423,MATCH($B$1,Scenarios,0)+1)</f>
        <v>1.0424468918993816E-2</v>
      </c>
      <c r="E382" s="54">
        <f>IF(B382=Variables!$D$8,C382-Variables!$E$8,IF(B382=Variables!$D$9,C382-Variables!$E$9,IF(B382=Variables!$D$10,C382-Variables!$E$10,IF(B382=Variables!$D$11,C382-Variables!$E$11,"ELSE"))))</f>
        <v>1.1018392195767208</v>
      </c>
      <c r="F382" s="108">
        <f>VLOOKUP(ROW(F382)+4,'Water runs'!$CH$3:$CU$423,MATCH($B$1,Scenarios,0)+1)</f>
        <v>0</v>
      </c>
      <c r="G382" s="65">
        <f ca="1">H382/Variables!$E$49</f>
        <v>0.92850638004498165</v>
      </c>
      <c r="H382" s="62">
        <f ca="1">IF((H381+I382)&gt;(1.1*Variables!$E$50),(1.1*Variables!$E$50),IF((H381+I382)&gt;0,H381+I382,0))</f>
        <v>5.7567395562788866</v>
      </c>
      <c r="I382" s="64">
        <f t="shared" ca="1" si="12"/>
        <v>0</v>
      </c>
      <c r="J382" s="63">
        <f>IF(SUM(E378:E381)&lt;Variables!$B$3,-H381,0)</f>
        <v>0</v>
      </c>
      <c r="K382" s="64">
        <f ca="1">IF(AND(H381&lt;Variables!$B$6*Variables!$E$50,OR(SUM(D379:D382)&gt;Variables!$B$5,SUM(E379:E382)&gt;Variables!$B$4)),Variables!$B$6*Variables!$E$50+Variables!$B$7*$G$1*Variables!$E$50*SUM(D379:D382),0)</f>
        <v>0</v>
      </c>
      <c r="L382" s="64">
        <f>IF(B382="Winter",Variables!$B$8*H381,0)</f>
        <v>0</v>
      </c>
      <c r="M382" s="64">
        <f ca="1">IF(AND(B382="Spring",AND(NOT(H381=0),H381&lt;(Variables!$B$9*Variables!$E$50))),(Variables!$B$10*Variables!$E$50+Variables!$B$11*Variables!$E$50*SUM(E379:E382)+$G$1*SUM(D381:D382)*Variables!$E$50*Variables!$B$12),0)</f>
        <v>0</v>
      </c>
      <c r="N382" s="64">
        <f>IF(AND(B382="Spring",AND(SUM(D379:D382)&gt;Variables!$B$13,SUM(D375:D378)&gt;Variables!$B$13)),-Variables!$B$14*Variables!$E$50,0)</f>
        <v>0</v>
      </c>
      <c r="O382" s="64">
        <f>IF(AND(B382="Summer",SUM(C378:D382)&gt;Variables!$B$15),(Variables!$B$16*Variables!$E$50*SUM(C378:C382)+$G$1*Variables!$B$16*Variables!$E$50*SUM(D378:D382)+$G$1*Variables!$E$50*Variables!$B$17*F382),0)</f>
        <v>0</v>
      </c>
      <c r="P382" s="64">
        <f ca="1">IF(AND(AND(B382="Autumn",SUM(D381:E382)&gt;0),NOT(H381=0)),Variables!$B$18*Variables!$E$50+Variables!$B$19*Variables!$E$50*SUM(E381:E382)+$G$1*Variables!$B$19*Variables!$E$50*SUM(D381:D382),0)</f>
        <v>0</v>
      </c>
      <c r="Q382" s="64">
        <f>IF(AND(B382="Autumn",AND((E382+E381)&lt;Variables!$B$20,(D381+D382)=0)),-Variables!$B$21*Variables!$E$50,0)</f>
        <v>0</v>
      </c>
      <c r="R382" s="64">
        <f>IF(B382="Autumn",(SUM(F381:F382)*$G$1*Variables!$B$22*Variables!$E$50),0)</f>
        <v>0</v>
      </c>
      <c r="S382" s="64">
        <f ca="1">IF(B382="Spring",($G$1*Variables!$E$50*SUM('Guts (MC)'!F381:F382)*Variables!$B$23),0)</f>
        <v>0</v>
      </c>
      <c r="T382" s="63">
        <f ca="1">IF((H381+SUM(J382:Q382))&lt;(Variables!$B$26*Variables!$E$50),$F$1*((Variables!$B$26*Variables!$E$50)-H381-SUM(J382:Q382)),0)</f>
        <v>0</v>
      </c>
      <c r="U382" s="64">
        <f ca="1">IF(AND(AND(B382="Autumn",SUM(D379:E382)&gt;Variables!$B$27),SUM(J382:Q382)&lt;Variables!$B$28*H381),$F$1*(Variables!$B$28*H381-SUM(J382:Q382)),0)</f>
        <v>0</v>
      </c>
      <c r="V382" s="96">
        <f ca="1">IF(AND((J382+K382)=0,(Q382+T382)=0),$H$1*H382*Variables!$I$23*0.25,0)</f>
        <v>70.168769886420009</v>
      </c>
      <c r="W382" s="97">
        <f ca="1">IF(AND((K382+J382)=0,(T382+Q382)=0),$I$1*H382*Variables!$Q$23*0.25,0)</f>
        <v>22.567184542913253</v>
      </c>
      <c r="X382" s="95">
        <f ca="1">IF(AND(NOT(K382=0),(H382-H381)&gt;0),(H382-H381)*(Variables!$M$5*$H$1+Variables!$U$5*$I$1),0)+IF(AND(NOT((J382+N382+Q382)=0),(H381-H382)&gt;0),(H381-H382)*(Variables!$M$4*$H$1+Variables!$U$4*$I$1),0)</f>
        <v>0</v>
      </c>
      <c r="Y382" s="95">
        <f ca="1">IF(SUM(T382,U381:U382)&gt;0,H382*Variables!$Y$11*0.25*(1-$J$1),0)</f>
        <v>0</v>
      </c>
      <c r="Z382" s="95">
        <f ca="1">IF(T382=0,H382*$J$1*Variables!$Y$5*0.25,0)</f>
        <v>6.477983245746791</v>
      </c>
      <c r="AA382" s="95">
        <f t="shared" ca="1" si="11"/>
        <v>99.213937675080047</v>
      </c>
      <c r="AB382" s="91">
        <f ca="1">AA382/Variables!$E$49</f>
        <v>16.002248012109686</v>
      </c>
    </row>
    <row r="383" spans="1:28" x14ac:dyDescent="0.25">
      <c r="A383" s="61">
        <f>'Water runs'!C390</f>
        <v>36950</v>
      </c>
      <c r="B383" s="61" t="str">
        <f>'Water runs'!B390</f>
        <v>Summer</v>
      </c>
      <c r="C383" s="54">
        <f>'Water runs'!D390/100</f>
        <v>0.59728571428571398</v>
      </c>
      <c r="D383" s="108">
        <f>VLOOKUP(ROW(D383)+4,'Water runs'!$BS$3:$CF$423,MATCH($B$1,Scenarios,0)+1)</f>
        <v>4.4075566710741969E-2</v>
      </c>
      <c r="E383" s="54">
        <f>IF(B383=Variables!$D$8,C383-Variables!$E$8,IF(B383=Variables!$D$9,C383-Variables!$E$9,IF(B383=Variables!$D$10,C383-Variables!$E$10,IF(B383=Variables!$D$11,C383-Variables!$E$11,"ELSE"))))</f>
        <v>-0.66108442176870774</v>
      </c>
      <c r="F383" s="108">
        <f>VLOOKUP(ROW(F383)+4,'Water runs'!$CH$3:$CU$423,MATCH($B$1,Scenarios,0)+1)</f>
        <v>0</v>
      </c>
      <c r="G383" s="65">
        <f ca="1">H383/Variables!$E$49</f>
        <v>1.3447400912856751</v>
      </c>
      <c r="H383" s="62">
        <f ca="1">IF((H382+I383)&gt;(1.1*Variables!$E$50),(1.1*Variables!$E$50),IF((H382+I383)&gt;0,H382+I383,0))</f>
        <v>8.3373885659711853</v>
      </c>
      <c r="I383" s="64">
        <f t="shared" ca="1" si="12"/>
        <v>2.5806490096922996</v>
      </c>
      <c r="J383" s="63">
        <f>IF(SUM(E379:E382)&lt;Variables!$B$3,-H382,0)</f>
        <v>0</v>
      </c>
      <c r="K383" s="64">
        <f ca="1">IF(AND(H382&lt;Variables!$B$6*Variables!$E$50,OR(SUM(D380:D383)&gt;Variables!$B$5,SUM(E380:E383)&gt;Variables!$B$4)),Variables!$B$6*Variables!$E$50+Variables!$B$7*$G$1*Variables!$E$50*SUM(D380:D383),0)</f>
        <v>0</v>
      </c>
      <c r="L383" s="64">
        <f>IF(B383="Winter",Variables!$B$8*H382,0)</f>
        <v>0</v>
      </c>
      <c r="M383" s="64">
        <f ca="1">IF(AND(B383="Spring",AND(NOT(H382=0),H382&lt;(Variables!$B$9*Variables!$E$50))),(Variables!$B$10*Variables!$E$50+Variables!$B$11*Variables!$E$50*SUM(E380:E383)+$G$1*SUM(D382:D383)*Variables!$E$50*Variables!$B$12),0)</f>
        <v>0</v>
      </c>
      <c r="N383" s="64">
        <f>IF(AND(B383="Spring",AND(SUM(D380:D383)&gt;Variables!$B$13,SUM(D376:D379)&gt;Variables!$B$13)),-Variables!$B$14*Variables!$E$50,0)</f>
        <v>0</v>
      </c>
      <c r="O383" s="64">
        <f ca="1">IF(AND(B383="Summer",SUM(C379:D383)&gt;Variables!$B$15),(Variables!$B$16*Variables!$E$50*SUM(C379:C383)+$G$1*Variables!$B$16*Variables!$E$50*SUM(D379:D383)+$G$1*Variables!$E$50*Variables!$B$17*F383),0)</f>
        <v>2.5806490096922996</v>
      </c>
      <c r="P383" s="64">
        <f ca="1">IF(AND(AND(B383="Autumn",SUM(D382:E383)&gt;0),NOT(H382=0)),Variables!$B$18*Variables!$E$50+Variables!$B$19*Variables!$E$50*SUM(E382:E383)+$G$1*Variables!$B$19*Variables!$E$50*SUM(D382:D383),0)</f>
        <v>0</v>
      </c>
      <c r="Q383" s="64">
        <f>IF(AND(B383="Autumn",AND((E383+E382)&lt;Variables!$B$20,(D382+D383)=0)),-Variables!$B$21*Variables!$E$50,0)</f>
        <v>0</v>
      </c>
      <c r="R383" s="64">
        <f>IF(B383="Autumn",(SUM(F382:F383)*$G$1*Variables!$B$22*Variables!$E$50),0)</f>
        <v>0</v>
      </c>
      <c r="S383" s="64">
        <f>IF(B383="Spring",($G$1*Variables!$E$50*SUM('Guts (MC)'!F382:F383)*Variables!$B$23),0)</f>
        <v>0</v>
      </c>
      <c r="T383" s="63">
        <f ca="1">IF((H382+SUM(J383:Q383))&lt;(Variables!$B$26*Variables!$E$50),$F$1*((Variables!$B$26*Variables!$E$50)-H382-SUM(J383:Q383)),0)</f>
        <v>0</v>
      </c>
      <c r="U383" s="64">
        <f ca="1">IF(AND(AND(B383="Autumn",SUM(D380:E383)&gt;Variables!$B$27),SUM(J383:Q383)&lt;Variables!$B$28*H382),$F$1*(Variables!$B$28*H382-SUM(J383:Q383)),0)</f>
        <v>0</v>
      </c>
      <c r="V383" s="96">
        <f ca="1">IF(AND((J383+K383)=0,(Q383+T383)=0),$H$1*H383*Variables!$I$23*0.25,0)</f>
        <v>101.62424303201529</v>
      </c>
      <c r="W383" s="97">
        <f ca="1">IF(AND((K383+J383)=0,(T383+Q383)=0),$I$1*H383*Variables!$Q$23*0.25,0)</f>
        <v>32.683671813679595</v>
      </c>
      <c r="X383" s="95">
        <f ca="1">IF(AND(NOT(K383=0),(H383-H382)&gt;0),(H383-H382)*(Variables!$M$5*$H$1+Variables!$U$5*$I$1),0)+IF(AND(NOT((J383+N383+Q383)=0),(H382-H383)&gt;0),(H382-H383)*(Variables!$M$4*$H$1+Variables!$U$4*$I$1),0)</f>
        <v>0</v>
      </c>
      <c r="Y383" s="95">
        <f ca="1">IF(SUM(T383,U382:U383)&gt;0,H383*Variables!$Y$11*0.25*(1-$J$1),0)</f>
        <v>0</v>
      </c>
      <c r="Z383" s="95">
        <f ca="1">IF(T383=0,H383*$J$1*Variables!$Y$5*0.25,0)</f>
        <v>9.3819536068353102</v>
      </c>
      <c r="AA383" s="95">
        <f t="shared" ca="1" si="11"/>
        <v>143.68986845253019</v>
      </c>
      <c r="AB383" s="91">
        <f ca="1">AA383/Variables!$E$49</f>
        <v>23.175785234279061</v>
      </c>
    </row>
    <row r="384" spans="1:28" x14ac:dyDescent="0.25">
      <c r="A384" s="61">
        <f>'Water runs'!C391</f>
        <v>37042</v>
      </c>
      <c r="B384" s="61" t="str">
        <f>'Water runs'!B391</f>
        <v>Autumn</v>
      </c>
      <c r="C384" s="54">
        <f>'Water runs'!D391/100</f>
        <v>0.30503571428571402</v>
      </c>
      <c r="D384" s="108">
        <f>VLOOKUP(ROW(D384)+4,'Water runs'!$BS$3:$CF$423,MATCH($B$1,Scenarios,0)+1)</f>
        <v>0</v>
      </c>
      <c r="E384" s="54">
        <f>IF(B384=Variables!$D$8,C384-Variables!$E$8,IF(B384=Variables!$D$9,C384-Variables!$E$9,IF(B384=Variables!$D$10,C384-Variables!$E$10,IF(B384=Variables!$D$11,C384-Variables!$E$11,"ELSE"))))</f>
        <v>-0.68960758503401376</v>
      </c>
      <c r="F384" s="108">
        <f>VLOOKUP(ROW(F384)+4,'Water runs'!$CH$3:$CU$423,MATCH($B$1,Scenarios,0)+1)</f>
        <v>0</v>
      </c>
      <c r="G384" s="65">
        <f ca="1">H384/Variables!$E$49</f>
        <v>1.3447400912856751</v>
      </c>
      <c r="H384" s="62">
        <f ca="1">IF((H383+I384)&gt;(1.1*Variables!$E$50),(1.1*Variables!$E$50),IF((H383+I384)&gt;0,H383+I384,0))</f>
        <v>8.3373885659711853</v>
      </c>
      <c r="I384" s="64">
        <f t="shared" ca="1" si="12"/>
        <v>0</v>
      </c>
      <c r="J384" s="63">
        <f>IF(SUM(E380:E383)&lt;Variables!$B$3,-H383,0)</f>
        <v>0</v>
      </c>
      <c r="K384" s="64">
        <f ca="1">IF(AND(H383&lt;Variables!$B$6*Variables!$E$50,OR(SUM(D381:D384)&gt;Variables!$B$5,SUM(E381:E384)&gt;Variables!$B$4)),Variables!$B$6*Variables!$E$50+Variables!$B$7*$G$1*Variables!$E$50*SUM(D381:D384),0)</f>
        <v>0</v>
      </c>
      <c r="L384" s="64">
        <f>IF(B384="Winter",Variables!$B$8*H383,0)</f>
        <v>0</v>
      </c>
      <c r="M384" s="64">
        <f ca="1">IF(AND(B384="Spring",AND(NOT(H383=0),H383&lt;(Variables!$B$9*Variables!$E$50))),(Variables!$B$10*Variables!$E$50+Variables!$B$11*Variables!$E$50*SUM(E381:E384)+$G$1*SUM(D383:D384)*Variables!$E$50*Variables!$B$12),0)</f>
        <v>0</v>
      </c>
      <c r="N384" s="64">
        <f>IF(AND(B384="Spring",AND(SUM(D381:D384)&gt;Variables!$B$13,SUM(D377:D380)&gt;Variables!$B$13)),-Variables!$B$14*Variables!$E$50,0)</f>
        <v>0</v>
      </c>
      <c r="O384" s="64">
        <f>IF(AND(B384="Summer",SUM(C380:D384)&gt;Variables!$B$15),(Variables!$B$16*Variables!$E$50*SUM(C380:C384)+$G$1*Variables!$B$16*Variables!$E$50*SUM(D380:D384)+$G$1*Variables!$E$50*Variables!$B$17*F384),0)</f>
        <v>0</v>
      </c>
      <c r="P384" s="64">
        <f ca="1">IF(AND(AND(B384="Autumn",SUM(D383:E384)&gt;0),NOT(H383=0)),Variables!$B$18*Variables!$E$50+Variables!$B$19*Variables!$E$50*SUM(E383:E384)+$G$1*Variables!$B$19*Variables!$E$50*SUM(D383:D384),0)</f>
        <v>0</v>
      </c>
      <c r="Q384" s="64">
        <f>IF(AND(B384="Autumn",AND((E384+E383)&lt;Variables!$B$20,(D383+D384)=0)),-Variables!$B$21*Variables!$E$50,0)</f>
        <v>0</v>
      </c>
      <c r="R384" s="64">
        <f ca="1">IF(B384="Autumn",(SUM(F383:F384)*$G$1*Variables!$B$22*Variables!$E$50),0)</f>
        <v>0</v>
      </c>
      <c r="S384" s="64">
        <f>IF(B384="Spring",($G$1*Variables!$E$50*SUM('Guts (MC)'!F383:F384)*Variables!$B$23),0)</f>
        <v>0</v>
      </c>
      <c r="T384" s="63">
        <f ca="1">IF((H383+SUM(J384:Q384))&lt;(Variables!$B$26*Variables!$E$50),$F$1*((Variables!$B$26*Variables!$E$50)-H383-SUM(J384:Q384)),0)</f>
        <v>0</v>
      </c>
      <c r="U384" s="64">
        <f ca="1">IF(AND(AND(B384="Autumn",SUM(D381:E384)&gt;Variables!$B$27),SUM(J384:Q384)&lt;Variables!$B$28*H383),$F$1*(Variables!$B$28*H383-SUM(J384:Q384)),0)</f>
        <v>0</v>
      </c>
      <c r="V384" s="96">
        <f ca="1">IF(AND((J384+K384)=0,(Q384+T384)=0),$H$1*H384*Variables!$I$23*0.25,0)</f>
        <v>101.62424303201529</v>
      </c>
      <c r="W384" s="97">
        <f ca="1">IF(AND((K384+J384)=0,(T384+Q384)=0),$I$1*H384*Variables!$Q$23*0.25,0)</f>
        <v>32.683671813679595</v>
      </c>
      <c r="X384" s="95">
        <f ca="1">IF(AND(NOT(K384=0),(H384-H383)&gt;0),(H384-H383)*(Variables!$M$5*$H$1+Variables!$U$5*$I$1),0)+IF(AND(NOT((J384+N384+Q384)=0),(H383-H384)&gt;0),(H383-H384)*(Variables!$M$4*$H$1+Variables!$U$4*$I$1),0)</f>
        <v>0</v>
      </c>
      <c r="Y384" s="95">
        <f ca="1">IF(SUM(T384,U383:U384)&gt;0,H384*Variables!$Y$11*0.25*(1-$J$1),0)</f>
        <v>0</v>
      </c>
      <c r="Z384" s="95">
        <f ca="1">IF(T384=0,H384*$J$1*Variables!$Y$5*0.25,0)</f>
        <v>9.3819536068353102</v>
      </c>
      <c r="AA384" s="95">
        <f t="shared" ca="1" si="11"/>
        <v>143.68986845253019</v>
      </c>
      <c r="AB384" s="91">
        <f ca="1">AA384/Variables!$E$49</f>
        <v>23.175785234279061</v>
      </c>
    </row>
    <row r="385" spans="1:28" x14ac:dyDescent="0.25">
      <c r="A385" s="61">
        <f>'Water runs'!C392</f>
        <v>37134</v>
      </c>
      <c r="B385" s="61" t="str">
        <f>'Water runs'!B392</f>
        <v>Winter</v>
      </c>
      <c r="C385" s="54">
        <f>'Water runs'!D392/100</f>
        <v>0.64875000000000005</v>
      </c>
      <c r="D385" s="108">
        <f>VLOOKUP(ROW(D385)+4,'Water runs'!$BS$3:$CF$423,MATCH($B$1,Scenarios,0)+1)</f>
        <v>0</v>
      </c>
      <c r="E385" s="54">
        <f>IF(B385=Variables!$D$8,C385-Variables!$E$8,IF(B385=Variables!$D$9,C385-Variables!$E$9,IF(B385=Variables!$D$10,C385-Variables!$E$10,IF(B385=Variables!$D$11,C385-Variables!$E$11,"ELSE"))))</f>
        <v>7.6982374338624315E-2</v>
      </c>
      <c r="F385" s="108">
        <f>VLOOKUP(ROW(F385)+4,'Water runs'!$CH$3:$CU$423,MATCH($B$1,Scenarios,0)+1)</f>
        <v>0</v>
      </c>
      <c r="G385" s="65">
        <f ca="1">H385/Variables!$E$49</f>
        <v>0.67513315527365758</v>
      </c>
      <c r="H385" s="62">
        <f ca="1">IF((H384+I385)&gt;(1.1*Variables!$E$50),(1.1*Variables!$E$50),IF((H384+I385)&gt;0,H384+I385,0))</f>
        <v>4.1858255626966772</v>
      </c>
      <c r="I385" s="64">
        <f t="shared" ca="1" si="12"/>
        <v>-4.1515630032745081</v>
      </c>
      <c r="J385" s="63">
        <f>IF(SUM(E381:E384)&lt;Variables!$B$3,-H384,0)</f>
        <v>0</v>
      </c>
      <c r="K385" s="64">
        <f ca="1">IF(AND(H384&lt;Variables!$B$6*Variables!$E$50,OR(SUM(D382:D385)&gt;Variables!$B$5,SUM(E382:E385)&gt;Variables!$B$4)),Variables!$B$6*Variables!$E$50+Variables!$B$7*$G$1*Variables!$E$50*SUM(D382:D385),0)</f>
        <v>0</v>
      </c>
      <c r="L385" s="64">
        <f ca="1">IF(B385="Winter",Variables!$B$8*H384,0)</f>
        <v>-4.1515630032745081</v>
      </c>
      <c r="M385" s="64">
        <f ca="1">IF(AND(B385="Spring",AND(NOT(H384=0),H384&lt;(Variables!$B$9*Variables!$E$50))),(Variables!$B$10*Variables!$E$50+Variables!$B$11*Variables!$E$50*SUM(E382:E385)+$G$1*SUM(D384:D385)*Variables!$E$50*Variables!$B$12),0)</f>
        <v>0</v>
      </c>
      <c r="N385" s="64">
        <f>IF(AND(B385="Spring",AND(SUM(D382:D385)&gt;Variables!$B$13,SUM(D378:D381)&gt;Variables!$B$13)),-Variables!$B$14*Variables!$E$50,0)</f>
        <v>0</v>
      </c>
      <c r="O385" s="64">
        <f>IF(AND(B385="Summer",SUM(C381:D385)&gt;Variables!$B$15),(Variables!$B$16*Variables!$E$50*SUM(C381:C385)+$G$1*Variables!$B$16*Variables!$E$50*SUM(D381:D385)+$G$1*Variables!$E$50*Variables!$B$17*F385),0)</f>
        <v>0</v>
      </c>
      <c r="P385" s="64">
        <f ca="1">IF(AND(AND(B385="Autumn",SUM(D384:E385)&gt;0),NOT(H384=0)),Variables!$B$18*Variables!$E$50+Variables!$B$19*Variables!$E$50*SUM(E384:E385)+$G$1*Variables!$B$19*Variables!$E$50*SUM(D384:D385),0)</f>
        <v>0</v>
      </c>
      <c r="Q385" s="64">
        <f>IF(AND(B385="Autumn",AND((E385+E384)&lt;Variables!$B$20,(D384+D385)=0)),-Variables!$B$21*Variables!$E$50,0)</f>
        <v>0</v>
      </c>
      <c r="R385" s="64">
        <f>IF(B385="Autumn",(SUM(F384:F385)*$G$1*Variables!$B$22*Variables!$E$50),0)</f>
        <v>0</v>
      </c>
      <c r="S385" s="64">
        <f>IF(B385="Spring",($G$1*Variables!$E$50*SUM('Guts (MC)'!F384:F385)*Variables!$B$23),0)</f>
        <v>0</v>
      </c>
      <c r="T385" s="63">
        <f ca="1">IF((H384+SUM(J385:Q385))&lt;(Variables!$B$26*Variables!$E$50),$F$1*((Variables!$B$26*Variables!$E$50)-H384-SUM(J385:Q385)),0)</f>
        <v>0</v>
      </c>
      <c r="U385" s="64">
        <f ca="1">IF(AND(AND(B385="Autumn",SUM(D382:E385)&gt;Variables!$B$27),SUM(J385:Q385)&lt;Variables!$B$28*H384),$F$1*(Variables!$B$28*H384-SUM(J385:Q385)),0)</f>
        <v>0</v>
      </c>
      <c r="V385" s="96">
        <f ca="1">IF(AND((J385+K385)=0,(Q385+T385)=0),$H$1*H385*Variables!$I$23*0.25,0)</f>
        <v>51.020934301813774</v>
      </c>
      <c r="W385" s="97">
        <f ca="1">IF(AND((K385+J385)=0,(T385+Q385)=0),$I$1*H385*Variables!$Q$23*0.25,0)</f>
        <v>16.408992801279229</v>
      </c>
      <c r="X385" s="95">
        <f ca="1">IF(AND(NOT(K385=0),(H385-H384)&gt;0),(H385-H384)*(Variables!$M$5*$H$1+Variables!$U$5*$I$1),0)+IF(AND(NOT((J385+N385+Q385)=0),(H384-H385)&gt;0),(H384-H385)*(Variables!$M$4*$H$1+Variables!$U$4*$I$1),0)</f>
        <v>0</v>
      </c>
      <c r="Y385" s="95">
        <f ca="1">IF(SUM(T385,U384:U385)&gt;0,H385*Variables!$Y$11*0.25*(1-$J$1),0)</f>
        <v>0</v>
      </c>
      <c r="Z385" s="95">
        <f ca="1">IF(T385=0,H385*$J$1*Variables!$Y$5*0.25,0)</f>
        <v>4.7102544069746139</v>
      </c>
      <c r="AA385" s="95">
        <f t="shared" ca="1" si="11"/>
        <v>72.14018151006762</v>
      </c>
      <c r="AB385" s="91">
        <f ca="1">AA385/Variables!$E$49</f>
        <v>11.635513146785099</v>
      </c>
    </row>
    <row r="386" spans="1:28" x14ac:dyDescent="0.25">
      <c r="A386" s="61">
        <f>'Water runs'!C393</f>
        <v>37225</v>
      </c>
      <c r="B386" s="61" t="str">
        <f>'Water runs'!B393</f>
        <v>Spring</v>
      </c>
      <c r="C386" s="54">
        <f>'Water runs'!D393/100</f>
        <v>0.70080952380952399</v>
      </c>
      <c r="D386" s="108">
        <f>VLOOKUP(ROW(D386)+4,'Water runs'!$BS$3:$CF$423,MATCH($B$1,Scenarios,0)+1)</f>
        <v>0</v>
      </c>
      <c r="E386" s="54">
        <f>IF(B386=Variables!$D$8,C386-Variables!$E$8,IF(B386=Variables!$D$9,C386-Variables!$E$9,IF(B386=Variables!$D$10,C386-Variables!$E$10,IF(B386=Variables!$D$11,C386-Variables!$E$11,"ELSE"))))</f>
        <v>-6.3172685185185151E-2</v>
      </c>
      <c r="F386" s="108">
        <f>VLOOKUP(ROW(F386)+4,'Water runs'!$CH$3:$CU$423,MATCH($B$1,Scenarios,0)+1)</f>
        <v>0</v>
      </c>
      <c r="G386" s="65">
        <f ca="1">H386/Variables!$E$49</f>
        <v>0.67513315527365758</v>
      </c>
      <c r="H386" s="62">
        <f ca="1">IF((H385+I386)&gt;(1.1*Variables!$E$50),(1.1*Variables!$E$50),IF((H385+I386)&gt;0,H385+I386,0))</f>
        <v>4.1858255626966772</v>
      </c>
      <c r="I386" s="64">
        <f t="shared" ca="1" si="12"/>
        <v>0</v>
      </c>
      <c r="J386" s="63">
        <f>IF(SUM(E382:E385)&lt;Variables!$B$3,-H385,0)</f>
        <v>0</v>
      </c>
      <c r="K386" s="64">
        <f ca="1">IF(AND(H385&lt;Variables!$B$6*Variables!$E$50,OR(SUM(D383:D386)&gt;Variables!$B$5,SUM(E383:E386)&gt;Variables!$B$4)),Variables!$B$6*Variables!$E$50+Variables!$B$7*$G$1*Variables!$E$50*SUM(D383:D386),0)</f>
        <v>0</v>
      </c>
      <c r="L386" s="64">
        <f>IF(B386="Winter",Variables!$B$8*H385,0)</f>
        <v>0</v>
      </c>
      <c r="M386" s="64">
        <f ca="1">IF(AND(B386="Spring",AND(NOT(H385=0),H385&lt;(Variables!$B$9*Variables!$E$50))),(Variables!$B$10*Variables!$E$50+Variables!$B$11*Variables!$E$50*SUM(E383:E386)+$G$1*SUM(D385:D386)*Variables!$E$50*Variables!$B$12),0)</f>
        <v>0</v>
      </c>
      <c r="N386" s="64">
        <f>IF(AND(B386="Spring",AND(SUM(D383:D386)&gt;Variables!$B$13,SUM(D379:D382)&gt;Variables!$B$13)),-Variables!$B$14*Variables!$E$50,0)</f>
        <v>0</v>
      </c>
      <c r="O386" s="64">
        <f>IF(AND(B386="Summer",SUM(C382:D386)&gt;Variables!$B$15),(Variables!$B$16*Variables!$E$50*SUM(C382:C386)+$G$1*Variables!$B$16*Variables!$E$50*SUM(D382:D386)+$G$1*Variables!$E$50*Variables!$B$17*F386),0)</f>
        <v>0</v>
      </c>
      <c r="P386" s="64">
        <f ca="1">IF(AND(AND(B386="Autumn",SUM(D385:E386)&gt;0),NOT(H385=0)),Variables!$B$18*Variables!$E$50+Variables!$B$19*Variables!$E$50*SUM(E385:E386)+$G$1*Variables!$B$19*Variables!$E$50*SUM(D385:D386),0)</f>
        <v>0</v>
      </c>
      <c r="Q386" s="64">
        <f>IF(AND(B386="Autumn",AND((E386+E385)&lt;Variables!$B$20,(D385+D386)=0)),-Variables!$B$21*Variables!$E$50,0)</f>
        <v>0</v>
      </c>
      <c r="R386" s="64">
        <f>IF(B386="Autumn",(SUM(F385:F386)*$G$1*Variables!$B$22*Variables!$E$50),0)</f>
        <v>0</v>
      </c>
      <c r="S386" s="64">
        <f ca="1">IF(B386="Spring",($G$1*Variables!$E$50*SUM('Guts (MC)'!F385:F386)*Variables!$B$23),0)</f>
        <v>0</v>
      </c>
      <c r="T386" s="63">
        <f ca="1">IF((H385+SUM(J386:Q386))&lt;(Variables!$B$26*Variables!$E$50),$F$1*((Variables!$B$26*Variables!$E$50)-H385-SUM(J386:Q386)),0)</f>
        <v>0</v>
      </c>
      <c r="U386" s="64">
        <f ca="1">IF(AND(AND(B386="Autumn",SUM(D383:E386)&gt;Variables!$B$27),SUM(J386:Q386)&lt;Variables!$B$28*H385),$F$1*(Variables!$B$28*H385-SUM(J386:Q386)),0)</f>
        <v>0</v>
      </c>
      <c r="V386" s="96">
        <f ca="1">IF(AND((J386+K386)=0,(Q386+T386)=0),$H$1*H386*Variables!$I$23*0.25,0)</f>
        <v>51.020934301813774</v>
      </c>
      <c r="W386" s="97">
        <f ca="1">IF(AND((K386+J386)=0,(T386+Q386)=0),$I$1*H386*Variables!$Q$23*0.25,0)</f>
        <v>16.408992801279229</v>
      </c>
      <c r="X386" s="95">
        <f ca="1">IF(AND(NOT(K386=0),(H386-H385)&gt;0),(H386-H385)*(Variables!$M$5*$H$1+Variables!$U$5*$I$1),0)+IF(AND(NOT((J386+N386+Q386)=0),(H385-H386)&gt;0),(H385-H386)*(Variables!$M$4*$H$1+Variables!$U$4*$I$1),0)</f>
        <v>0</v>
      </c>
      <c r="Y386" s="95">
        <f ca="1">IF(SUM(T386,U385:U386)&gt;0,H386*Variables!$Y$11*0.25*(1-$J$1),0)</f>
        <v>0</v>
      </c>
      <c r="Z386" s="95">
        <f ca="1">IF(T386=0,H386*$J$1*Variables!$Y$5*0.25,0)</f>
        <v>4.7102544069746139</v>
      </c>
      <c r="AA386" s="95">
        <f t="shared" ca="1" si="11"/>
        <v>72.14018151006762</v>
      </c>
      <c r="AB386" s="91">
        <f ca="1">AA386/Variables!$E$49</f>
        <v>11.635513146785099</v>
      </c>
    </row>
    <row r="387" spans="1:28" x14ac:dyDescent="0.25">
      <c r="A387" s="61">
        <f>'Water runs'!C394</f>
        <v>37315</v>
      </c>
      <c r="B387" s="61" t="str">
        <f>'Water runs'!B394</f>
        <v>Summer</v>
      </c>
      <c r="C387" s="54">
        <f>'Water runs'!D394/100</f>
        <v>0.63683333333333303</v>
      </c>
      <c r="D387" s="108">
        <f>VLOOKUP(ROW(D387)+4,'Water runs'!$BS$3:$CF$423,MATCH($B$1,Scenarios,0)+1)</f>
        <v>0</v>
      </c>
      <c r="E387" s="54">
        <f>IF(B387=Variables!$D$8,C387-Variables!$E$8,IF(B387=Variables!$D$9,C387-Variables!$E$9,IF(B387=Variables!$D$10,C387-Variables!$E$10,IF(B387=Variables!$D$11,C387-Variables!$E$11,"ELSE"))))</f>
        <v>-0.62153680272108869</v>
      </c>
      <c r="F387" s="108">
        <f>VLOOKUP(ROW(F387)+4,'Water runs'!$CH$3:$CU$423,MATCH($B$1,Scenarios,0)+1)</f>
        <v>0</v>
      </c>
      <c r="G387" s="65">
        <f ca="1">H387/Variables!$E$49</f>
        <v>0.67513315527365758</v>
      </c>
      <c r="H387" s="62">
        <f ca="1">IF((H386+I387)&gt;(1.1*Variables!$E$50),(1.1*Variables!$E$50),IF((H386+I387)&gt;0,H386+I387,0))</f>
        <v>4.1858255626966772</v>
      </c>
      <c r="I387" s="64">
        <f t="shared" ca="1" si="12"/>
        <v>0</v>
      </c>
      <c r="J387" s="63">
        <f>IF(SUM(E383:E386)&lt;Variables!$B$3,-H386,0)</f>
        <v>0</v>
      </c>
      <c r="K387" s="64">
        <f ca="1">IF(AND(H386&lt;Variables!$B$6*Variables!$E$50,OR(SUM(D384:D387)&gt;Variables!$B$5,SUM(E384:E387)&gt;Variables!$B$4)),Variables!$B$6*Variables!$E$50+Variables!$B$7*$G$1*Variables!$E$50*SUM(D384:D387),0)</f>
        <v>0</v>
      </c>
      <c r="L387" s="64">
        <f>IF(B387="Winter",Variables!$B$8*H386,0)</f>
        <v>0</v>
      </c>
      <c r="M387" s="64">
        <f ca="1">IF(AND(B387="Spring",AND(NOT(H386=0),H386&lt;(Variables!$B$9*Variables!$E$50))),(Variables!$B$10*Variables!$E$50+Variables!$B$11*Variables!$E$50*SUM(E384:E387)+$G$1*SUM(D386:D387)*Variables!$E$50*Variables!$B$12),0)</f>
        <v>0</v>
      </c>
      <c r="N387" s="64">
        <f>IF(AND(B387="Spring",AND(SUM(D384:D387)&gt;Variables!$B$13,SUM(D380:D383)&gt;Variables!$B$13)),-Variables!$B$14*Variables!$E$50,0)</f>
        <v>0</v>
      </c>
      <c r="O387" s="64">
        <f>IF(AND(B387="Summer",SUM(C383:D387)&gt;Variables!$B$15),(Variables!$B$16*Variables!$E$50*SUM(C383:C387)+$G$1*Variables!$B$16*Variables!$E$50*SUM(D383:D387)+$G$1*Variables!$E$50*Variables!$B$17*F387),0)</f>
        <v>0</v>
      </c>
      <c r="P387" s="64">
        <f ca="1">IF(AND(AND(B387="Autumn",SUM(D386:E387)&gt;0),NOT(H386=0)),Variables!$B$18*Variables!$E$50+Variables!$B$19*Variables!$E$50*SUM(E386:E387)+$G$1*Variables!$B$19*Variables!$E$50*SUM(D386:D387),0)</f>
        <v>0</v>
      </c>
      <c r="Q387" s="64">
        <f>IF(AND(B387="Autumn",AND((E387+E386)&lt;Variables!$B$20,(D386+D387)=0)),-Variables!$B$21*Variables!$E$50,0)</f>
        <v>0</v>
      </c>
      <c r="R387" s="64">
        <f>IF(B387="Autumn",(SUM(F386:F387)*$G$1*Variables!$B$22*Variables!$E$50),0)</f>
        <v>0</v>
      </c>
      <c r="S387" s="64">
        <f>IF(B387="Spring",($G$1*Variables!$E$50*SUM('Guts (MC)'!F386:F387)*Variables!$B$23),0)</f>
        <v>0</v>
      </c>
      <c r="T387" s="63">
        <f ca="1">IF((H386+SUM(J387:Q387))&lt;(Variables!$B$26*Variables!$E$50),$F$1*((Variables!$B$26*Variables!$E$50)-H386-SUM(J387:Q387)),0)</f>
        <v>0</v>
      </c>
      <c r="U387" s="64">
        <f ca="1">IF(AND(AND(B387="Autumn",SUM(D384:E387)&gt;Variables!$B$27),SUM(J387:Q387)&lt;Variables!$B$28*H386),$F$1*(Variables!$B$28*H386-SUM(J387:Q387)),0)</f>
        <v>0</v>
      </c>
      <c r="V387" s="96">
        <f ca="1">IF(AND((J387+K387)=0,(Q387+T387)=0),$H$1*H387*Variables!$I$23*0.25,0)</f>
        <v>51.020934301813774</v>
      </c>
      <c r="W387" s="97">
        <f ca="1">IF(AND((K387+J387)=0,(T387+Q387)=0),$I$1*H387*Variables!$Q$23*0.25,0)</f>
        <v>16.408992801279229</v>
      </c>
      <c r="X387" s="95">
        <f ca="1">IF(AND(NOT(K387=0),(H387-H386)&gt;0),(H387-H386)*(Variables!$M$5*$H$1+Variables!$U$5*$I$1),0)+IF(AND(NOT((J387+N387+Q387)=0),(H386-H387)&gt;0),(H386-H387)*(Variables!$M$4*$H$1+Variables!$U$4*$I$1),0)</f>
        <v>0</v>
      </c>
      <c r="Y387" s="95">
        <f ca="1">IF(SUM(T387,U386:U387)&gt;0,H387*Variables!$Y$11*0.25*(1-$J$1),0)</f>
        <v>0</v>
      </c>
      <c r="Z387" s="95">
        <f ca="1">IF(T387=0,H387*$J$1*Variables!$Y$5*0.25,0)</f>
        <v>4.7102544069746139</v>
      </c>
      <c r="AA387" s="95">
        <f t="shared" ca="1" si="11"/>
        <v>72.14018151006762</v>
      </c>
      <c r="AB387" s="91">
        <f ca="1">AA387/Variables!$E$49</f>
        <v>11.635513146785099</v>
      </c>
    </row>
    <row r="388" spans="1:28" x14ac:dyDescent="0.25">
      <c r="A388" s="61">
        <f>'Water runs'!C395</f>
        <v>37407</v>
      </c>
      <c r="B388" s="61" t="str">
        <f>'Water runs'!B395</f>
        <v>Autumn</v>
      </c>
      <c r="C388" s="54">
        <f>'Water runs'!D395/100</f>
        <v>0.31503571428571403</v>
      </c>
      <c r="D388" s="108">
        <f>VLOOKUP(ROW(D388)+4,'Water runs'!$BS$3:$CF$423,MATCH($B$1,Scenarios,0)+1)</f>
        <v>0</v>
      </c>
      <c r="E388" s="54">
        <f>IF(B388=Variables!$D$8,C388-Variables!$E$8,IF(B388=Variables!$D$9,C388-Variables!$E$9,IF(B388=Variables!$D$10,C388-Variables!$E$10,IF(B388=Variables!$D$11,C388-Variables!$E$11,"ELSE"))))</f>
        <v>-0.67960758503401375</v>
      </c>
      <c r="F388" s="108">
        <f>VLOOKUP(ROW(F388)+4,'Water runs'!$CH$3:$CU$423,MATCH($B$1,Scenarios,0)+1)</f>
        <v>0</v>
      </c>
      <c r="G388" s="65">
        <f ca="1">H388/Variables!$E$49</f>
        <v>0.67513315527365758</v>
      </c>
      <c r="H388" s="62">
        <f ca="1">IF((H387+I388)&gt;(1.1*Variables!$E$50),(1.1*Variables!$E$50),IF((H387+I388)&gt;0,H387+I388,0))</f>
        <v>4.1858255626966772</v>
      </c>
      <c r="I388" s="64">
        <f t="shared" ca="1" si="12"/>
        <v>0</v>
      </c>
      <c r="J388" s="63">
        <f>IF(SUM(E384:E387)&lt;Variables!$B$3,-H387,0)</f>
        <v>0</v>
      </c>
      <c r="K388" s="64">
        <f ca="1">IF(AND(H387&lt;Variables!$B$6*Variables!$E$50,OR(SUM(D385:D388)&gt;Variables!$B$5,SUM(E385:E388)&gt;Variables!$B$4)),Variables!$B$6*Variables!$E$50+Variables!$B$7*$G$1*Variables!$E$50*SUM(D385:D388),0)</f>
        <v>0</v>
      </c>
      <c r="L388" s="64">
        <f>IF(B388="Winter",Variables!$B$8*H387,0)</f>
        <v>0</v>
      </c>
      <c r="M388" s="64">
        <f ca="1">IF(AND(B388="Spring",AND(NOT(H387=0),H387&lt;(Variables!$B$9*Variables!$E$50))),(Variables!$B$10*Variables!$E$50+Variables!$B$11*Variables!$E$50*SUM(E385:E388)+$G$1*SUM(D387:D388)*Variables!$E$50*Variables!$B$12),0)</f>
        <v>0</v>
      </c>
      <c r="N388" s="64">
        <f>IF(AND(B388="Spring",AND(SUM(D385:D388)&gt;Variables!$B$13,SUM(D381:D384)&gt;Variables!$B$13)),-Variables!$B$14*Variables!$E$50,0)</f>
        <v>0</v>
      </c>
      <c r="O388" s="64">
        <f>IF(AND(B388="Summer",SUM(C384:D388)&gt;Variables!$B$15),(Variables!$B$16*Variables!$E$50*SUM(C384:C388)+$G$1*Variables!$B$16*Variables!$E$50*SUM(D384:D388)+$G$1*Variables!$E$50*Variables!$B$17*F388),0)</f>
        <v>0</v>
      </c>
      <c r="P388" s="64">
        <f ca="1">IF(AND(AND(B388="Autumn",SUM(D387:E388)&gt;0),NOT(H387=0)),Variables!$B$18*Variables!$E$50+Variables!$B$19*Variables!$E$50*SUM(E387:E388)+$G$1*Variables!$B$19*Variables!$E$50*SUM(D387:D388),0)</f>
        <v>0</v>
      </c>
      <c r="Q388" s="64">
        <f>IF(AND(B388="Autumn",AND((E388+E387)&lt;Variables!$B$20,(D387+D388)=0)),-Variables!$B$21*Variables!$E$50,0)</f>
        <v>0</v>
      </c>
      <c r="R388" s="64">
        <f ca="1">IF(B388="Autumn",(SUM(F387:F388)*$G$1*Variables!$B$22*Variables!$E$50),0)</f>
        <v>0</v>
      </c>
      <c r="S388" s="64">
        <f>IF(B388="Spring",($G$1*Variables!$E$50*SUM('Guts (MC)'!F387:F388)*Variables!$B$23),0)</f>
        <v>0</v>
      </c>
      <c r="T388" s="63">
        <f ca="1">IF((H387+SUM(J388:Q388))&lt;(Variables!$B$26*Variables!$E$50),$F$1*((Variables!$B$26*Variables!$E$50)-H387-SUM(J388:Q388)),0)</f>
        <v>0</v>
      </c>
      <c r="U388" s="64">
        <f ca="1">IF(AND(AND(B388="Autumn",SUM(D385:E388)&gt;Variables!$B$27),SUM(J388:Q388)&lt;Variables!$B$28*H387),$F$1*(Variables!$B$28*H387-SUM(J388:Q388)),0)</f>
        <v>0</v>
      </c>
      <c r="V388" s="96">
        <f ca="1">IF(AND((J388+K388)=0,(Q388+T388)=0),$H$1*H388*Variables!$I$23*0.25,0)</f>
        <v>51.020934301813774</v>
      </c>
      <c r="W388" s="97">
        <f ca="1">IF(AND((K388+J388)=0,(T388+Q388)=0),$I$1*H388*Variables!$Q$23*0.25,0)</f>
        <v>16.408992801279229</v>
      </c>
      <c r="X388" s="95">
        <f ca="1">IF(AND(NOT(K388=0),(H388-H387)&gt;0),(H388-H387)*(Variables!$M$5*$H$1+Variables!$U$5*$I$1),0)+IF(AND(NOT((J388+N388+Q388)=0),(H387-H388)&gt;0),(H387-H388)*(Variables!$M$4*$H$1+Variables!$U$4*$I$1),0)</f>
        <v>0</v>
      </c>
      <c r="Y388" s="95">
        <f ca="1">IF(SUM(T388,U387:U388)&gt;0,H388*Variables!$Y$11*0.25*(1-$J$1),0)</f>
        <v>0</v>
      </c>
      <c r="Z388" s="95">
        <f ca="1">IF(T388=0,H388*$J$1*Variables!$Y$5*0.25,0)</f>
        <v>4.7102544069746139</v>
      </c>
      <c r="AA388" s="95">
        <f t="shared" ca="1" si="11"/>
        <v>72.14018151006762</v>
      </c>
      <c r="AB388" s="91">
        <f ca="1">AA388/Variables!$E$49</f>
        <v>11.635513146785099</v>
      </c>
    </row>
    <row r="389" spans="1:28" x14ac:dyDescent="0.25">
      <c r="A389" s="61">
        <f>'Water runs'!C396</f>
        <v>37499</v>
      </c>
      <c r="B389" s="61" t="str">
        <f>'Water runs'!B396</f>
        <v>Winter</v>
      </c>
      <c r="C389" s="54">
        <f>'Water runs'!D396/100</f>
        <v>7.6999999999999999E-2</v>
      </c>
      <c r="D389" s="108">
        <f>VLOOKUP(ROW(D389)+4,'Water runs'!$BS$3:$CF$423,MATCH($B$1,Scenarios,0)+1)</f>
        <v>0</v>
      </c>
      <c r="E389" s="54">
        <f>IF(B389=Variables!$D$8,C389-Variables!$E$8,IF(B389=Variables!$D$9,C389-Variables!$E$9,IF(B389=Variables!$D$10,C389-Variables!$E$10,IF(B389=Variables!$D$11,C389-Variables!$E$11,"ELSE"))))</f>
        <v>-0.49476762566137572</v>
      </c>
      <c r="F389" s="108">
        <f>VLOOKUP(ROW(F389)+4,'Water runs'!$CH$3:$CU$423,MATCH($B$1,Scenarios,0)+1)</f>
        <v>0</v>
      </c>
      <c r="G389" s="65">
        <f ca="1">H389/Variables!$E$49</f>
        <v>0.33895380996187913</v>
      </c>
      <c r="H389" s="62">
        <f ca="1">IF((H388+I389)&gt;(1.1*Variables!$E$50),(1.1*Variables!$E$50),IF((H388+I389)&gt;0,H388+I389,0))</f>
        <v>2.1015136217636505</v>
      </c>
      <c r="I389" s="64">
        <f t="shared" ca="1" si="12"/>
        <v>-2.0843119409330266</v>
      </c>
      <c r="J389" s="63">
        <f>IF(SUM(E385:E388)&lt;Variables!$B$3,-H388,0)</f>
        <v>0</v>
      </c>
      <c r="K389" s="64">
        <f ca="1">IF(AND(H388&lt;Variables!$B$6*Variables!$E$50,OR(SUM(D386:D389)&gt;Variables!$B$5,SUM(E386:E389)&gt;Variables!$B$4)),Variables!$B$6*Variables!$E$50+Variables!$B$7*$G$1*Variables!$E$50*SUM(D386:D389),0)</f>
        <v>0</v>
      </c>
      <c r="L389" s="64">
        <f ca="1">IF(B389="Winter",Variables!$B$8*H388,0)</f>
        <v>-2.0843119409330266</v>
      </c>
      <c r="M389" s="64">
        <f ca="1">IF(AND(B389="Spring",AND(NOT(H388=0),H388&lt;(Variables!$B$9*Variables!$E$50))),(Variables!$B$10*Variables!$E$50+Variables!$B$11*Variables!$E$50*SUM(E386:E389)+$G$1*SUM(D388:D389)*Variables!$E$50*Variables!$B$12),0)</f>
        <v>0</v>
      </c>
      <c r="N389" s="64">
        <f>IF(AND(B389="Spring",AND(SUM(D386:D389)&gt;Variables!$B$13,SUM(D382:D385)&gt;Variables!$B$13)),-Variables!$B$14*Variables!$E$50,0)</f>
        <v>0</v>
      </c>
      <c r="O389" s="64">
        <f>IF(AND(B389="Summer",SUM(C385:D389)&gt;Variables!$B$15),(Variables!$B$16*Variables!$E$50*SUM(C385:C389)+$G$1*Variables!$B$16*Variables!$E$50*SUM(D385:D389)+$G$1*Variables!$E$50*Variables!$B$17*F389),0)</f>
        <v>0</v>
      </c>
      <c r="P389" s="64">
        <f ca="1">IF(AND(AND(B389="Autumn",SUM(D388:E389)&gt;0),NOT(H388=0)),Variables!$B$18*Variables!$E$50+Variables!$B$19*Variables!$E$50*SUM(E388:E389)+$G$1*Variables!$B$19*Variables!$E$50*SUM(D388:D389),0)</f>
        <v>0</v>
      </c>
      <c r="Q389" s="64">
        <f>IF(AND(B389="Autumn",AND((E389+E388)&lt;Variables!$B$20,(D388+D389)=0)),-Variables!$B$21*Variables!$E$50,0)</f>
        <v>0</v>
      </c>
      <c r="R389" s="64">
        <f>IF(B389="Autumn",(SUM(F388:F389)*$G$1*Variables!$B$22*Variables!$E$50),0)</f>
        <v>0</v>
      </c>
      <c r="S389" s="64">
        <f>IF(B389="Spring",($G$1*Variables!$E$50*SUM('Guts (MC)'!F388:F389)*Variables!$B$23),0)</f>
        <v>0</v>
      </c>
      <c r="T389" s="63">
        <f ca="1">IF((H388+SUM(J389:Q389))&lt;(Variables!$B$26*Variables!$E$50),$F$1*((Variables!$B$26*Variables!$E$50)-H388-SUM(J389:Q389)),0)</f>
        <v>0</v>
      </c>
      <c r="U389" s="64">
        <f ca="1">IF(AND(AND(B389="Autumn",SUM(D386:E389)&gt;Variables!$B$27),SUM(J389:Q389)&lt;Variables!$B$28*H388),$F$1*(Variables!$B$28*H388-SUM(J389:Q389)),0)</f>
        <v>0</v>
      </c>
      <c r="V389" s="96">
        <f ca="1">IF(AND((J389+K389)=0,(Q389+T389)=0),$H$1*H389*Variables!$I$23*0.25,0)</f>
        <v>25.615302602646857</v>
      </c>
      <c r="W389" s="97">
        <f ca="1">IF(AND((K389+J389)=0,(T389+Q389)=0),$I$1*H389*Variables!$Q$23*0.25,0)</f>
        <v>8.2382128387342988</v>
      </c>
      <c r="X389" s="95">
        <f ca="1">IF(AND(NOT(K389=0),(H389-H388)&gt;0),(H389-H388)*(Variables!$M$5*$H$1+Variables!$U$5*$I$1),0)+IF(AND(NOT((J389+N389+Q389)=0),(H388-H389)&gt;0),(H388-H389)*(Variables!$M$4*$H$1+Variables!$U$4*$I$1),0)</f>
        <v>0</v>
      </c>
      <c r="Y389" s="95">
        <f ca="1">IF(SUM(T389,U388:U389)&gt;0,H389*Variables!$Y$11*0.25*(1-$J$1),0)</f>
        <v>0</v>
      </c>
      <c r="Z389" s="95">
        <f ca="1">IF(T389=0,H389*$J$1*Variables!$Y$5*0.25,0)</f>
        <v>2.3648056159923443</v>
      </c>
      <c r="AA389" s="95">
        <f t="shared" ca="1" si="11"/>
        <v>36.218321057373501</v>
      </c>
      <c r="AB389" s="91">
        <f ca="1">AA389/Variables!$E$49</f>
        <v>5.8416646866731448</v>
      </c>
    </row>
    <row r="390" spans="1:28" x14ac:dyDescent="0.25">
      <c r="A390" s="61">
        <f>'Water runs'!C397</f>
        <v>37590</v>
      </c>
      <c r="B390" s="61" t="str">
        <f>'Water runs'!B397</f>
        <v>Spring</v>
      </c>
      <c r="C390" s="54">
        <f>'Water runs'!D397/100</f>
        <v>0.113</v>
      </c>
      <c r="D390" s="108">
        <f>VLOOKUP(ROW(D390)+4,'Water runs'!$BS$3:$CF$423,MATCH($B$1,Scenarios,0)+1)</f>
        <v>0</v>
      </c>
      <c r="E390" s="54">
        <f>IF(B390=Variables!$D$8,C390-Variables!$E$8,IF(B390=Variables!$D$9,C390-Variables!$E$9,IF(B390=Variables!$D$10,C390-Variables!$E$10,IF(B390=Variables!$D$11,C390-Variables!$E$11,"ELSE"))))</f>
        <v>-0.65098220899470916</v>
      </c>
      <c r="F390" s="108">
        <f>VLOOKUP(ROW(F390)+4,'Water runs'!$CH$3:$CU$423,MATCH($B$1,Scenarios,0)+1)</f>
        <v>0</v>
      </c>
      <c r="G390" s="65">
        <f ca="1">H390/Variables!$E$49</f>
        <v>0.16100000000000003</v>
      </c>
      <c r="H390" s="62">
        <f ca="1">IF((H389+I390)&gt;(1.1*Variables!$E$50),(1.1*Variables!$E$50),IF((H389+I390)&gt;0,H389+I390,0))</f>
        <v>0.9982000000000002</v>
      </c>
      <c r="I390" s="64">
        <f t="shared" ca="1" si="12"/>
        <v>-1.1033136217636503</v>
      </c>
      <c r="J390" s="63">
        <f ca="1">IF(SUM(E386:E389)&lt;Variables!$B$3,-H389,0)</f>
        <v>-2.1015136217636505</v>
      </c>
      <c r="K390" s="64">
        <f ca="1">IF(AND(H389&lt;Variables!$B$6*Variables!$E$50,OR(SUM(D387:D390)&gt;Variables!$B$5,SUM(E387:E390)&gt;Variables!$B$4)),Variables!$B$6*Variables!$E$50+Variables!$B$7*$G$1*Variables!$E$50*SUM(D387:D390),0)</f>
        <v>0</v>
      </c>
      <c r="L390" s="64">
        <f>IF(B390="Winter",Variables!$B$8*H389,0)</f>
        <v>0</v>
      </c>
      <c r="M390" s="64">
        <f ca="1">IF(AND(B390="Spring",AND(NOT(H389=0),H389&lt;(Variables!$B$9*Variables!$E$50))),(Variables!$B$10*Variables!$E$50+Variables!$B$11*Variables!$E$50*SUM(E387:E390)+$G$1*SUM(D389:D390)*Variables!$E$50*Variables!$B$12),0)</f>
        <v>-1.6664859046777241</v>
      </c>
      <c r="N390" s="64">
        <f>IF(AND(B390="Spring",AND(SUM(D387:D390)&gt;Variables!$B$13,SUM(D383:D386)&gt;Variables!$B$13)),-Variables!$B$14*Variables!$E$50,0)</f>
        <v>0</v>
      </c>
      <c r="O390" s="64">
        <f>IF(AND(B390="Summer",SUM(C386:D390)&gt;Variables!$B$15),(Variables!$B$16*Variables!$E$50*SUM(C386:C390)+$G$1*Variables!$B$16*Variables!$E$50*SUM(D386:D390)+$G$1*Variables!$E$50*Variables!$B$17*F390),0)</f>
        <v>0</v>
      </c>
      <c r="P390" s="64">
        <f ca="1">IF(AND(AND(B390="Autumn",SUM(D389:E390)&gt;0),NOT(H389=0)),Variables!$B$18*Variables!$E$50+Variables!$B$19*Variables!$E$50*SUM(E389:E390)+$G$1*Variables!$B$19*Variables!$E$50*SUM(D389:D390),0)</f>
        <v>0</v>
      </c>
      <c r="Q390" s="64">
        <f>IF(AND(B390="Autumn",AND((E390+E389)&lt;Variables!$B$20,(D389+D390)=0)),-Variables!$B$21*Variables!$E$50,0)</f>
        <v>0</v>
      </c>
      <c r="R390" s="64">
        <f>IF(B390="Autumn",(SUM(F389:F390)*$G$1*Variables!$B$22*Variables!$E$50),0)</f>
        <v>0</v>
      </c>
      <c r="S390" s="64">
        <f ca="1">IF(B390="Spring",($G$1*Variables!$E$50*SUM('Guts (MC)'!F389:F390)*Variables!$B$23),0)</f>
        <v>0</v>
      </c>
      <c r="T390" s="63">
        <f ca="1">IF((H389+SUM(J390:Q390))&lt;(Variables!$B$26*Variables!$E$50),$F$1*((Variables!$B$26*Variables!$E$50)-H389-SUM(J390:Q390)),0)</f>
        <v>2.6646859046777243</v>
      </c>
      <c r="U390" s="64">
        <f ca="1">IF(AND(AND(B390="Autumn",SUM(D387:E390)&gt;Variables!$B$27),SUM(J390:Q390)&lt;Variables!$B$28*H389),$F$1*(Variables!$B$28*H389-SUM(J390:Q390)),0)</f>
        <v>0</v>
      </c>
      <c r="V390" s="96">
        <f ca="1">IF(AND((J390+K390)=0,(Q390+T390)=0),$H$1*H390*Variables!$I$23*0.25,0)</f>
        <v>0</v>
      </c>
      <c r="W390" s="97">
        <f ca="1">IF(AND((K390+J390)=0,(T390+Q390)=0),$I$1*H390*Variables!$Q$23*0.25,0)</f>
        <v>0</v>
      </c>
      <c r="X390" s="95">
        <f ca="1">IF(AND(NOT(K390=0),(H390-H389)&gt;0),(H390-H389)*(Variables!$M$5*$H$1+Variables!$U$5*$I$1),0)+IF(AND(NOT((J390+N390+Q390)=0),(H389-H390)&gt;0),(H389-H390)*(Variables!$M$4*$H$1+Variables!$U$4*$I$1),0)</f>
        <v>63.062356977213454</v>
      </c>
      <c r="Y390" s="95">
        <f ca="1">IF(SUM(T390,U389:U390)&gt;0,H390*Variables!$Y$11*0.25*(1-$J$1),0)</f>
        <v>-8.6666009437672749</v>
      </c>
      <c r="Z390" s="95">
        <f ca="1">IF(T390=0,H390*$J$1*Variables!$Y$5*0.25,0)</f>
        <v>0</v>
      </c>
      <c r="AA390" s="95">
        <f t="shared" ca="1" si="11"/>
        <v>54.395756033446176</v>
      </c>
      <c r="AB390" s="91">
        <f ca="1">AA390/Variables!$E$49</f>
        <v>8.7735090376526088</v>
      </c>
    </row>
    <row r="391" spans="1:28" x14ac:dyDescent="0.25">
      <c r="A391" s="61">
        <f>'Water runs'!C398</f>
        <v>37680</v>
      </c>
      <c r="B391" s="61" t="str">
        <f>'Water runs'!B398</f>
        <v>Summer</v>
      </c>
      <c r="C391" s="54">
        <f>'Water runs'!D398/100</f>
        <v>0.56835714285714301</v>
      </c>
      <c r="D391" s="108">
        <f>VLOOKUP(ROW(D391)+4,'Water runs'!$BS$3:$CF$423,MATCH($B$1,Scenarios,0)+1)</f>
        <v>0</v>
      </c>
      <c r="E391" s="54">
        <f>IF(B391=Variables!$D$8,C391-Variables!$E$8,IF(B391=Variables!$D$9,C391-Variables!$E$9,IF(B391=Variables!$D$10,C391-Variables!$E$10,IF(B391=Variables!$D$11,C391-Variables!$E$11,"ELSE"))))</f>
        <v>-0.69001299319727871</v>
      </c>
      <c r="F391" s="108">
        <f>VLOOKUP(ROW(F391)+4,'Water runs'!$CH$3:$CU$423,MATCH($B$1,Scenarios,0)+1)</f>
        <v>0</v>
      </c>
      <c r="G391" s="65">
        <f ca="1">H391/Variables!$E$49</f>
        <v>0.161</v>
      </c>
      <c r="H391" s="62">
        <f ca="1">IF((H390+I391)&gt;(1.1*Variables!$E$50),(1.1*Variables!$E$50),IF((H390+I391)&gt;0,H390+I391,0))</f>
        <v>0.99820000000000009</v>
      </c>
      <c r="I391" s="64">
        <f t="shared" ca="1" si="12"/>
        <v>-1.1102230246251565E-16</v>
      </c>
      <c r="J391" s="63">
        <f ca="1">IF(SUM(E387:E390)&lt;Variables!$B$3,-H390,0)</f>
        <v>-0.9982000000000002</v>
      </c>
      <c r="K391" s="64">
        <f ca="1">IF(AND(H390&lt;Variables!$B$6*Variables!$E$50,OR(SUM(D388:D391)&gt;Variables!$B$5,SUM(E388:E391)&gt;Variables!$B$4)),Variables!$B$6*Variables!$E$50+Variables!$B$7*$G$1*Variables!$E$50*SUM(D388:D391),0)</f>
        <v>0</v>
      </c>
      <c r="L391" s="64">
        <f>IF(B391="Winter",Variables!$B$8*H390,0)</f>
        <v>0</v>
      </c>
      <c r="M391" s="64">
        <f ca="1">IF(AND(B391="Spring",AND(NOT(H390=0),H390&lt;(Variables!$B$9*Variables!$E$50))),(Variables!$B$10*Variables!$E$50+Variables!$B$11*Variables!$E$50*SUM(E388:E391)+$G$1*SUM(D390:D391)*Variables!$E$50*Variables!$B$12),0)</f>
        <v>0</v>
      </c>
      <c r="N391" s="64">
        <f>IF(AND(B391="Spring",AND(SUM(D388:D391)&gt;Variables!$B$13,SUM(D384:D387)&gt;Variables!$B$13)),-Variables!$B$14*Variables!$E$50,0)</f>
        <v>0</v>
      </c>
      <c r="O391" s="64">
        <f>IF(AND(B391="Summer",SUM(C387:D391)&gt;Variables!$B$15),(Variables!$B$16*Variables!$E$50*SUM(C387:C391)+$G$1*Variables!$B$16*Variables!$E$50*SUM(D387:D391)+$G$1*Variables!$E$50*Variables!$B$17*F391),0)</f>
        <v>0</v>
      </c>
      <c r="P391" s="64">
        <f ca="1">IF(AND(AND(B391="Autumn",SUM(D390:E391)&gt;0),NOT(H390=0)),Variables!$B$18*Variables!$E$50+Variables!$B$19*Variables!$E$50*SUM(E390:E391)+$G$1*Variables!$B$19*Variables!$E$50*SUM(D390:D391),0)</f>
        <v>0</v>
      </c>
      <c r="Q391" s="64">
        <f>IF(AND(B391="Autumn",AND((E391+E390)&lt;Variables!$B$20,(D390+D391)=0)),-Variables!$B$21*Variables!$E$50,0)</f>
        <v>0</v>
      </c>
      <c r="R391" s="64">
        <f>IF(B391="Autumn",(SUM(F390:F391)*$G$1*Variables!$B$22*Variables!$E$50),0)</f>
        <v>0</v>
      </c>
      <c r="S391" s="64">
        <f>IF(B391="Spring",($G$1*Variables!$E$50*SUM('Guts (MC)'!F390:F391)*Variables!$B$23),0)</f>
        <v>0</v>
      </c>
      <c r="T391" s="63">
        <f ca="1">IF((H390+SUM(J391:Q391))&lt;(Variables!$B$26*Variables!$E$50),$F$1*((Variables!$B$26*Variables!$E$50)-H390-SUM(J391:Q391)),0)</f>
        <v>0.99820000000000009</v>
      </c>
      <c r="U391" s="64">
        <f ca="1">IF(AND(AND(B391="Autumn",SUM(D388:E391)&gt;Variables!$B$27),SUM(J391:Q391)&lt;Variables!$B$28*H390),$F$1*(Variables!$B$28*H390-SUM(J391:Q391)),0)</f>
        <v>0</v>
      </c>
      <c r="V391" s="96">
        <f ca="1">IF(AND((J391+K391)=0,(Q391+T391)=0),$H$1*H391*Variables!$I$23*0.25,0)</f>
        <v>0</v>
      </c>
      <c r="W391" s="97">
        <f ca="1">IF(AND((K391+J391)=0,(T391+Q391)=0),$I$1*H391*Variables!$Q$23*0.25,0)</f>
        <v>0</v>
      </c>
      <c r="X391" s="95">
        <f ca="1">IF(AND(NOT(K391=0),(H391-H390)&gt;0),(H391-H390)*(Variables!$M$5*$H$1+Variables!$U$5*$I$1),0)+IF(AND(NOT((J391+N391+Q391)=0),(H390-H391)&gt;0),(H390-H391)*(Variables!$M$4*$H$1+Variables!$U$4*$I$1),0)</f>
        <v>6.3457279346661938E-15</v>
      </c>
      <c r="Y391" s="95">
        <f ca="1">IF(SUM(T391,U390:U391)&gt;0,H391*Variables!$Y$11*0.25*(1-$J$1),0)</f>
        <v>-8.6666009437672749</v>
      </c>
      <c r="Z391" s="95">
        <f ca="1">IF(T391=0,H391*$J$1*Variables!$Y$5*0.25,0)</f>
        <v>0</v>
      </c>
      <c r="AA391" s="95">
        <f t="shared" ca="1" si="11"/>
        <v>-8.6666009437672678</v>
      </c>
      <c r="AB391" s="91">
        <f ca="1">AA391/Variables!$E$49</f>
        <v>-1.3978388618979463</v>
      </c>
    </row>
    <row r="392" spans="1:28" x14ac:dyDescent="0.25">
      <c r="A392" s="61">
        <f>'Water runs'!C399</f>
        <v>37772</v>
      </c>
      <c r="B392" s="61" t="str">
        <f>'Water runs'!B399</f>
        <v>Autumn</v>
      </c>
      <c r="C392" s="54">
        <f>'Water runs'!D399/100</f>
        <v>0.95849999999999991</v>
      </c>
      <c r="D392" s="108">
        <f>VLOOKUP(ROW(D392)+4,'Water runs'!$BS$3:$CF$423,MATCH($B$1,Scenarios,0)+1)</f>
        <v>1.8251925985162194E-2</v>
      </c>
      <c r="E392" s="54">
        <f>IF(B392=Variables!$D$8,C392-Variables!$E$8,IF(B392=Variables!$D$9,C392-Variables!$E$9,IF(B392=Variables!$D$10,C392-Variables!$E$10,IF(B392=Variables!$D$11,C392-Variables!$E$11,"ELSE"))))</f>
        <v>-3.6143299319727928E-2</v>
      </c>
      <c r="F392" s="108">
        <f>VLOOKUP(ROW(F392)+4,'Water runs'!$CH$3:$CU$423,MATCH($B$1,Scenarios,0)+1)</f>
        <v>0</v>
      </c>
      <c r="G392" s="65">
        <f ca="1">H392/Variables!$E$49</f>
        <v>0.161</v>
      </c>
      <c r="H392" s="62">
        <f ca="1">IF((H391+I392)&gt;(1.1*Variables!$E$50),(1.1*Variables!$E$50),IF((H391+I392)&gt;0,H391+I392,0))</f>
        <v>0.99820000000000009</v>
      </c>
      <c r="I392" s="64">
        <f t="shared" ca="1" si="12"/>
        <v>0</v>
      </c>
      <c r="J392" s="63">
        <f ca="1">IF(SUM(E388:E391)&lt;Variables!$B$3,-H391,0)</f>
        <v>-0.99820000000000009</v>
      </c>
      <c r="K392" s="64">
        <f ca="1">IF(AND(H391&lt;Variables!$B$6*Variables!$E$50,OR(SUM(D389:D392)&gt;Variables!$B$5,SUM(E389:E392)&gt;Variables!$B$4)),Variables!$B$6*Variables!$E$50+Variables!$B$7*$G$1*Variables!$E$50*SUM(D389:D392),0)</f>
        <v>0</v>
      </c>
      <c r="L392" s="64">
        <f>IF(B392="Winter",Variables!$B$8*H391,0)</f>
        <v>0</v>
      </c>
      <c r="M392" s="64">
        <f ca="1">IF(AND(B392="Spring",AND(NOT(H391=0),H391&lt;(Variables!$B$9*Variables!$E$50))),(Variables!$B$10*Variables!$E$50+Variables!$B$11*Variables!$E$50*SUM(E389:E392)+$G$1*SUM(D391:D392)*Variables!$E$50*Variables!$B$12),0)</f>
        <v>0</v>
      </c>
      <c r="N392" s="64">
        <f>IF(AND(B392="Spring",AND(SUM(D389:D392)&gt;Variables!$B$13,SUM(D385:D388)&gt;Variables!$B$13)),-Variables!$B$14*Variables!$E$50,0)</f>
        <v>0</v>
      </c>
      <c r="O392" s="64">
        <f>IF(AND(B392="Summer",SUM(C388:D392)&gt;Variables!$B$15),(Variables!$B$16*Variables!$E$50*SUM(C388:C392)+$G$1*Variables!$B$16*Variables!$E$50*SUM(D388:D392)+$G$1*Variables!$E$50*Variables!$B$17*F392),0)</f>
        <v>0</v>
      </c>
      <c r="P392" s="64">
        <f ca="1">IF(AND(AND(B392="Autumn",SUM(D391:E392)&gt;0),NOT(H391=0)),Variables!$B$18*Variables!$E$50+Variables!$B$19*Variables!$E$50*SUM(E391:E392)+$G$1*Variables!$B$19*Variables!$E$50*SUM(D391:D392),0)</f>
        <v>0</v>
      </c>
      <c r="Q392" s="64">
        <f>IF(AND(B392="Autumn",AND((E392+E391)&lt;Variables!$B$20,(D391+D392)=0)),-Variables!$B$21*Variables!$E$50,0)</f>
        <v>0</v>
      </c>
      <c r="R392" s="64">
        <f ca="1">IF(B392="Autumn",(SUM(F391:F392)*$G$1*Variables!$B$22*Variables!$E$50),0)</f>
        <v>0</v>
      </c>
      <c r="S392" s="64">
        <f>IF(B392="Spring",($G$1*Variables!$E$50*SUM('Guts (MC)'!F391:F392)*Variables!$B$23),0)</f>
        <v>0</v>
      </c>
      <c r="T392" s="63">
        <f ca="1">IF((H391+SUM(J392:Q392))&lt;(Variables!$B$26*Variables!$E$50),$F$1*((Variables!$B$26*Variables!$E$50)-H391-SUM(J392:Q392)),0)</f>
        <v>0.99820000000000009</v>
      </c>
      <c r="U392" s="64">
        <f ca="1">IF(AND(AND(B392="Autumn",SUM(D389:E392)&gt;Variables!$B$27),SUM(J392:Q392)&lt;Variables!$B$28*H391),$F$1*(Variables!$B$28*H391-SUM(J392:Q392)),0)</f>
        <v>0</v>
      </c>
      <c r="V392" s="96">
        <f ca="1">IF(AND((J392+K392)=0,(Q392+T392)=0),$H$1*H392*Variables!$I$23*0.25,0)</f>
        <v>0</v>
      </c>
      <c r="W392" s="97">
        <f ca="1">IF(AND((K392+J392)=0,(T392+Q392)=0),$I$1*H392*Variables!$Q$23*0.25,0)</f>
        <v>0</v>
      </c>
      <c r="X392" s="95">
        <f ca="1">IF(AND(NOT(K392=0),(H392-H391)&gt;0),(H392-H391)*(Variables!$M$5*$H$1+Variables!$U$5*$I$1),0)+IF(AND(NOT((J392+N392+Q392)=0),(H391-H392)&gt;0),(H391-H392)*(Variables!$M$4*$H$1+Variables!$U$4*$I$1),0)</f>
        <v>0</v>
      </c>
      <c r="Y392" s="95">
        <f ca="1">IF(SUM(T392,U391:U392)&gt;0,H392*Variables!$Y$11*0.25*(1-$J$1),0)</f>
        <v>-8.6666009437672749</v>
      </c>
      <c r="Z392" s="95">
        <f ca="1">IF(T392=0,H392*$J$1*Variables!$Y$5*0.25,0)</f>
        <v>0</v>
      </c>
      <c r="AA392" s="95">
        <f t="shared" ca="1" si="11"/>
        <v>-8.6666009437672749</v>
      </c>
      <c r="AB392" s="91">
        <f ca="1">AA392/Variables!$E$49</f>
        <v>-1.3978388618979476</v>
      </c>
    </row>
    <row r="393" spans="1:28" x14ac:dyDescent="0.25">
      <c r="A393" s="61">
        <f>'Water runs'!C400</f>
        <v>37864</v>
      </c>
      <c r="B393" s="61" t="str">
        <f>'Water runs'!B400</f>
        <v>Winter</v>
      </c>
      <c r="C393" s="54">
        <f>'Water runs'!D400/100</f>
        <v>0.50375000000000003</v>
      </c>
      <c r="D393" s="108">
        <f>VLOOKUP(ROW(D393)+4,'Water runs'!$BS$3:$CF$423,MATCH($B$1,Scenarios,0)+1)</f>
        <v>0</v>
      </c>
      <c r="E393" s="54">
        <f>IF(B393=Variables!$D$8,C393-Variables!$E$8,IF(B393=Variables!$D$9,C393-Variables!$E$9,IF(B393=Variables!$D$10,C393-Variables!$E$10,IF(B393=Variables!$D$11,C393-Variables!$E$11,"ELSE"))))</f>
        <v>-6.8017625661375702E-2</v>
      </c>
      <c r="F393" s="108">
        <f>VLOOKUP(ROW(F393)+4,'Water runs'!$CH$3:$CU$423,MATCH($B$1,Scenarios,0)+1)</f>
        <v>0</v>
      </c>
      <c r="G393" s="65">
        <f ca="1">H393/Variables!$E$49</f>
        <v>0.161</v>
      </c>
      <c r="H393" s="62">
        <f ca="1">IF((H392+I393)&gt;(1.1*Variables!$E$50),(1.1*Variables!$E$50),IF((H392+I393)&gt;0,H392+I393,0))</f>
        <v>0.99820000000000009</v>
      </c>
      <c r="I393" s="64">
        <f t="shared" ca="1" si="12"/>
        <v>0</v>
      </c>
      <c r="J393" s="63">
        <f ca="1">IF(SUM(E389:E392)&lt;Variables!$B$3,-H392,0)</f>
        <v>-0.99820000000000009</v>
      </c>
      <c r="K393" s="64">
        <f ca="1">IF(AND(H392&lt;Variables!$B$6*Variables!$E$50,OR(SUM(D390:D393)&gt;Variables!$B$5,SUM(E390:E393)&gt;Variables!$B$4)),Variables!$B$6*Variables!$E$50+Variables!$B$7*$G$1*Variables!$E$50*SUM(D390:D393),0)</f>
        <v>0</v>
      </c>
      <c r="L393" s="64">
        <f ca="1">IF(B393="Winter",Variables!$B$8*H392,0)</f>
        <v>-0.49704894489176149</v>
      </c>
      <c r="M393" s="64">
        <f ca="1">IF(AND(B393="Spring",AND(NOT(H392=0),H392&lt;(Variables!$B$9*Variables!$E$50))),(Variables!$B$10*Variables!$E$50+Variables!$B$11*Variables!$E$50*SUM(E390:E393)+$G$1*SUM(D392:D393)*Variables!$E$50*Variables!$B$12),0)</f>
        <v>0</v>
      </c>
      <c r="N393" s="64">
        <f>IF(AND(B393="Spring",AND(SUM(D390:D393)&gt;Variables!$B$13,SUM(D386:D389)&gt;Variables!$B$13)),-Variables!$B$14*Variables!$E$50,0)</f>
        <v>0</v>
      </c>
      <c r="O393" s="64">
        <f>IF(AND(B393="Summer",SUM(C389:D393)&gt;Variables!$B$15),(Variables!$B$16*Variables!$E$50*SUM(C389:C393)+$G$1*Variables!$B$16*Variables!$E$50*SUM(D389:D393)+$G$1*Variables!$E$50*Variables!$B$17*F393),0)</f>
        <v>0</v>
      </c>
      <c r="P393" s="64">
        <f ca="1">IF(AND(AND(B393="Autumn",SUM(D392:E393)&gt;0),NOT(H392=0)),Variables!$B$18*Variables!$E$50+Variables!$B$19*Variables!$E$50*SUM(E392:E393)+$G$1*Variables!$B$19*Variables!$E$50*SUM(D392:D393),0)</f>
        <v>0</v>
      </c>
      <c r="Q393" s="64">
        <f>IF(AND(B393="Autumn",AND((E393+E392)&lt;Variables!$B$20,(D392+D393)=0)),-Variables!$B$21*Variables!$E$50,0)</f>
        <v>0</v>
      </c>
      <c r="R393" s="64">
        <f>IF(B393="Autumn",(SUM(F392:F393)*$G$1*Variables!$B$22*Variables!$E$50),0)</f>
        <v>0</v>
      </c>
      <c r="S393" s="64">
        <f>IF(B393="Spring",($G$1*Variables!$E$50*SUM('Guts (MC)'!F392:F393)*Variables!$B$23),0)</f>
        <v>0</v>
      </c>
      <c r="T393" s="63">
        <f ca="1">IF((H392+SUM(J393:Q393))&lt;(Variables!$B$26*Variables!$E$50),$F$1*((Variables!$B$26*Variables!$E$50)-H392-SUM(J393:Q393)),0)</f>
        <v>1.4952489448917616</v>
      </c>
      <c r="U393" s="64">
        <f ca="1">IF(AND(AND(B393="Autumn",SUM(D390:E393)&gt;Variables!$B$27),SUM(J393:Q393)&lt;Variables!$B$28*H392),$F$1*(Variables!$B$28*H392-SUM(J393:Q393)),0)</f>
        <v>0</v>
      </c>
      <c r="V393" s="96">
        <f ca="1">IF(AND((J393+K393)=0,(Q393+T393)=0),$H$1*H393*Variables!$I$23*0.25,0)</f>
        <v>0</v>
      </c>
      <c r="W393" s="97">
        <f ca="1">IF(AND((K393+J393)=0,(T393+Q393)=0),$I$1*H393*Variables!$Q$23*0.25,0)</f>
        <v>0</v>
      </c>
      <c r="X393" s="95">
        <f ca="1">IF(AND(NOT(K393=0),(H393-H392)&gt;0),(H393-H392)*(Variables!$M$5*$H$1+Variables!$U$5*$I$1),0)+IF(AND(NOT((J393+N393+Q393)=0),(H392-H393)&gt;0),(H392-H393)*(Variables!$M$4*$H$1+Variables!$U$4*$I$1),0)</f>
        <v>0</v>
      </c>
      <c r="Y393" s="95">
        <f ca="1">IF(SUM(T393,U392:U393)&gt;0,H393*Variables!$Y$11*0.25*(1-$J$1),0)</f>
        <v>-8.6666009437672749</v>
      </c>
      <c r="Z393" s="95">
        <f ca="1">IF(T393=0,H393*$J$1*Variables!$Y$5*0.25,0)</f>
        <v>0</v>
      </c>
      <c r="AA393" s="95">
        <f t="shared" ca="1" si="11"/>
        <v>-8.6666009437672749</v>
      </c>
      <c r="AB393" s="91">
        <f ca="1">AA393/Variables!$E$49</f>
        <v>-1.3978388618979476</v>
      </c>
    </row>
    <row r="394" spans="1:28" x14ac:dyDescent="0.25">
      <c r="A394" s="61">
        <f>'Water runs'!C401</f>
        <v>37955</v>
      </c>
      <c r="B394" s="61" t="str">
        <f>'Water runs'!B401</f>
        <v>Spring</v>
      </c>
      <c r="C394" s="54">
        <f>'Water runs'!D401/100</f>
        <v>0.23874999999999999</v>
      </c>
      <c r="D394" s="108">
        <f>VLOOKUP(ROW(D394)+4,'Water runs'!$BS$3:$CF$423,MATCH($B$1,Scenarios,0)+1)</f>
        <v>0</v>
      </c>
      <c r="E394" s="54">
        <f>IF(B394=Variables!$D$8,C394-Variables!$E$8,IF(B394=Variables!$D$9,C394-Variables!$E$9,IF(B394=Variables!$D$10,C394-Variables!$E$10,IF(B394=Variables!$D$11,C394-Variables!$E$11,"ELSE"))))</f>
        <v>-0.52523220899470913</v>
      </c>
      <c r="F394" s="108">
        <f>VLOOKUP(ROW(F394)+4,'Water runs'!$CH$3:$CU$423,MATCH($B$1,Scenarios,0)+1)</f>
        <v>0</v>
      </c>
      <c r="G394" s="65">
        <f ca="1">H394/Variables!$E$49</f>
        <v>0.161</v>
      </c>
      <c r="H394" s="62">
        <f ca="1">IF((H393+I394)&gt;(1.1*Variables!$E$50),(1.1*Variables!$E$50),IF((H393+I394)&gt;0,H393+I394,0))</f>
        <v>0.99820000000000009</v>
      </c>
      <c r="I394" s="64">
        <f t="shared" ca="1" si="12"/>
        <v>0</v>
      </c>
      <c r="J394" s="63">
        <f>IF(SUM(E390:E393)&lt;Variables!$B$3,-H393,0)</f>
        <v>0</v>
      </c>
      <c r="K394" s="64">
        <f ca="1">IF(AND(H393&lt;Variables!$B$6*Variables!$E$50,OR(SUM(D391:D394)&gt;Variables!$B$5,SUM(E391:E394)&gt;Variables!$B$4)),Variables!$B$6*Variables!$E$50+Variables!$B$7*$G$1*Variables!$E$50*SUM(D391:D394),0)</f>
        <v>0</v>
      </c>
      <c r="L394" s="64">
        <f>IF(B394="Winter",Variables!$B$8*H393,0)</f>
        <v>0</v>
      </c>
      <c r="M394" s="64">
        <f ca="1">IF(AND(B394="Spring",AND(NOT(H393=0),H393&lt;(Variables!$B$9*Variables!$E$50))),(Variables!$B$10*Variables!$E$50+Variables!$B$11*Variables!$E$50*SUM(E391:E394)+$G$1*SUM(D393:D394)*Variables!$E$50*Variables!$B$12),0)</f>
        <v>-0.89859696154445767</v>
      </c>
      <c r="N394" s="64">
        <f>IF(AND(B394="Spring",AND(SUM(D391:D394)&gt;Variables!$B$13,SUM(D387:D390)&gt;Variables!$B$13)),-Variables!$B$14*Variables!$E$50,0)</f>
        <v>0</v>
      </c>
      <c r="O394" s="64">
        <f>IF(AND(B394="Summer",SUM(C390:D394)&gt;Variables!$B$15),(Variables!$B$16*Variables!$E$50*SUM(C390:C394)+$G$1*Variables!$B$16*Variables!$E$50*SUM(D390:D394)+$G$1*Variables!$E$50*Variables!$B$17*F394),0)</f>
        <v>0</v>
      </c>
      <c r="P394" s="64">
        <f ca="1">IF(AND(AND(B394="Autumn",SUM(D393:E394)&gt;0),NOT(H393=0)),Variables!$B$18*Variables!$E$50+Variables!$B$19*Variables!$E$50*SUM(E393:E394)+$G$1*Variables!$B$19*Variables!$E$50*SUM(D393:D394),0)</f>
        <v>0</v>
      </c>
      <c r="Q394" s="64">
        <f>IF(AND(B394="Autumn",AND((E394+E393)&lt;Variables!$B$20,(D393+D394)=0)),-Variables!$B$21*Variables!$E$50,0)</f>
        <v>0</v>
      </c>
      <c r="R394" s="64">
        <f>IF(B394="Autumn",(SUM(F393:F394)*$G$1*Variables!$B$22*Variables!$E$50),0)</f>
        <v>0</v>
      </c>
      <c r="S394" s="64">
        <f ca="1">IF(B394="Spring",($G$1*Variables!$E$50*SUM('Guts (MC)'!F393:F394)*Variables!$B$23),0)</f>
        <v>0</v>
      </c>
      <c r="T394" s="63">
        <f ca="1">IF((H393+SUM(J394:Q394))&lt;(Variables!$B$26*Variables!$E$50),$F$1*((Variables!$B$26*Variables!$E$50)-H393-SUM(J394:Q394)),0)</f>
        <v>0.89859696154445767</v>
      </c>
      <c r="U394" s="64">
        <f ca="1">IF(AND(AND(B394="Autumn",SUM(D391:E394)&gt;Variables!$B$27),SUM(J394:Q394)&lt;Variables!$B$28*H393),$F$1*(Variables!$B$28*H393-SUM(J394:Q394)),0)</f>
        <v>0</v>
      </c>
      <c r="V394" s="96">
        <f ca="1">IF(AND((J394+K394)=0,(Q394+T394)=0),$H$1*H394*Variables!$I$23*0.25,0)</f>
        <v>0</v>
      </c>
      <c r="W394" s="97">
        <f ca="1">IF(AND((K394+J394)=0,(T394+Q394)=0),$I$1*H394*Variables!$Q$23*0.25,0)</f>
        <v>0</v>
      </c>
      <c r="X394" s="95">
        <f ca="1">IF(AND(NOT(K394=0),(H394-H393)&gt;0),(H394-H393)*(Variables!$M$5*$H$1+Variables!$U$5*$I$1),0)+IF(AND(NOT((J394+N394+Q394)=0),(H393-H394)&gt;0),(H393-H394)*(Variables!$M$4*$H$1+Variables!$U$4*$I$1),0)</f>
        <v>0</v>
      </c>
      <c r="Y394" s="95">
        <f ca="1">IF(SUM(T394,U393:U394)&gt;0,H394*Variables!$Y$11*0.25*(1-$J$1),0)</f>
        <v>-8.6666009437672749</v>
      </c>
      <c r="Z394" s="95">
        <f ca="1">IF(T394=0,H394*$J$1*Variables!$Y$5*0.25,0)</f>
        <v>0</v>
      </c>
      <c r="AA394" s="95">
        <f t="shared" ca="1" si="11"/>
        <v>-8.6666009437672749</v>
      </c>
      <c r="AB394" s="91">
        <f ca="1">AA394/Variables!$E$49</f>
        <v>-1.3978388618979476</v>
      </c>
    </row>
    <row r="395" spans="1:28" x14ac:dyDescent="0.25">
      <c r="A395" s="61">
        <f>'Water runs'!C402</f>
        <v>38045</v>
      </c>
      <c r="B395" s="61" t="str">
        <f>'Water runs'!B402</f>
        <v>Summer</v>
      </c>
      <c r="C395" s="54">
        <f>'Water runs'!D402/100</f>
        <v>1.51981428571429</v>
      </c>
      <c r="D395" s="108">
        <f>VLOOKUP(ROW(D395)+4,'Water runs'!$BS$3:$CF$423,MATCH($B$1,Scenarios,0)+1)</f>
        <v>0.26415411048385179</v>
      </c>
      <c r="E395" s="54">
        <f>IF(B395=Variables!$D$8,C395-Variables!$E$8,IF(B395=Variables!$D$9,C395-Variables!$E$9,IF(B395=Variables!$D$10,C395-Variables!$E$10,IF(B395=Variables!$D$11,C395-Variables!$E$11,"ELSE"))))</f>
        <v>0.26144414965986829</v>
      </c>
      <c r="F395" s="108">
        <f>VLOOKUP(ROW(F395)+4,'Water runs'!$CH$3:$CU$423,MATCH($B$1,Scenarios,0)+1)</f>
        <v>0.23688429837132519</v>
      </c>
      <c r="G395" s="65">
        <f ca="1">H395/Variables!$E$49</f>
        <v>0.3475823946090566</v>
      </c>
      <c r="H395" s="62">
        <f ca="1">IF((H394+I395)&gt;(1.1*Variables!$E$50),(1.1*Variables!$E$50),IF((H394+I395)&gt;0,H394+I395,0))</f>
        <v>2.1550108465761508</v>
      </c>
      <c r="I395" s="64">
        <f t="shared" ca="1" si="12"/>
        <v>1.1568108465761506</v>
      </c>
      <c r="J395" s="63">
        <f>IF(SUM(E391:E394)&lt;Variables!$B$3,-H394,0)</f>
        <v>0</v>
      </c>
      <c r="K395" s="64">
        <f ca="1">IF(AND(H394&lt;Variables!$B$6*Variables!$E$50,OR(SUM(D392:D395)&gt;Variables!$B$5,SUM(E392:E395)&gt;Variables!$B$4)),Variables!$B$6*Variables!$E$50+Variables!$B$7*$G$1*Variables!$E$50*SUM(D392:D395),0)</f>
        <v>1.1568108465761506</v>
      </c>
      <c r="L395" s="64">
        <f>IF(B395="Winter",Variables!$B$8*H394,0)</f>
        <v>0</v>
      </c>
      <c r="M395" s="64">
        <f ca="1">IF(AND(B395="Spring",AND(NOT(H394=0),H394&lt;(Variables!$B$9*Variables!$E$50))),(Variables!$B$10*Variables!$E$50+Variables!$B$11*Variables!$E$50*SUM(E392:E395)+$G$1*SUM(D394:D395)*Variables!$E$50*Variables!$B$12),0)</f>
        <v>0</v>
      </c>
      <c r="N395" s="64">
        <f>IF(AND(B395="Spring",AND(SUM(D392:D395)&gt;Variables!$B$13,SUM(D388:D391)&gt;Variables!$B$13)),-Variables!$B$14*Variables!$E$50,0)</f>
        <v>0</v>
      </c>
      <c r="O395" s="64">
        <f>IF(AND(B395="Summer",SUM(C391:D395)&gt;Variables!$B$15),(Variables!$B$16*Variables!$E$50*SUM(C391:C395)+$G$1*Variables!$B$16*Variables!$E$50*SUM(D391:D395)+$G$1*Variables!$E$50*Variables!$B$17*F395),0)</f>
        <v>0</v>
      </c>
      <c r="P395" s="64">
        <f ca="1">IF(AND(AND(B395="Autumn",SUM(D394:E395)&gt;0),NOT(H394=0)),Variables!$B$18*Variables!$E$50+Variables!$B$19*Variables!$E$50*SUM(E394:E395)+$G$1*Variables!$B$19*Variables!$E$50*SUM(D394:D395),0)</f>
        <v>0</v>
      </c>
      <c r="Q395" s="64">
        <f>IF(AND(B395="Autumn",AND((E395+E394)&lt;Variables!$B$20,(D394+D395)=0)),-Variables!$B$21*Variables!$E$50,0)</f>
        <v>0</v>
      </c>
      <c r="R395" s="64">
        <f>IF(B395="Autumn",(SUM(F394:F395)*$G$1*Variables!$B$22*Variables!$E$50),0)</f>
        <v>0</v>
      </c>
      <c r="S395" s="64">
        <f>IF(B395="Spring",($G$1*Variables!$E$50*SUM('Guts (MC)'!F394:F395)*Variables!$B$23),0)</f>
        <v>0</v>
      </c>
      <c r="T395" s="63">
        <f ca="1">IF((H394+SUM(J395:Q395))&lt;(Variables!$B$26*Variables!$E$50),$F$1*((Variables!$B$26*Variables!$E$50)-H394-SUM(J395:Q395)),0)</f>
        <v>0</v>
      </c>
      <c r="U395" s="64">
        <f ca="1">IF(AND(AND(B395="Autumn",SUM(D392:E395)&gt;Variables!$B$27),SUM(J395:Q395)&lt;Variables!$B$28*H394),$F$1*(Variables!$B$28*H394-SUM(J395:Q395)),0)</f>
        <v>0</v>
      </c>
      <c r="V395" s="96">
        <f ca="1">IF(AND((J395+K395)=0,(Q395+T395)=0),$H$1*H395*Variables!$I$23*0.25,0)</f>
        <v>0</v>
      </c>
      <c r="W395" s="97">
        <f ca="1">IF(AND((K395+J395)=0,(T395+Q395)=0),$I$1*H395*Variables!$Q$23*0.25,0)</f>
        <v>0</v>
      </c>
      <c r="X395" s="95">
        <f ca="1">IF(AND(NOT(K395=0),(H395-H394)&gt;0),(H395-H394)*(Variables!$M$5*$H$1+Variables!$U$5*$I$1),0)+IF(AND(NOT((J395+N395+Q395)=0),(H394-H395)&gt;0),(H394-H395)*(Variables!$M$4*$H$1+Variables!$U$4*$I$1),0)</f>
        <v>-132.24022095419247</v>
      </c>
      <c r="Y395" s="95">
        <f ca="1">IF(SUM(T395,U394:U395)&gt;0,H395*Variables!$Y$11*0.25*(1-$J$1),0)</f>
        <v>0</v>
      </c>
      <c r="Z395" s="95">
        <f ca="1">IF(T395=0,H395*$J$1*Variables!$Y$5*0.25,0)</f>
        <v>2.4250053388808568</v>
      </c>
      <c r="AA395" s="95">
        <f t="shared" ca="1" si="11"/>
        <v>-129.81521561531162</v>
      </c>
      <c r="AB395" s="91">
        <f ca="1">AA395/Variables!$E$49</f>
        <v>-20.937938002469615</v>
      </c>
    </row>
    <row r="396" spans="1:28" x14ac:dyDescent="0.25">
      <c r="A396" s="61">
        <f>'Water runs'!C403</f>
        <v>38138</v>
      </c>
      <c r="B396" s="61" t="str">
        <f>'Water runs'!B403</f>
        <v>Autumn</v>
      </c>
      <c r="C396" s="54">
        <f>'Water runs'!D403/100</f>
        <v>1.46086904761905</v>
      </c>
      <c r="D396" s="108">
        <f>VLOOKUP(ROW(D396)+4,'Water runs'!$BS$3:$CF$423,MATCH($B$1,Scenarios,0)+1)</f>
        <v>1.2166367112962097E-2</v>
      </c>
      <c r="E396" s="54">
        <f>IF(B396=Variables!$D$8,C396-Variables!$E$8,IF(B396=Variables!$D$9,C396-Variables!$E$9,IF(B396=Variables!$D$10,C396-Variables!$E$10,IF(B396=Variables!$D$11,C396-Variables!$E$11,"ELSE"))))</f>
        <v>0.46622574829932217</v>
      </c>
      <c r="F396" s="108">
        <f>VLOOKUP(ROW(F396)+4,'Water runs'!$CH$3:$CU$423,MATCH($B$1,Scenarios,0)+1)</f>
        <v>0</v>
      </c>
      <c r="G396" s="65">
        <f ca="1">H396/Variables!$E$49</f>
        <v>0.74660880324339052</v>
      </c>
      <c r="H396" s="62">
        <f ca="1">IF((H395+I396)&gt;(1.1*Variables!$E$50),(1.1*Variables!$E$50),IF((H395+I396)&gt;0,H395+I396,0))</f>
        <v>4.6289745801090216</v>
      </c>
      <c r="I396" s="64">
        <f t="shared" ca="1" si="12"/>
        <v>2.4739637335328712</v>
      </c>
      <c r="J396" s="63">
        <f>IF(SUM(E392:E395)&lt;Variables!$B$3,-H395,0)</f>
        <v>0</v>
      </c>
      <c r="K396" s="64">
        <f ca="1">IF(AND(H395&lt;Variables!$B$6*Variables!$E$50,OR(SUM(D393:D396)&gt;Variables!$B$5,SUM(E393:E396)&gt;Variables!$B$4)),Variables!$B$6*Variables!$E$50+Variables!$B$7*$G$1*Variables!$E$50*SUM(D393:D396),0)</f>
        <v>0</v>
      </c>
      <c r="L396" s="64">
        <f>IF(B396="Winter",Variables!$B$8*H395,0)</f>
        <v>0</v>
      </c>
      <c r="M396" s="64">
        <f ca="1">IF(AND(B396="Spring",AND(NOT(H395=0),H395&lt;(Variables!$B$9*Variables!$E$50))),(Variables!$B$10*Variables!$E$50+Variables!$B$11*Variables!$E$50*SUM(E393:E396)+$G$1*SUM(D395:D396)*Variables!$E$50*Variables!$B$12),0)</f>
        <v>0</v>
      </c>
      <c r="N396" s="64">
        <f>IF(AND(B396="Spring",AND(SUM(D393:D396)&gt;Variables!$B$13,SUM(D389:D392)&gt;Variables!$B$13)),-Variables!$B$14*Variables!$E$50,0)</f>
        <v>0</v>
      </c>
      <c r="O396" s="64">
        <f>IF(AND(B396="Summer",SUM(C392:D396)&gt;Variables!$B$15),(Variables!$B$16*Variables!$E$50*SUM(C392:C396)+$G$1*Variables!$B$16*Variables!$E$50*SUM(D392:D396)+$G$1*Variables!$E$50*Variables!$B$17*F396),0)</f>
        <v>0</v>
      </c>
      <c r="P396" s="64">
        <f ca="1">IF(AND(AND(B396="Autumn",SUM(D395:E396)&gt;0),NOT(H395=0)),Variables!$B$18*Variables!$E$50+Variables!$B$19*Variables!$E$50*SUM(E395:E396)+$G$1*Variables!$B$19*Variables!$E$50*SUM(D395:D396),0)</f>
        <v>2.438101318809005</v>
      </c>
      <c r="Q396" s="64">
        <f>IF(AND(B396="Autumn",AND((E396+E395)&lt;Variables!$B$20,(D395+D396)=0)),-Variables!$B$21*Variables!$E$50,0)</f>
        <v>0</v>
      </c>
      <c r="R396" s="64">
        <f ca="1">IF(B396="Autumn",(SUM(F395:F396)*$G$1*Variables!$B$22*Variables!$E$50),0)</f>
        <v>3.5862414723866282E-2</v>
      </c>
      <c r="S396" s="64">
        <f>IF(B396="Spring",($G$1*Variables!$E$50*SUM('Guts (MC)'!F395:F396)*Variables!$B$23),0)</f>
        <v>0</v>
      </c>
      <c r="T396" s="63">
        <f ca="1">IF((H395+SUM(J396:Q396))&lt;(Variables!$B$26*Variables!$E$50),$F$1*((Variables!$B$26*Variables!$E$50)-H395-SUM(J396:Q396)),0)</f>
        <v>0</v>
      </c>
      <c r="U396" s="64">
        <f ca="1">IF(AND(AND(B396="Autumn",SUM(D393:E396)&gt;Variables!$B$27),SUM(J396:Q396)&lt;Variables!$B$28*H395),$F$1*(Variables!$B$28*H395-SUM(J396:Q396)),0)</f>
        <v>0</v>
      </c>
      <c r="V396" s="96">
        <f ca="1">IF(AND((J396+K396)=0,(Q396+T396)=0),$H$1*H396*Variables!$I$23*0.25,0)</f>
        <v>56.422467778221325</v>
      </c>
      <c r="W396" s="97">
        <f ca="1">IF(AND((K396+J396)=0,(T396+Q396)=0),$I$1*H396*Variables!$Q$23*0.25,0)</f>
        <v>18.14619587572566</v>
      </c>
      <c r="X396" s="95">
        <f ca="1">IF(AND(NOT(K396=0),(H396-H395)&gt;0),(H396-H395)*(Variables!$M$5*$H$1+Variables!$U$5*$I$1),0)+IF(AND(NOT((J396+N396+Q396)=0),(H395-H396)&gt;0),(H395-H396)*(Variables!$M$4*$H$1+Variables!$U$4*$I$1),0)</f>
        <v>0</v>
      </c>
      <c r="Y396" s="95">
        <f ca="1">IF(SUM(T396,U395:U396)&gt;0,H396*Variables!$Y$11*0.25*(1-$J$1),0)</f>
        <v>0</v>
      </c>
      <c r="Z396" s="95">
        <f ca="1">IF(T396=0,H396*$J$1*Variables!$Y$5*0.25,0)</f>
        <v>5.2089241630234575</v>
      </c>
      <c r="AA396" s="95">
        <f t="shared" ca="1" si="11"/>
        <v>79.777587816970438</v>
      </c>
      <c r="AB396" s="91">
        <f ca="1">AA396/Variables!$E$49</f>
        <v>12.86735287370491</v>
      </c>
    </row>
    <row r="397" spans="1:28" x14ac:dyDescent="0.25">
      <c r="A397" s="61">
        <f>'Water runs'!C404</f>
        <v>38230</v>
      </c>
      <c r="B397" s="61" t="str">
        <f>'Water runs'!B404</f>
        <v>Winter</v>
      </c>
      <c r="C397" s="54">
        <f>'Water runs'!D404/100</f>
        <v>0.30658333333333299</v>
      </c>
      <c r="D397" s="108">
        <f>VLOOKUP(ROW(D397)+4,'Water runs'!$BS$3:$CF$423,MATCH($B$1,Scenarios,0)+1)</f>
        <v>0</v>
      </c>
      <c r="E397" s="54">
        <f>IF(B397=Variables!$D$8,C397-Variables!$E$8,IF(B397=Variables!$D$9,C397-Variables!$E$9,IF(B397=Variables!$D$10,C397-Variables!$E$10,IF(B397=Variables!$D$11,C397-Variables!$E$11,"ELSE"))))</f>
        <v>-0.26518429232804275</v>
      </c>
      <c r="F397" s="108">
        <f>VLOOKUP(ROW(F397)+4,'Water runs'!$CH$3:$CU$423,MATCH($B$1,Scenarios,0)+1)</f>
        <v>0</v>
      </c>
      <c r="G397" s="65">
        <f ca="1">H397/Variables!$E$49</f>
        <v>0.37483849879635789</v>
      </c>
      <c r="H397" s="62">
        <f ca="1">IF((H396+I397)&gt;(1.1*Variables!$E$50),(1.1*Variables!$E$50),IF((H396+I397)&gt;0,H396+I397,0))</f>
        <v>2.323998692537419</v>
      </c>
      <c r="I397" s="64">
        <f t="shared" ca="1" si="12"/>
        <v>-2.3049758875716027</v>
      </c>
      <c r="J397" s="63">
        <f>IF(SUM(E393:E396)&lt;Variables!$B$3,-H396,0)</f>
        <v>0</v>
      </c>
      <c r="K397" s="64">
        <f ca="1">IF(AND(H396&lt;Variables!$B$6*Variables!$E$50,OR(SUM(D394:D397)&gt;Variables!$B$5,SUM(E394:E397)&gt;Variables!$B$4)),Variables!$B$6*Variables!$E$50+Variables!$B$7*$G$1*Variables!$E$50*SUM(D394:D397),0)</f>
        <v>0</v>
      </c>
      <c r="L397" s="64">
        <f ca="1">IF(B397="Winter",Variables!$B$8*H396,0)</f>
        <v>-2.3049758875716027</v>
      </c>
      <c r="M397" s="64">
        <f ca="1">IF(AND(B397="Spring",AND(NOT(H396=0),H396&lt;(Variables!$B$9*Variables!$E$50))),(Variables!$B$10*Variables!$E$50+Variables!$B$11*Variables!$E$50*SUM(E394:E397)+$G$1*SUM(D396:D397)*Variables!$E$50*Variables!$B$12),0)</f>
        <v>0</v>
      </c>
      <c r="N397" s="64">
        <f>IF(AND(B397="Spring",AND(SUM(D394:D397)&gt;Variables!$B$13,SUM(D390:D393)&gt;Variables!$B$13)),-Variables!$B$14*Variables!$E$50,0)</f>
        <v>0</v>
      </c>
      <c r="O397" s="64">
        <f>IF(AND(B397="Summer",SUM(C393:D397)&gt;Variables!$B$15),(Variables!$B$16*Variables!$E$50*SUM(C393:C397)+$G$1*Variables!$B$16*Variables!$E$50*SUM(D393:D397)+$G$1*Variables!$E$50*Variables!$B$17*F397),0)</f>
        <v>0</v>
      </c>
      <c r="P397" s="64">
        <f ca="1">IF(AND(AND(B397="Autumn",SUM(D396:E397)&gt;0),NOT(H396=0)),Variables!$B$18*Variables!$E$50+Variables!$B$19*Variables!$E$50*SUM(E396:E397)+$G$1*Variables!$B$19*Variables!$E$50*SUM(D396:D397),0)</f>
        <v>0</v>
      </c>
      <c r="Q397" s="64">
        <f>IF(AND(B397="Autumn",AND((E397+E396)&lt;Variables!$B$20,(D396+D397)=0)),-Variables!$B$21*Variables!$E$50,0)</f>
        <v>0</v>
      </c>
      <c r="R397" s="64">
        <f>IF(B397="Autumn",(SUM(F396:F397)*$G$1*Variables!$B$22*Variables!$E$50),0)</f>
        <v>0</v>
      </c>
      <c r="S397" s="64">
        <f>IF(B397="Spring",($G$1*Variables!$E$50*SUM('Guts (MC)'!F396:F397)*Variables!$B$23),0)</f>
        <v>0</v>
      </c>
      <c r="T397" s="63">
        <f ca="1">IF((H396+SUM(J397:Q397))&lt;(Variables!$B$26*Variables!$E$50),$F$1*((Variables!$B$26*Variables!$E$50)-H396-SUM(J397:Q397)),0)</f>
        <v>0</v>
      </c>
      <c r="U397" s="64">
        <f ca="1">IF(AND(AND(B397="Autumn",SUM(D394:E397)&gt;Variables!$B$27),SUM(J397:Q397)&lt;Variables!$B$28*H396),$F$1*(Variables!$B$28*H396-SUM(J397:Q397)),0)</f>
        <v>0</v>
      </c>
      <c r="V397" s="96">
        <f ca="1">IF(AND((J397+K397)=0,(Q397+T397)=0),$H$1*H397*Variables!$I$23*0.25,0)</f>
        <v>28.327168161557008</v>
      </c>
      <c r="W397" s="97">
        <f ca="1">IF(AND((K397+J397)=0,(T397+Q397)=0),$I$1*H397*Variables!$Q$23*0.25,0)</f>
        <v>9.1103839003412936</v>
      </c>
      <c r="X397" s="95">
        <f ca="1">IF(AND(NOT(K397=0),(H397-H396)&gt;0),(H397-H396)*(Variables!$M$5*$H$1+Variables!$U$5*$I$1),0)+IF(AND(NOT((J397+N397+Q397)=0),(H396-H397)&gt;0),(H396-H397)*(Variables!$M$4*$H$1+Variables!$U$4*$I$1),0)</f>
        <v>0</v>
      </c>
      <c r="Y397" s="95">
        <f ca="1">IF(SUM(T397,U396:U397)&gt;0,H397*Variables!$Y$11*0.25*(1-$J$1),0)</f>
        <v>0</v>
      </c>
      <c r="Z397" s="95">
        <f ca="1">IF(T397=0,H397*$J$1*Variables!$Y$5*0.25,0)</f>
        <v>2.6151651375255502</v>
      </c>
      <c r="AA397" s="95">
        <f t="shared" ca="1" si="11"/>
        <v>40.052717199423853</v>
      </c>
      <c r="AB397" s="91">
        <f ca="1">AA397/Variables!$E$49</f>
        <v>6.4601156773264279</v>
      </c>
    </row>
    <row r="398" spans="1:28" x14ac:dyDescent="0.25">
      <c r="A398" s="61">
        <f>'Water runs'!C405</f>
        <v>38321</v>
      </c>
      <c r="B398" s="61" t="str">
        <f>'Water runs'!B405</f>
        <v>Spring</v>
      </c>
      <c r="C398" s="54">
        <f>'Water runs'!D405/100</f>
        <v>0.51708571428571404</v>
      </c>
      <c r="D398" s="108">
        <f>VLOOKUP(ROW(D398)+4,'Water runs'!$BS$3:$CF$423,MATCH($B$1,Scenarios,0)+1)</f>
        <v>0</v>
      </c>
      <c r="E398" s="54">
        <f>IF(B398=Variables!$D$8,C398-Variables!$E$8,IF(B398=Variables!$D$9,C398-Variables!$E$9,IF(B398=Variables!$D$10,C398-Variables!$E$10,IF(B398=Variables!$D$11,C398-Variables!$E$11,"ELSE"))))</f>
        <v>-0.24689649470899511</v>
      </c>
      <c r="F398" s="108">
        <f>VLOOKUP(ROW(F398)+4,'Water runs'!$CH$3:$CU$423,MATCH($B$1,Scenarios,0)+1)</f>
        <v>0</v>
      </c>
      <c r="G398" s="65">
        <f ca="1">H398/Variables!$E$49</f>
        <v>0.37483849879635789</v>
      </c>
      <c r="H398" s="62">
        <f ca="1">IF((H397+I398)&gt;(1.1*Variables!$E$50),(1.1*Variables!$E$50),IF((H397+I398)&gt;0,H397+I398,0))</f>
        <v>2.323998692537419</v>
      </c>
      <c r="I398" s="64">
        <f t="shared" ca="1" si="12"/>
        <v>0</v>
      </c>
      <c r="J398" s="63">
        <f>IF(SUM(E394:E397)&lt;Variables!$B$3,-H397,0)</f>
        <v>0</v>
      </c>
      <c r="K398" s="64">
        <f ca="1">IF(AND(H397&lt;Variables!$B$6*Variables!$E$50,OR(SUM(D395:D398)&gt;Variables!$B$5,SUM(E395:E398)&gt;Variables!$B$4)),Variables!$B$6*Variables!$E$50+Variables!$B$7*$G$1*Variables!$E$50*SUM(D395:D398),0)</f>
        <v>0</v>
      </c>
      <c r="L398" s="64">
        <f>IF(B398="Winter",Variables!$B$8*H397,0)</f>
        <v>0</v>
      </c>
      <c r="M398" s="64">
        <f ca="1">IF(AND(B398="Spring",AND(NOT(H397=0),H397&lt;(Variables!$B$9*Variables!$E$50))),(Variables!$B$10*Variables!$E$50+Variables!$B$11*Variables!$E$50*SUM(E395:E398)+$G$1*SUM(D397:D398)*Variables!$E$50*Variables!$B$12),0)</f>
        <v>0</v>
      </c>
      <c r="N398" s="64">
        <f>IF(AND(B398="Spring",AND(SUM(D395:D398)&gt;Variables!$B$13,SUM(D391:D394)&gt;Variables!$B$13)),-Variables!$B$14*Variables!$E$50,0)</f>
        <v>0</v>
      </c>
      <c r="O398" s="64">
        <f>IF(AND(B398="Summer",SUM(C394:D398)&gt;Variables!$B$15),(Variables!$B$16*Variables!$E$50*SUM(C394:C398)+$G$1*Variables!$B$16*Variables!$E$50*SUM(D394:D398)+$G$1*Variables!$E$50*Variables!$B$17*F398),0)</f>
        <v>0</v>
      </c>
      <c r="P398" s="64">
        <f ca="1">IF(AND(AND(B398="Autumn",SUM(D397:E398)&gt;0),NOT(H397=0)),Variables!$B$18*Variables!$E$50+Variables!$B$19*Variables!$E$50*SUM(E397:E398)+$G$1*Variables!$B$19*Variables!$E$50*SUM(D397:D398),0)</f>
        <v>0</v>
      </c>
      <c r="Q398" s="64">
        <f>IF(AND(B398="Autumn",AND((E398+E397)&lt;Variables!$B$20,(D397+D398)=0)),-Variables!$B$21*Variables!$E$50,0)</f>
        <v>0</v>
      </c>
      <c r="R398" s="64">
        <f>IF(B398="Autumn",(SUM(F397:F398)*$G$1*Variables!$B$22*Variables!$E$50),0)</f>
        <v>0</v>
      </c>
      <c r="S398" s="64">
        <f ca="1">IF(B398="Spring",($G$1*Variables!$E$50*SUM('Guts (MC)'!F397:F398)*Variables!$B$23),0)</f>
        <v>0</v>
      </c>
      <c r="T398" s="63">
        <f ca="1">IF((H397+SUM(J398:Q398))&lt;(Variables!$B$26*Variables!$E$50),$F$1*((Variables!$B$26*Variables!$E$50)-H397-SUM(J398:Q398)),0)</f>
        <v>0</v>
      </c>
      <c r="U398" s="64">
        <f ca="1">IF(AND(AND(B398="Autumn",SUM(D395:E398)&gt;Variables!$B$27),SUM(J398:Q398)&lt;Variables!$B$28*H397),$F$1*(Variables!$B$28*H397-SUM(J398:Q398)),0)</f>
        <v>0</v>
      </c>
      <c r="V398" s="96">
        <f ca="1">IF(AND((J398+K398)=0,(Q398+T398)=0),$H$1*H398*Variables!$I$23*0.25,0)</f>
        <v>28.327168161557008</v>
      </c>
      <c r="W398" s="97">
        <f ca="1">IF(AND((K398+J398)=0,(T398+Q398)=0),$I$1*H398*Variables!$Q$23*0.25,0)</f>
        <v>9.1103839003412936</v>
      </c>
      <c r="X398" s="95">
        <f ca="1">IF(AND(NOT(K398=0),(H398-H397)&gt;0),(H398-H397)*(Variables!$M$5*$H$1+Variables!$U$5*$I$1),0)+IF(AND(NOT((J398+N398+Q398)=0),(H397-H398)&gt;0),(H397-H398)*(Variables!$M$4*$H$1+Variables!$U$4*$I$1),0)</f>
        <v>0</v>
      </c>
      <c r="Y398" s="95">
        <f ca="1">IF(SUM(T398,U397:U398)&gt;0,H398*Variables!$Y$11*0.25*(1-$J$1),0)</f>
        <v>0</v>
      </c>
      <c r="Z398" s="95">
        <f ca="1">IF(T398=0,H398*$J$1*Variables!$Y$5*0.25,0)</f>
        <v>2.6151651375255502</v>
      </c>
      <c r="AA398" s="95">
        <f t="shared" ca="1" si="11"/>
        <v>40.052717199423853</v>
      </c>
      <c r="AB398" s="91">
        <f ca="1">AA398/Variables!$E$49</f>
        <v>6.4601156773264279</v>
      </c>
    </row>
    <row r="399" spans="1:28" x14ac:dyDescent="0.25">
      <c r="A399" s="61">
        <f>'Water runs'!C406</f>
        <v>38411</v>
      </c>
      <c r="B399" s="61" t="str">
        <f>'Water runs'!B406</f>
        <v>Summer</v>
      </c>
      <c r="C399" s="54">
        <f>'Water runs'!D406/100</f>
        <v>0.66964285714285698</v>
      </c>
      <c r="D399" s="108">
        <f>VLOOKUP(ROW(D399)+4,'Water runs'!$BS$3:$CF$423,MATCH($B$1,Scenarios,0)+1)</f>
        <v>8.6714859183366459E-3</v>
      </c>
      <c r="E399" s="54">
        <f>IF(B399=Variables!$D$8,C399-Variables!$E$8,IF(B399=Variables!$D$9,C399-Variables!$E$9,IF(B399=Variables!$D$10,C399-Variables!$E$10,IF(B399=Variables!$D$11,C399-Variables!$E$11,"ELSE"))))</f>
        <v>-0.58872727891156473</v>
      </c>
      <c r="F399" s="108">
        <f>VLOOKUP(ROW(F399)+4,'Water runs'!$CH$3:$CU$423,MATCH($B$1,Scenarios,0)+1)</f>
        <v>0</v>
      </c>
      <c r="G399" s="65">
        <f ca="1">H399/Variables!$E$49</f>
        <v>0.37483849879635789</v>
      </c>
      <c r="H399" s="62">
        <f ca="1">IF((H398+I399)&gt;(1.1*Variables!$E$50),(1.1*Variables!$E$50),IF((H398+I399)&gt;0,H398+I399,0))</f>
        <v>2.323998692537419</v>
      </c>
      <c r="I399" s="64">
        <f t="shared" ca="1" si="12"/>
        <v>0</v>
      </c>
      <c r="J399" s="63">
        <f>IF(SUM(E395:E398)&lt;Variables!$B$3,-H398,0)</f>
        <v>0</v>
      </c>
      <c r="K399" s="64">
        <f ca="1">IF(AND(H398&lt;Variables!$B$6*Variables!$E$50,OR(SUM(D396:D399)&gt;Variables!$B$5,SUM(E396:E399)&gt;Variables!$B$4)),Variables!$B$6*Variables!$E$50+Variables!$B$7*$G$1*Variables!$E$50*SUM(D396:D399),0)</f>
        <v>0</v>
      </c>
      <c r="L399" s="64">
        <f>IF(B399="Winter",Variables!$B$8*H398,0)</f>
        <v>0</v>
      </c>
      <c r="M399" s="64">
        <f ca="1">IF(AND(B399="Spring",AND(NOT(H398=0),H398&lt;(Variables!$B$9*Variables!$E$50))),(Variables!$B$10*Variables!$E$50+Variables!$B$11*Variables!$E$50*SUM(E396:E399)+$G$1*SUM(D398:D399)*Variables!$E$50*Variables!$B$12),0)</f>
        <v>0</v>
      </c>
      <c r="N399" s="64">
        <f>IF(AND(B399="Spring",AND(SUM(D396:D399)&gt;Variables!$B$13,SUM(D392:D395)&gt;Variables!$B$13)),-Variables!$B$14*Variables!$E$50,0)</f>
        <v>0</v>
      </c>
      <c r="O399" s="64">
        <f>IF(AND(B399="Summer",SUM(C395:D399)&gt;Variables!$B$15),(Variables!$B$16*Variables!$E$50*SUM(C395:C399)+$G$1*Variables!$B$16*Variables!$E$50*SUM(D395:D399)+$G$1*Variables!$E$50*Variables!$B$17*F399),0)</f>
        <v>0</v>
      </c>
      <c r="P399" s="64">
        <f ca="1">IF(AND(AND(B399="Autumn",SUM(D398:E399)&gt;0),NOT(H398=0)),Variables!$B$18*Variables!$E$50+Variables!$B$19*Variables!$E$50*SUM(E398:E399)+$G$1*Variables!$B$19*Variables!$E$50*SUM(D398:D399),0)</f>
        <v>0</v>
      </c>
      <c r="Q399" s="64">
        <f>IF(AND(B399="Autumn",AND((E399+E398)&lt;Variables!$B$20,(D398+D399)=0)),-Variables!$B$21*Variables!$E$50,0)</f>
        <v>0</v>
      </c>
      <c r="R399" s="64">
        <f>IF(B399="Autumn",(SUM(F398:F399)*$G$1*Variables!$B$22*Variables!$E$50),0)</f>
        <v>0</v>
      </c>
      <c r="S399" s="64">
        <f>IF(B399="Spring",($G$1*Variables!$E$50*SUM('Guts (MC)'!F398:F399)*Variables!$B$23),0)</f>
        <v>0</v>
      </c>
      <c r="T399" s="63">
        <f ca="1">IF((H398+SUM(J399:Q399))&lt;(Variables!$B$26*Variables!$E$50),$F$1*((Variables!$B$26*Variables!$E$50)-H398-SUM(J399:Q399)),0)</f>
        <v>0</v>
      </c>
      <c r="U399" s="64">
        <f ca="1">IF(AND(AND(B399="Autumn",SUM(D396:E399)&gt;Variables!$B$27),SUM(J399:Q399)&lt;Variables!$B$28*H398),$F$1*(Variables!$B$28*H398-SUM(J399:Q399)),0)</f>
        <v>0</v>
      </c>
      <c r="V399" s="96">
        <f ca="1">IF(AND((J399+K399)=0,(Q399+T399)=0),$H$1*H399*Variables!$I$23*0.25,0)</f>
        <v>28.327168161557008</v>
      </c>
      <c r="W399" s="97">
        <f ca="1">IF(AND((K399+J399)=0,(T399+Q399)=0),$I$1*H399*Variables!$Q$23*0.25,0)</f>
        <v>9.1103839003412936</v>
      </c>
      <c r="X399" s="95">
        <f ca="1">IF(AND(NOT(K399=0),(H399-H398)&gt;0),(H399-H398)*(Variables!$M$5*$H$1+Variables!$U$5*$I$1),0)+IF(AND(NOT((J399+N399+Q399)=0),(H398-H399)&gt;0),(H398-H399)*(Variables!$M$4*$H$1+Variables!$U$4*$I$1),0)</f>
        <v>0</v>
      </c>
      <c r="Y399" s="95">
        <f ca="1">IF(SUM(T399,U398:U399)&gt;0,H399*Variables!$Y$11*0.25*(1-$J$1),0)</f>
        <v>0</v>
      </c>
      <c r="Z399" s="95">
        <f ca="1">IF(T399=0,H399*$J$1*Variables!$Y$5*0.25,0)</f>
        <v>2.6151651375255502</v>
      </c>
      <c r="AA399" s="95">
        <f t="shared" ca="1" si="11"/>
        <v>40.052717199423853</v>
      </c>
      <c r="AB399" s="91">
        <f ca="1">AA399/Variables!$E$49</f>
        <v>6.4601156773264279</v>
      </c>
    </row>
    <row r="400" spans="1:28" x14ac:dyDescent="0.25">
      <c r="A400" s="61">
        <f>'Water runs'!C407</f>
        <v>38503</v>
      </c>
      <c r="B400" s="61" t="str">
        <f>'Water runs'!B407</f>
        <v>Autumn</v>
      </c>
      <c r="C400" s="54">
        <f>'Water runs'!D407/100</f>
        <v>0.24485714285714302</v>
      </c>
      <c r="D400" s="108">
        <f>VLOOKUP(ROW(D400)+4,'Water runs'!$BS$3:$CF$423,MATCH($B$1,Scenarios,0)+1)</f>
        <v>0</v>
      </c>
      <c r="E400" s="54">
        <f>IF(B400=Variables!$D$8,C400-Variables!$E$8,IF(B400=Variables!$D$9,C400-Variables!$E$9,IF(B400=Variables!$D$10,C400-Variables!$E$10,IF(B400=Variables!$D$11,C400-Variables!$E$11,"ELSE"))))</f>
        <v>-0.74978615646258484</v>
      </c>
      <c r="F400" s="108">
        <f>VLOOKUP(ROW(F400)+4,'Water runs'!$CH$3:$CU$423,MATCH($B$1,Scenarios,0)+1)</f>
        <v>0</v>
      </c>
      <c r="G400" s="65">
        <f ca="1">H400/Variables!$E$49</f>
        <v>0.37483849879635789</v>
      </c>
      <c r="H400" s="62">
        <f ca="1">IF((H399+I400)&gt;(1.1*Variables!$E$50),(1.1*Variables!$E$50),IF((H399+I400)&gt;0,H399+I400,0))</f>
        <v>2.323998692537419</v>
      </c>
      <c r="I400" s="64">
        <f t="shared" ca="1" si="12"/>
        <v>0</v>
      </c>
      <c r="J400" s="63">
        <f>IF(SUM(E396:E399)&lt;Variables!$B$3,-H399,0)</f>
        <v>0</v>
      </c>
      <c r="K400" s="64">
        <f ca="1">IF(AND(H399&lt;Variables!$B$6*Variables!$E$50,OR(SUM(D397:D400)&gt;Variables!$B$5,SUM(E397:E400)&gt;Variables!$B$4)),Variables!$B$6*Variables!$E$50+Variables!$B$7*$G$1*Variables!$E$50*SUM(D397:D400),0)</f>
        <v>0</v>
      </c>
      <c r="L400" s="64">
        <f>IF(B400="Winter",Variables!$B$8*H399,0)</f>
        <v>0</v>
      </c>
      <c r="M400" s="64">
        <f ca="1">IF(AND(B400="Spring",AND(NOT(H399=0),H399&lt;(Variables!$B$9*Variables!$E$50))),(Variables!$B$10*Variables!$E$50+Variables!$B$11*Variables!$E$50*SUM(E397:E400)+$G$1*SUM(D399:D400)*Variables!$E$50*Variables!$B$12),0)</f>
        <v>0</v>
      </c>
      <c r="N400" s="64">
        <f>IF(AND(B400="Spring",AND(SUM(D397:D400)&gt;Variables!$B$13,SUM(D393:D396)&gt;Variables!$B$13)),-Variables!$B$14*Variables!$E$50,0)</f>
        <v>0</v>
      </c>
      <c r="O400" s="64">
        <f>IF(AND(B400="Summer",SUM(C396:D400)&gt;Variables!$B$15),(Variables!$B$16*Variables!$E$50*SUM(C396:C400)+$G$1*Variables!$B$16*Variables!$E$50*SUM(D396:D400)+$G$1*Variables!$E$50*Variables!$B$17*F400),0)</f>
        <v>0</v>
      </c>
      <c r="P400" s="64">
        <f ca="1">IF(AND(AND(B400="Autumn",SUM(D399:E400)&gt;0),NOT(H399=0)),Variables!$B$18*Variables!$E$50+Variables!$B$19*Variables!$E$50*SUM(E399:E400)+$G$1*Variables!$B$19*Variables!$E$50*SUM(D399:D400),0)</f>
        <v>0</v>
      </c>
      <c r="Q400" s="64">
        <f>IF(AND(B400="Autumn",AND((E400+E399)&lt;Variables!$B$20,(D399+D400)=0)),-Variables!$B$21*Variables!$E$50,0)</f>
        <v>0</v>
      </c>
      <c r="R400" s="64">
        <f ca="1">IF(B400="Autumn",(SUM(F399:F400)*$G$1*Variables!$B$22*Variables!$E$50),0)</f>
        <v>0</v>
      </c>
      <c r="S400" s="64">
        <f>IF(B400="Spring",($G$1*Variables!$E$50*SUM('Guts (MC)'!F399:F400)*Variables!$B$23),0)</f>
        <v>0</v>
      </c>
      <c r="T400" s="63">
        <f ca="1">IF((H399+SUM(J400:Q400))&lt;(Variables!$B$26*Variables!$E$50),$F$1*((Variables!$B$26*Variables!$E$50)-H399-SUM(J400:Q400)),0)</f>
        <v>0</v>
      </c>
      <c r="U400" s="64">
        <f ca="1">IF(AND(AND(B400="Autumn",SUM(D397:E400)&gt;Variables!$B$27),SUM(J400:Q400)&lt;Variables!$B$28*H399),$F$1*(Variables!$B$28*H399-SUM(J400:Q400)),0)</f>
        <v>0</v>
      </c>
      <c r="V400" s="96">
        <f ca="1">IF(AND((J400+K400)=0,(Q400+T400)=0),$H$1*H400*Variables!$I$23*0.25,0)</f>
        <v>28.327168161557008</v>
      </c>
      <c r="W400" s="97">
        <f ca="1">IF(AND((K400+J400)=0,(T400+Q400)=0),$I$1*H400*Variables!$Q$23*0.25,0)</f>
        <v>9.1103839003412936</v>
      </c>
      <c r="X400" s="95">
        <f ca="1">IF(AND(NOT(K400=0),(H400-H399)&gt;0),(H400-H399)*(Variables!$M$5*$H$1+Variables!$U$5*$I$1),0)+IF(AND(NOT((J400+N400+Q400)=0),(H399-H400)&gt;0),(H399-H400)*(Variables!$M$4*$H$1+Variables!$U$4*$I$1),0)</f>
        <v>0</v>
      </c>
      <c r="Y400" s="95">
        <f ca="1">IF(SUM(T400,U399:U400)&gt;0,H400*Variables!$Y$11*0.25*(1-$J$1),0)</f>
        <v>0</v>
      </c>
      <c r="Z400" s="95">
        <f ca="1">IF(T400=0,H400*$J$1*Variables!$Y$5*0.25,0)</f>
        <v>2.6151651375255502</v>
      </c>
      <c r="AA400" s="95">
        <f t="shared" ref="AA400:AA417" ca="1" si="13">SUM(V400:Z400)</f>
        <v>40.052717199423853</v>
      </c>
      <c r="AB400" s="91">
        <f ca="1">AA400/Variables!$E$49</f>
        <v>6.4601156773264279</v>
      </c>
    </row>
    <row r="401" spans="1:28" x14ac:dyDescent="0.25">
      <c r="A401" s="61">
        <f>'Water runs'!C408</f>
        <v>38595</v>
      </c>
      <c r="B401" s="61" t="str">
        <f>'Water runs'!B408</f>
        <v>Winter</v>
      </c>
      <c r="C401" s="54">
        <f>'Water runs'!D408/100</f>
        <v>0.817533333333333</v>
      </c>
      <c r="D401" s="108">
        <f>VLOOKUP(ROW(D401)+4,'Water runs'!$BS$3:$CF$423,MATCH($B$1,Scenarios,0)+1)</f>
        <v>1.0013539299598572E-2</v>
      </c>
      <c r="E401" s="54">
        <f>IF(B401=Variables!$D$8,C401-Variables!$E$8,IF(B401=Variables!$D$9,C401-Variables!$E$9,IF(B401=Variables!$D$10,C401-Variables!$E$10,IF(B401=Variables!$D$11,C401-Variables!$E$11,"ELSE"))))</f>
        <v>0.24576570767195727</v>
      </c>
      <c r="F401" s="108">
        <f>VLOOKUP(ROW(F401)+4,'Water runs'!$CH$3:$CU$423,MATCH($B$1,Scenarios,0)+1)</f>
        <v>0</v>
      </c>
      <c r="G401" s="65">
        <f ca="1">H401/Variables!$E$49</f>
        <v>0.16100000000000003</v>
      </c>
      <c r="H401" s="62">
        <f ca="1">IF((H400+I401)&gt;(1.1*Variables!$E$50),(1.1*Variables!$E$50),IF((H400+I401)&gt;0,H400+I401,0))</f>
        <v>0.9982000000000002</v>
      </c>
      <c r="I401" s="64">
        <f t="shared" ca="1" si="12"/>
        <v>-1.3257986925374188</v>
      </c>
      <c r="J401" s="63">
        <f ca="1">IF(SUM(E397:E400)&lt;Variables!$B$3,-H400,0)</f>
        <v>-2.323998692537419</v>
      </c>
      <c r="K401" s="64">
        <f ca="1">IF(AND(H400&lt;Variables!$B$6*Variables!$E$50,OR(SUM(D398:D401)&gt;Variables!$B$5,SUM(E398:E401)&gt;Variables!$B$4)),Variables!$B$6*Variables!$E$50+Variables!$B$7*$G$1*Variables!$E$50*SUM(D398:D401),0)</f>
        <v>0</v>
      </c>
      <c r="L401" s="64">
        <f ca="1">IF(B401="Winter",Variables!$B$8*H400,0)</f>
        <v>-1.1572241014381459</v>
      </c>
      <c r="M401" s="64">
        <f ca="1">IF(AND(B401="Spring",AND(NOT(H400=0),H400&lt;(Variables!$B$9*Variables!$E$50))),(Variables!$B$10*Variables!$E$50+Variables!$B$11*Variables!$E$50*SUM(E398:E401)+$G$1*SUM(D400:D401)*Variables!$E$50*Variables!$B$12),0)</f>
        <v>0</v>
      </c>
      <c r="N401" s="64">
        <f>IF(AND(B401="Spring",AND(SUM(D398:D401)&gt;Variables!$B$13,SUM(D394:D397)&gt;Variables!$B$13)),-Variables!$B$14*Variables!$E$50,0)</f>
        <v>0</v>
      </c>
      <c r="O401" s="64">
        <f>IF(AND(B401="Summer",SUM(C397:D401)&gt;Variables!$B$15),(Variables!$B$16*Variables!$E$50*SUM(C397:C401)+$G$1*Variables!$B$16*Variables!$E$50*SUM(D397:D401)+$G$1*Variables!$E$50*Variables!$B$17*F401),0)</f>
        <v>0</v>
      </c>
      <c r="P401" s="64">
        <f ca="1">IF(AND(AND(B401="Autumn",SUM(D400:E401)&gt;0),NOT(H400=0)),Variables!$B$18*Variables!$E$50+Variables!$B$19*Variables!$E$50*SUM(E400:E401)+$G$1*Variables!$B$19*Variables!$E$50*SUM(D400:D401),0)</f>
        <v>0</v>
      </c>
      <c r="Q401" s="64">
        <f>IF(AND(B401="Autumn",AND((E401+E400)&lt;Variables!$B$20,(D400+D401)=0)),-Variables!$B$21*Variables!$E$50,0)</f>
        <v>0</v>
      </c>
      <c r="R401" s="64">
        <f>IF(B401="Autumn",(SUM(F400:F401)*$G$1*Variables!$B$22*Variables!$E$50),0)</f>
        <v>0</v>
      </c>
      <c r="S401" s="64">
        <f>IF(B401="Spring",($G$1*Variables!$E$50*SUM('Guts (MC)'!F400:F401)*Variables!$B$23),0)</f>
        <v>0</v>
      </c>
      <c r="T401" s="63">
        <f ca="1">IF((H400+SUM(J401:Q401))&lt;(Variables!$B$26*Variables!$E$50),$F$1*((Variables!$B$26*Variables!$E$50)-H400-SUM(J401:Q401)),0)</f>
        <v>2.1554241014381463</v>
      </c>
      <c r="U401" s="64">
        <f ca="1">IF(AND(AND(B401="Autumn",SUM(D398:E401)&gt;Variables!$B$27),SUM(J401:Q401)&lt;Variables!$B$28*H400),$F$1*(Variables!$B$28*H400-SUM(J401:Q401)),0)</f>
        <v>0</v>
      </c>
      <c r="V401" s="96">
        <f ca="1">IF(AND((J401+K401)=0,(Q401+T401)=0),$H$1*H401*Variables!$I$23*0.25,0)</f>
        <v>0</v>
      </c>
      <c r="W401" s="97">
        <f ca="1">IF(AND((K401+J401)=0,(T401+Q401)=0),$I$1*H401*Variables!$Q$23*0.25,0)</f>
        <v>0</v>
      </c>
      <c r="X401" s="95">
        <f ca="1">IF(AND(NOT(K401=0),(H401-H400)&gt;0),(H401-H400)*(Variables!$M$5*$H$1+Variables!$U$5*$I$1),0)+IF(AND(NOT((J401+N401+Q401)=0),(H400-H401)&gt;0),(H400-H401)*(Variables!$M$4*$H$1+Variables!$U$4*$I$1),0)</f>
        <v>75.778988656978541</v>
      </c>
      <c r="Y401" s="95">
        <f ca="1">IF(SUM(T401,U400:U401)&gt;0,H401*Variables!$Y$11*0.25*(1-$J$1),0)</f>
        <v>-8.6666009437672749</v>
      </c>
      <c r="Z401" s="95">
        <f ca="1">IF(T401=0,H401*$J$1*Variables!$Y$5*0.25,0)</f>
        <v>0</v>
      </c>
      <c r="AA401" s="95">
        <f t="shared" ca="1" si="13"/>
        <v>67.112387713211263</v>
      </c>
      <c r="AB401" s="91">
        <f ca="1">AA401/Variables!$E$49</f>
        <v>10.824578663421171</v>
      </c>
    </row>
    <row r="402" spans="1:28" x14ac:dyDescent="0.25">
      <c r="A402" s="61">
        <f>'Water runs'!C409</f>
        <v>38686</v>
      </c>
      <c r="B402" s="61" t="str">
        <f>'Water runs'!B409</f>
        <v>Spring</v>
      </c>
      <c r="C402" s="54">
        <f>'Water runs'!D409/100</f>
        <v>0.83304761904761904</v>
      </c>
      <c r="D402" s="108">
        <f>VLOOKUP(ROW(D402)+4,'Water runs'!$BS$3:$CF$423,MATCH($B$1,Scenarios,0)+1)</f>
        <v>0</v>
      </c>
      <c r="E402" s="54">
        <f>IF(B402=Variables!$D$8,C402-Variables!$E$8,IF(B402=Variables!$D$9,C402-Variables!$E$9,IF(B402=Variables!$D$10,C402-Variables!$E$10,IF(B402=Variables!$D$11,C402-Variables!$E$11,"ELSE"))))</f>
        <v>6.9065410052909892E-2</v>
      </c>
      <c r="F402" s="108">
        <f>VLOOKUP(ROW(F402)+4,'Water runs'!$CH$3:$CU$423,MATCH($B$1,Scenarios,0)+1)</f>
        <v>0</v>
      </c>
      <c r="G402" s="65">
        <f ca="1">H402/Variables!$E$49</f>
        <v>0.161</v>
      </c>
      <c r="H402" s="62">
        <f ca="1">IF((H401+I402)&gt;(1.1*Variables!$E$50),(1.1*Variables!$E$50),IF((H401+I402)&gt;0,H401+I402,0))</f>
        <v>0.99820000000000009</v>
      </c>
      <c r="I402" s="64">
        <f t="shared" ca="1" si="12"/>
        <v>-1.1102230246251565E-16</v>
      </c>
      <c r="J402" s="63">
        <f>IF(SUM(E398:E401)&lt;Variables!$B$3,-H401,0)</f>
        <v>0</v>
      </c>
      <c r="K402" s="64">
        <f ca="1">IF(AND(H401&lt;Variables!$B$6*Variables!$E$50,OR(SUM(D399:D402)&gt;Variables!$B$5,SUM(E399:E402)&gt;Variables!$B$4)),Variables!$B$6*Variables!$E$50+Variables!$B$7*$G$1*Variables!$E$50*SUM(D399:D402),0)</f>
        <v>0</v>
      </c>
      <c r="L402" s="64">
        <f>IF(B402="Winter",Variables!$B$8*H401,0)</f>
        <v>0</v>
      </c>
      <c r="M402" s="64">
        <f ca="1">IF(AND(B402="Spring",AND(NOT(H401=0),H401&lt;(Variables!$B$9*Variables!$E$50))),(Variables!$B$10*Variables!$E$50+Variables!$B$11*Variables!$E$50*SUM(E399:E402)+$G$1*SUM(D401:D402)*Variables!$E$50*Variables!$B$12),0)</f>
        <v>-0.69320752603739877</v>
      </c>
      <c r="N402" s="64">
        <f>IF(AND(B402="Spring",AND(SUM(D399:D402)&gt;Variables!$B$13,SUM(D395:D398)&gt;Variables!$B$13)),-Variables!$B$14*Variables!$E$50,0)</f>
        <v>0</v>
      </c>
      <c r="O402" s="64">
        <f>IF(AND(B402="Summer",SUM(C398:D402)&gt;Variables!$B$15),(Variables!$B$16*Variables!$E$50*SUM(C398:C402)+$G$1*Variables!$B$16*Variables!$E$50*SUM(D398:D402)+$G$1*Variables!$E$50*Variables!$B$17*F402),0)</f>
        <v>0</v>
      </c>
      <c r="P402" s="64">
        <f ca="1">IF(AND(AND(B402="Autumn",SUM(D401:E402)&gt;0),NOT(H401=0)),Variables!$B$18*Variables!$E$50+Variables!$B$19*Variables!$E$50*SUM(E401:E402)+$G$1*Variables!$B$19*Variables!$E$50*SUM(D401:D402),0)</f>
        <v>0</v>
      </c>
      <c r="Q402" s="64">
        <f>IF(AND(B402="Autumn",AND((E402+E401)&lt;Variables!$B$20,(D401+D402)=0)),-Variables!$B$21*Variables!$E$50,0)</f>
        <v>0</v>
      </c>
      <c r="R402" s="64">
        <f>IF(B402="Autumn",(SUM(F401:F402)*$G$1*Variables!$B$22*Variables!$E$50),0)</f>
        <v>0</v>
      </c>
      <c r="S402" s="64">
        <f ca="1">IF(B402="Spring",($G$1*Variables!$E$50*SUM('Guts (MC)'!F401:F402)*Variables!$B$23),0)</f>
        <v>0</v>
      </c>
      <c r="T402" s="63">
        <f ca="1">IF((H401+SUM(J402:Q402))&lt;(Variables!$B$26*Variables!$E$50),$F$1*((Variables!$B$26*Variables!$E$50)-H401-SUM(J402:Q402)),0)</f>
        <v>0.69320752603739866</v>
      </c>
      <c r="U402" s="64">
        <f ca="1">IF(AND(AND(B402="Autumn",SUM(D399:E402)&gt;Variables!$B$27),SUM(J402:Q402)&lt;Variables!$B$28*H401),$F$1*(Variables!$B$28*H401-SUM(J402:Q402)),0)</f>
        <v>0</v>
      </c>
      <c r="V402" s="96">
        <f ca="1">IF(AND((J402+K402)=0,(Q402+T402)=0),$H$1*H402*Variables!$I$23*0.25,0)</f>
        <v>0</v>
      </c>
      <c r="W402" s="97">
        <f ca="1">IF(AND((K402+J402)=0,(T402+Q402)=0),$I$1*H402*Variables!$Q$23*0.25,0)</f>
        <v>0</v>
      </c>
      <c r="X402" s="95">
        <f ca="1">IF(AND(NOT(K402=0),(H402-H401)&gt;0),(H402-H401)*(Variables!$M$5*$H$1+Variables!$U$5*$I$1),0)+IF(AND(NOT((J402+N402+Q402)=0),(H401-H402)&gt;0),(H401-H402)*(Variables!$M$4*$H$1+Variables!$U$4*$I$1),0)</f>
        <v>0</v>
      </c>
      <c r="Y402" s="95">
        <f ca="1">IF(SUM(T402,U401:U402)&gt;0,H402*Variables!$Y$11*0.25*(1-$J$1),0)</f>
        <v>-8.6666009437672749</v>
      </c>
      <c r="Z402" s="95">
        <f ca="1">IF(T402=0,H402*$J$1*Variables!$Y$5*0.25,0)</f>
        <v>0</v>
      </c>
      <c r="AA402" s="95">
        <f t="shared" ca="1" si="13"/>
        <v>-8.6666009437672749</v>
      </c>
      <c r="AB402" s="91">
        <f ca="1">AA402/Variables!$E$49</f>
        <v>-1.3978388618979476</v>
      </c>
    </row>
    <row r="403" spans="1:28" x14ac:dyDescent="0.25">
      <c r="A403" s="61">
        <f>'Water runs'!C410</f>
        <v>38776</v>
      </c>
      <c r="B403" s="61" t="str">
        <f>'Water runs'!B410</f>
        <v>Summer</v>
      </c>
      <c r="C403" s="54">
        <f>'Water runs'!D410/100</f>
        <v>1.0407142857142899</v>
      </c>
      <c r="D403" s="108">
        <f>VLOOKUP(ROW(D403)+4,'Water runs'!$BS$3:$CF$423,MATCH($B$1,Scenarios,0)+1)</f>
        <v>2.5989912825913113E-2</v>
      </c>
      <c r="E403" s="54">
        <f>IF(B403=Variables!$D$8,C403-Variables!$E$8,IF(B403=Variables!$D$9,C403-Variables!$E$9,IF(B403=Variables!$D$10,C403-Variables!$E$10,IF(B403=Variables!$D$11,C403-Variables!$E$11,"ELSE"))))</f>
        <v>-0.2176558503401318</v>
      </c>
      <c r="F403" s="108">
        <f>VLOOKUP(ROW(F403)+4,'Water runs'!$CH$3:$CU$423,MATCH($B$1,Scenarios,0)+1)</f>
        <v>0</v>
      </c>
      <c r="G403" s="65">
        <f ca="1">H403/Variables!$E$49</f>
        <v>0.161</v>
      </c>
      <c r="H403" s="62">
        <f ca="1">IF((H402+I403)&gt;(1.1*Variables!$E$50),(1.1*Variables!$E$50),IF((H402+I403)&gt;0,H402+I403,0))</f>
        <v>0.99820000000000009</v>
      </c>
      <c r="I403" s="64">
        <f t="shared" ca="1" si="12"/>
        <v>0</v>
      </c>
      <c r="J403" s="63">
        <f>IF(SUM(E399:E402)&lt;Variables!$B$3,-H402,0)</f>
        <v>0</v>
      </c>
      <c r="K403" s="64">
        <f ca="1">IF(AND(H402&lt;Variables!$B$6*Variables!$E$50,OR(SUM(D400:D403)&gt;Variables!$B$5,SUM(E400:E403)&gt;Variables!$B$4)),Variables!$B$6*Variables!$E$50+Variables!$B$7*$G$1*Variables!$E$50*SUM(D400:D403),0)</f>
        <v>0</v>
      </c>
      <c r="L403" s="64">
        <f>IF(B403="Winter",Variables!$B$8*H402,0)</f>
        <v>0</v>
      </c>
      <c r="M403" s="64">
        <f ca="1">IF(AND(B403="Spring",AND(NOT(H402=0),H402&lt;(Variables!$B$9*Variables!$E$50))),(Variables!$B$10*Variables!$E$50+Variables!$B$11*Variables!$E$50*SUM(E400:E403)+$G$1*SUM(D402:D403)*Variables!$E$50*Variables!$B$12),0)</f>
        <v>0</v>
      </c>
      <c r="N403" s="64">
        <f>IF(AND(B403="Spring",AND(SUM(D400:D403)&gt;Variables!$B$13,SUM(D396:D399)&gt;Variables!$B$13)),-Variables!$B$14*Variables!$E$50,0)</f>
        <v>0</v>
      </c>
      <c r="O403" s="64">
        <f>IF(AND(B403="Summer",SUM(C399:D403)&gt;Variables!$B$15),(Variables!$B$16*Variables!$E$50*SUM(C399:C403)+$G$1*Variables!$B$16*Variables!$E$50*SUM(D399:D403)+$G$1*Variables!$E$50*Variables!$B$17*F403),0)</f>
        <v>0</v>
      </c>
      <c r="P403" s="64">
        <f ca="1">IF(AND(AND(B403="Autumn",SUM(D402:E403)&gt;0),NOT(H402=0)),Variables!$B$18*Variables!$E$50+Variables!$B$19*Variables!$E$50*SUM(E402:E403)+$G$1*Variables!$B$19*Variables!$E$50*SUM(D402:D403),0)</f>
        <v>0</v>
      </c>
      <c r="Q403" s="64">
        <f>IF(AND(B403="Autumn",AND((E403+E402)&lt;Variables!$B$20,(D402+D403)=0)),-Variables!$B$21*Variables!$E$50,0)</f>
        <v>0</v>
      </c>
      <c r="R403" s="64">
        <f>IF(B403="Autumn",(SUM(F402:F403)*$G$1*Variables!$B$22*Variables!$E$50),0)</f>
        <v>0</v>
      </c>
      <c r="S403" s="64">
        <f>IF(B403="Spring",($G$1*Variables!$E$50*SUM('Guts (MC)'!F402:F403)*Variables!$B$23),0)</f>
        <v>0</v>
      </c>
      <c r="T403" s="63">
        <f ca="1">IF((H402+SUM(J403:Q403))&lt;(Variables!$B$26*Variables!$E$50),$F$1*((Variables!$B$26*Variables!$E$50)-H402-SUM(J403:Q403)),0)</f>
        <v>0</v>
      </c>
      <c r="U403" s="64">
        <f ca="1">IF(AND(AND(B403="Autumn",SUM(D400:E403)&gt;Variables!$B$27),SUM(J403:Q403)&lt;Variables!$B$28*H402),$F$1*(Variables!$B$28*H402-SUM(J403:Q403)),0)</f>
        <v>0</v>
      </c>
      <c r="V403" s="96">
        <f ca="1">IF(AND((J403+K403)=0,(Q403+T403)=0),$H$1*H403*Variables!$I$23*0.25,0)</f>
        <v>12.167037507234284</v>
      </c>
      <c r="W403" s="97">
        <f ca="1">IF(AND((K403+J403)=0,(T403+Q403)=0),$I$1*H403*Variables!$Q$23*0.25,0)</f>
        <v>3.9130767321523603</v>
      </c>
      <c r="X403" s="95">
        <f ca="1">IF(AND(NOT(K403=0),(H403-H402)&gt;0),(H403-H402)*(Variables!$M$5*$H$1+Variables!$U$5*$I$1),0)+IF(AND(NOT((J403+N403+Q403)=0),(H402-H403)&gt;0),(H402-H403)*(Variables!$M$4*$H$1+Variables!$U$4*$I$1),0)</f>
        <v>0</v>
      </c>
      <c r="Y403" s="95">
        <f ca="1">IF(SUM(T403,U402:U403)&gt;0,H403*Variables!$Y$11*0.25*(1-$J$1),0)</f>
        <v>0</v>
      </c>
      <c r="Z403" s="95">
        <f ca="1">IF(T403=0,H403*$J$1*Variables!$Y$5*0.25,0)</f>
        <v>1.1232613205250213</v>
      </c>
      <c r="AA403" s="95">
        <f t="shared" ca="1" si="13"/>
        <v>17.203375559911667</v>
      </c>
      <c r="AB403" s="91">
        <f ca="1">AA403/Variables!$E$49</f>
        <v>2.7747379935341399</v>
      </c>
    </row>
    <row r="404" spans="1:28" x14ac:dyDescent="0.25">
      <c r="A404" s="61">
        <f>'Water runs'!C411</f>
        <v>38868</v>
      </c>
      <c r="B404" s="61" t="str">
        <f>'Water runs'!B411</f>
        <v>Autumn</v>
      </c>
      <c r="C404" s="54">
        <f>'Water runs'!D411/100</f>
        <v>0.213142857142857</v>
      </c>
      <c r="D404" s="108">
        <f>VLOOKUP(ROW(D404)+4,'Water runs'!$BS$3:$CF$423,MATCH($B$1,Scenarios,0)+1)</f>
        <v>0</v>
      </c>
      <c r="E404" s="54">
        <f>IF(B404=Variables!$D$8,C404-Variables!$E$8,IF(B404=Variables!$D$9,C404-Variables!$E$9,IF(B404=Variables!$D$10,C404-Variables!$E$10,IF(B404=Variables!$D$11,C404-Variables!$E$11,"ELSE"))))</f>
        <v>-0.78150044217687087</v>
      </c>
      <c r="F404" s="108">
        <f>VLOOKUP(ROW(F404)+4,'Water runs'!$CH$3:$CU$423,MATCH($B$1,Scenarios,0)+1)</f>
        <v>0</v>
      </c>
      <c r="G404" s="65">
        <f ca="1">H404/Variables!$E$49</f>
        <v>0.161</v>
      </c>
      <c r="H404" s="62">
        <f ca="1">IF((H403+I404)&gt;(1.1*Variables!$E$50),(1.1*Variables!$E$50),IF((H403+I404)&gt;0,H403+I404,0))</f>
        <v>0.99820000000000009</v>
      </c>
      <c r="I404" s="64">
        <f t="shared" ca="1" si="12"/>
        <v>0</v>
      </c>
      <c r="J404" s="63">
        <f>IF(SUM(E400:E403)&lt;Variables!$B$3,-H403,0)</f>
        <v>0</v>
      </c>
      <c r="K404" s="64">
        <f ca="1">IF(AND(H403&lt;Variables!$B$6*Variables!$E$50,OR(SUM(D401:D404)&gt;Variables!$B$5,SUM(E401:E404)&gt;Variables!$B$4)),Variables!$B$6*Variables!$E$50+Variables!$B$7*$G$1*Variables!$E$50*SUM(D401:D404),0)</f>
        <v>0</v>
      </c>
      <c r="L404" s="64">
        <f>IF(B404="Winter",Variables!$B$8*H403,0)</f>
        <v>0</v>
      </c>
      <c r="M404" s="64">
        <f ca="1">IF(AND(B404="Spring",AND(NOT(H403=0),H403&lt;(Variables!$B$9*Variables!$E$50))),(Variables!$B$10*Variables!$E$50+Variables!$B$11*Variables!$E$50*SUM(E401:E404)+$G$1*SUM(D403:D404)*Variables!$E$50*Variables!$B$12),0)</f>
        <v>0</v>
      </c>
      <c r="N404" s="64">
        <f>IF(AND(B404="Spring",AND(SUM(D401:D404)&gt;Variables!$B$13,SUM(D397:D400)&gt;Variables!$B$13)),-Variables!$B$14*Variables!$E$50,0)</f>
        <v>0</v>
      </c>
      <c r="O404" s="64">
        <f>IF(AND(B404="Summer",SUM(C400:D404)&gt;Variables!$B$15),(Variables!$B$16*Variables!$E$50*SUM(C400:C404)+$G$1*Variables!$B$16*Variables!$E$50*SUM(D400:D404)+$G$1*Variables!$E$50*Variables!$B$17*F404),0)</f>
        <v>0</v>
      </c>
      <c r="P404" s="64">
        <f ca="1">IF(AND(AND(B404="Autumn",SUM(D403:E404)&gt;0),NOT(H403=0)),Variables!$B$18*Variables!$E$50+Variables!$B$19*Variables!$E$50*SUM(E403:E404)+$G$1*Variables!$B$19*Variables!$E$50*SUM(D403:D404),0)</f>
        <v>0</v>
      </c>
      <c r="Q404" s="64">
        <f>IF(AND(B404="Autumn",AND((E404+E403)&lt;Variables!$B$20,(D403+D404)=0)),-Variables!$B$21*Variables!$E$50,0)</f>
        <v>0</v>
      </c>
      <c r="R404" s="64">
        <f ca="1">IF(B404="Autumn",(SUM(F403:F404)*$G$1*Variables!$B$22*Variables!$E$50),0)</f>
        <v>0</v>
      </c>
      <c r="S404" s="64">
        <f>IF(B404="Spring",($G$1*Variables!$E$50*SUM('Guts (MC)'!F403:F404)*Variables!$B$23),0)</f>
        <v>0</v>
      </c>
      <c r="T404" s="63">
        <f ca="1">IF((H403+SUM(J404:Q404))&lt;(Variables!$B$26*Variables!$E$50),$F$1*((Variables!$B$26*Variables!$E$50)-H403-SUM(J404:Q404)),0)</f>
        <v>0</v>
      </c>
      <c r="U404" s="64">
        <f ca="1">IF(AND(AND(B404="Autumn",SUM(D401:E404)&gt;Variables!$B$27),SUM(J404:Q404)&lt;Variables!$B$28*H403),$F$1*(Variables!$B$28*H403-SUM(J404:Q404)),0)</f>
        <v>0</v>
      </c>
      <c r="V404" s="96">
        <f ca="1">IF(AND((J404+K404)=0,(Q404+T404)=0),$H$1*H404*Variables!$I$23*0.25,0)</f>
        <v>12.167037507234284</v>
      </c>
      <c r="W404" s="97">
        <f ca="1">IF(AND((K404+J404)=0,(T404+Q404)=0),$I$1*H404*Variables!$Q$23*0.25,0)</f>
        <v>3.9130767321523603</v>
      </c>
      <c r="X404" s="95">
        <f ca="1">IF(AND(NOT(K404=0),(H404-H403)&gt;0),(H404-H403)*(Variables!$M$5*$H$1+Variables!$U$5*$I$1),0)+IF(AND(NOT((J404+N404+Q404)=0),(H403-H404)&gt;0),(H403-H404)*(Variables!$M$4*$H$1+Variables!$U$4*$I$1),0)</f>
        <v>0</v>
      </c>
      <c r="Y404" s="95">
        <f ca="1">IF(SUM(T404,U403:U404)&gt;0,H404*Variables!$Y$11*0.25*(1-$J$1),0)</f>
        <v>0</v>
      </c>
      <c r="Z404" s="95">
        <f ca="1">IF(T404=0,H404*$J$1*Variables!$Y$5*0.25,0)</f>
        <v>1.1232613205250213</v>
      </c>
      <c r="AA404" s="95">
        <f t="shared" ca="1" si="13"/>
        <v>17.203375559911667</v>
      </c>
      <c r="AB404" s="91">
        <f ca="1">AA404/Variables!$E$49</f>
        <v>2.7747379935341399</v>
      </c>
    </row>
    <row r="405" spans="1:28" x14ac:dyDescent="0.25">
      <c r="A405" s="61">
        <f>'Water runs'!C412</f>
        <v>38960</v>
      </c>
      <c r="B405" s="61" t="str">
        <f>'Water runs'!B412</f>
        <v>Winter</v>
      </c>
      <c r="C405" s="54">
        <f>'Water runs'!D412/100</f>
        <v>0.74531428571428604</v>
      </c>
      <c r="D405" s="108">
        <f>VLOOKUP(ROW(D405)+4,'Water runs'!$BS$3:$CF$423,MATCH($B$1,Scenarios,0)+1)</f>
        <v>0</v>
      </c>
      <c r="E405" s="54">
        <f>IF(B405=Variables!$D$8,C405-Variables!$E$8,IF(B405=Variables!$D$9,C405-Variables!$E$9,IF(B405=Variables!$D$10,C405-Variables!$E$10,IF(B405=Variables!$D$11,C405-Variables!$E$11,"ELSE"))))</f>
        <v>0.17354666005291031</v>
      </c>
      <c r="F405" s="108">
        <f>VLOOKUP(ROW(F405)+4,'Water runs'!$CH$3:$CU$423,MATCH($B$1,Scenarios,0)+1)</f>
        <v>0</v>
      </c>
      <c r="G405" s="65">
        <f ca="1">H405/Variables!$E$49</f>
        <v>0.161</v>
      </c>
      <c r="H405" s="62">
        <f ca="1">IF((H404+I405)&gt;(1.1*Variables!$E$50),(1.1*Variables!$E$50),IF((H404+I405)&gt;0,H404+I405,0))</f>
        <v>0.99820000000000009</v>
      </c>
      <c r="I405" s="64">
        <f t="shared" ca="1" si="12"/>
        <v>0</v>
      </c>
      <c r="J405" s="63">
        <f>IF(SUM(E401:E404)&lt;Variables!$B$3,-H404,0)</f>
        <v>0</v>
      </c>
      <c r="K405" s="64">
        <f ca="1">IF(AND(H404&lt;Variables!$B$6*Variables!$E$50,OR(SUM(D402:D405)&gt;Variables!$B$5,SUM(E402:E405)&gt;Variables!$B$4)),Variables!$B$6*Variables!$E$50+Variables!$B$7*$G$1*Variables!$E$50*SUM(D402:D405),0)</f>
        <v>0</v>
      </c>
      <c r="L405" s="64">
        <f ca="1">IF(B405="Winter",Variables!$B$8*H404,0)</f>
        <v>-0.49704894489176149</v>
      </c>
      <c r="M405" s="64">
        <f ca="1">IF(AND(B405="Spring",AND(NOT(H404=0),H404&lt;(Variables!$B$9*Variables!$E$50))),(Variables!$B$10*Variables!$E$50+Variables!$B$11*Variables!$E$50*SUM(E402:E405)+$G$1*SUM(D404:D405)*Variables!$E$50*Variables!$B$12),0)</f>
        <v>0</v>
      </c>
      <c r="N405" s="64">
        <f>IF(AND(B405="Spring",AND(SUM(D402:D405)&gt;Variables!$B$13,SUM(D398:D401)&gt;Variables!$B$13)),-Variables!$B$14*Variables!$E$50,0)</f>
        <v>0</v>
      </c>
      <c r="O405" s="64">
        <f>IF(AND(B405="Summer",SUM(C401:D405)&gt;Variables!$B$15),(Variables!$B$16*Variables!$E$50*SUM(C401:C405)+$G$1*Variables!$B$16*Variables!$E$50*SUM(D401:D405)+$G$1*Variables!$E$50*Variables!$B$17*F405),0)</f>
        <v>0</v>
      </c>
      <c r="P405" s="64">
        <f ca="1">IF(AND(AND(B405="Autumn",SUM(D404:E405)&gt;0),NOT(H404=0)),Variables!$B$18*Variables!$E$50+Variables!$B$19*Variables!$E$50*SUM(E404:E405)+$G$1*Variables!$B$19*Variables!$E$50*SUM(D404:D405),0)</f>
        <v>0</v>
      </c>
      <c r="Q405" s="64">
        <f>IF(AND(B405="Autumn",AND((E405+E404)&lt;Variables!$B$20,(D404+D405)=0)),-Variables!$B$21*Variables!$E$50,0)</f>
        <v>0</v>
      </c>
      <c r="R405" s="64">
        <f>IF(B405="Autumn",(SUM(F404:F405)*$G$1*Variables!$B$22*Variables!$E$50),0)</f>
        <v>0</v>
      </c>
      <c r="S405" s="64">
        <f>IF(B405="Spring",($G$1*Variables!$E$50*SUM('Guts (MC)'!F404:F405)*Variables!$B$23),0)</f>
        <v>0</v>
      </c>
      <c r="T405" s="63">
        <f ca="1">IF((H404+SUM(J405:Q405))&lt;(Variables!$B$26*Variables!$E$50),$F$1*((Variables!$B$26*Variables!$E$50)-H404-SUM(J405:Q405)),0)</f>
        <v>0.49704894489176149</v>
      </c>
      <c r="U405" s="64">
        <f ca="1">IF(AND(AND(B405="Autumn",SUM(D402:E405)&gt;Variables!$B$27),SUM(J405:Q405)&lt;Variables!$B$28*H404),$F$1*(Variables!$B$28*H404-SUM(J405:Q405)),0)</f>
        <v>0</v>
      </c>
      <c r="V405" s="96">
        <f ca="1">IF(AND((J405+K405)=0,(Q405+T405)=0),$H$1*H405*Variables!$I$23*0.25,0)</f>
        <v>0</v>
      </c>
      <c r="W405" s="97">
        <f ca="1">IF(AND((K405+J405)=0,(T405+Q405)=0),$I$1*H405*Variables!$Q$23*0.25,0)</f>
        <v>0</v>
      </c>
      <c r="X405" s="95">
        <f ca="1">IF(AND(NOT(K405=0),(H405-H404)&gt;0),(H405-H404)*(Variables!$M$5*$H$1+Variables!$U$5*$I$1),0)+IF(AND(NOT((J405+N405+Q405)=0),(H404-H405)&gt;0),(H404-H405)*(Variables!$M$4*$H$1+Variables!$U$4*$I$1),0)</f>
        <v>0</v>
      </c>
      <c r="Y405" s="95">
        <f ca="1">IF(SUM(T405,U404:U405)&gt;0,H405*Variables!$Y$11*0.25*(1-$J$1),0)</f>
        <v>-8.6666009437672749</v>
      </c>
      <c r="Z405" s="95">
        <f ca="1">IF(T405=0,H405*$J$1*Variables!$Y$5*0.25,0)</f>
        <v>0</v>
      </c>
      <c r="AA405" s="95">
        <f t="shared" ca="1" si="13"/>
        <v>-8.6666009437672749</v>
      </c>
      <c r="AB405" s="91">
        <f ca="1">AA405/Variables!$E$49</f>
        <v>-1.3978388618979476</v>
      </c>
    </row>
    <row r="406" spans="1:28" x14ac:dyDescent="0.25">
      <c r="A406" s="61">
        <f>'Water runs'!C413</f>
        <v>39051</v>
      </c>
      <c r="B406" s="61" t="str">
        <f>'Water runs'!B413</f>
        <v>Spring</v>
      </c>
      <c r="C406" s="54">
        <f>'Water runs'!D413/100</f>
        <v>0.30138571428571398</v>
      </c>
      <c r="D406" s="108">
        <f>VLOOKUP(ROW(D406)+4,'Water runs'!$BS$3:$CF$423,MATCH($B$1,Scenarios,0)+1)</f>
        <v>0</v>
      </c>
      <c r="E406" s="54">
        <f>IF(B406=Variables!$D$8,C406-Variables!$E$8,IF(B406=Variables!$D$9,C406-Variables!$E$9,IF(B406=Variables!$D$10,C406-Variables!$E$10,IF(B406=Variables!$D$11,C406-Variables!$E$11,"ELSE"))))</f>
        <v>-0.46259649470899517</v>
      </c>
      <c r="F406" s="108">
        <f>VLOOKUP(ROW(F406)+4,'Water runs'!$CH$3:$CU$423,MATCH($B$1,Scenarios,0)+1)</f>
        <v>0</v>
      </c>
      <c r="G406" s="65">
        <f ca="1">H406/Variables!$E$49</f>
        <v>0.161</v>
      </c>
      <c r="H406" s="62">
        <f ca="1">IF((H405+I406)&gt;(1.1*Variables!$E$50),(1.1*Variables!$E$50),IF((H405+I406)&gt;0,H405+I406,0))</f>
        <v>0.99820000000000009</v>
      </c>
      <c r="I406" s="64">
        <f t="shared" ca="1" si="12"/>
        <v>0</v>
      </c>
      <c r="J406" s="63">
        <f>IF(SUM(E402:E405)&lt;Variables!$B$3,-H405,0)</f>
        <v>0</v>
      </c>
      <c r="K406" s="64">
        <f ca="1">IF(AND(H405&lt;Variables!$B$6*Variables!$E$50,OR(SUM(D403:D406)&gt;Variables!$B$5,SUM(E403:E406)&gt;Variables!$B$4)),Variables!$B$6*Variables!$E$50+Variables!$B$7*$G$1*Variables!$E$50*SUM(D403:D406),0)</f>
        <v>0</v>
      </c>
      <c r="L406" s="64">
        <f>IF(B406="Winter",Variables!$B$8*H405,0)</f>
        <v>0</v>
      </c>
      <c r="M406" s="64">
        <f ca="1">IF(AND(B406="Spring",AND(NOT(H405=0),H405&lt;(Variables!$B$9*Variables!$E$50))),(Variables!$B$10*Variables!$E$50+Variables!$B$11*Variables!$E$50*SUM(E403:E406)+$G$1*SUM(D405:D406)*Variables!$E$50*Variables!$B$12),0)</f>
        <v>-0.87734783693999652</v>
      </c>
      <c r="N406" s="64">
        <f>IF(AND(B406="Spring",AND(SUM(D403:D406)&gt;Variables!$B$13,SUM(D399:D402)&gt;Variables!$B$13)),-Variables!$B$14*Variables!$E$50,0)</f>
        <v>0</v>
      </c>
      <c r="O406" s="64">
        <f>IF(AND(B406="Summer",SUM(C402:D406)&gt;Variables!$B$15),(Variables!$B$16*Variables!$E$50*SUM(C402:C406)+$G$1*Variables!$B$16*Variables!$E$50*SUM(D402:D406)+$G$1*Variables!$E$50*Variables!$B$17*F406),0)</f>
        <v>0</v>
      </c>
      <c r="P406" s="64">
        <f ca="1">IF(AND(AND(B406="Autumn",SUM(D405:E406)&gt;0),NOT(H405=0)),Variables!$B$18*Variables!$E$50+Variables!$B$19*Variables!$E$50*SUM(E405:E406)+$G$1*Variables!$B$19*Variables!$E$50*SUM(D405:D406),0)</f>
        <v>0</v>
      </c>
      <c r="Q406" s="64">
        <f>IF(AND(B406="Autumn",AND((E406+E405)&lt;Variables!$B$20,(D405+D406)=0)),-Variables!$B$21*Variables!$E$50,0)</f>
        <v>0</v>
      </c>
      <c r="R406" s="64">
        <f>IF(B406="Autumn",(SUM(F405:F406)*$G$1*Variables!$B$22*Variables!$E$50),0)</f>
        <v>0</v>
      </c>
      <c r="S406" s="64">
        <f ca="1">IF(B406="Spring",($G$1*Variables!$E$50*SUM('Guts (MC)'!F405:F406)*Variables!$B$23),0)</f>
        <v>0</v>
      </c>
      <c r="T406" s="63">
        <f ca="1">IF((H405+SUM(J406:Q406))&lt;(Variables!$B$26*Variables!$E$50),$F$1*((Variables!$B$26*Variables!$E$50)-H405-SUM(J406:Q406)),0)</f>
        <v>0.87734783693999652</v>
      </c>
      <c r="U406" s="64">
        <f ca="1">IF(AND(AND(B406="Autumn",SUM(D403:E406)&gt;Variables!$B$27),SUM(J406:Q406)&lt;Variables!$B$28*H405),$F$1*(Variables!$B$28*H405-SUM(J406:Q406)),0)</f>
        <v>0</v>
      </c>
      <c r="V406" s="96">
        <f ca="1">IF(AND((J406+K406)=0,(Q406+T406)=0),$H$1*H406*Variables!$I$23*0.25,0)</f>
        <v>0</v>
      </c>
      <c r="W406" s="97">
        <f ca="1">IF(AND((K406+J406)=0,(T406+Q406)=0),$I$1*H406*Variables!$Q$23*0.25,0)</f>
        <v>0</v>
      </c>
      <c r="X406" s="95">
        <f ca="1">IF(AND(NOT(K406=0),(H406-H405)&gt;0),(H406-H405)*(Variables!$M$5*$H$1+Variables!$U$5*$I$1),0)+IF(AND(NOT((J406+N406+Q406)=0),(H405-H406)&gt;0),(H405-H406)*(Variables!$M$4*$H$1+Variables!$U$4*$I$1),0)</f>
        <v>0</v>
      </c>
      <c r="Y406" s="95">
        <f ca="1">IF(SUM(T406,U405:U406)&gt;0,H406*Variables!$Y$11*0.25*(1-$J$1),0)</f>
        <v>-8.6666009437672749</v>
      </c>
      <c r="Z406" s="95">
        <f ca="1">IF(T406=0,H406*$J$1*Variables!$Y$5*0.25,0)</f>
        <v>0</v>
      </c>
      <c r="AA406" s="95">
        <f t="shared" ca="1" si="13"/>
        <v>-8.6666009437672749</v>
      </c>
      <c r="AB406" s="91">
        <f ca="1">AA406/Variables!$E$49</f>
        <v>-1.3978388618979476</v>
      </c>
    </row>
    <row r="407" spans="1:28" x14ac:dyDescent="0.25">
      <c r="A407" s="61">
        <f>'Water runs'!C414</f>
        <v>39141</v>
      </c>
      <c r="B407" s="61" t="str">
        <f>'Water runs'!B414</f>
        <v>Summer</v>
      </c>
      <c r="C407" s="54">
        <f>'Water runs'!D414/100</f>
        <v>0.7374285714285711</v>
      </c>
      <c r="D407" s="108">
        <f>VLOOKUP(ROW(D407)+4,'Water runs'!$BS$3:$CF$423,MATCH($B$1,Scenarios,0)+1)</f>
        <v>0</v>
      </c>
      <c r="E407" s="54">
        <f>IF(B407=Variables!$D$8,C407-Variables!$E$8,IF(B407=Variables!$D$9,C407-Variables!$E$9,IF(B407=Variables!$D$10,C407-Variables!$E$10,IF(B407=Variables!$D$11,C407-Variables!$E$11,"ELSE"))))</f>
        <v>-0.52094156462585062</v>
      </c>
      <c r="F407" s="108">
        <f>VLOOKUP(ROW(F407)+4,'Water runs'!$CH$3:$CU$423,MATCH($B$1,Scenarios,0)+1)</f>
        <v>0</v>
      </c>
      <c r="G407" s="65">
        <f ca="1">H407/Variables!$E$49</f>
        <v>0.161</v>
      </c>
      <c r="H407" s="62">
        <f ca="1">IF((H406+I407)&gt;(1.1*Variables!$E$50),(1.1*Variables!$E$50),IF((H406+I407)&gt;0,H406+I407,0))</f>
        <v>0.99820000000000009</v>
      </c>
      <c r="I407" s="64">
        <f t="shared" ca="1" si="12"/>
        <v>0</v>
      </c>
      <c r="J407" s="63">
        <f>IF(SUM(E403:E406)&lt;Variables!$B$3,-H406,0)</f>
        <v>0</v>
      </c>
      <c r="K407" s="64">
        <f ca="1">IF(AND(H406&lt;Variables!$B$6*Variables!$E$50,OR(SUM(D404:D407)&gt;Variables!$B$5,SUM(E404:E407)&gt;Variables!$B$4)),Variables!$B$6*Variables!$E$50+Variables!$B$7*$G$1*Variables!$E$50*SUM(D404:D407),0)</f>
        <v>0</v>
      </c>
      <c r="L407" s="64">
        <f>IF(B407="Winter",Variables!$B$8*H406,0)</f>
        <v>0</v>
      </c>
      <c r="M407" s="64">
        <f ca="1">IF(AND(B407="Spring",AND(NOT(H406=0),H406&lt;(Variables!$B$9*Variables!$E$50))),(Variables!$B$10*Variables!$E$50+Variables!$B$11*Variables!$E$50*SUM(E404:E407)+$G$1*SUM(D406:D407)*Variables!$E$50*Variables!$B$12),0)</f>
        <v>0</v>
      </c>
      <c r="N407" s="64">
        <f>IF(AND(B407="Spring",AND(SUM(D404:D407)&gt;Variables!$B$13,SUM(D400:D403)&gt;Variables!$B$13)),-Variables!$B$14*Variables!$E$50,0)</f>
        <v>0</v>
      </c>
      <c r="O407" s="64">
        <f>IF(AND(B407="Summer",SUM(C403:D407)&gt;Variables!$B$15),(Variables!$B$16*Variables!$E$50*SUM(C403:C407)+$G$1*Variables!$B$16*Variables!$E$50*SUM(D403:D407)+$G$1*Variables!$E$50*Variables!$B$17*F407),0)</f>
        <v>0</v>
      </c>
      <c r="P407" s="64">
        <f ca="1">IF(AND(AND(B407="Autumn",SUM(D406:E407)&gt;0),NOT(H406=0)),Variables!$B$18*Variables!$E$50+Variables!$B$19*Variables!$E$50*SUM(E406:E407)+$G$1*Variables!$B$19*Variables!$E$50*SUM(D406:D407),0)</f>
        <v>0</v>
      </c>
      <c r="Q407" s="64">
        <f>IF(AND(B407="Autumn",AND((E407+E406)&lt;Variables!$B$20,(D406+D407)=0)),-Variables!$B$21*Variables!$E$50,0)</f>
        <v>0</v>
      </c>
      <c r="R407" s="64">
        <f>IF(B407="Autumn",(SUM(F406:F407)*$G$1*Variables!$B$22*Variables!$E$50),0)</f>
        <v>0</v>
      </c>
      <c r="S407" s="64">
        <f>IF(B407="Spring",($G$1*Variables!$E$50*SUM('Guts (MC)'!F406:F407)*Variables!$B$23),0)</f>
        <v>0</v>
      </c>
      <c r="T407" s="63">
        <f ca="1">IF((H406+SUM(J407:Q407))&lt;(Variables!$B$26*Variables!$E$50),$F$1*((Variables!$B$26*Variables!$E$50)-H406-SUM(J407:Q407)),0)</f>
        <v>0</v>
      </c>
      <c r="U407" s="64">
        <f ca="1">IF(AND(AND(B407="Autumn",SUM(D404:E407)&gt;Variables!$B$27),SUM(J407:Q407)&lt;Variables!$B$28*H406),$F$1*(Variables!$B$28*H406-SUM(J407:Q407)),0)</f>
        <v>0</v>
      </c>
      <c r="V407" s="96">
        <f ca="1">IF(AND((J407+K407)=0,(Q407+T407)=0),$H$1*H407*Variables!$I$23*0.25,0)</f>
        <v>12.167037507234284</v>
      </c>
      <c r="W407" s="97">
        <f ca="1">IF(AND((K407+J407)=0,(T407+Q407)=0),$I$1*H407*Variables!$Q$23*0.25,0)</f>
        <v>3.9130767321523603</v>
      </c>
      <c r="X407" s="95">
        <f ca="1">IF(AND(NOT(K407=0),(H407-H406)&gt;0),(H407-H406)*(Variables!$M$5*$H$1+Variables!$U$5*$I$1),0)+IF(AND(NOT((J407+N407+Q407)=0),(H406-H407)&gt;0),(H406-H407)*(Variables!$M$4*$H$1+Variables!$U$4*$I$1),0)</f>
        <v>0</v>
      </c>
      <c r="Y407" s="95">
        <f ca="1">IF(SUM(T407,U406:U407)&gt;0,H407*Variables!$Y$11*0.25*(1-$J$1),0)</f>
        <v>0</v>
      </c>
      <c r="Z407" s="95">
        <f ca="1">IF(T407=0,H407*$J$1*Variables!$Y$5*0.25,0)</f>
        <v>1.1232613205250213</v>
      </c>
      <c r="AA407" s="95">
        <f t="shared" ca="1" si="13"/>
        <v>17.203375559911667</v>
      </c>
      <c r="AB407" s="91">
        <f ca="1">AA407/Variables!$E$49</f>
        <v>2.7747379935341399</v>
      </c>
    </row>
    <row r="408" spans="1:28" x14ac:dyDescent="0.25">
      <c r="A408" s="61">
        <f>'Water runs'!C415</f>
        <v>39233</v>
      </c>
      <c r="B408" s="61" t="str">
        <f>'Water runs'!B415</f>
        <v>Autumn</v>
      </c>
      <c r="C408" s="54">
        <f>'Water runs'!D415/100</f>
        <v>1.1905714285714302</v>
      </c>
      <c r="D408" s="108">
        <f>VLOOKUP(ROW(D408)+4,'Water runs'!$BS$3:$CF$423,MATCH($B$1,Scenarios,0)+1)</f>
        <v>0</v>
      </c>
      <c r="E408" s="54">
        <f>IF(B408=Variables!$D$8,C408-Variables!$E$8,IF(B408=Variables!$D$9,C408-Variables!$E$9,IF(B408=Variables!$D$10,C408-Variables!$E$10,IF(B408=Variables!$D$11,C408-Variables!$E$11,"ELSE"))))</f>
        <v>0.19592812925170233</v>
      </c>
      <c r="F408" s="108">
        <f>VLOOKUP(ROW(F408)+4,'Water runs'!$CH$3:$CU$423,MATCH($B$1,Scenarios,0)+1)</f>
        <v>0</v>
      </c>
      <c r="G408" s="65">
        <f ca="1">H408/Variables!$E$49</f>
        <v>0.161</v>
      </c>
      <c r="H408" s="62">
        <f ca="1">IF((H407+I408)&gt;(1.1*Variables!$E$50),(1.1*Variables!$E$50),IF((H407+I408)&gt;0,H407+I408,0))</f>
        <v>0.99820000000000009</v>
      </c>
      <c r="I408" s="64">
        <f t="shared" ca="1" si="12"/>
        <v>0</v>
      </c>
      <c r="J408" s="63">
        <f>IF(SUM(E404:E407)&lt;Variables!$B$3,-H407,0)</f>
        <v>0</v>
      </c>
      <c r="K408" s="64">
        <f ca="1">IF(AND(H407&lt;Variables!$B$6*Variables!$E$50,OR(SUM(D405:D408)&gt;Variables!$B$5,SUM(E405:E408)&gt;Variables!$B$4)),Variables!$B$6*Variables!$E$50+Variables!$B$7*$G$1*Variables!$E$50*SUM(D405:D408),0)</f>
        <v>0</v>
      </c>
      <c r="L408" s="64">
        <f>IF(B408="Winter",Variables!$B$8*H407,0)</f>
        <v>0</v>
      </c>
      <c r="M408" s="64">
        <f ca="1">IF(AND(B408="Spring",AND(NOT(H407=0),H407&lt;(Variables!$B$9*Variables!$E$50))),(Variables!$B$10*Variables!$E$50+Variables!$B$11*Variables!$E$50*SUM(E405:E408)+$G$1*SUM(D407:D408)*Variables!$E$50*Variables!$B$12),0)</f>
        <v>0</v>
      </c>
      <c r="N408" s="64">
        <f>IF(AND(B408="Spring",AND(SUM(D405:D408)&gt;Variables!$B$13,SUM(D401:D404)&gt;Variables!$B$13)),-Variables!$B$14*Variables!$E$50,0)</f>
        <v>0</v>
      </c>
      <c r="O408" s="64">
        <f>IF(AND(B408="Summer",SUM(C404:D408)&gt;Variables!$B$15),(Variables!$B$16*Variables!$E$50*SUM(C404:C408)+$G$1*Variables!$B$16*Variables!$E$50*SUM(D404:D408)+$G$1*Variables!$E$50*Variables!$B$17*F408),0)</f>
        <v>0</v>
      </c>
      <c r="P408" s="64">
        <f ca="1">IF(AND(AND(B408="Autumn",SUM(D407:E408)&gt;0),NOT(H407=0)),Variables!$B$18*Variables!$E$50+Variables!$B$19*Variables!$E$50*SUM(E407:E408)+$G$1*Variables!$B$19*Variables!$E$50*SUM(D407:D408),0)</f>
        <v>0</v>
      </c>
      <c r="Q408" s="64">
        <f>IF(AND(B408="Autumn",AND((E408+E407)&lt;Variables!$B$20,(D407+D408)=0)),-Variables!$B$21*Variables!$E$50,0)</f>
        <v>0</v>
      </c>
      <c r="R408" s="64">
        <f ca="1">IF(B408="Autumn",(SUM(F407:F408)*$G$1*Variables!$B$22*Variables!$E$50),0)</f>
        <v>0</v>
      </c>
      <c r="S408" s="64">
        <f>IF(B408="Spring",($G$1*Variables!$E$50*SUM('Guts (MC)'!F407:F408)*Variables!$B$23),0)</f>
        <v>0</v>
      </c>
      <c r="T408" s="63">
        <f ca="1">IF((H407+SUM(J408:Q408))&lt;(Variables!$B$26*Variables!$E$50),$F$1*((Variables!$B$26*Variables!$E$50)-H407-SUM(J408:Q408)),0)</f>
        <v>0</v>
      </c>
      <c r="U408" s="64">
        <f ca="1">IF(AND(AND(B408="Autumn",SUM(D405:E408)&gt;Variables!$B$27),SUM(J408:Q408)&lt;Variables!$B$28*H407),$F$1*(Variables!$B$28*H407-SUM(J408:Q408)),0)</f>
        <v>0</v>
      </c>
      <c r="V408" s="96">
        <f ca="1">IF(AND((J408+K408)=0,(Q408+T408)=0),$H$1*H408*Variables!$I$23*0.25,0)</f>
        <v>12.167037507234284</v>
      </c>
      <c r="W408" s="97">
        <f ca="1">IF(AND((K408+J408)=0,(T408+Q408)=0),$I$1*H408*Variables!$Q$23*0.25,0)</f>
        <v>3.9130767321523603</v>
      </c>
      <c r="X408" s="95">
        <f ca="1">IF(AND(NOT(K408=0),(H408-H407)&gt;0),(H408-H407)*(Variables!$M$5*$H$1+Variables!$U$5*$I$1),0)+IF(AND(NOT((J408+N408+Q408)=0),(H407-H408)&gt;0),(H407-H408)*(Variables!$M$4*$H$1+Variables!$U$4*$I$1),0)</f>
        <v>0</v>
      </c>
      <c r="Y408" s="95">
        <f ca="1">IF(SUM(T408,U407:U408)&gt;0,H408*Variables!$Y$11*0.25*(1-$J$1),0)</f>
        <v>0</v>
      </c>
      <c r="Z408" s="95">
        <f ca="1">IF(T408=0,H408*$J$1*Variables!$Y$5*0.25,0)</f>
        <v>1.1232613205250213</v>
      </c>
      <c r="AA408" s="95">
        <f t="shared" ca="1" si="13"/>
        <v>17.203375559911667</v>
      </c>
      <c r="AB408" s="91">
        <f ca="1">AA408/Variables!$E$49</f>
        <v>2.7747379935341399</v>
      </c>
    </row>
    <row r="409" spans="1:28" x14ac:dyDescent="0.25">
      <c r="A409" s="61">
        <f>'Water runs'!C416</f>
        <v>39325</v>
      </c>
      <c r="B409" s="61" t="str">
        <f>'Water runs'!B416</f>
        <v>Winter</v>
      </c>
      <c r="C409" s="54">
        <f>'Water runs'!D416/100</f>
        <v>0.14285714285714302</v>
      </c>
      <c r="D409" s="108">
        <f>VLOOKUP(ROW(D409)+4,'Water runs'!$BS$3:$CF$423,MATCH($B$1,Scenarios,0)+1)</f>
        <v>0</v>
      </c>
      <c r="E409" s="54">
        <f>IF(B409=Variables!$D$8,C409-Variables!$E$8,IF(B409=Variables!$D$9,C409-Variables!$E$9,IF(B409=Variables!$D$10,C409-Variables!$E$10,IF(B409=Variables!$D$11,C409-Variables!$E$11,"ELSE"))))</f>
        <v>-0.42891048280423272</v>
      </c>
      <c r="F409" s="108">
        <f>VLOOKUP(ROW(F409)+4,'Water runs'!$CH$3:$CU$423,MATCH($B$1,Scenarios,0)+1)</f>
        <v>0</v>
      </c>
      <c r="G409" s="65">
        <f ca="1">H409/Variables!$E$49</f>
        <v>0.161</v>
      </c>
      <c r="H409" s="62">
        <f ca="1">IF((H408+I409)&gt;(1.1*Variables!$E$50),(1.1*Variables!$E$50),IF((H408+I409)&gt;0,H408+I409,0))</f>
        <v>0.99820000000000009</v>
      </c>
      <c r="I409" s="64">
        <f t="shared" ca="1" si="12"/>
        <v>0</v>
      </c>
      <c r="J409" s="63">
        <f>IF(SUM(E405:E408)&lt;Variables!$B$3,-H408,0)</f>
        <v>0</v>
      </c>
      <c r="K409" s="64">
        <f ca="1">IF(AND(H408&lt;Variables!$B$6*Variables!$E$50,OR(SUM(D406:D409)&gt;Variables!$B$5,SUM(E406:E409)&gt;Variables!$B$4)),Variables!$B$6*Variables!$E$50+Variables!$B$7*$G$1*Variables!$E$50*SUM(D406:D409),0)</f>
        <v>0</v>
      </c>
      <c r="L409" s="64">
        <f ca="1">IF(B409="Winter",Variables!$B$8*H408,0)</f>
        <v>-0.49704894489176149</v>
      </c>
      <c r="M409" s="64">
        <f ca="1">IF(AND(B409="Spring",AND(NOT(H408=0),H408&lt;(Variables!$B$9*Variables!$E$50))),(Variables!$B$10*Variables!$E$50+Variables!$B$11*Variables!$E$50*SUM(E406:E409)+$G$1*SUM(D408:D409)*Variables!$E$50*Variables!$B$12),0)</f>
        <v>0</v>
      </c>
      <c r="N409" s="64">
        <f>IF(AND(B409="Spring",AND(SUM(D406:D409)&gt;Variables!$B$13,SUM(D402:D405)&gt;Variables!$B$13)),-Variables!$B$14*Variables!$E$50,0)</f>
        <v>0</v>
      </c>
      <c r="O409" s="64">
        <f>IF(AND(B409="Summer",SUM(C405:D409)&gt;Variables!$B$15),(Variables!$B$16*Variables!$E$50*SUM(C405:C409)+$G$1*Variables!$B$16*Variables!$E$50*SUM(D405:D409)+$G$1*Variables!$E$50*Variables!$B$17*F409),0)</f>
        <v>0</v>
      </c>
      <c r="P409" s="64">
        <f ca="1">IF(AND(AND(B409="Autumn",SUM(D408:E409)&gt;0),NOT(H408=0)),Variables!$B$18*Variables!$E$50+Variables!$B$19*Variables!$E$50*SUM(E408:E409)+$G$1*Variables!$B$19*Variables!$E$50*SUM(D408:D409),0)</f>
        <v>0</v>
      </c>
      <c r="Q409" s="64">
        <f>IF(AND(B409="Autumn",AND((E409+E408)&lt;Variables!$B$20,(D408+D409)=0)),-Variables!$B$21*Variables!$E$50,0)</f>
        <v>0</v>
      </c>
      <c r="R409" s="64">
        <f>IF(B409="Autumn",(SUM(F408:F409)*$G$1*Variables!$B$22*Variables!$E$50),0)</f>
        <v>0</v>
      </c>
      <c r="S409" s="64">
        <f>IF(B409="Spring",($G$1*Variables!$E$50*SUM('Guts (MC)'!F408:F409)*Variables!$B$23),0)</f>
        <v>0</v>
      </c>
      <c r="T409" s="63">
        <f ca="1">IF((H408+SUM(J409:Q409))&lt;(Variables!$B$26*Variables!$E$50),$F$1*((Variables!$B$26*Variables!$E$50)-H408-SUM(J409:Q409)),0)</f>
        <v>0.49704894489176149</v>
      </c>
      <c r="U409" s="64">
        <f ca="1">IF(AND(AND(B409="Autumn",SUM(D406:E409)&gt;Variables!$B$27),SUM(J409:Q409)&lt;Variables!$B$28*H408),$F$1*(Variables!$B$28*H408-SUM(J409:Q409)),0)</f>
        <v>0</v>
      </c>
      <c r="V409" s="96">
        <f ca="1">IF(AND((J409+K409)=0,(Q409+T409)=0),$H$1*H409*Variables!$I$23*0.25,0)</f>
        <v>0</v>
      </c>
      <c r="W409" s="97">
        <f ca="1">IF(AND((K409+J409)=0,(T409+Q409)=0),$I$1*H409*Variables!$Q$23*0.25,0)</f>
        <v>0</v>
      </c>
      <c r="X409" s="95">
        <f ca="1">IF(AND(NOT(K409=0),(H409-H408)&gt;0),(H409-H408)*(Variables!$M$5*$H$1+Variables!$U$5*$I$1),0)+IF(AND(NOT((J409+N409+Q409)=0),(H408-H409)&gt;0),(H408-H409)*(Variables!$M$4*$H$1+Variables!$U$4*$I$1),0)</f>
        <v>0</v>
      </c>
      <c r="Y409" s="95">
        <f ca="1">IF(SUM(T409,U408:U409)&gt;0,H409*Variables!$Y$11*0.25*(1-$J$1),0)</f>
        <v>-8.6666009437672749</v>
      </c>
      <c r="Z409" s="95">
        <f ca="1">IF(T409=0,H409*$J$1*Variables!$Y$5*0.25,0)</f>
        <v>0</v>
      </c>
      <c r="AA409" s="95">
        <f t="shared" ca="1" si="13"/>
        <v>-8.6666009437672749</v>
      </c>
      <c r="AB409" s="91">
        <f ca="1">AA409/Variables!$E$49</f>
        <v>-1.3978388618979476</v>
      </c>
    </row>
    <row r="410" spans="1:28" x14ac:dyDescent="0.25">
      <c r="A410" s="61">
        <f>'Water runs'!C417</f>
        <v>39416</v>
      </c>
      <c r="B410" s="61" t="str">
        <f>'Water runs'!B417</f>
        <v>Spring</v>
      </c>
      <c r="C410" s="54">
        <f>'Water runs'!D417/100</f>
        <v>0.82057142857142795</v>
      </c>
      <c r="D410" s="108">
        <f>VLOOKUP(ROW(D410)+4,'Water runs'!$BS$3:$CF$423,MATCH($B$1,Scenarios,0)+1)</f>
        <v>0</v>
      </c>
      <c r="E410" s="54">
        <f>IF(B410=Variables!$D$8,C410-Variables!$E$8,IF(B410=Variables!$D$9,C410-Variables!$E$9,IF(B410=Variables!$D$10,C410-Variables!$E$10,IF(B410=Variables!$D$11,C410-Variables!$E$11,"ELSE"))))</f>
        <v>5.6589219576718808E-2</v>
      </c>
      <c r="F410" s="108">
        <f>VLOOKUP(ROW(F410)+4,'Water runs'!$CH$3:$CU$423,MATCH($B$1,Scenarios,0)+1)</f>
        <v>0</v>
      </c>
      <c r="G410" s="65">
        <f ca="1">H410/Variables!$E$49</f>
        <v>0.161</v>
      </c>
      <c r="H410" s="62">
        <f ca="1">IF((H409+I410)&gt;(1.1*Variables!$E$50),(1.1*Variables!$E$50),IF((H409+I410)&gt;0,H409+I410,0))</f>
        <v>0.99820000000000009</v>
      </c>
      <c r="I410" s="64">
        <f t="shared" ca="1" si="12"/>
        <v>0</v>
      </c>
      <c r="J410" s="63">
        <f>IF(SUM(E406:E409)&lt;Variables!$B$3,-H409,0)</f>
        <v>0</v>
      </c>
      <c r="K410" s="64">
        <f ca="1">IF(AND(H409&lt;Variables!$B$6*Variables!$E$50,OR(SUM(D407:D410)&gt;Variables!$B$5,SUM(E407:E410)&gt;Variables!$B$4)),Variables!$B$6*Variables!$E$50+Variables!$B$7*$G$1*Variables!$E$50*SUM(D407:D410),0)</f>
        <v>0</v>
      </c>
      <c r="L410" s="64">
        <f>IF(B410="Winter",Variables!$B$8*H409,0)</f>
        <v>0</v>
      </c>
      <c r="M410" s="64">
        <f ca="1">IF(AND(B410="Spring",AND(NOT(H409=0),H409&lt;(Variables!$B$9*Variables!$E$50))),(Variables!$B$10*Variables!$E$50+Variables!$B$11*Variables!$E$50*SUM(E407:E410)+$G$1*SUM(D409:D410)*Variables!$E$50*Variables!$B$12),0)</f>
        <v>-0.47492794556407869</v>
      </c>
      <c r="N410" s="64">
        <f>IF(AND(B410="Spring",AND(SUM(D407:D410)&gt;Variables!$B$13,SUM(D403:D406)&gt;Variables!$B$13)),-Variables!$B$14*Variables!$E$50,0)</f>
        <v>0</v>
      </c>
      <c r="O410" s="64">
        <f>IF(AND(B410="Summer",SUM(C406:D410)&gt;Variables!$B$15),(Variables!$B$16*Variables!$E$50*SUM(C406:C410)+$G$1*Variables!$B$16*Variables!$E$50*SUM(D406:D410)+$G$1*Variables!$E$50*Variables!$B$17*F410),0)</f>
        <v>0</v>
      </c>
      <c r="P410" s="64">
        <f ca="1">IF(AND(AND(B410="Autumn",SUM(D409:E410)&gt;0),NOT(H409=0)),Variables!$B$18*Variables!$E$50+Variables!$B$19*Variables!$E$50*SUM(E409:E410)+$G$1*Variables!$B$19*Variables!$E$50*SUM(D409:D410),0)</f>
        <v>0</v>
      </c>
      <c r="Q410" s="64">
        <f>IF(AND(B410="Autumn",AND((E410+E409)&lt;Variables!$B$20,(D409+D410)=0)),-Variables!$B$21*Variables!$E$50,0)</f>
        <v>0</v>
      </c>
      <c r="R410" s="64">
        <f>IF(B410="Autumn",(SUM(F409:F410)*$G$1*Variables!$B$22*Variables!$E$50),0)</f>
        <v>0</v>
      </c>
      <c r="S410" s="64">
        <f ca="1">IF(B410="Spring",($G$1*Variables!$E$50*SUM('Guts (MC)'!F409:F410)*Variables!$B$23),0)</f>
        <v>0</v>
      </c>
      <c r="T410" s="63">
        <f ca="1">IF((H409+SUM(J410:Q410))&lt;(Variables!$B$26*Variables!$E$50),$F$1*((Variables!$B$26*Variables!$E$50)-H409-SUM(J410:Q410)),0)</f>
        <v>0.47492794556407869</v>
      </c>
      <c r="U410" s="64">
        <f ca="1">IF(AND(AND(B410="Autumn",SUM(D407:E410)&gt;Variables!$B$27),SUM(J410:Q410)&lt;Variables!$B$28*H409),$F$1*(Variables!$B$28*H409-SUM(J410:Q410)),0)</f>
        <v>0</v>
      </c>
      <c r="V410" s="96">
        <f ca="1">IF(AND((J410+K410)=0,(Q410+T410)=0),$H$1*H410*Variables!$I$23*0.25,0)</f>
        <v>0</v>
      </c>
      <c r="W410" s="97">
        <f ca="1">IF(AND((K410+J410)=0,(T410+Q410)=0),$I$1*H410*Variables!$Q$23*0.25,0)</f>
        <v>0</v>
      </c>
      <c r="X410" s="95">
        <f ca="1">IF(AND(NOT(K410=0),(H410-H409)&gt;0),(H410-H409)*(Variables!$M$5*$H$1+Variables!$U$5*$I$1),0)+IF(AND(NOT((J410+N410+Q410)=0),(H409-H410)&gt;0),(H409-H410)*(Variables!$M$4*$H$1+Variables!$U$4*$I$1),0)</f>
        <v>0</v>
      </c>
      <c r="Y410" s="95">
        <f ca="1">IF(SUM(T410,U409:U410)&gt;0,H410*Variables!$Y$11*0.25*(1-$J$1),0)</f>
        <v>-8.6666009437672749</v>
      </c>
      <c r="Z410" s="95">
        <f ca="1">IF(T410=0,H410*$J$1*Variables!$Y$5*0.25,0)</f>
        <v>0</v>
      </c>
      <c r="AA410" s="95">
        <f t="shared" ca="1" si="13"/>
        <v>-8.6666009437672749</v>
      </c>
      <c r="AB410" s="91">
        <f ca="1">AA410/Variables!$E$49</f>
        <v>-1.3978388618979476</v>
      </c>
    </row>
    <row r="411" spans="1:28" x14ac:dyDescent="0.25">
      <c r="A411" s="61">
        <f>'Water runs'!C418</f>
        <v>39506</v>
      </c>
      <c r="B411" s="61" t="str">
        <f>'Water runs'!B418</f>
        <v>Summer</v>
      </c>
      <c r="C411" s="54">
        <f>'Water runs'!D418/100</f>
        <v>3.8432285714285701</v>
      </c>
      <c r="D411" s="108">
        <f>VLOOKUP(ROW(D411)+4,'Water runs'!$BS$3:$CF$423,MATCH($B$1,Scenarios,0)+1)</f>
        <v>0.2568943538745358</v>
      </c>
      <c r="E411" s="54">
        <f>IF(B411=Variables!$D$8,C411-Variables!$E$8,IF(B411=Variables!$D$9,C411-Variables!$E$9,IF(B411=Variables!$D$10,C411-Variables!$E$10,IF(B411=Variables!$D$11,C411-Variables!$E$11,"ELSE"))))</f>
        <v>2.5848584353741484</v>
      </c>
      <c r="F411" s="108">
        <f>VLOOKUP(ROW(F411)+4,'Water runs'!$CH$3:$CU$423,MATCH($B$1,Scenarios,0)+1)</f>
        <v>0.10169439187958733</v>
      </c>
      <c r="G411" s="65">
        <f ca="1">H411/Variables!$E$49</f>
        <v>0.78867281217280771</v>
      </c>
      <c r="H411" s="62">
        <f ca="1">IF((H410+I411)&gt;(1.1*Variables!$E$50),(1.1*Variables!$E$50),IF((H410+I411)&gt;0,H410+I411,0))</f>
        <v>4.8897714354714079</v>
      </c>
      <c r="I411" s="64">
        <f t="shared" ca="1" si="12"/>
        <v>3.8915714354714082</v>
      </c>
      <c r="J411" s="63">
        <f>IF(SUM(E407:E410)&lt;Variables!$B$3,-H410,0)</f>
        <v>0</v>
      </c>
      <c r="K411" s="64">
        <f ca="1">IF(AND(H410&lt;Variables!$B$6*Variables!$E$50,OR(SUM(D408:D411)&gt;Variables!$B$5,SUM(E408:E411)&gt;Variables!$B$4)),Variables!$B$6*Variables!$E$50+Variables!$B$7*$G$1*Variables!$E$50*SUM(D408:D411),0)</f>
        <v>1.1553644765161237</v>
      </c>
      <c r="L411" s="64">
        <f>IF(B411="Winter",Variables!$B$8*H410,0)</f>
        <v>0</v>
      </c>
      <c r="M411" s="64">
        <f ca="1">IF(AND(B411="Spring",AND(NOT(H410=0),H410&lt;(Variables!$B$9*Variables!$E$50))),(Variables!$B$10*Variables!$E$50+Variables!$B$11*Variables!$E$50*SUM(E408:E411)+$G$1*SUM(D410:D411)*Variables!$E$50*Variables!$B$12),0)</f>
        <v>0</v>
      </c>
      <c r="N411" s="64">
        <f>IF(AND(B411="Spring",AND(SUM(D408:D411)&gt;Variables!$B$13,SUM(D404:D407)&gt;Variables!$B$13)),-Variables!$B$14*Variables!$E$50,0)</f>
        <v>0</v>
      </c>
      <c r="O411" s="64">
        <f ca="1">IF(AND(B411="Summer",SUM(C407:D411)&gt;Variables!$B$15),(Variables!$B$16*Variables!$E$50*SUM(C407:C411)+$G$1*Variables!$B$16*Variables!$E$50*SUM(D407:D411)+$G$1*Variables!$E$50*Variables!$B$17*F411),0)</f>
        <v>2.7362069589552842</v>
      </c>
      <c r="P411" s="64">
        <f ca="1">IF(AND(AND(B411="Autumn",SUM(D410:E411)&gt;0),NOT(H410=0)),Variables!$B$18*Variables!$E$50+Variables!$B$19*Variables!$E$50*SUM(E410:E411)+$G$1*Variables!$B$19*Variables!$E$50*SUM(D410:D411),0)</f>
        <v>0</v>
      </c>
      <c r="Q411" s="64">
        <f>IF(AND(B411="Autumn",AND((E411+E410)&lt;Variables!$B$20,(D410+D411)=0)),-Variables!$B$21*Variables!$E$50,0)</f>
        <v>0</v>
      </c>
      <c r="R411" s="64">
        <f>IF(B411="Autumn",(SUM(F410:F411)*$G$1*Variables!$B$22*Variables!$E$50),0)</f>
        <v>0</v>
      </c>
      <c r="S411" s="64">
        <f>IF(B411="Spring",($G$1*Variables!$E$50*SUM('Guts (MC)'!F410:F411)*Variables!$B$23),0)</f>
        <v>0</v>
      </c>
      <c r="T411" s="63">
        <f ca="1">IF((H410+SUM(J411:Q411))&lt;(Variables!$B$26*Variables!$E$50),$F$1*((Variables!$B$26*Variables!$E$50)-H410-SUM(J411:Q411)),0)</f>
        <v>0</v>
      </c>
      <c r="U411" s="64">
        <f ca="1">IF(AND(AND(B411="Autumn",SUM(D408:E411)&gt;Variables!$B$27),SUM(J411:Q411)&lt;Variables!$B$28*H410),$F$1*(Variables!$B$28*H410-SUM(J411:Q411)),0)</f>
        <v>0</v>
      </c>
      <c r="V411" s="96">
        <f ca="1">IF(AND((J411+K411)=0,(Q411+T411)=0),$H$1*H411*Variables!$I$23*0.25,0)</f>
        <v>0</v>
      </c>
      <c r="W411" s="97">
        <f ca="1">IF(AND((K411+J411)=0,(T411+Q411)=0),$I$1*H411*Variables!$Q$23*0.25,0)</f>
        <v>0</v>
      </c>
      <c r="X411" s="95">
        <f ca="1">IF(AND(NOT(K411=0),(H411-H410)&gt;0),(H411-H410)*(Variables!$M$5*$H$1+Variables!$U$5*$I$1),0)+IF(AND(NOT((J411+N411+Q411)=0),(H410-H411)&gt;0),(H410-H411)*(Variables!$M$4*$H$1+Variables!$U$4*$I$1),0)</f>
        <v>-444.86293330401122</v>
      </c>
      <c r="Y411" s="95">
        <f ca="1">IF(SUM(T411,U410:U411)&gt;0,H411*Variables!$Y$11*0.25*(1-$J$1),0)</f>
        <v>0</v>
      </c>
      <c r="Z411" s="95">
        <f ca="1">IF(T411=0,H411*$J$1*Variables!$Y$5*0.25,0)</f>
        <v>5.5023954314497523</v>
      </c>
      <c r="AA411" s="95">
        <f t="shared" ca="1" si="13"/>
        <v>-439.36053787256145</v>
      </c>
      <c r="AB411" s="91">
        <f ca="1">AA411/Variables!$E$49</f>
        <v>-70.864602882671207</v>
      </c>
    </row>
    <row r="412" spans="1:28" x14ac:dyDescent="0.25">
      <c r="A412" s="61">
        <f>'Water runs'!C419</f>
        <v>39599</v>
      </c>
      <c r="B412" s="61" t="str">
        <f>'Water runs'!B419</f>
        <v>Autumn</v>
      </c>
      <c r="C412" s="54">
        <f>'Water runs'!D419/100</f>
        <v>0.7037333333333331</v>
      </c>
      <c r="D412" s="108">
        <f>VLOOKUP(ROW(D412)+4,'Water runs'!$BS$3:$CF$423,MATCH($B$1,Scenarios,0)+1)</f>
        <v>5.0111243952842069E-3</v>
      </c>
      <c r="E412" s="54">
        <f>IF(B412=Variables!$D$8,C412-Variables!$E$8,IF(B412=Variables!$D$9,C412-Variables!$E$9,IF(B412=Variables!$D$10,C412-Variables!$E$10,IF(B412=Variables!$D$11,C412-Variables!$E$11,"ELSE"))))</f>
        <v>-0.29090996598639474</v>
      </c>
      <c r="F412" s="108">
        <f>VLOOKUP(ROW(F412)+4,'Water runs'!$CH$3:$CU$423,MATCH($B$1,Scenarios,0)+1)</f>
        <v>0</v>
      </c>
      <c r="G412" s="65">
        <f ca="1">H412/Variables!$E$49</f>
        <v>1.7327914636565398</v>
      </c>
      <c r="H412" s="62">
        <f ca="1">IF((H411+I412)&gt;(1.1*Variables!$E$50),(1.1*Variables!$E$50),IF((H411+I412)&gt;0,H411+I412,0))</f>
        <v>10.743307074670547</v>
      </c>
      <c r="I412" s="64">
        <f t="shared" ca="1" si="12"/>
        <v>5.8535356391991389</v>
      </c>
      <c r="J412" s="63">
        <f>IF(SUM(E408:E411)&lt;Variables!$B$3,-H411,0)</f>
        <v>0</v>
      </c>
      <c r="K412" s="64">
        <f ca="1">IF(AND(H411&lt;Variables!$B$6*Variables!$E$50,OR(SUM(D409:D412)&gt;Variables!$B$5,SUM(E409:E412)&gt;Variables!$B$4)),Variables!$B$6*Variables!$E$50+Variables!$B$7*$G$1*Variables!$E$50*SUM(D409:D412),0)</f>
        <v>0</v>
      </c>
      <c r="L412" s="64">
        <f>IF(B412="Winter",Variables!$B$8*H411,0)</f>
        <v>0</v>
      </c>
      <c r="M412" s="64">
        <f ca="1">IF(AND(B412="Spring",AND(NOT(H411=0),H411&lt;(Variables!$B$9*Variables!$E$50))),(Variables!$B$10*Variables!$E$50+Variables!$B$11*Variables!$E$50*SUM(E409:E412)+$G$1*SUM(D411:D412)*Variables!$E$50*Variables!$B$12),0)</f>
        <v>0</v>
      </c>
      <c r="N412" s="64">
        <f>IF(AND(B412="Spring",AND(SUM(D409:D412)&gt;Variables!$B$13,SUM(D405:D408)&gt;Variables!$B$13)),-Variables!$B$14*Variables!$E$50,0)</f>
        <v>0</v>
      </c>
      <c r="O412" s="64">
        <f>IF(AND(B412="Summer",SUM(C408:D412)&gt;Variables!$B$15),(Variables!$B$16*Variables!$E$50*SUM(C408:C412)+$G$1*Variables!$B$16*Variables!$E$50*SUM(D408:D412)+$G$1*Variables!$E$50*Variables!$B$17*F412),0)</f>
        <v>0</v>
      </c>
      <c r="P412" s="64">
        <f ca="1">IF(AND(AND(B412="Autumn",SUM(D411:E412)&gt;0),NOT(H411=0)),Variables!$B$18*Variables!$E$50+Variables!$B$19*Variables!$E$50*SUM(E411:E412)+$G$1*Variables!$B$19*Variables!$E$50*SUM(D411:D412),0)</f>
        <v>5.8381399102219476</v>
      </c>
      <c r="Q412" s="64">
        <f>IF(AND(B412="Autumn",AND((E412+E411)&lt;Variables!$B$20,(D411+D412)=0)),-Variables!$B$21*Variables!$E$50,0)</f>
        <v>0</v>
      </c>
      <c r="R412" s="64">
        <f ca="1">IF(B412="Autumn",(SUM(F411:F412)*$G$1*Variables!$B$22*Variables!$E$50),0)</f>
        <v>1.5395728977191721E-2</v>
      </c>
      <c r="S412" s="64">
        <f>IF(B412="Spring",($G$1*Variables!$E$50*SUM('Guts (MC)'!F411:F412)*Variables!$B$23),0)</f>
        <v>0</v>
      </c>
      <c r="T412" s="63">
        <f ca="1">IF((H411+SUM(J412:Q412))&lt;(Variables!$B$26*Variables!$E$50),$F$1*((Variables!$B$26*Variables!$E$50)-H411-SUM(J412:Q412)),0)</f>
        <v>0</v>
      </c>
      <c r="U412" s="64">
        <f ca="1">IF(AND(AND(B412="Autumn",SUM(D409:E412)&gt;Variables!$B$27),SUM(J412:Q412)&lt;Variables!$B$28*H411),$F$1*(Variables!$B$28*H411-SUM(J412:Q412)),0)</f>
        <v>0</v>
      </c>
      <c r="V412" s="96">
        <f ca="1">IF(AND((J412+K412)=0,(Q412+T412)=0),$H$1*H412*Variables!$I$23*0.25,0)</f>
        <v>130.9499300032578</v>
      </c>
      <c r="W412" s="97">
        <f ca="1">IF(AND((K412+J412)=0,(T412+Q412)=0),$I$1*H412*Variables!$Q$23*0.25,0)</f>
        <v>42.115192286376626</v>
      </c>
      <c r="X412" s="95">
        <f ca="1">IF(AND(NOT(K412=0),(H412-H411)&gt;0),(H412-H411)*(Variables!$M$5*$H$1+Variables!$U$5*$I$1),0)+IF(AND(NOT((J412+N412+Q412)=0),(H411-H412)&gt;0),(H411-H412)*(Variables!$M$4*$H$1+Variables!$U$4*$I$1),0)</f>
        <v>0</v>
      </c>
      <c r="Y412" s="95">
        <f ca="1">IF(SUM(T412,U411:U412)&gt;0,H412*Variables!$Y$11*0.25*(1-$J$1),0)</f>
        <v>0</v>
      </c>
      <c r="Z412" s="95">
        <f ca="1">IF(T412=0,H412*$J$1*Variables!$Y$5*0.25,0)</f>
        <v>12.089302035163536</v>
      </c>
      <c r="AA412" s="95">
        <f t="shared" ca="1" si="13"/>
        <v>185.15442432479796</v>
      </c>
      <c r="AB412" s="91">
        <f ca="1">AA412/Variables!$E$49</f>
        <v>29.863616826580316</v>
      </c>
    </row>
    <row r="413" spans="1:28" x14ac:dyDescent="0.25">
      <c r="A413" s="61">
        <f>'Water runs'!C420</f>
        <v>39691</v>
      </c>
      <c r="B413" s="61" t="str">
        <f>'Water runs'!B420</f>
        <v>Winter</v>
      </c>
      <c r="C413" s="54">
        <f>'Water runs'!D420/100</f>
        <v>0.52597142857142898</v>
      </c>
      <c r="D413" s="108">
        <f>VLOOKUP(ROW(D413)+4,'Water runs'!$BS$3:$CF$423,MATCH($B$1,Scenarios,0)+1)</f>
        <v>0</v>
      </c>
      <c r="E413" s="54">
        <f>IF(B413=Variables!$D$8,C413-Variables!$E$8,IF(B413=Variables!$D$9,C413-Variables!$E$9,IF(B413=Variables!$D$10,C413-Variables!$E$10,IF(B413=Variables!$D$11,C413-Variables!$E$11,"ELSE"))))</f>
        <v>-4.5796197089946755E-2</v>
      </c>
      <c r="F413" s="108">
        <f>VLOOKUP(ROW(F413)+4,'Water runs'!$CH$3:$CU$423,MATCH($B$1,Scenarios,0)+1)</f>
        <v>0</v>
      </c>
      <c r="G413" s="65">
        <f ca="1">H413/Variables!$E$49</f>
        <v>0.86995619143861347</v>
      </c>
      <c r="H413" s="62">
        <f ca="1">IF((H412+I413)&gt;(1.1*Variables!$E$50),(1.1*Variables!$E$50),IF((H412+I413)&gt;0,H412+I413,0))</f>
        <v>5.3937283869194035</v>
      </c>
      <c r="I413" s="64">
        <f t="shared" ca="1" si="12"/>
        <v>-5.3495786877511433</v>
      </c>
      <c r="J413" s="63">
        <f>IF(SUM(E409:E412)&lt;Variables!$B$3,-H412,0)</f>
        <v>0</v>
      </c>
      <c r="K413" s="64">
        <f ca="1">IF(AND(H412&lt;Variables!$B$6*Variables!$E$50,OR(SUM(D410:D413)&gt;Variables!$B$5,SUM(E410:E413)&gt;Variables!$B$4)),Variables!$B$6*Variables!$E$50+Variables!$B$7*$G$1*Variables!$E$50*SUM(D410:D413),0)</f>
        <v>0</v>
      </c>
      <c r="L413" s="64">
        <f ca="1">IF(B413="Winter",Variables!$B$8*H412,0)</f>
        <v>-5.3495786877511433</v>
      </c>
      <c r="M413" s="64">
        <f ca="1">IF(AND(B413="Spring",AND(NOT(H412=0),H412&lt;(Variables!$B$9*Variables!$E$50))),(Variables!$B$10*Variables!$E$50+Variables!$B$11*Variables!$E$50*SUM(E410:E413)+$G$1*SUM(D412:D413)*Variables!$E$50*Variables!$B$12),0)</f>
        <v>0</v>
      </c>
      <c r="N413" s="64">
        <f>IF(AND(B413="Spring",AND(SUM(D410:D413)&gt;Variables!$B$13,SUM(D406:D409)&gt;Variables!$B$13)),-Variables!$B$14*Variables!$E$50,0)</f>
        <v>0</v>
      </c>
      <c r="O413" s="64">
        <f>IF(AND(B413="Summer",SUM(C409:D413)&gt;Variables!$B$15),(Variables!$B$16*Variables!$E$50*SUM(C409:C413)+$G$1*Variables!$B$16*Variables!$E$50*SUM(D409:D413)+$G$1*Variables!$E$50*Variables!$B$17*F413),0)</f>
        <v>0</v>
      </c>
      <c r="P413" s="64">
        <f ca="1">IF(AND(AND(B413="Autumn",SUM(D412:E413)&gt;0),NOT(H412=0)),Variables!$B$18*Variables!$E$50+Variables!$B$19*Variables!$E$50*SUM(E412:E413)+$G$1*Variables!$B$19*Variables!$E$50*SUM(D412:D413),0)</f>
        <v>0</v>
      </c>
      <c r="Q413" s="64">
        <f>IF(AND(B413="Autumn",AND((E413+E412)&lt;Variables!$B$20,(D412+D413)=0)),-Variables!$B$21*Variables!$E$50,0)</f>
        <v>0</v>
      </c>
      <c r="R413" s="64">
        <f>IF(B413="Autumn",(SUM(F412:F413)*$G$1*Variables!$B$22*Variables!$E$50),0)</f>
        <v>0</v>
      </c>
      <c r="S413" s="64">
        <f>IF(B413="Spring",($G$1*Variables!$E$50*SUM('Guts (MC)'!F412:F413)*Variables!$B$23),0)</f>
        <v>0</v>
      </c>
      <c r="T413" s="63">
        <f ca="1">IF((H412+SUM(J413:Q413))&lt;(Variables!$B$26*Variables!$E$50),$F$1*((Variables!$B$26*Variables!$E$50)-H412-SUM(J413:Q413)),0)</f>
        <v>0</v>
      </c>
      <c r="U413" s="64">
        <f ca="1">IF(AND(AND(B413="Autumn",SUM(D410:E413)&gt;Variables!$B$27),SUM(J413:Q413)&lt;Variables!$B$28*H412),$F$1*(Variables!$B$28*H412-SUM(J413:Q413)),0)</f>
        <v>0</v>
      </c>
      <c r="V413" s="96">
        <f ca="1">IF(AND((J413+K413)=0,(Q413+T413)=0),$H$1*H413*Variables!$I$23*0.25,0)</f>
        <v>65.744034850213026</v>
      </c>
      <c r="W413" s="97">
        <f ca="1">IF(AND((K413+J413)=0,(T413+Q413)=0),$I$1*H413*Variables!$Q$23*0.25,0)</f>
        <v>21.144132488883987</v>
      </c>
      <c r="X413" s="95">
        <f ca="1">IF(AND(NOT(K413=0),(H413-H412)&gt;0),(H413-H412)*(Variables!$M$5*$H$1+Variables!$U$5*$I$1),0)+IF(AND(NOT((J413+N413+Q413)=0),(H412-H413)&gt;0),(H412-H413)*(Variables!$M$4*$H$1+Variables!$U$4*$I$1),0)</f>
        <v>0</v>
      </c>
      <c r="Y413" s="95">
        <f ca="1">IF(SUM(T413,U412:U413)&gt;0,H413*Variables!$Y$11*0.25*(1-$J$1),0)</f>
        <v>0</v>
      </c>
      <c r="Z413" s="95">
        <f ca="1">IF(T413=0,H413*$J$1*Variables!$Y$5*0.25,0)</f>
        <v>6.06949155524382</v>
      </c>
      <c r="AA413" s="95">
        <f t="shared" ca="1" si="13"/>
        <v>92.957658894340824</v>
      </c>
      <c r="AB413" s="91">
        <f ca="1">AA413/Variables!$E$49</f>
        <v>14.99317078940981</v>
      </c>
    </row>
    <row r="414" spans="1:28" x14ac:dyDescent="0.25">
      <c r="A414" s="61">
        <f>'Water runs'!C421</f>
        <v>39782</v>
      </c>
      <c r="B414" s="61" t="str">
        <f>'Water runs'!B421</f>
        <v>Spring</v>
      </c>
      <c r="C414" s="54">
        <f>'Water runs'!D421/100</f>
        <v>1.1983333333333299</v>
      </c>
      <c r="D414" s="108">
        <f>VLOOKUP(ROW(D414)+4,'Water runs'!$BS$3:$CF$423,MATCH($B$1,Scenarios,0)+1)</f>
        <v>0</v>
      </c>
      <c r="E414" s="54">
        <f>IF(B414=Variables!$D$8,C414-Variables!$E$8,IF(B414=Variables!$D$9,C414-Variables!$E$9,IF(B414=Variables!$D$10,C414-Variables!$E$10,IF(B414=Variables!$D$11,C414-Variables!$E$11,"ELSE"))))</f>
        <v>0.43435112433862078</v>
      </c>
      <c r="F414" s="108">
        <f>VLOOKUP(ROW(F414)+4,'Water runs'!$CH$3:$CU$423,MATCH($B$1,Scenarios,0)+1)</f>
        <v>0</v>
      </c>
      <c r="G414" s="65">
        <f ca="1">H414/Variables!$E$49</f>
        <v>0.86995619143861347</v>
      </c>
      <c r="H414" s="62">
        <f ca="1">IF((H413+I414)&gt;(1.1*Variables!$E$50),(1.1*Variables!$E$50),IF((H413+I414)&gt;0,H413+I414,0))</f>
        <v>5.3937283869194035</v>
      </c>
      <c r="I414" s="64">
        <f t="shared" ca="1" si="12"/>
        <v>0</v>
      </c>
      <c r="J414" s="63">
        <f>IF(SUM(E410:E413)&lt;Variables!$B$3,-H413,0)</f>
        <v>0</v>
      </c>
      <c r="K414" s="64">
        <f ca="1">IF(AND(H413&lt;Variables!$B$6*Variables!$E$50,OR(SUM(D411:D414)&gt;Variables!$B$5,SUM(E411:E414)&gt;Variables!$B$4)),Variables!$B$6*Variables!$E$50+Variables!$B$7*$G$1*Variables!$E$50*SUM(D411:D414),0)</f>
        <v>0</v>
      </c>
      <c r="L414" s="64">
        <f>IF(B414="Winter",Variables!$B$8*H413,0)</f>
        <v>0</v>
      </c>
      <c r="M414" s="64">
        <f ca="1">IF(AND(B414="Spring",AND(NOT(H413=0),H413&lt;(Variables!$B$9*Variables!$E$50))),(Variables!$B$10*Variables!$E$50+Variables!$B$11*Variables!$E$50*SUM(E411:E414)+$G$1*SUM(D413:D414)*Variables!$E$50*Variables!$B$12),0)</f>
        <v>0</v>
      </c>
      <c r="N414" s="64">
        <f>IF(AND(B414="Spring",AND(SUM(D411:D414)&gt;Variables!$B$13,SUM(D407:D410)&gt;Variables!$B$13)),-Variables!$B$14*Variables!$E$50,0)</f>
        <v>0</v>
      </c>
      <c r="O414" s="64">
        <f>IF(AND(B414="Summer",SUM(C410:D414)&gt;Variables!$B$15),(Variables!$B$16*Variables!$E$50*SUM(C410:C414)+$G$1*Variables!$B$16*Variables!$E$50*SUM(D410:D414)+$G$1*Variables!$E$50*Variables!$B$17*F414),0)</f>
        <v>0</v>
      </c>
      <c r="P414" s="64">
        <f ca="1">IF(AND(AND(B414="Autumn",SUM(D413:E414)&gt;0),NOT(H413=0)),Variables!$B$18*Variables!$E$50+Variables!$B$19*Variables!$E$50*SUM(E413:E414)+$G$1*Variables!$B$19*Variables!$E$50*SUM(D413:D414),0)</f>
        <v>0</v>
      </c>
      <c r="Q414" s="64">
        <f>IF(AND(B414="Autumn",AND((E414+E413)&lt;Variables!$B$20,(D413+D414)=0)),-Variables!$B$21*Variables!$E$50,0)</f>
        <v>0</v>
      </c>
      <c r="R414" s="64">
        <f>IF(B414="Autumn",(SUM(F413:F414)*$G$1*Variables!$B$22*Variables!$E$50),0)</f>
        <v>0</v>
      </c>
      <c r="S414" s="64">
        <f ca="1">IF(B414="Spring",($G$1*Variables!$E$50*SUM('Guts (MC)'!F413:F414)*Variables!$B$23),0)</f>
        <v>0</v>
      </c>
      <c r="T414" s="63">
        <f ca="1">IF((H413+SUM(J414:Q414))&lt;(Variables!$B$26*Variables!$E$50),$F$1*((Variables!$B$26*Variables!$E$50)-H413-SUM(J414:Q414)),0)</f>
        <v>0</v>
      </c>
      <c r="U414" s="64">
        <f ca="1">IF(AND(AND(B414="Autumn",SUM(D411:E414)&gt;Variables!$B$27),SUM(J414:Q414)&lt;Variables!$B$28*H413),$F$1*(Variables!$B$28*H413-SUM(J414:Q414)),0)</f>
        <v>0</v>
      </c>
      <c r="V414" s="96">
        <f ca="1">IF(AND((J414+K414)=0,(Q414+T414)=0),$H$1*H414*Variables!$I$23*0.25,0)</f>
        <v>65.744034850213026</v>
      </c>
      <c r="W414" s="97">
        <f ca="1">IF(AND((K414+J414)=0,(T414+Q414)=0),$I$1*H414*Variables!$Q$23*0.25,0)</f>
        <v>21.144132488883987</v>
      </c>
      <c r="X414" s="95">
        <f ca="1">IF(AND(NOT(K414=0),(H414-H413)&gt;0),(H414-H413)*(Variables!$M$5*$H$1+Variables!$U$5*$I$1),0)+IF(AND(NOT((J414+N414+Q414)=0),(H413-H414)&gt;0),(H413-H414)*(Variables!$M$4*$H$1+Variables!$U$4*$I$1),0)</f>
        <v>0</v>
      </c>
      <c r="Y414" s="95">
        <f ca="1">IF(SUM(T414,U413:U414)&gt;0,H414*Variables!$Y$11*0.25*(1-$J$1),0)</f>
        <v>0</v>
      </c>
      <c r="Z414" s="95">
        <f ca="1">IF(T414=0,H414*$J$1*Variables!$Y$5*0.25,0)</f>
        <v>6.06949155524382</v>
      </c>
      <c r="AA414" s="95">
        <f t="shared" ca="1" si="13"/>
        <v>92.957658894340824</v>
      </c>
      <c r="AB414" s="91">
        <f ca="1">AA414/Variables!$E$49</f>
        <v>14.99317078940981</v>
      </c>
    </row>
    <row r="415" spans="1:28" x14ac:dyDescent="0.25">
      <c r="A415" s="61">
        <f>'Water runs'!C422</f>
        <v>39872</v>
      </c>
      <c r="B415" s="61" t="str">
        <f>'Water runs'!B422</f>
        <v>Summer</v>
      </c>
      <c r="C415" s="54">
        <f>'Water runs'!D422/100</f>
        <v>1.3737142857142899</v>
      </c>
      <c r="D415" s="108">
        <f>VLOOKUP(ROW(D415)+4,'Water runs'!$BS$3:$CF$423,MATCH($B$1,Scenarios,0)+1)</f>
        <v>1.5431634454746277E-2</v>
      </c>
      <c r="E415" s="54">
        <f>IF(B415=Variables!$D$8,C415-Variables!$E$8,IF(B415=Variables!$D$9,C415-Variables!$E$9,IF(B415=Variables!$D$10,C415-Variables!$E$10,IF(B415=Variables!$D$11,C415-Variables!$E$11,"ELSE"))))</f>
        <v>0.11534414965986817</v>
      </c>
      <c r="F415" s="108">
        <f>VLOOKUP(ROW(F415)+4,'Water runs'!$CH$3:$CU$423,MATCH($B$1,Scenarios,0)+1)</f>
        <v>0</v>
      </c>
      <c r="G415" s="65">
        <f ca="1">H415/Variables!$E$49</f>
        <v>1.3475171435973148</v>
      </c>
      <c r="H415" s="62">
        <f ca="1">IF((H414+I415)&gt;(1.1*Variables!$E$50),(1.1*Variables!$E$50),IF((H414+I415)&gt;0,H414+I415,0))</f>
        <v>8.3546062903033516</v>
      </c>
      <c r="I415" s="64">
        <f t="shared" ca="1" si="12"/>
        <v>2.9608779033839485</v>
      </c>
      <c r="J415" s="63">
        <f>IF(SUM(E411:E414)&lt;Variables!$B$3,-H414,0)</f>
        <v>0</v>
      </c>
      <c r="K415" s="64">
        <f ca="1">IF(AND(H414&lt;Variables!$B$6*Variables!$E$50,OR(SUM(D412:D415)&gt;Variables!$B$5,SUM(E412:E415)&gt;Variables!$B$4)),Variables!$B$6*Variables!$E$50+Variables!$B$7*$G$1*Variables!$E$50*SUM(D412:D415),0)</f>
        <v>0</v>
      </c>
      <c r="L415" s="64">
        <f>IF(B415="Winter",Variables!$B$8*H414,0)</f>
        <v>0</v>
      </c>
      <c r="M415" s="64">
        <f ca="1">IF(AND(B415="Spring",AND(NOT(H414=0),H414&lt;(Variables!$B$9*Variables!$E$50))),(Variables!$B$10*Variables!$E$50+Variables!$B$11*Variables!$E$50*SUM(E412:E415)+$G$1*SUM(D414:D415)*Variables!$E$50*Variables!$B$12),0)</f>
        <v>0</v>
      </c>
      <c r="N415" s="64">
        <f>IF(AND(B415="Spring",AND(SUM(D412:D415)&gt;Variables!$B$13,SUM(D408:D411)&gt;Variables!$B$13)),-Variables!$B$14*Variables!$E$50,0)</f>
        <v>0</v>
      </c>
      <c r="O415" s="64">
        <f ca="1">IF(AND(B415="Summer",SUM(C411:D415)&gt;Variables!$B$15),(Variables!$B$16*Variables!$E$50*SUM(C411:C415)+$G$1*Variables!$B$16*Variables!$E$50*SUM(D411:D415)+$G$1*Variables!$E$50*Variables!$B$17*F415),0)</f>
        <v>2.9608779033839485</v>
      </c>
      <c r="P415" s="64">
        <f ca="1">IF(AND(AND(B415="Autumn",SUM(D414:E415)&gt;0),NOT(H414=0)),Variables!$B$18*Variables!$E$50+Variables!$B$19*Variables!$E$50*SUM(E414:E415)+$G$1*Variables!$B$19*Variables!$E$50*SUM(D414:D415),0)</f>
        <v>0</v>
      </c>
      <c r="Q415" s="64">
        <f>IF(AND(B415="Autumn",AND((E415+E414)&lt;Variables!$B$20,(D414+D415)=0)),-Variables!$B$21*Variables!$E$50,0)</f>
        <v>0</v>
      </c>
      <c r="R415" s="64">
        <f>IF(B415="Autumn",(SUM(F414:F415)*$G$1*Variables!$B$22*Variables!$E$50),0)</f>
        <v>0</v>
      </c>
      <c r="S415" s="64">
        <f>IF(B415="Spring",($G$1*Variables!$E$50*SUM('Guts (MC)'!F414:F415)*Variables!$B$23),0)</f>
        <v>0</v>
      </c>
      <c r="T415" s="63">
        <f ca="1">IF((H414+SUM(J415:Q415))&lt;(Variables!$B$26*Variables!$E$50),$F$1*((Variables!$B$26*Variables!$E$50)-H414-SUM(J415:Q415)),0)</f>
        <v>0</v>
      </c>
      <c r="U415" s="64">
        <f ca="1">IF(AND(AND(B415="Autumn",SUM(D412:E415)&gt;Variables!$B$27),SUM(J415:Q415)&lt;Variables!$B$28*H414),$F$1*(Variables!$B$28*H414-SUM(J415:Q415)),0)</f>
        <v>0</v>
      </c>
      <c r="V415" s="96">
        <f ca="1">IF(AND((J415+K415)=0,(Q415+T415)=0),$H$1*H415*Variables!$I$23*0.25,0)</f>
        <v>101.83410948937723</v>
      </c>
      <c r="W415" s="97">
        <f ca="1">IF(AND((K415+J415)=0,(T415+Q415)=0),$I$1*H415*Variables!$Q$23*0.25,0)</f>
        <v>32.751167582528339</v>
      </c>
      <c r="X415" s="95">
        <f ca="1">IF(AND(NOT(K415=0),(H415-H414)&gt;0),(H415-H414)*(Variables!$M$5*$H$1+Variables!$U$5*$I$1),0)+IF(AND(NOT((J415+N415+Q415)=0),(H414-H415)&gt;0),(H414-H415)*(Variables!$M$4*$H$1+Variables!$U$4*$I$1),0)</f>
        <v>0</v>
      </c>
      <c r="Y415" s="95">
        <f ca="1">IF(SUM(T415,U414:U415)&gt;0,H415*Variables!$Y$11*0.25*(1-$J$1),0)</f>
        <v>0</v>
      </c>
      <c r="Z415" s="95">
        <f ca="1">IF(T415=0,H415*$J$1*Variables!$Y$5*0.25,0)</f>
        <v>9.401328485386486</v>
      </c>
      <c r="AA415" s="95">
        <f t="shared" ca="1" si="13"/>
        <v>143.98660555729208</v>
      </c>
      <c r="AB415" s="91">
        <f ca="1">AA415/Variables!$E$49</f>
        <v>23.223646057627754</v>
      </c>
    </row>
    <row r="416" spans="1:28" x14ac:dyDescent="0.25">
      <c r="A416" s="61">
        <f>'Water runs'!C423</f>
        <v>39964</v>
      </c>
      <c r="B416" s="61" t="str">
        <f>'Water runs'!B423</f>
        <v>Autumn</v>
      </c>
      <c r="C416" s="54">
        <f>'Water runs'!D423/100</f>
        <v>0.72128571428571409</v>
      </c>
      <c r="D416" s="108">
        <f>VLOOKUP(ROW(D416)+4,'Water runs'!$BS$3:$CF$423,MATCH($B$1,Scenarios,0)+1)</f>
        <v>0</v>
      </c>
      <c r="E416" s="54">
        <f>IF(B416=Variables!$D$8,C416-Variables!$E$8,IF(B416=Variables!$D$9,C416-Variables!$E$9,IF(B416=Variables!$D$10,C416-Variables!$E$10,IF(B416=Variables!$D$11,C416-Variables!$E$11,"ELSE"))))</f>
        <v>-0.27335758503401375</v>
      </c>
      <c r="F416" s="108">
        <f>VLOOKUP(ROW(F416)+4,'Water runs'!$CH$3:$CU$423,MATCH($B$1,Scenarios,0)+1)</f>
        <v>0</v>
      </c>
      <c r="G416" s="65">
        <f ca="1">H416/Variables!$E$49</f>
        <v>1.3475171435973148</v>
      </c>
      <c r="H416" s="62">
        <f ca="1">IF((H415+I416)&gt;(1.1*Variables!$E$50),(1.1*Variables!$E$50),IF((H415+I416)&gt;0,H415+I416,0))</f>
        <v>8.3546062903033516</v>
      </c>
      <c r="I416" s="64">
        <f t="shared" ca="1" si="12"/>
        <v>0</v>
      </c>
      <c r="J416" s="63">
        <f>IF(SUM(E412:E415)&lt;Variables!$B$3,-H415,0)</f>
        <v>0</v>
      </c>
      <c r="K416" s="64">
        <f ca="1">IF(AND(H415&lt;Variables!$B$6*Variables!$E$50,OR(SUM(D413:D416)&gt;Variables!$B$5,SUM(E413:E416)&gt;Variables!$B$4)),Variables!$B$6*Variables!$E$50+Variables!$B$7*$G$1*Variables!$E$50*SUM(D413:D416),0)</f>
        <v>0</v>
      </c>
      <c r="L416" s="64">
        <f>IF(B416="Winter",Variables!$B$8*H415,0)</f>
        <v>0</v>
      </c>
      <c r="M416" s="64">
        <f ca="1">IF(AND(B416="Spring",AND(NOT(H415=0),H415&lt;(Variables!$B$9*Variables!$E$50))),(Variables!$B$10*Variables!$E$50+Variables!$B$11*Variables!$E$50*SUM(E413:E416)+$G$1*SUM(D415:D416)*Variables!$E$50*Variables!$B$12),0)</f>
        <v>0</v>
      </c>
      <c r="N416" s="64">
        <f>IF(AND(B416="Spring",AND(SUM(D413:D416)&gt;Variables!$B$13,SUM(D409:D412)&gt;Variables!$B$13)),-Variables!$B$14*Variables!$E$50,0)</f>
        <v>0</v>
      </c>
      <c r="O416" s="64">
        <f>IF(AND(B416="Summer",SUM(C412:D416)&gt;Variables!$B$15),(Variables!$B$16*Variables!$E$50*SUM(C412:C416)+$G$1*Variables!$B$16*Variables!$E$50*SUM(D412:D416)+$G$1*Variables!$E$50*Variables!$B$17*F416),0)</f>
        <v>0</v>
      </c>
      <c r="P416" s="64">
        <f ca="1">IF(AND(AND(B416="Autumn",SUM(D415:E416)&gt;0),NOT(H415=0)),Variables!$B$18*Variables!$E$50+Variables!$B$19*Variables!$E$50*SUM(E415:E416)+$G$1*Variables!$B$19*Variables!$E$50*SUM(D415:D416),0)</f>
        <v>0</v>
      </c>
      <c r="Q416" s="64">
        <f>IF(AND(B416="Autumn",AND((E416+E415)&lt;Variables!$B$20,(D415+D416)=0)),-Variables!$B$21*Variables!$E$50,0)</f>
        <v>0</v>
      </c>
      <c r="R416" s="64">
        <f ca="1">IF(B416="Autumn",(SUM(F415:F416)*$G$1*Variables!$B$22*Variables!$E$50),0)</f>
        <v>0</v>
      </c>
      <c r="S416" s="64">
        <f>IF(B416="Spring",($G$1*Variables!$E$50*SUM('Guts (MC)'!F415:F416)*Variables!$B$23),0)</f>
        <v>0</v>
      </c>
      <c r="T416" s="63">
        <f ca="1">IF((H415+SUM(J416:Q416))&lt;(Variables!$B$26*Variables!$E$50),$F$1*((Variables!$B$26*Variables!$E$50)-H415-SUM(J416:Q416)),0)</f>
        <v>0</v>
      </c>
      <c r="U416" s="64">
        <f ca="1">IF(AND(AND(B416="Autumn",SUM(D413:E416)&gt;Variables!$B$27),SUM(J416:Q416)&lt;Variables!$B$28*H415),$F$1*(Variables!$B$28*H415-SUM(J416:Q416)),0)</f>
        <v>0</v>
      </c>
      <c r="V416" s="96">
        <f ca="1">IF(AND((J416+K416)=0,(Q416+T416)=0),$H$1*H416*Variables!$I$23*0.25,0)</f>
        <v>101.83410948937723</v>
      </c>
      <c r="W416" s="97">
        <f ca="1">IF(AND((K416+J416)=0,(T416+Q416)=0),$I$1*H416*Variables!$Q$23*0.25,0)</f>
        <v>32.751167582528339</v>
      </c>
      <c r="X416" s="95">
        <f ca="1">IF(AND(NOT(K416=0),(H416-H415)&gt;0),(H416-H415)*(Variables!$M$5*$H$1+Variables!$U$5*$I$1),0)+IF(AND(NOT((J416+N416+Q416)=0),(H415-H416)&gt;0),(H415-H416)*(Variables!$M$4*$H$1+Variables!$U$4*$I$1),0)</f>
        <v>0</v>
      </c>
      <c r="Y416" s="95">
        <f ca="1">IF(SUM(T416,U415:U416)&gt;0,H416*Variables!$Y$11*0.25*(1-$J$1),0)</f>
        <v>0</v>
      </c>
      <c r="Z416" s="95">
        <f ca="1">IF(T416=0,H416*$J$1*Variables!$Y$5*0.25,0)</f>
        <v>9.401328485386486</v>
      </c>
      <c r="AA416" s="95">
        <f t="shared" ca="1" si="13"/>
        <v>143.98660555729208</v>
      </c>
      <c r="AB416" s="91">
        <f ca="1">AA416/Variables!$E$49</f>
        <v>23.223646057627754</v>
      </c>
    </row>
    <row r="417" spans="1:28" x14ac:dyDescent="0.25">
      <c r="A417" s="61">
        <f>'Water runs'!C424</f>
        <v>40056</v>
      </c>
      <c r="B417" s="61" t="str">
        <f>'Water runs'!B424</f>
        <v>Winter</v>
      </c>
      <c r="C417" s="54">
        <f>'Water runs'!D424/100</f>
        <v>0.442857142857143</v>
      </c>
      <c r="D417" s="108">
        <f>VLOOKUP(ROW(D417)+4,'Water runs'!$BS$3:$CF$423,MATCH($B$1,Scenarios,0)+1)</f>
        <v>0</v>
      </c>
      <c r="E417" s="54">
        <f>IF(B417=Variables!$D$8,C417-Variables!$E$8,IF(B417=Variables!$D$9,C417-Variables!$E$9,IF(B417=Variables!$D$10,C417-Variables!$E$10,IF(B417=Variables!$D$11,C417-Variables!$E$11,"ELSE"))))</f>
        <v>-0.12891048280423273</v>
      </c>
      <c r="F417" s="108">
        <f>VLOOKUP(ROW(F417)+4,'Water runs'!$CH$3:$CU$423,MATCH($B$1,Scenarios,0)+1)</f>
        <v>0</v>
      </c>
      <c r="G417" s="65">
        <f ca="1">H417/Variables!$E$49</f>
        <v>0.67652738758789233</v>
      </c>
      <c r="H417" s="62">
        <f ca="1">IF((H416+I417)&gt;(1.1*Variables!$E$50),(1.1*Variables!$E$50),IF((H416+I417)&gt;0,H416+I417,0))</f>
        <v>4.1944698030449326</v>
      </c>
      <c r="I417" s="64">
        <f t="shared" ca="1" si="12"/>
        <v>-4.160136487258419</v>
      </c>
      <c r="J417" s="63">
        <f>IF(SUM(E413:E416)&lt;Variables!$B$3,-H416,0)</f>
        <v>0</v>
      </c>
      <c r="K417" s="64">
        <f ca="1">IF(AND(H416&lt;Variables!$B$6*Variables!$E$50,OR(SUM(D414:D417)&gt;Variables!$B$5,SUM(E414:E417)&gt;Variables!$B$4)),Variables!$B$6*Variables!$E$50+Variables!$B$7*$G$1*Variables!$E$50*SUM(D414:D417),0)</f>
        <v>0</v>
      </c>
      <c r="L417" s="64">
        <f ca="1">IF(B417="Winter",Variables!$B$8*H416,0)</f>
        <v>-4.160136487258419</v>
      </c>
      <c r="M417" s="64">
        <f ca="1">IF(AND(B417="Spring",AND(NOT(H416=0),H416&lt;(Variables!$B$9*Variables!$E$50))),(Variables!$B$10*Variables!$E$50+Variables!$B$11*Variables!$E$50*SUM(E414:E417)+$G$1*SUM(D416:D417)*Variables!$E$50*Variables!$B$12),0)</f>
        <v>0</v>
      </c>
      <c r="N417" s="64">
        <f>IF(AND(B417="Spring",AND(SUM(D414:D417)&gt;Variables!$B$13,SUM(D410:D413)&gt;Variables!$B$13)),-Variables!$B$14*Variables!$E$50,0)</f>
        <v>0</v>
      </c>
      <c r="O417" s="64">
        <f>IF(AND(B417="Summer",SUM(C413:D417)&gt;Variables!$B$15),(Variables!$B$16*Variables!$E$50*SUM(C413:C417)+$G$1*Variables!$B$16*Variables!$E$50*SUM(D413:D417)+$G$1*Variables!$E$50*Variables!$B$17*F417),0)</f>
        <v>0</v>
      </c>
      <c r="P417" s="64">
        <f ca="1">IF(AND(AND(B417="Autumn",SUM(D416:E417)&gt;0),NOT(H416=0)),Variables!$B$18*Variables!$E$50+Variables!$B$19*Variables!$E$50*SUM(E416:E417)+$G$1*Variables!$B$19*Variables!$E$50*SUM(D416:D417),0)</f>
        <v>0</v>
      </c>
      <c r="Q417" s="64">
        <f>IF(AND(B417="Autumn",AND((E417+E416)&lt;Variables!$B$20,(D416+D417)=0)),-Variables!$B$21*Variables!$E$50,0)</f>
        <v>0</v>
      </c>
      <c r="R417" s="64">
        <f>IF(B417="Autumn",(SUM(F416:F417)*$G$1*Variables!$B$22*Variables!$E$50),0)</f>
        <v>0</v>
      </c>
      <c r="S417" s="64">
        <f>IF(B417="Spring",($G$1*Variables!$E$50*SUM('Guts (MC)'!F416:F417)*Variables!$B$23),0)</f>
        <v>0</v>
      </c>
      <c r="T417" s="63">
        <f ca="1">IF((H416+SUM(J417:Q417))&lt;(Variables!$B$26*Variables!$E$50),$F$1*((Variables!$B$26*Variables!$E$50)-H416-SUM(J417:Q417)),0)</f>
        <v>0</v>
      </c>
      <c r="U417" s="64">
        <f ca="1">IF(AND(AND(B417="Autumn",SUM(D414:E417)&gt;Variables!$B$27),SUM(J417:Q417)&lt;Variables!$B$28*H416),$F$1*(Variables!$B$28*H416-SUM(J417:Q417)),0)</f>
        <v>0</v>
      </c>
      <c r="V417" s="96">
        <f ca="1">IF(AND((J417+K417)=0,(Q417+T417)=0),$H$1*H417*Variables!$I$23*0.25,0)</f>
        <v>51.126298754367141</v>
      </c>
      <c r="W417" s="97">
        <f ca="1">IF(AND((K417+J417)=0,(T417+Q417)=0),$I$1*H417*Variables!$Q$23*0.25,0)</f>
        <v>16.442879372882004</v>
      </c>
      <c r="X417" s="95">
        <f ca="1">IF(AND(NOT(K417=0),(H417-H416)&gt;0),(H417-H416)*(Variables!$M$5*$H$1+Variables!$U$5*$I$1),0)+IF(AND(NOT((J417+N417+Q417)=0),(H416-H417)&gt;0),(H416-H417)*(Variables!$M$4*$H$1+Variables!$U$4*$I$1),0)</f>
        <v>0</v>
      </c>
      <c r="Y417" s="95">
        <f ca="1">IF(SUM(T417,U416:U417)&gt;0,H417*Variables!$Y$11*0.25*(1-$J$1),0)</f>
        <v>0</v>
      </c>
      <c r="Z417" s="95">
        <f ca="1">IF(T417=0,H417*$J$1*Variables!$Y$5*0.25,0)</f>
        <v>4.7199816568529123</v>
      </c>
      <c r="AA417" s="95">
        <f t="shared" ca="1" si="13"/>
        <v>72.289159784102054</v>
      </c>
      <c r="AB417" s="91">
        <f ca="1">AA417/Variables!$E$49</f>
        <v>11.659541900661621</v>
      </c>
    </row>
    <row r="418" spans="1:28" x14ac:dyDescent="0.25">
      <c r="A418" s="61"/>
      <c r="B418" s="61"/>
      <c r="C418" s="54"/>
      <c r="D418" s="108"/>
      <c r="E418" s="54"/>
      <c r="F418" s="54"/>
      <c r="G418" s="65"/>
      <c r="H418" s="62"/>
      <c r="I418" s="64"/>
      <c r="J418" s="63"/>
      <c r="K418" s="64"/>
      <c r="L418" s="64"/>
      <c r="M418" s="64"/>
      <c r="N418" s="64"/>
      <c r="O418" s="64"/>
      <c r="P418" s="64"/>
      <c r="Q418" s="64"/>
      <c r="R418" s="64"/>
      <c r="S418" s="64"/>
      <c r="T418" s="63"/>
      <c r="U418" s="64"/>
      <c r="V418" s="96"/>
      <c r="W418" s="97"/>
      <c r="X418" s="95"/>
      <c r="Y418" s="95"/>
      <c r="Z418" s="95"/>
      <c r="AA418" s="95"/>
      <c r="AB418" s="91"/>
    </row>
    <row r="419" spans="1:28" x14ac:dyDescent="0.25">
      <c r="A419" s="61"/>
      <c r="B419" s="61"/>
      <c r="C419" s="54"/>
      <c r="D419" s="108"/>
      <c r="E419" s="54"/>
      <c r="F419" s="54"/>
      <c r="G419" s="65"/>
      <c r="H419" s="62"/>
      <c r="I419" s="64"/>
      <c r="J419" s="63"/>
      <c r="K419" s="64"/>
      <c r="L419" s="64"/>
      <c r="M419" s="64"/>
      <c r="N419" s="64"/>
      <c r="O419" s="64"/>
      <c r="P419" s="64"/>
      <c r="Q419" s="64"/>
      <c r="R419" s="64"/>
      <c r="S419" s="64"/>
      <c r="T419" s="63"/>
      <c r="U419" s="64"/>
      <c r="V419" s="96"/>
      <c r="W419" s="97"/>
      <c r="X419" s="95"/>
      <c r="Y419" s="95"/>
      <c r="Z419" s="95"/>
      <c r="AA419" s="95"/>
      <c r="AB419" s="91"/>
    </row>
    <row r="420" spans="1:28" x14ac:dyDescent="0.25">
      <c r="A420" s="61"/>
      <c r="B420" s="61"/>
      <c r="C420" s="54"/>
      <c r="D420" s="108"/>
      <c r="E420" s="54"/>
      <c r="F420" s="54"/>
      <c r="G420" s="65"/>
      <c r="H420" s="62"/>
      <c r="I420" s="64"/>
      <c r="J420" s="63"/>
      <c r="K420" s="64"/>
      <c r="L420" s="64"/>
      <c r="M420" s="64"/>
      <c r="N420" s="64"/>
      <c r="O420" s="64"/>
      <c r="P420" s="64"/>
      <c r="Q420" s="64"/>
      <c r="R420" s="64"/>
      <c r="S420" s="64"/>
      <c r="T420" s="63"/>
      <c r="U420" s="64"/>
      <c r="V420" s="96"/>
      <c r="W420" s="97"/>
      <c r="X420" s="95"/>
      <c r="Y420" s="95"/>
      <c r="Z420" s="95"/>
      <c r="AA420" s="95"/>
      <c r="AB420" s="91"/>
    </row>
    <row r="421" spans="1:28" x14ac:dyDescent="0.25">
      <c r="A421" s="61"/>
      <c r="B421" s="61"/>
      <c r="C421" s="54"/>
      <c r="D421" s="108"/>
      <c r="E421" s="54"/>
      <c r="F421" s="54"/>
      <c r="G421" s="65"/>
      <c r="H421" s="62"/>
      <c r="I421" s="64"/>
      <c r="J421" s="63"/>
      <c r="K421" s="64"/>
      <c r="L421" s="64"/>
      <c r="M421" s="64"/>
      <c r="N421" s="64"/>
      <c r="O421" s="64"/>
      <c r="P421" s="64"/>
      <c r="Q421" s="64"/>
      <c r="R421" s="64"/>
      <c r="S421" s="64"/>
      <c r="T421" s="63"/>
      <c r="U421" s="64"/>
      <c r="V421" s="96"/>
      <c r="W421" s="97"/>
      <c r="X421" s="95"/>
      <c r="Y421" s="95"/>
      <c r="Z421" s="95"/>
      <c r="AA421" s="95"/>
      <c r="AB421" s="91"/>
    </row>
    <row r="422" spans="1:28" x14ac:dyDescent="0.25">
      <c r="A422" s="61"/>
      <c r="B422" s="61"/>
      <c r="C422" s="54"/>
      <c r="D422" s="108"/>
      <c r="E422" s="54"/>
      <c r="F422" s="54"/>
      <c r="G422" s="65"/>
      <c r="H422" s="62"/>
      <c r="I422" s="64"/>
      <c r="J422" s="63"/>
      <c r="K422" s="64"/>
      <c r="L422" s="64"/>
      <c r="M422" s="64"/>
      <c r="N422" s="64"/>
      <c r="O422" s="64"/>
      <c r="P422" s="64"/>
      <c r="Q422" s="64"/>
      <c r="R422" s="64"/>
      <c r="S422" s="64"/>
      <c r="T422" s="63"/>
      <c r="U422" s="64"/>
      <c r="V422" s="96"/>
      <c r="W422" s="97"/>
      <c r="X422" s="95"/>
      <c r="Y422" s="95"/>
      <c r="Z422" s="95"/>
      <c r="AA422" s="95"/>
      <c r="AB422" s="91"/>
    </row>
    <row r="423" spans="1:28" x14ac:dyDescent="0.25">
      <c r="A423" s="61"/>
      <c r="B423" s="61"/>
      <c r="C423" s="54"/>
      <c r="D423" s="108"/>
      <c r="E423" s="54"/>
      <c r="F423" s="54"/>
      <c r="G423" s="65"/>
      <c r="H423" s="62"/>
      <c r="I423" s="64"/>
      <c r="J423" s="63"/>
      <c r="K423" s="64"/>
      <c r="L423" s="64"/>
      <c r="M423" s="64"/>
      <c r="N423" s="64"/>
      <c r="O423" s="64"/>
      <c r="P423" s="64"/>
      <c r="Q423" s="64"/>
      <c r="R423" s="64"/>
      <c r="S423" s="64"/>
      <c r="T423" s="63"/>
      <c r="U423" s="64"/>
      <c r="V423" s="96"/>
      <c r="W423" s="97"/>
      <c r="X423" s="95"/>
      <c r="Y423" s="95"/>
      <c r="Z423" s="95"/>
      <c r="AA423" s="95"/>
      <c r="AB423" s="91"/>
    </row>
    <row r="424" spans="1:28" x14ac:dyDescent="0.25">
      <c r="A424" s="61"/>
      <c r="B424" s="61"/>
      <c r="C424" s="54"/>
      <c r="D424" s="108"/>
      <c r="E424" s="54"/>
      <c r="F424" s="54"/>
      <c r="G424" s="65"/>
      <c r="H424" s="62"/>
      <c r="I424" s="64"/>
      <c r="J424" s="63"/>
      <c r="K424" s="64"/>
      <c r="L424" s="64"/>
      <c r="M424" s="64"/>
      <c r="N424" s="64"/>
      <c r="O424" s="64"/>
      <c r="P424" s="64"/>
      <c r="Q424" s="64"/>
      <c r="R424" s="64"/>
      <c r="S424" s="64"/>
      <c r="T424" s="63"/>
      <c r="U424" s="64"/>
      <c r="V424" s="96"/>
      <c r="W424" s="97"/>
      <c r="X424" s="95"/>
      <c r="Y424" s="95"/>
      <c r="Z424" s="95"/>
      <c r="AA424" s="95"/>
      <c r="AB424" s="91"/>
    </row>
    <row r="425" spans="1:28" x14ac:dyDescent="0.25">
      <c r="A425" s="61"/>
      <c r="B425" s="61"/>
      <c r="C425" s="54"/>
      <c r="D425" s="108"/>
      <c r="E425" s="54"/>
      <c r="F425" s="54"/>
      <c r="G425" s="65"/>
      <c r="H425" s="62"/>
      <c r="I425" s="64"/>
      <c r="J425" s="63"/>
      <c r="K425" s="64"/>
      <c r="L425" s="64"/>
      <c r="M425" s="64"/>
      <c r="N425" s="64"/>
      <c r="O425" s="64"/>
      <c r="P425" s="64"/>
      <c r="Q425" s="64"/>
      <c r="R425" s="64"/>
      <c r="S425" s="64"/>
      <c r="T425" s="63"/>
      <c r="U425" s="64"/>
      <c r="V425" s="96"/>
      <c r="W425" s="97"/>
      <c r="X425" s="95"/>
      <c r="Y425" s="95"/>
      <c r="Z425" s="95"/>
      <c r="AA425" s="95"/>
      <c r="AB425" s="91"/>
    </row>
    <row r="426" spans="1:28" x14ac:dyDescent="0.25">
      <c r="A426" s="61"/>
      <c r="B426" s="61"/>
      <c r="C426" s="54"/>
      <c r="D426" s="108"/>
      <c r="E426" s="54"/>
      <c r="F426" s="54"/>
      <c r="G426" s="65"/>
      <c r="H426" s="62"/>
      <c r="I426" s="64"/>
      <c r="J426" s="63"/>
      <c r="K426" s="64"/>
      <c r="L426" s="64"/>
      <c r="M426" s="64"/>
      <c r="N426" s="64"/>
      <c r="O426" s="64"/>
      <c r="P426" s="64"/>
      <c r="Q426" s="64"/>
      <c r="R426" s="64"/>
      <c r="S426" s="64"/>
      <c r="T426" s="63"/>
      <c r="U426" s="64"/>
      <c r="V426" s="96"/>
      <c r="W426" s="97"/>
      <c r="X426" s="95"/>
      <c r="Y426" s="95"/>
      <c r="Z426" s="95"/>
      <c r="AA426" s="95"/>
      <c r="AB426" s="91"/>
    </row>
    <row r="427" spans="1:28" x14ac:dyDescent="0.25">
      <c r="A427" s="61"/>
      <c r="B427" s="61"/>
      <c r="C427" s="54"/>
      <c r="D427" s="108"/>
      <c r="E427" s="54"/>
      <c r="F427" s="54"/>
      <c r="G427" s="65"/>
      <c r="H427" s="62"/>
      <c r="I427" s="64"/>
      <c r="J427" s="63"/>
      <c r="K427" s="64"/>
      <c r="L427" s="64"/>
      <c r="M427" s="64"/>
      <c r="N427" s="64"/>
      <c r="O427" s="64"/>
      <c r="P427" s="64"/>
      <c r="Q427" s="64"/>
      <c r="R427" s="64"/>
      <c r="S427" s="64"/>
      <c r="T427" s="63"/>
      <c r="U427" s="64"/>
      <c r="V427" s="96"/>
      <c r="W427" s="97"/>
      <c r="X427" s="95"/>
      <c r="Y427" s="95"/>
      <c r="Z427" s="95"/>
      <c r="AA427" s="95"/>
      <c r="AB427" s="91"/>
    </row>
    <row r="428" spans="1:28" x14ac:dyDescent="0.25">
      <c r="A428" s="61"/>
      <c r="B428" s="61"/>
      <c r="C428" s="54"/>
      <c r="D428" s="108"/>
      <c r="E428" s="54"/>
      <c r="F428" s="54"/>
      <c r="G428" s="65"/>
      <c r="H428" s="62"/>
      <c r="I428" s="64"/>
      <c r="J428" s="63"/>
      <c r="K428" s="64"/>
      <c r="L428" s="64"/>
      <c r="M428" s="64"/>
      <c r="N428" s="64"/>
      <c r="O428" s="64"/>
      <c r="P428" s="64"/>
      <c r="Q428" s="64"/>
      <c r="R428" s="64"/>
      <c r="S428" s="64"/>
      <c r="T428" s="63"/>
      <c r="U428" s="64"/>
      <c r="V428" s="96"/>
      <c r="W428" s="97"/>
      <c r="X428" s="95"/>
      <c r="Y428" s="95"/>
      <c r="Z428" s="95"/>
      <c r="AA428" s="95"/>
      <c r="AB428" s="91"/>
    </row>
    <row r="429" spans="1:28" x14ac:dyDescent="0.25">
      <c r="A429" s="61"/>
      <c r="B429" s="61"/>
      <c r="C429" s="54"/>
      <c r="D429" s="108"/>
      <c r="E429" s="54"/>
      <c r="F429" s="54"/>
      <c r="G429" s="65"/>
      <c r="H429" s="62"/>
      <c r="I429" s="64"/>
      <c r="J429" s="63"/>
      <c r="K429" s="64"/>
      <c r="L429" s="64"/>
      <c r="M429" s="64"/>
      <c r="N429" s="64"/>
      <c r="O429" s="64"/>
      <c r="P429" s="64"/>
      <c r="Q429" s="64"/>
      <c r="R429" s="64"/>
      <c r="S429" s="64"/>
      <c r="T429" s="63"/>
      <c r="U429" s="64"/>
      <c r="V429" s="96"/>
      <c r="W429" s="97"/>
      <c r="X429" s="95"/>
      <c r="Y429" s="95"/>
      <c r="Z429" s="95"/>
      <c r="AA429" s="95"/>
      <c r="AB429" s="91"/>
    </row>
    <row r="430" spans="1:28" x14ac:dyDescent="0.25">
      <c r="A430" s="61"/>
      <c r="B430" s="61"/>
      <c r="C430" s="54"/>
      <c r="D430" s="108"/>
      <c r="E430" s="54"/>
      <c r="F430" s="54"/>
      <c r="G430" s="65"/>
      <c r="H430" s="62"/>
      <c r="I430" s="64"/>
      <c r="J430" s="63"/>
      <c r="K430" s="64"/>
      <c r="L430" s="64"/>
      <c r="M430" s="64"/>
      <c r="N430" s="64"/>
      <c r="O430" s="64"/>
      <c r="P430" s="64"/>
      <c r="Q430" s="64"/>
      <c r="R430" s="64"/>
      <c r="S430" s="64"/>
      <c r="T430" s="63"/>
      <c r="U430" s="64"/>
      <c r="V430" s="96"/>
      <c r="W430" s="97"/>
      <c r="X430" s="95"/>
      <c r="Y430" s="95"/>
      <c r="Z430" s="95"/>
      <c r="AA430" s="95"/>
      <c r="AB430" s="91"/>
    </row>
    <row r="431" spans="1:28" x14ac:dyDescent="0.25">
      <c r="A431" s="61"/>
      <c r="B431" s="61"/>
      <c r="C431" s="54"/>
      <c r="D431" s="108"/>
      <c r="E431" s="54"/>
      <c r="F431" s="54"/>
      <c r="G431" s="65"/>
      <c r="H431" s="62"/>
      <c r="I431" s="64"/>
      <c r="J431" s="63"/>
      <c r="K431" s="64"/>
      <c r="L431" s="64"/>
      <c r="M431" s="64"/>
      <c r="N431" s="64"/>
      <c r="O431" s="64"/>
      <c r="P431" s="64"/>
      <c r="Q431" s="64"/>
      <c r="R431" s="64"/>
      <c r="S431" s="64"/>
      <c r="T431" s="63"/>
      <c r="U431" s="64"/>
      <c r="V431" s="96"/>
      <c r="W431" s="97"/>
      <c r="X431" s="95"/>
      <c r="Y431" s="95"/>
      <c r="Z431" s="95"/>
      <c r="AA431" s="95"/>
      <c r="AB431" s="91"/>
    </row>
    <row r="432" spans="1:28" x14ac:dyDescent="0.25">
      <c r="A432" s="61"/>
      <c r="B432" s="61"/>
      <c r="C432" s="54"/>
      <c r="D432" s="108"/>
      <c r="E432" s="54"/>
      <c r="F432" s="54"/>
      <c r="G432" s="65"/>
      <c r="H432" s="62"/>
      <c r="I432" s="64"/>
      <c r="J432" s="63"/>
      <c r="K432" s="64"/>
      <c r="L432" s="64"/>
      <c r="M432" s="64"/>
      <c r="N432" s="64"/>
      <c r="O432" s="64"/>
      <c r="P432" s="64"/>
      <c r="Q432" s="64"/>
      <c r="R432" s="64"/>
      <c r="S432" s="64"/>
      <c r="T432" s="63"/>
      <c r="U432" s="64"/>
      <c r="V432" s="96"/>
      <c r="W432" s="97"/>
      <c r="X432" s="95"/>
      <c r="Y432" s="95"/>
      <c r="Z432" s="95"/>
      <c r="AA432" s="95"/>
      <c r="AB432" s="91"/>
    </row>
    <row r="433" spans="1:28" x14ac:dyDescent="0.25">
      <c r="A433" s="61"/>
      <c r="B433" s="61"/>
      <c r="C433" s="54"/>
      <c r="D433" s="108"/>
      <c r="E433" s="54"/>
      <c r="F433" s="54"/>
      <c r="G433" s="65"/>
      <c r="H433" s="62"/>
      <c r="I433" s="64"/>
      <c r="J433" s="63"/>
      <c r="K433" s="64"/>
      <c r="L433" s="64"/>
      <c r="M433" s="64"/>
      <c r="N433" s="64"/>
      <c r="O433" s="64"/>
      <c r="P433" s="64"/>
      <c r="Q433" s="64"/>
      <c r="R433" s="64"/>
      <c r="S433" s="64"/>
      <c r="T433" s="63"/>
      <c r="U433" s="64"/>
      <c r="V433" s="96"/>
      <c r="W433" s="97"/>
      <c r="X433" s="95"/>
      <c r="Y433" s="95"/>
      <c r="Z433" s="95"/>
      <c r="AA433" s="95"/>
      <c r="AB433" s="91"/>
    </row>
    <row r="434" spans="1:28" x14ac:dyDescent="0.25">
      <c r="A434" s="61"/>
      <c r="B434" s="61"/>
      <c r="C434" s="54"/>
      <c r="D434" s="108"/>
      <c r="E434" s="54"/>
      <c r="F434" s="54"/>
      <c r="G434" s="65"/>
      <c r="H434" s="62"/>
      <c r="I434" s="64"/>
      <c r="J434" s="63"/>
      <c r="K434" s="64"/>
      <c r="L434" s="64"/>
      <c r="M434" s="64"/>
      <c r="N434" s="64"/>
      <c r="O434" s="64"/>
      <c r="P434" s="64"/>
      <c r="Q434" s="64"/>
      <c r="R434" s="64"/>
      <c r="S434" s="64"/>
      <c r="T434" s="63"/>
      <c r="U434" s="64"/>
      <c r="V434" s="96"/>
      <c r="W434" s="97"/>
      <c r="X434" s="95"/>
      <c r="Y434" s="95"/>
      <c r="Z434" s="95"/>
      <c r="AA434" s="95"/>
      <c r="AB434" s="91"/>
    </row>
    <row r="435" spans="1:28" x14ac:dyDescent="0.25">
      <c r="A435" s="61"/>
      <c r="B435" s="61"/>
      <c r="C435" s="54"/>
      <c r="D435" s="108"/>
      <c r="E435" s="54"/>
      <c r="F435" s="54"/>
      <c r="G435" s="65"/>
      <c r="H435" s="62"/>
      <c r="I435" s="64"/>
      <c r="J435" s="63"/>
      <c r="K435" s="64"/>
      <c r="L435" s="64"/>
      <c r="M435" s="64"/>
      <c r="N435" s="64"/>
      <c r="O435" s="64"/>
      <c r="P435" s="64"/>
      <c r="Q435" s="64"/>
      <c r="R435" s="64"/>
      <c r="S435" s="64"/>
      <c r="T435" s="63"/>
      <c r="U435" s="64"/>
      <c r="V435" s="96"/>
      <c r="W435" s="97"/>
      <c r="X435" s="95"/>
      <c r="Y435" s="95"/>
      <c r="Z435" s="95"/>
      <c r="AA435" s="95"/>
      <c r="AB435" s="91"/>
    </row>
    <row r="436" spans="1:28" x14ac:dyDescent="0.25">
      <c r="A436" s="61"/>
      <c r="B436" s="61"/>
      <c r="C436" s="54"/>
      <c r="D436" s="108"/>
      <c r="E436" s="54"/>
      <c r="F436" s="54"/>
      <c r="G436" s="65"/>
      <c r="H436" s="62"/>
      <c r="I436" s="64"/>
      <c r="J436" s="63"/>
      <c r="K436" s="64"/>
      <c r="L436" s="64"/>
      <c r="M436" s="64"/>
      <c r="N436" s="64"/>
      <c r="O436" s="64"/>
      <c r="P436" s="64"/>
      <c r="Q436" s="64"/>
      <c r="R436" s="64"/>
      <c r="S436" s="64"/>
      <c r="T436" s="63"/>
      <c r="U436" s="64"/>
      <c r="V436" s="96"/>
      <c r="W436" s="97"/>
      <c r="X436" s="95"/>
      <c r="Y436" s="95"/>
      <c r="Z436" s="95"/>
      <c r="AA436" s="95"/>
      <c r="AB436" s="91"/>
    </row>
    <row r="437" spans="1:28" x14ac:dyDescent="0.25">
      <c r="A437" s="61"/>
      <c r="B437" s="61"/>
      <c r="C437" s="54"/>
      <c r="D437" s="108"/>
      <c r="E437" s="54"/>
      <c r="F437" s="54"/>
      <c r="G437" s="65"/>
      <c r="H437" s="62"/>
      <c r="I437" s="64"/>
      <c r="J437" s="63"/>
      <c r="K437" s="64"/>
      <c r="L437" s="64"/>
      <c r="M437" s="64"/>
      <c r="N437" s="64"/>
      <c r="O437" s="64"/>
      <c r="P437" s="64"/>
      <c r="Q437" s="64"/>
      <c r="R437" s="64"/>
      <c r="S437" s="64"/>
      <c r="T437" s="63"/>
      <c r="U437" s="64"/>
      <c r="V437" s="96"/>
      <c r="W437" s="97"/>
      <c r="X437" s="95"/>
      <c r="Y437" s="95"/>
      <c r="Z437" s="95"/>
      <c r="AA437" s="95"/>
      <c r="AB437" s="91"/>
    </row>
    <row r="438" spans="1:28" x14ac:dyDescent="0.25">
      <c r="A438" s="61"/>
      <c r="B438" s="61"/>
      <c r="C438" s="54"/>
      <c r="D438" s="108"/>
      <c r="E438" s="54"/>
      <c r="F438" s="54"/>
      <c r="G438" s="65"/>
      <c r="H438" s="62"/>
      <c r="I438" s="64"/>
      <c r="J438" s="63"/>
      <c r="K438" s="64"/>
      <c r="L438" s="64"/>
      <c r="M438" s="64"/>
      <c r="N438" s="64"/>
      <c r="O438" s="64"/>
      <c r="P438" s="64"/>
      <c r="Q438" s="64"/>
      <c r="R438" s="64"/>
      <c r="S438" s="64"/>
      <c r="T438" s="63"/>
      <c r="U438" s="64"/>
      <c r="V438" s="96"/>
      <c r="W438" s="97"/>
      <c r="X438" s="95"/>
      <c r="Y438" s="95"/>
      <c r="Z438" s="95"/>
      <c r="AA438" s="95"/>
      <c r="AB438" s="91"/>
    </row>
    <row r="439" spans="1:28" x14ac:dyDescent="0.25">
      <c r="A439" s="61"/>
      <c r="B439" s="61"/>
      <c r="C439" s="54"/>
      <c r="D439" s="108"/>
      <c r="E439" s="54"/>
      <c r="F439" s="54"/>
      <c r="G439" s="65"/>
      <c r="H439" s="62"/>
      <c r="I439" s="64"/>
      <c r="J439" s="63"/>
      <c r="K439" s="64"/>
      <c r="L439" s="64"/>
      <c r="M439" s="64"/>
      <c r="N439" s="64"/>
      <c r="O439" s="64"/>
      <c r="P439" s="64"/>
      <c r="Q439" s="64"/>
      <c r="R439" s="64"/>
      <c r="S439" s="64"/>
      <c r="T439" s="63"/>
      <c r="U439" s="64"/>
      <c r="V439" s="96"/>
      <c r="W439" s="97"/>
      <c r="X439" s="95"/>
      <c r="Y439" s="95"/>
      <c r="Z439" s="95"/>
      <c r="AA439" s="95"/>
      <c r="AB439" s="91"/>
    </row>
    <row r="440" spans="1:28" x14ac:dyDescent="0.25">
      <c r="A440" s="61"/>
      <c r="B440" s="61"/>
      <c r="C440" s="54"/>
      <c r="D440" s="108"/>
      <c r="E440" s="54"/>
      <c r="F440" s="54"/>
      <c r="G440" s="65"/>
      <c r="H440" s="62"/>
      <c r="I440" s="64"/>
      <c r="J440" s="63"/>
      <c r="K440" s="64"/>
      <c r="L440" s="64"/>
      <c r="M440" s="64"/>
      <c r="N440" s="64"/>
      <c r="O440" s="64"/>
      <c r="P440" s="64"/>
      <c r="Q440" s="64"/>
      <c r="R440" s="64"/>
      <c r="S440" s="64"/>
      <c r="T440" s="63"/>
      <c r="U440" s="64"/>
      <c r="V440" s="96"/>
      <c r="W440" s="97"/>
      <c r="X440" s="95"/>
      <c r="Y440" s="95"/>
      <c r="Z440" s="95"/>
      <c r="AA440" s="95"/>
      <c r="AB440" s="91"/>
    </row>
    <row r="441" spans="1:28" x14ac:dyDescent="0.25">
      <c r="A441" s="61"/>
      <c r="B441" s="61"/>
      <c r="C441" s="54"/>
      <c r="D441" s="108"/>
      <c r="E441" s="54"/>
      <c r="F441" s="54"/>
      <c r="G441" s="65"/>
      <c r="H441" s="62"/>
      <c r="I441" s="64"/>
      <c r="J441" s="63"/>
      <c r="K441" s="64"/>
      <c r="L441" s="64"/>
      <c r="M441" s="64"/>
      <c r="N441" s="64"/>
      <c r="O441" s="64"/>
      <c r="P441" s="64"/>
      <c r="Q441" s="64"/>
      <c r="R441" s="64"/>
      <c r="S441" s="64"/>
      <c r="T441" s="63"/>
      <c r="U441" s="64"/>
      <c r="V441" s="96"/>
      <c r="W441" s="97"/>
      <c r="X441" s="95"/>
      <c r="Y441" s="95"/>
      <c r="Z441" s="95"/>
      <c r="AA441" s="95"/>
      <c r="AB441" s="91"/>
    </row>
    <row r="442" spans="1:28" x14ac:dyDescent="0.25">
      <c r="A442" s="61"/>
      <c r="B442" s="61"/>
      <c r="C442" s="54"/>
      <c r="D442" s="108"/>
      <c r="E442" s="54"/>
      <c r="F442" s="54"/>
      <c r="G442" s="65"/>
      <c r="H442" s="62"/>
      <c r="I442" s="64"/>
      <c r="J442" s="63"/>
      <c r="K442" s="64"/>
      <c r="L442" s="64"/>
      <c r="M442" s="64"/>
      <c r="N442" s="64"/>
      <c r="O442" s="64"/>
      <c r="P442" s="64"/>
      <c r="Q442" s="64"/>
      <c r="R442" s="64"/>
      <c r="S442" s="64"/>
      <c r="T442" s="63"/>
      <c r="U442" s="64"/>
      <c r="V442" s="96"/>
      <c r="W442" s="97"/>
      <c r="X442" s="95"/>
      <c r="Y442" s="95"/>
      <c r="Z442" s="95"/>
      <c r="AA442" s="95"/>
      <c r="AB442" s="91"/>
    </row>
    <row r="443" spans="1:28" x14ac:dyDescent="0.25">
      <c r="A443" s="61"/>
      <c r="B443" s="61"/>
      <c r="C443" s="54"/>
      <c r="D443" s="108"/>
      <c r="E443" s="54"/>
      <c r="F443" s="54"/>
      <c r="G443" s="65"/>
      <c r="H443" s="62"/>
      <c r="I443" s="64"/>
      <c r="J443" s="63"/>
      <c r="K443" s="64"/>
      <c r="L443" s="64"/>
      <c r="M443" s="64"/>
      <c r="N443" s="64"/>
      <c r="O443" s="64"/>
      <c r="P443" s="64"/>
      <c r="Q443" s="64"/>
      <c r="R443" s="64"/>
      <c r="S443" s="64"/>
      <c r="T443" s="63"/>
      <c r="U443" s="64"/>
      <c r="V443" s="96"/>
      <c r="W443" s="97"/>
      <c r="X443" s="95"/>
      <c r="Y443" s="95"/>
      <c r="Z443" s="95"/>
      <c r="AA443" s="95"/>
      <c r="AB443" s="91"/>
    </row>
    <row r="444" spans="1:28" x14ac:dyDescent="0.25">
      <c r="A444" s="61"/>
      <c r="B444" s="61"/>
      <c r="C444" s="54"/>
      <c r="D444" s="108"/>
      <c r="E444" s="54"/>
      <c r="F444" s="54"/>
      <c r="G444" s="65"/>
      <c r="H444" s="62"/>
      <c r="I444" s="64"/>
      <c r="J444" s="63"/>
      <c r="K444" s="64"/>
      <c r="L444" s="64"/>
      <c r="M444" s="64"/>
      <c r="N444" s="64"/>
      <c r="O444" s="64"/>
      <c r="P444" s="64"/>
      <c r="Q444" s="64"/>
      <c r="R444" s="64"/>
      <c r="S444" s="64"/>
      <c r="T444" s="63"/>
      <c r="U444" s="64"/>
      <c r="V444" s="96"/>
      <c r="W444" s="97"/>
      <c r="X444" s="95"/>
      <c r="Y444" s="95"/>
      <c r="Z444" s="95"/>
      <c r="AA444" s="95"/>
      <c r="AB444" s="91"/>
    </row>
    <row r="445" spans="1:28" x14ac:dyDescent="0.25">
      <c r="A445" s="61"/>
      <c r="B445" s="61"/>
      <c r="C445" s="54"/>
      <c r="D445" s="108"/>
      <c r="E445" s="54"/>
      <c r="F445" s="54"/>
      <c r="G445" s="65"/>
      <c r="H445" s="62"/>
      <c r="I445" s="64"/>
      <c r="J445" s="63"/>
      <c r="K445" s="64"/>
      <c r="L445" s="64"/>
      <c r="M445" s="64"/>
      <c r="N445" s="64"/>
      <c r="O445" s="64"/>
      <c r="P445" s="64"/>
      <c r="Q445" s="64"/>
      <c r="R445" s="64"/>
      <c r="S445" s="64"/>
      <c r="T445" s="63"/>
      <c r="U445" s="64"/>
      <c r="V445" s="96"/>
      <c r="W445" s="97"/>
      <c r="X445" s="95"/>
      <c r="Y445" s="95"/>
      <c r="Z445" s="95"/>
      <c r="AA445" s="95"/>
      <c r="AB445" s="91"/>
    </row>
    <row r="446" spans="1:28" x14ac:dyDescent="0.25">
      <c r="A446" s="61"/>
      <c r="B446" s="61"/>
      <c r="C446" s="54"/>
      <c r="D446" s="108"/>
      <c r="E446" s="54"/>
      <c r="F446" s="54"/>
      <c r="G446" s="65"/>
      <c r="H446" s="62"/>
      <c r="I446" s="64"/>
      <c r="J446" s="63"/>
      <c r="K446" s="64"/>
      <c r="L446" s="64"/>
      <c r="M446" s="64"/>
      <c r="N446" s="64"/>
      <c r="O446" s="64"/>
      <c r="P446" s="64"/>
      <c r="Q446" s="64"/>
      <c r="R446" s="64"/>
      <c r="S446" s="64"/>
      <c r="T446" s="63"/>
      <c r="U446" s="64"/>
      <c r="V446" s="96"/>
      <c r="W446" s="97"/>
      <c r="X446" s="95"/>
      <c r="Y446" s="95"/>
      <c r="Z446" s="95"/>
      <c r="AA446" s="95"/>
      <c r="AB446" s="91"/>
    </row>
    <row r="447" spans="1:28" x14ac:dyDescent="0.25">
      <c r="A447" s="61"/>
      <c r="B447" s="61"/>
      <c r="C447" s="54"/>
      <c r="D447" s="108"/>
      <c r="E447" s="54"/>
      <c r="F447" s="54"/>
      <c r="G447" s="65"/>
      <c r="H447" s="62"/>
      <c r="I447" s="64"/>
      <c r="J447" s="63"/>
      <c r="K447" s="64"/>
      <c r="L447" s="64"/>
      <c r="M447" s="64"/>
      <c r="N447" s="64"/>
      <c r="O447" s="64"/>
      <c r="P447" s="64"/>
      <c r="Q447" s="64"/>
      <c r="R447" s="64"/>
      <c r="S447" s="64"/>
      <c r="T447" s="63"/>
      <c r="U447" s="64"/>
      <c r="V447" s="96"/>
      <c r="W447" s="97"/>
      <c r="X447" s="95"/>
      <c r="Y447" s="95"/>
      <c r="Z447" s="95"/>
      <c r="AA447" s="95"/>
      <c r="AB447" s="91"/>
    </row>
    <row r="448" spans="1:28" x14ac:dyDescent="0.25">
      <c r="A448" s="61"/>
      <c r="B448" s="61"/>
      <c r="C448" s="54"/>
      <c r="D448" s="108"/>
      <c r="E448" s="54"/>
      <c r="F448" s="54"/>
      <c r="G448" s="65"/>
      <c r="H448" s="62"/>
      <c r="I448" s="64"/>
      <c r="J448" s="63"/>
      <c r="K448" s="64"/>
      <c r="L448" s="64"/>
      <c r="M448" s="64"/>
      <c r="N448" s="64"/>
      <c r="O448" s="64"/>
      <c r="P448" s="64"/>
      <c r="Q448" s="64"/>
      <c r="R448" s="64"/>
      <c r="S448" s="64"/>
      <c r="T448" s="63"/>
      <c r="U448" s="64"/>
      <c r="V448" s="96"/>
      <c r="W448" s="97"/>
      <c r="X448" s="95"/>
      <c r="Y448" s="95"/>
      <c r="Z448" s="95"/>
      <c r="AA448" s="95"/>
      <c r="AB448" s="91"/>
    </row>
    <row r="449" spans="1:28" x14ac:dyDescent="0.25">
      <c r="A449" s="61"/>
      <c r="B449" s="61"/>
      <c r="C449" s="54"/>
      <c r="D449" s="108"/>
      <c r="E449" s="54"/>
      <c r="F449" s="54"/>
      <c r="G449" s="65"/>
      <c r="H449" s="62"/>
      <c r="I449" s="64"/>
      <c r="J449" s="63"/>
      <c r="K449" s="64"/>
      <c r="L449" s="64"/>
      <c r="M449" s="64"/>
      <c r="N449" s="64"/>
      <c r="O449" s="64"/>
      <c r="P449" s="64"/>
      <c r="Q449" s="64"/>
      <c r="R449" s="64"/>
      <c r="S449" s="64"/>
      <c r="T449" s="63"/>
      <c r="U449" s="64"/>
      <c r="V449" s="96"/>
      <c r="W449" s="97"/>
      <c r="X449" s="95"/>
      <c r="Y449" s="95"/>
      <c r="Z449" s="95"/>
      <c r="AA449" s="95"/>
      <c r="AB449" s="91"/>
    </row>
    <row r="450" spans="1:28" x14ac:dyDescent="0.25">
      <c r="A450" s="61"/>
      <c r="B450" s="61"/>
      <c r="C450" s="54"/>
      <c r="D450" s="108"/>
      <c r="E450" s="54"/>
      <c r="F450" s="54"/>
      <c r="G450" s="65"/>
      <c r="H450" s="62"/>
      <c r="I450" s="64"/>
      <c r="J450" s="63"/>
      <c r="K450" s="64"/>
      <c r="L450" s="64"/>
      <c r="M450" s="64"/>
      <c r="N450" s="64"/>
      <c r="O450" s="64"/>
      <c r="P450" s="64"/>
      <c r="Q450" s="64"/>
      <c r="R450" s="64"/>
      <c r="S450" s="64"/>
      <c r="T450" s="63"/>
      <c r="U450" s="64"/>
      <c r="V450" s="96"/>
      <c r="W450" s="97"/>
      <c r="X450" s="95"/>
      <c r="Y450" s="95"/>
      <c r="Z450" s="95"/>
      <c r="AA450" s="95"/>
      <c r="AB450" s="91"/>
    </row>
    <row r="451" spans="1:28" x14ac:dyDescent="0.25">
      <c r="A451" s="61"/>
      <c r="B451" s="61"/>
      <c r="C451" s="54"/>
      <c r="D451" s="108"/>
      <c r="E451" s="54"/>
      <c r="F451" s="54"/>
      <c r="G451" s="65"/>
      <c r="H451" s="62"/>
      <c r="I451" s="64"/>
      <c r="J451" s="63"/>
      <c r="K451" s="64"/>
      <c r="L451" s="64"/>
      <c r="M451" s="64"/>
      <c r="N451" s="64"/>
      <c r="O451" s="64"/>
      <c r="P451" s="64"/>
      <c r="Q451" s="64"/>
      <c r="R451" s="64"/>
      <c r="S451" s="64"/>
      <c r="T451" s="63"/>
      <c r="U451" s="64"/>
      <c r="V451" s="96"/>
      <c r="W451" s="97"/>
      <c r="X451" s="95"/>
      <c r="Y451" s="95"/>
      <c r="Z451" s="95"/>
      <c r="AA451" s="95"/>
      <c r="AB451" s="91"/>
    </row>
    <row r="452" spans="1:28" x14ac:dyDescent="0.25">
      <c r="A452" s="61"/>
      <c r="B452" s="61"/>
      <c r="C452" s="54"/>
      <c r="D452" s="108"/>
      <c r="E452" s="54"/>
      <c r="F452" s="54"/>
      <c r="G452" s="65"/>
      <c r="H452" s="62"/>
      <c r="I452" s="64"/>
      <c r="J452" s="63"/>
      <c r="K452" s="64"/>
      <c r="L452" s="64"/>
      <c r="M452" s="64"/>
      <c r="N452" s="64"/>
      <c r="O452" s="64"/>
      <c r="P452" s="64"/>
      <c r="Q452" s="64"/>
      <c r="R452" s="64"/>
      <c r="S452" s="64"/>
      <c r="T452" s="63"/>
      <c r="U452" s="64"/>
      <c r="V452" s="96"/>
      <c r="W452" s="97"/>
      <c r="X452" s="95"/>
      <c r="Y452" s="95"/>
      <c r="Z452" s="95"/>
      <c r="AA452" s="95"/>
      <c r="AB452" s="91"/>
    </row>
    <row r="453" spans="1:28" x14ac:dyDescent="0.25">
      <c r="A453" s="61"/>
      <c r="B453" s="61"/>
      <c r="C453" s="54"/>
      <c r="D453" s="108"/>
      <c r="E453" s="54"/>
      <c r="F453" s="54"/>
      <c r="G453" s="65"/>
      <c r="H453" s="62"/>
      <c r="I453" s="64"/>
      <c r="J453" s="63"/>
      <c r="K453" s="64"/>
      <c r="L453" s="64"/>
      <c r="M453" s="64"/>
      <c r="N453" s="64"/>
      <c r="O453" s="64"/>
      <c r="P453" s="64"/>
      <c r="Q453" s="64"/>
      <c r="R453" s="64"/>
      <c r="S453" s="64"/>
      <c r="T453" s="63"/>
      <c r="U453" s="64"/>
      <c r="V453" s="96"/>
      <c r="W453" s="97"/>
      <c r="X453" s="95"/>
      <c r="Y453" s="95"/>
      <c r="Z453" s="95"/>
      <c r="AA453" s="95"/>
      <c r="AB453" s="91"/>
    </row>
    <row r="454" spans="1:28" x14ac:dyDescent="0.25">
      <c r="A454" s="61"/>
      <c r="B454" s="61"/>
      <c r="C454" s="54"/>
      <c r="D454" s="108"/>
      <c r="E454" s="54"/>
      <c r="F454" s="54"/>
      <c r="G454" s="65"/>
      <c r="H454" s="62"/>
      <c r="I454" s="64"/>
      <c r="J454" s="63"/>
      <c r="K454" s="64"/>
      <c r="L454" s="64"/>
      <c r="M454" s="64"/>
      <c r="N454" s="64"/>
      <c r="O454" s="64"/>
      <c r="P454" s="64"/>
      <c r="Q454" s="64"/>
      <c r="R454" s="64"/>
      <c r="S454" s="64"/>
      <c r="T454" s="63"/>
      <c r="U454" s="64"/>
      <c r="V454" s="96"/>
      <c r="W454" s="97"/>
      <c r="X454" s="95"/>
      <c r="Y454" s="95"/>
      <c r="Z454" s="95"/>
      <c r="AA454" s="95"/>
      <c r="AB454" s="91"/>
    </row>
    <row r="455" spans="1:28" x14ac:dyDescent="0.25">
      <c r="A455" s="61"/>
      <c r="B455" s="61"/>
      <c r="C455" s="54"/>
      <c r="D455" s="108"/>
      <c r="E455" s="54"/>
      <c r="F455" s="54"/>
      <c r="G455" s="65"/>
      <c r="H455" s="62"/>
      <c r="I455" s="64"/>
      <c r="J455" s="63"/>
      <c r="K455" s="64"/>
      <c r="L455" s="64"/>
      <c r="M455" s="64"/>
      <c r="N455" s="64"/>
      <c r="O455" s="64"/>
      <c r="P455" s="64"/>
      <c r="Q455" s="64"/>
      <c r="R455" s="64"/>
      <c r="S455" s="64"/>
      <c r="T455" s="63"/>
      <c r="U455" s="64"/>
      <c r="V455" s="96"/>
      <c r="W455" s="97"/>
      <c r="X455" s="95"/>
      <c r="Y455" s="95"/>
      <c r="Z455" s="95"/>
      <c r="AA455" s="95"/>
      <c r="AB455" s="91"/>
    </row>
    <row r="456" spans="1:28" x14ac:dyDescent="0.25">
      <c r="A456" s="61"/>
      <c r="B456" s="61"/>
      <c r="C456" s="54"/>
      <c r="D456" s="108"/>
      <c r="E456" s="54"/>
      <c r="F456" s="54"/>
      <c r="G456" s="65"/>
      <c r="H456" s="62"/>
      <c r="I456" s="64"/>
      <c r="J456" s="63"/>
      <c r="K456" s="64"/>
      <c r="L456" s="64"/>
      <c r="M456" s="64"/>
      <c r="N456" s="64"/>
      <c r="O456" s="64"/>
      <c r="P456" s="64"/>
      <c r="Q456" s="64"/>
      <c r="R456" s="64"/>
      <c r="S456" s="64"/>
      <c r="T456" s="63"/>
      <c r="U456" s="64"/>
      <c r="V456" s="96"/>
      <c r="W456" s="97"/>
      <c r="X456" s="95"/>
      <c r="Y456" s="95"/>
      <c r="Z456" s="95"/>
      <c r="AA456" s="95"/>
      <c r="AB456" s="91"/>
    </row>
    <row r="457" spans="1:28" x14ac:dyDescent="0.25">
      <c r="A457" s="61"/>
      <c r="B457" s="61"/>
      <c r="C457" s="54"/>
      <c r="D457" s="108"/>
      <c r="E457" s="54"/>
      <c r="F457" s="54"/>
      <c r="G457" s="65"/>
      <c r="H457" s="62"/>
      <c r="I457" s="64"/>
      <c r="J457" s="63"/>
      <c r="K457" s="64"/>
      <c r="L457" s="64"/>
      <c r="M457" s="64"/>
      <c r="N457" s="64"/>
      <c r="O457" s="64"/>
      <c r="P457" s="64"/>
      <c r="Q457" s="64"/>
      <c r="R457" s="64"/>
      <c r="S457" s="64"/>
      <c r="T457" s="63"/>
      <c r="U457" s="64"/>
      <c r="V457" s="96"/>
      <c r="W457" s="97"/>
      <c r="X457" s="95"/>
      <c r="Y457" s="95"/>
      <c r="Z457" s="95"/>
      <c r="AA457" s="95"/>
      <c r="AB457" s="91"/>
    </row>
    <row r="458" spans="1:28" x14ac:dyDescent="0.25">
      <c r="A458" s="61"/>
      <c r="B458" s="61"/>
      <c r="C458" s="54"/>
      <c r="D458" s="108"/>
      <c r="E458" s="54"/>
      <c r="F458" s="54"/>
      <c r="G458" s="65"/>
      <c r="H458" s="62"/>
      <c r="I458" s="64"/>
      <c r="J458" s="63"/>
      <c r="K458" s="64"/>
      <c r="L458" s="64"/>
      <c r="M458" s="64"/>
      <c r="N458" s="64"/>
      <c r="O458" s="64"/>
      <c r="P458" s="64"/>
      <c r="Q458" s="64"/>
      <c r="R458" s="64"/>
      <c r="S458" s="64"/>
      <c r="T458" s="63"/>
      <c r="U458" s="64"/>
      <c r="V458" s="96"/>
      <c r="W458" s="97"/>
      <c r="X458" s="95"/>
      <c r="Y458" s="95"/>
      <c r="Z458" s="95"/>
      <c r="AA458" s="95"/>
      <c r="AB458" s="91"/>
    </row>
    <row r="459" spans="1:28" x14ac:dyDescent="0.25">
      <c r="A459" s="61"/>
      <c r="B459" s="61"/>
      <c r="C459" s="54"/>
      <c r="D459" s="108"/>
      <c r="E459" s="54"/>
      <c r="F459" s="54"/>
      <c r="G459" s="65"/>
      <c r="H459" s="62"/>
      <c r="I459" s="64"/>
      <c r="J459" s="63"/>
      <c r="K459" s="64"/>
      <c r="L459" s="64"/>
      <c r="M459" s="64"/>
      <c r="N459" s="64"/>
      <c r="O459" s="64"/>
      <c r="P459" s="64"/>
      <c r="Q459" s="64"/>
      <c r="R459" s="64"/>
      <c r="S459" s="64"/>
      <c r="T459" s="63"/>
      <c r="U459" s="64"/>
      <c r="V459" s="96"/>
      <c r="W459" s="97"/>
      <c r="X459" s="95"/>
      <c r="Y459" s="95"/>
      <c r="Z459" s="95"/>
      <c r="AA459" s="95"/>
      <c r="AB459" s="91"/>
    </row>
    <row r="460" spans="1:28" x14ac:dyDescent="0.25">
      <c r="A460" s="61"/>
      <c r="B460" s="61"/>
      <c r="C460" s="54"/>
      <c r="D460" s="108"/>
      <c r="E460" s="54"/>
      <c r="F460" s="54"/>
      <c r="G460" s="65"/>
      <c r="H460" s="62"/>
      <c r="I460" s="64"/>
      <c r="J460" s="63"/>
      <c r="K460" s="64"/>
      <c r="L460" s="64"/>
      <c r="M460" s="64"/>
      <c r="N460" s="64"/>
      <c r="O460" s="64"/>
      <c r="P460" s="64"/>
      <c r="Q460" s="64"/>
      <c r="R460" s="64"/>
      <c r="S460" s="64"/>
      <c r="T460" s="63"/>
      <c r="U460" s="64"/>
      <c r="V460" s="96"/>
      <c r="W460" s="97"/>
      <c r="X460" s="95"/>
      <c r="Y460" s="95"/>
      <c r="Z460" s="95"/>
      <c r="AA460" s="95"/>
      <c r="AB460" s="91"/>
    </row>
    <row r="461" spans="1:28" x14ac:dyDescent="0.25">
      <c r="A461" s="61"/>
      <c r="B461" s="61"/>
      <c r="C461" s="54"/>
      <c r="D461" s="108"/>
      <c r="E461" s="54"/>
      <c r="F461" s="54"/>
      <c r="G461" s="65"/>
      <c r="H461" s="62"/>
      <c r="I461" s="64"/>
      <c r="J461" s="63"/>
      <c r="K461" s="64"/>
      <c r="L461" s="64"/>
      <c r="M461" s="64"/>
      <c r="N461" s="64"/>
      <c r="O461" s="64"/>
      <c r="P461" s="64"/>
      <c r="Q461" s="64"/>
      <c r="R461" s="64"/>
      <c r="S461" s="64"/>
      <c r="T461" s="63"/>
      <c r="U461" s="64"/>
      <c r="V461" s="96"/>
      <c r="W461" s="97"/>
      <c r="X461" s="95"/>
      <c r="Y461" s="95"/>
      <c r="Z461" s="95"/>
      <c r="AA461" s="95"/>
      <c r="AB461" s="91"/>
    </row>
    <row r="462" spans="1:28" x14ac:dyDescent="0.25">
      <c r="A462" s="61"/>
      <c r="B462" s="61"/>
      <c r="C462" s="54"/>
      <c r="D462" s="108"/>
      <c r="E462" s="54"/>
      <c r="F462" s="54"/>
      <c r="G462" s="65"/>
      <c r="H462" s="62"/>
      <c r="I462" s="64"/>
      <c r="J462" s="63"/>
      <c r="K462" s="64"/>
      <c r="L462" s="64"/>
      <c r="M462" s="64"/>
      <c r="N462" s="64"/>
      <c r="O462" s="64"/>
      <c r="P462" s="64"/>
      <c r="Q462" s="64"/>
      <c r="R462" s="64"/>
      <c r="S462" s="64"/>
      <c r="T462" s="63"/>
      <c r="U462" s="64"/>
      <c r="V462" s="96"/>
      <c r="W462" s="97"/>
      <c r="X462" s="95"/>
      <c r="Y462" s="95"/>
      <c r="Z462" s="95"/>
      <c r="AA462" s="95"/>
      <c r="AB462" s="91"/>
    </row>
    <row r="463" spans="1:28" x14ac:dyDescent="0.25">
      <c r="A463" s="61"/>
      <c r="B463" s="61"/>
      <c r="C463" s="54"/>
      <c r="D463" s="108"/>
      <c r="E463" s="54"/>
      <c r="F463" s="54"/>
      <c r="G463" s="65"/>
      <c r="H463" s="62"/>
      <c r="I463" s="64"/>
      <c r="J463" s="63"/>
      <c r="K463" s="64"/>
      <c r="L463" s="64"/>
      <c r="M463" s="64"/>
      <c r="N463" s="64"/>
      <c r="O463" s="64"/>
      <c r="P463" s="64"/>
      <c r="Q463" s="64"/>
      <c r="R463" s="64"/>
      <c r="S463" s="64"/>
      <c r="T463" s="63"/>
      <c r="U463" s="64"/>
      <c r="V463" s="96"/>
      <c r="W463" s="97"/>
      <c r="X463" s="95"/>
      <c r="Y463" s="95"/>
      <c r="Z463" s="95"/>
      <c r="AA463" s="95"/>
      <c r="AB463" s="91"/>
    </row>
    <row r="464" spans="1:28" x14ac:dyDescent="0.25">
      <c r="A464" s="61"/>
      <c r="B464" s="61"/>
      <c r="C464" s="54"/>
      <c r="D464" s="108"/>
      <c r="E464" s="54"/>
      <c r="F464" s="54"/>
      <c r="G464" s="65"/>
      <c r="H464" s="62"/>
      <c r="I464" s="64"/>
      <c r="J464" s="63"/>
      <c r="K464" s="64"/>
      <c r="L464" s="64"/>
      <c r="M464" s="64"/>
      <c r="N464" s="64"/>
      <c r="O464" s="64"/>
      <c r="P464" s="64"/>
      <c r="Q464" s="64"/>
      <c r="R464" s="64"/>
      <c r="S464" s="64"/>
      <c r="T464" s="63"/>
      <c r="U464" s="64"/>
      <c r="V464" s="96"/>
      <c r="W464" s="97"/>
      <c r="X464" s="95"/>
      <c r="Y464" s="95"/>
      <c r="Z464" s="95"/>
      <c r="AA464" s="95"/>
      <c r="AB464" s="91"/>
    </row>
    <row r="465" spans="1:28" x14ac:dyDescent="0.25">
      <c r="A465" s="61"/>
      <c r="B465" s="61"/>
      <c r="C465" s="54"/>
      <c r="D465" s="108"/>
      <c r="E465" s="54"/>
      <c r="F465" s="54"/>
      <c r="G465" s="65"/>
      <c r="H465" s="62"/>
      <c r="I465" s="64"/>
      <c r="J465" s="63"/>
      <c r="K465" s="64"/>
      <c r="L465" s="64"/>
      <c r="M465" s="64"/>
      <c r="N465" s="64"/>
      <c r="O465" s="64"/>
      <c r="P465" s="64"/>
      <c r="Q465" s="64"/>
      <c r="R465" s="64"/>
      <c r="S465" s="64"/>
      <c r="T465" s="63"/>
      <c r="U465" s="64"/>
      <c r="V465" s="96"/>
      <c r="W465" s="97"/>
      <c r="X465" s="95"/>
      <c r="Y465" s="95"/>
      <c r="Z465" s="95"/>
      <c r="AA465" s="95"/>
      <c r="AB465" s="91"/>
    </row>
    <row r="466" spans="1:28" x14ac:dyDescent="0.25">
      <c r="A466" s="61"/>
      <c r="B466" s="61"/>
      <c r="C466" s="54"/>
      <c r="D466" s="108"/>
      <c r="E466" s="54"/>
      <c r="F466" s="54"/>
      <c r="G466" s="65"/>
      <c r="H466" s="62"/>
      <c r="I466" s="64"/>
      <c r="J466" s="63"/>
      <c r="K466" s="64"/>
      <c r="L466" s="64"/>
      <c r="M466" s="64"/>
      <c r="N466" s="64"/>
      <c r="O466" s="64"/>
      <c r="P466" s="64"/>
      <c r="Q466" s="64"/>
      <c r="R466" s="64"/>
      <c r="S466" s="64"/>
      <c r="T466" s="63"/>
      <c r="U466" s="64"/>
      <c r="V466" s="96"/>
      <c r="W466" s="97"/>
      <c r="X466" s="95"/>
      <c r="Y466" s="95"/>
      <c r="Z466" s="95"/>
      <c r="AA466" s="95"/>
      <c r="AB466" s="91"/>
    </row>
    <row r="467" spans="1:28" x14ac:dyDescent="0.25">
      <c r="A467" s="61"/>
      <c r="B467" s="61"/>
      <c r="C467" s="54"/>
      <c r="D467" s="108"/>
      <c r="E467" s="54"/>
      <c r="F467" s="54"/>
      <c r="G467" s="65"/>
      <c r="H467" s="62"/>
      <c r="I467" s="64"/>
      <c r="J467" s="63"/>
      <c r="K467" s="64"/>
      <c r="L467" s="64"/>
      <c r="M467" s="64"/>
      <c r="N467" s="64"/>
      <c r="O467" s="64"/>
      <c r="P467" s="64"/>
      <c r="Q467" s="64"/>
      <c r="R467" s="64"/>
      <c r="S467" s="64"/>
      <c r="T467" s="63"/>
      <c r="U467" s="64"/>
      <c r="V467" s="96"/>
      <c r="W467" s="97"/>
      <c r="X467" s="95"/>
      <c r="Y467" s="95"/>
      <c r="Z467" s="95"/>
      <c r="AA467" s="95"/>
      <c r="AB467" s="91"/>
    </row>
    <row r="468" spans="1:28" x14ac:dyDescent="0.25">
      <c r="A468" s="61"/>
      <c r="B468" s="61"/>
      <c r="C468" s="54"/>
      <c r="D468" s="108"/>
      <c r="E468" s="54"/>
      <c r="F468" s="54"/>
      <c r="G468" s="65"/>
      <c r="H468" s="62"/>
      <c r="I468" s="64"/>
      <c r="J468" s="63"/>
      <c r="K468" s="64"/>
      <c r="L468" s="64"/>
      <c r="M468" s="64"/>
      <c r="N468" s="64"/>
      <c r="O468" s="64"/>
      <c r="P468" s="64"/>
      <c r="Q468" s="64"/>
      <c r="R468" s="64"/>
      <c r="S468" s="64"/>
      <c r="T468" s="63"/>
      <c r="U468" s="64"/>
      <c r="V468" s="96"/>
      <c r="W468" s="97"/>
      <c r="X468" s="95"/>
      <c r="Y468" s="95"/>
      <c r="Z468" s="95"/>
      <c r="AA468" s="95"/>
      <c r="AB468" s="91"/>
    </row>
    <row r="469" spans="1:28" x14ac:dyDescent="0.25">
      <c r="A469" s="61"/>
      <c r="B469" s="61"/>
      <c r="C469" s="54"/>
      <c r="D469" s="108"/>
      <c r="E469" s="54"/>
      <c r="F469" s="54"/>
      <c r="G469" s="65"/>
      <c r="H469" s="62"/>
      <c r="I469" s="64"/>
      <c r="J469" s="63"/>
      <c r="K469" s="64"/>
      <c r="L469" s="64"/>
      <c r="M469" s="64"/>
      <c r="N469" s="64"/>
      <c r="O469" s="64"/>
      <c r="P469" s="64"/>
      <c r="Q469" s="64"/>
      <c r="R469" s="64"/>
      <c r="S469" s="64"/>
      <c r="T469" s="63"/>
      <c r="U469" s="64"/>
      <c r="V469" s="96"/>
      <c r="W469" s="97"/>
      <c r="X469" s="95"/>
      <c r="Y469" s="95"/>
      <c r="Z469" s="95"/>
      <c r="AA469" s="95"/>
      <c r="AB469" s="91"/>
    </row>
    <row r="470" spans="1:28" x14ac:dyDescent="0.25">
      <c r="A470" s="61"/>
      <c r="B470" s="61"/>
      <c r="C470" s="54"/>
      <c r="D470" s="108"/>
      <c r="E470" s="54"/>
      <c r="F470" s="54"/>
      <c r="G470" s="65"/>
      <c r="H470" s="62"/>
      <c r="I470" s="64"/>
      <c r="J470" s="63"/>
      <c r="K470" s="64"/>
      <c r="L470" s="64"/>
      <c r="M470" s="64"/>
      <c r="N470" s="64"/>
      <c r="O470" s="64"/>
      <c r="P470" s="64"/>
      <c r="Q470" s="64"/>
      <c r="R470" s="64"/>
      <c r="S470" s="64"/>
      <c r="T470" s="63"/>
      <c r="U470" s="64"/>
      <c r="V470" s="96"/>
      <c r="W470" s="97"/>
      <c r="X470" s="95"/>
      <c r="Y470" s="95"/>
      <c r="Z470" s="95"/>
      <c r="AA470" s="95"/>
      <c r="AB470" s="91"/>
    </row>
    <row r="471" spans="1:28" x14ac:dyDescent="0.25">
      <c r="A471" s="61"/>
      <c r="B471" s="61"/>
      <c r="C471" s="54"/>
      <c r="D471" s="108"/>
      <c r="E471" s="54"/>
      <c r="F471" s="54"/>
      <c r="G471" s="65"/>
      <c r="H471" s="62"/>
      <c r="I471" s="64"/>
      <c r="J471" s="63"/>
      <c r="K471" s="64"/>
      <c r="L471" s="64"/>
      <c r="M471" s="64"/>
      <c r="N471" s="64"/>
      <c r="O471" s="64"/>
      <c r="P471" s="64"/>
      <c r="Q471" s="64"/>
      <c r="R471" s="64"/>
      <c r="S471" s="64"/>
      <c r="T471" s="63"/>
      <c r="U471" s="64"/>
      <c r="V471" s="96"/>
      <c r="W471" s="97"/>
      <c r="X471" s="95"/>
      <c r="Y471" s="95"/>
      <c r="Z471" s="95"/>
      <c r="AA471" s="95"/>
      <c r="AB471" s="91"/>
    </row>
    <row r="472" spans="1:28" x14ac:dyDescent="0.25">
      <c r="A472" s="61"/>
      <c r="B472" s="61"/>
      <c r="C472" s="54"/>
      <c r="D472" s="108"/>
      <c r="E472" s="54"/>
      <c r="F472" s="54"/>
      <c r="G472" s="65"/>
      <c r="H472" s="62"/>
      <c r="I472" s="64"/>
      <c r="J472" s="63"/>
      <c r="K472" s="64"/>
      <c r="L472" s="64"/>
      <c r="M472" s="64"/>
      <c r="N472" s="64"/>
      <c r="O472" s="64"/>
      <c r="P472" s="64"/>
      <c r="Q472" s="64"/>
      <c r="R472" s="64"/>
      <c r="S472" s="64"/>
      <c r="T472" s="63"/>
      <c r="U472" s="64"/>
      <c r="V472" s="96"/>
      <c r="W472" s="97"/>
      <c r="X472" s="95"/>
      <c r="Y472" s="95"/>
      <c r="Z472" s="95"/>
      <c r="AA472" s="95"/>
      <c r="AB472" s="91"/>
    </row>
    <row r="473" spans="1:28" x14ac:dyDescent="0.25">
      <c r="A473" s="61"/>
      <c r="B473" s="61"/>
      <c r="C473" s="54"/>
      <c r="D473" s="108"/>
      <c r="E473" s="54"/>
      <c r="F473" s="54"/>
      <c r="G473" s="65"/>
      <c r="H473" s="62"/>
      <c r="I473" s="64"/>
      <c r="J473" s="63"/>
      <c r="K473" s="64"/>
      <c r="L473" s="64"/>
      <c r="M473" s="64"/>
      <c r="N473" s="64"/>
      <c r="O473" s="64"/>
      <c r="P473" s="64"/>
      <c r="Q473" s="64"/>
      <c r="R473" s="64"/>
      <c r="S473" s="64"/>
      <c r="T473" s="63"/>
      <c r="U473" s="64"/>
      <c r="V473" s="96"/>
      <c r="W473" s="97"/>
      <c r="X473" s="95"/>
      <c r="Y473" s="95"/>
      <c r="Z473" s="95"/>
      <c r="AA473" s="95"/>
      <c r="AB473" s="91"/>
    </row>
    <row r="474" spans="1:28" x14ac:dyDescent="0.25">
      <c r="A474" s="61"/>
      <c r="B474" s="61"/>
      <c r="C474" s="54"/>
      <c r="D474" s="108"/>
      <c r="E474" s="54"/>
      <c r="F474" s="54"/>
      <c r="G474" s="65"/>
      <c r="H474" s="62"/>
      <c r="I474" s="64"/>
      <c r="J474" s="63"/>
      <c r="K474" s="64"/>
      <c r="L474" s="64"/>
      <c r="M474" s="64"/>
      <c r="N474" s="64"/>
      <c r="O474" s="64"/>
      <c r="P474" s="64"/>
      <c r="Q474" s="64"/>
      <c r="R474" s="64"/>
      <c r="S474" s="64"/>
      <c r="T474" s="63"/>
      <c r="U474" s="64"/>
      <c r="V474" s="96"/>
      <c r="W474" s="97"/>
      <c r="X474" s="95"/>
      <c r="Y474" s="95"/>
      <c r="Z474" s="95"/>
      <c r="AA474" s="95"/>
      <c r="AB474" s="91"/>
    </row>
    <row r="475" spans="1:28" x14ac:dyDescent="0.25">
      <c r="A475" s="61"/>
      <c r="B475" s="61"/>
      <c r="C475" s="54"/>
      <c r="D475" s="108"/>
      <c r="E475" s="54"/>
      <c r="F475" s="54"/>
      <c r="G475" s="65"/>
      <c r="H475" s="62"/>
      <c r="I475" s="64"/>
      <c r="J475" s="63"/>
      <c r="K475" s="64"/>
      <c r="L475" s="64"/>
      <c r="M475" s="64"/>
      <c r="N475" s="64"/>
      <c r="O475" s="64"/>
      <c r="P475" s="64"/>
      <c r="Q475" s="64"/>
      <c r="R475" s="64"/>
      <c r="S475" s="64"/>
      <c r="T475" s="63"/>
      <c r="U475" s="64"/>
      <c r="V475" s="96"/>
      <c r="W475" s="97"/>
      <c r="X475" s="95"/>
      <c r="Y475" s="95"/>
      <c r="Z475" s="95"/>
      <c r="AA475" s="95"/>
      <c r="AB475" s="91"/>
    </row>
    <row r="476" spans="1:28" x14ac:dyDescent="0.25">
      <c r="A476" s="61"/>
      <c r="B476" s="61"/>
      <c r="C476" s="54"/>
      <c r="D476" s="108"/>
      <c r="E476" s="54"/>
      <c r="F476" s="54"/>
      <c r="G476" s="65"/>
      <c r="H476" s="62"/>
      <c r="I476" s="64"/>
      <c r="J476" s="63"/>
      <c r="K476" s="64"/>
      <c r="L476" s="64"/>
      <c r="M476" s="64"/>
      <c r="N476" s="64"/>
      <c r="O476" s="64"/>
      <c r="P476" s="64"/>
      <c r="Q476" s="64"/>
      <c r="R476" s="64"/>
      <c r="S476" s="64"/>
      <c r="T476" s="63"/>
      <c r="U476" s="64"/>
      <c r="V476" s="96"/>
      <c r="W476" s="97"/>
      <c r="X476" s="95"/>
      <c r="Y476" s="95"/>
      <c r="Z476" s="95"/>
      <c r="AA476" s="95"/>
      <c r="AB476" s="91"/>
    </row>
    <row r="477" spans="1:28" x14ac:dyDescent="0.25">
      <c r="A477" s="61"/>
      <c r="B477" s="61"/>
      <c r="C477" s="54"/>
      <c r="D477" s="108"/>
      <c r="E477" s="54"/>
      <c r="F477" s="54"/>
      <c r="G477" s="65"/>
      <c r="H477" s="62"/>
      <c r="I477" s="64"/>
      <c r="J477" s="63"/>
      <c r="K477" s="64"/>
      <c r="L477" s="64"/>
      <c r="M477" s="64"/>
      <c r="N477" s="64"/>
      <c r="O477" s="64"/>
      <c r="P477" s="64"/>
      <c r="Q477" s="64"/>
      <c r="R477" s="64"/>
      <c r="S477" s="64"/>
      <c r="T477" s="63"/>
      <c r="U477" s="64"/>
      <c r="V477" s="96"/>
      <c r="W477" s="97"/>
      <c r="X477" s="95"/>
      <c r="Y477" s="95"/>
      <c r="Z477" s="95"/>
      <c r="AA477" s="95"/>
      <c r="AB477" s="91"/>
    </row>
    <row r="478" spans="1:28" x14ac:dyDescent="0.25">
      <c r="A478" s="61"/>
      <c r="B478" s="61"/>
      <c r="C478" s="54"/>
      <c r="D478" s="108"/>
      <c r="E478" s="54"/>
      <c r="F478" s="54"/>
      <c r="G478" s="65"/>
      <c r="H478" s="62"/>
      <c r="I478" s="64"/>
      <c r="J478" s="63"/>
      <c r="K478" s="64"/>
      <c r="L478" s="64"/>
      <c r="M478" s="64"/>
      <c r="N478" s="64"/>
      <c r="O478" s="64"/>
      <c r="P478" s="64"/>
      <c r="Q478" s="64"/>
      <c r="R478" s="64"/>
      <c r="S478" s="64"/>
      <c r="T478" s="63"/>
      <c r="U478" s="64"/>
      <c r="V478" s="96"/>
      <c r="W478" s="97"/>
      <c r="X478" s="95"/>
      <c r="Y478" s="95"/>
      <c r="Z478" s="95"/>
      <c r="AA478" s="95"/>
      <c r="AB478" s="91"/>
    </row>
    <row r="479" spans="1:28" x14ac:dyDescent="0.25">
      <c r="A479" s="61"/>
      <c r="B479" s="61"/>
      <c r="C479" s="54"/>
      <c r="D479" s="108"/>
      <c r="E479" s="54"/>
      <c r="F479" s="54"/>
      <c r="G479" s="65"/>
      <c r="H479" s="62"/>
      <c r="I479" s="64"/>
      <c r="J479" s="63"/>
      <c r="K479" s="64"/>
      <c r="L479" s="64"/>
      <c r="M479" s="64"/>
      <c r="N479" s="64"/>
      <c r="O479" s="64"/>
      <c r="P479" s="64"/>
      <c r="Q479" s="64"/>
      <c r="R479" s="64"/>
      <c r="S479" s="64"/>
      <c r="T479" s="63"/>
      <c r="U479" s="64"/>
      <c r="V479" s="96"/>
      <c r="W479" s="97"/>
      <c r="X479" s="95"/>
      <c r="Y479" s="95"/>
      <c r="Z479" s="95"/>
      <c r="AA479" s="95"/>
      <c r="AB479" s="91"/>
    </row>
    <row r="480" spans="1:28" x14ac:dyDescent="0.25">
      <c r="A480" s="61"/>
      <c r="B480" s="61"/>
      <c r="C480" s="54"/>
      <c r="D480" s="108"/>
      <c r="E480" s="54"/>
      <c r="F480" s="54"/>
      <c r="G480" s="65"/>
      <c r="H480" s="62"/>
      <c r="I480" s="64"/>
      <c r="J480" s="63"/>
      <c r="K480" s="64"/>
      <c r="L480" s="64"/>
      <c r="M480" s="64"/>
      <c r="N480" s="64"/>
      <c r="O480" s="64"/>
      <c r="P480" s="64"/>
      <c r="Q480" s="64"/>
      <c r="R480" s="64"/>
      <c r="S480" s="64"/>
      <c r="T480" s="63"/>
      <c r="U480" s="64"/>
      <c r="V480" s="96"/>
      <c r="W480" s="97"/>
      <c r="X480" s="95"/>
      <c r="Y480" s="95"/>
      <c r="Z480" s="95"/>
      <c r="AA480" s="95"/>
      <c r="AB480" s="91"/>
    </row>
    <row r="481" spans="1:28" x14ac:dyDescent="0.25">
      <c r="A481" s="61"/>
      <c r="B481" s="61"/>
      <c r="C481" s="54"/>
      <c r="D481" s="108"/>
      <c r="E481" s="54"/>
      <c r="F481" s="54"/>
      <c r="G481" s="65"/>
      <c r="H481" s="62"/>
      <c r="I481" s="64"/>
      <c r="J481" s="63"/>
      <c r="K481" s="64"/>
      <c r="L481" s="64"/>
      <c r="M481" s="64"/>
      <c r="N481" s="64"/>
      <c r="O481" s="64"/>
      <c r="P481" s="64"/>
      <c r="Q481" s="64"/>
      <c r="R481" s="64"/>
      <c r="S481" s="64"/>
      <c r="T481" s="63"/>
      <c r="U481" s="64"/>
      <c r="V481" s="96"/>
      <c r="W481" s="97"/>
      <c r="X481" s="95"/>
      <c r="Y481" s="95"/>
      <c r="Z481" s="95"/>
      <c r="AA481" s="95"/>
      <c r="AB481" s="91"/>
    </row>
    <row r="482" spans="1:28" x14ac:dyDescent="0.25">
      <c r="A482" s="61"/>
      <c r="B482" s="61"/>
      <c r="C482" s="54"/>
      <c r="D482" s="108"/>
      <c r="E482" s="54"/>
      <c r="F482" s="54"/>
      <c r="G482" s="65"/>
      <c r="H482" s="62"/>
      <c r="I482" s="64"/>
      <c r="J482" s="63"/>
      <c r="K482" s="64"/>
      <c r="L482" s="64"/>
      <c r="M482" s="64"/>
      <c r="N482" s="64"/>
      <c r="O482" s="64"/>
      <c r="P482" s="64"/>
      <c r="Q482" s="64"/>
      <c r="R482" s="64"/>
      <c r="S482" s="64"/>
      <c r="T482" s="63"/>
      <c r="U482" s="64"/>
      <c r="V482" s="96"/>
      <c r="W482" s="97"/>
      <c r="X482" s="95"/>
      <c r="Y482" s="95"/>
      <c r="Z482" s="95"/>
      <c r="AA482" s="95"/>
      <c r="AB482" s="91"/>
    </row>
    <row r="483" spans="1:28" x14ac:dyDescent="0.25">
      <c r="A483" s="61"/>
      <c r="B483" s="61"/>
      <c r="C483" s="54"/>
      <c r="D483" s="108"/>
      <c r="E483" s="54"/>
      <c r="F483" s="54"/>
      <c r="G483" s="65"/>
      <c r="H483" s="62"/>
      <c r="I483" s="64"/>
      <c r="J483" s="63"/>
      <c r="K483" s="64"/>
      <c r="L483" s="64"/>
      <c r="M483" s="64"/>
      <c r="N483" s="64"/>
      <c r="O483" s="64"/>
      <c r="P483" s="64"/>
      <c r="Q483" s="64"/>
      <c r="R483" s="64"/>
      <c r="S483" s="64"/>
      <c r="T483" s="63"/>
      <c r="U483" s="64"/>
      <c r="V483" s="96"/>
      <c r="W483" s="97"/>
      <c r="X483" s="95"/>
      <c r="Y483" s="95"/>
      <c r="Z483" s="95"/>
      <c r="AA483" s="95"/>
      <c r="AB483" s="91"/>
    </row>
    <row r="484" spans="1:28" x14ac:dyDescent="0.25">
      <c r="A484" s="61"/>
      <c r="B484" s="61"/>
      <c r="C484" s="54"/>
      <c r="D484" s="108"/>
      <c r="E484" s="54"/>
      <c r="F484" s="54"/>
      <c r="G484" s="65"/>
      <c r="H484" s="62"/>
      <c r="I484" s="64"/>
      <c r="J484" s="63"/>
      <c r="K484" s="64"/>
      <c r="L484" s="64"/>
      <c r="M484" s="64"/>
      <c r="N484" s="64"/>
      <c r="O484" s="64"/>
      <c r="P484" s="64"/>
      <c r="Q484" s="64"/>
      <c r="R484" s="64"/>
      <c r="S484" s="64"/>
      <c r="T484" s="63"/>
      <c r="U484" s="64"/>
      <c r="V484" s="96"/>
      <c r="W484" s="97"/>
      <c r="X484" s="95"/>
      <c r="Y484" s="95"/>
      <c r="Z484" s="95"/>
      <c r="AA484" s="95"/>
      <c r="AB484" s="91"/>
    </row>
    <row r="485" spans="1:28" x14ac:dyDescent="0.25">
      <c r="A485" s="61"/>
      <c r="B485" s="61"/>
      <c r="C485" s="54"/>
      <c r="D485" s="108"/>
      <c r="E485" s="54"/>
      <c r="F485" s="54"/>
      <c r="G485" s="65"/>
      <c r="H485" s="62"/>
      <c r="I485" s="64"/>
      <c r="J485" s="63"/>
      <c r="K485" s="64"/>
      <c r="L485" s="64"/>
      <c r="M485" s="64"/>
      <c r="N485" s="64"/>
      <c r="O485" s="64"/>
      <c r="P485" s="64"/>
      <c r="Q485" s="64"/>
      <c r="R485" s="64"/>
      <c r="S485" s="64"/>
      <c r="T485" s="63"/>
      <c r="U485" s="64"/>
      <c r="V485" s="96"/>
      <c r="W485" s="97"/>
      <c r="X485" s="95"/>
      <c r="Y485" s="95"/>
      <c r="Z485" s="95"/>
      <c r="AA485" s="95"/>
      <c r="AB485" s="91"/>
    </row>
    <row r="486" spans="1:28" x14ac:dyDescent="0.25">
      <c r="A486" s="61"/>
      <c r="B486" s="61"/>
      <c r="C486" s="54"/>
      <c r="D486" s="108"/>
      <c r="E486" s="54"/>
      <c r="F486" s="54"/>
      <c r="G486" s="65"/>
      <c r="H486" s="62"/>
      <c r="I486" s="64"/>
      <c r="J486" s="63"/>
      <c r="K486" s="64"/>
      <c r="L486" s="64"/>
      <c r="M486" s="64"/>
      <c r="N486" s="64"/>
      <c r="O486" s="64"/>
      <c r="P486" s="64"/>
      <c r="Q486" s="64"/>
      <c r="R486" s="64"/>
      <c r="S486" s="64"/>
      <c r="T486" s="63"/>
      <c r="U486" s="64"/>
      <c r="V486" s="96"/>
      <c r="W486" s="97"/>
      <c r="X486" s="95"/>
      <c r="Y486" s="95"/>
      <c r="Z486" s="95"/>
      <c r="AA486" s="95"/>
      <c r="AB486" s="91"/>
    </row>
    <row r="487" spans="1:28" x14ac:dyDescent="0.25">
      <c r="A487" s="61"/>
      <c r="B487" s="61"/>
      <c r="C487" s="54"/>
      <c r="D487" s="108"/>
      <c r="E487" s="54"/>
      <c r="F487" s="54"/>
      <c r="G487" s="65"/>
      <c r="H487" s="62"/>
      <c r="I487" s="64"/>
      <c r="J487" s="63"/>
      <c r="K487" s="64"/>
      <c r="L487" s="64"/>
      <c r="M487" s="64"/>
      <c r="N487" s="64"/>
      <c r="O487" s="64"/>
      <c r="P487" s="64"/>
      <c r="Q487" s="64"/>
      <c r="R487" s="64"/>
      <c r="S487" s="64"/>
      <c r="T487" s="63"/>
      <c r="U487" s="64"/>
      <c r="V487" s="96"/>
      <c r="W487" s="97"/>
      <c r="X487" s="95"/>
      <c r="Y487" s="95"/>
      <c r="Z487" s="95"/>
      <c r="AA487" s="95"/>
      <c r="AB487" s="91"/>
    </row>
    <row r="488" spans="1:28" x14ac:dyDescent="0.25">
      <c r="A488" s="61"/>
      <c r="B488" s="61"/>
      <c r="C488" s="54"/>
      <c r="D488" s="108"/>
      <c r="E488" s="54"/>
      <c r="F488" s="54"/>
      <c r="G488" s="65"/>
      <c r="H488" s="62"/>
      <c r="I488" s="64"/>
      <c r="J488" s="63"/>
      <c r="K488" s="64"/>
      <c r="L488" s="64"/>
      <c r="M488" s="64"/>
      <c r="N488" s="64"/>
      <c r="O488" s="64"/>
      <c r="P488" s="64"/>
      <c r="Q488" s="64"/>
      <c r="R488" s="64"/>
      <c r="S488" s="64"/>
      <c r="T488" s="63"/>
      <c r="U488" s="64"/>
      <c r="V488" s="96"/>
      <c r="W488" s="97"/>
      <c r="X488" s="95"/>
      <c r="Y488" s="95"/>
      <c r="Z488" s="95"/>
      <c r="AA488" s="95"/>
      <c r="AB488" s="91"/>
    </row>
    <row r="489" spans="1:28" x14ac:dyDescent="0.25">
      <c r="A489" s="61"/>
      <c r="B489" s="61"/>
      <c r="C489" s="54"/>
      <c r="D489" s="108"/>
      <c r="E489" s="54"/>
      <c r="F489" s="54"/>
      <c r="G489" s="65"/>
      <c r="H489" s="62"/>
      <c r="I489" s="64"/>
      <c r="J489" s="63"/>
      <c r="K489" s="64"/>
      <c r="L489" s="64"/>
      <c r="M489" s="64"/>
      <c r="N489" s="64"/>
      <c r="O489" s="64"/>
      <c r="P489" s="64"/>
      <c r="Q489" s="64"/>
      <c r="R489" s="64"/>
      <c r="S489" s="64"/>
      <c r="T489" s="63"/>
      <c r="U489" s="64"/>
      <c r="V489" s="96"/>
      <c r="W489" s="97"/>
      <c r="X489" s="95"/>
      <c r="Y489" s="95"/>
      <c r="Z489" s="95"/>
      <c r="AA489" s="95"/>
      <c r="AB489" s="91"/>
    </row>
  </sheetData>
  <sheetProtection selectLockedCells="1" selectUnlockedCells="1"/>
  <conditionalFormatting sqref="V15:AB489">
    <cfRule type="expression" dxfId="0" priority="1">
      <formula>"$S$13&lt;0"</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0" tint="-0.499984740745262"/>
  </sheetPr>
  <dimension ref="A1:CU425"/>
  <sheetViews>
    <sheetView topLeftCell="Y380" workbookViewId="0">
      <selection activeCell="AR401" sqref="AR401"/>
    </sheetView>
  </sheetViews>
  <sheetFormatPr defaultRowHeight="15" x14ac:dyDescent="0.25"/>
  <cols>
    <col min="3" max="3" width="10.7109375" style="1" bestFit="1" customWidth="1"/>
    <col min="4" max="4" width="10.7109375" style="1" customWidth="1"/>
    <col min="5" max="5" width="10.7109375" style="3" customWidth="1"/>
    <col min="6" max="9" width="10.7109375" style="1" customWidth="1"/>
    <col min="10" max="10" width="9.28515625" style="4" bestFit="1" customWidth="1"/>
    <col min="11" max="11" width="9.28515625" bestFit="1" customWidth="1"/>
    <col min="12" max="12" width="9.5703125" bestFit="1" customWidth="1"/>
    <col min="13" max="13" width="9.28515625" bestFit="1" customWidth="1"/>
    <col min="14" max="14" width="9.28515625" customWidth="1"/>
    <col min="15" max="15" width="9.28515625" style="4" bestFit="1" customWidth="1"/>
    <col min="16" max="16" width="9.28515625" bestFit="1" customWidth="1"/>
    <col min="17" max="17" width="9.5703125" bestFit="1" customWidth="1"/>
    <col min="18" max="18" width="9.28515625" bestFit="1" customWidth="1"/>
    <col min="19" max="19" width="9.28515625" customWidth="1"/>
    <col min="20" max="20" width="9.28515625" style="4" bestFit="1" customWidth="1"/>
    <col min="21" max="23" width="9.28515625" bestFit="1" customWidth="1"/>
    <col min="24" max="24" width="9.28515625" customWidth="1"/>
    <col min="25" max="25" width="9.28515625" style="4" bestFit="1" customWidth="1"/>
    <col min="26" max="26" width="9.28515625" bestFit="1" customWidth="1"/>
    <col min="27" max="27" width="9.5703125" bestFit="1" customWidth="1"/>
    <col min="28" max="28" width="9.28515625" bestFit="1" customWidth="1"/>
    <col min="29" max="29" width="9.28515625" customWidth="1"/>
    <col min="30" max="30" width="9.140625" style="4"/>
    <col min="31" max="33" width="9.140625" style="2"/>
    <col min="34" max="34" width="9.140625" style="106"/>
    <col min="35" max="35" width="9.140625" style="4"/>
    <col min="36" max="38" width="9.140625" style="2"/>
    <col min="39" max="39" width="9.140625" style="106"/>
    <col min="40" max="40" width="9.140625" style="4"/>
    <col min="41" max="43" width="9.140625" style="2"/>
    <col min="44" max="44" width="9.140625" style="106"/>
    <col min="45" max="45" width="9.140625" style="4"/>
    <col min="46" max="48" width="9.140625" style="2"/>
    <col min="49" max="49" width="9.140625" style="106"/>
    <col min="50" max="50" width="9.140625" style="4"/>
    <col min="51" max="53" width="9.140625" style="2"/>
    <col min="54" max="54" width="9.140625" style="106"/>
    <col min="55" max="55" width="9.140625" style="4"/>
    <col min="56" max="59" width="9.140625" style="2"/>
    <col min="60" max="60" width="9.140625" style="4"/>
    <col min="61" max="63" width="9.140625" style="2"/>
    <col min="64" max="64" width="9.140625" style="106"/>
    <col min="65" max="69" width="9.140625" style="2"/>
    <col min="73" max="73" width="9.7109375" bestFit="1" customWidth="1"/>
  </cols>
  <sheetData>
    <row r="1" spans="1:99" x14ac:dyDescent="0.25">
      <c r="D1" s="181" t="s">
        <v>183</v>
      </c>
      <c r="E1" s="182" t="s">
        <v>105</v>
      </c>
      <c r="F1" s="183"/>
      <c r="G1" s="183"/>
      <c r="H1" s="183"/>
      <c r="I1" s="184"/>
      <c r="J1" s="178">
        <v>844</v>
      </c>
      <c r="K1" s="179"/>
      <c r="L1" s="179"/>
      <c r="M1" s="179"/>
      <c r="N1" s="180"/>
      <c r="O1" s="178">
        <v>845</v>
      </c>
      <c r="P1" s="179"/>
      <c r="Q1" s="179"/>
      <c r="R1" s="179"/>
      <c r="S1" s="180"/>
      <c r="T1" s="178">
        <v>1108</v>
      </c>
      <c r="U1" s="179"/>
      <c r="V1" s="179"/>
      <c r="W1" s="179"/>
      <c r="X1" s="180"/>
      <c r="Y1" s="178" t="s">
        <v>316</v>
      </c>
      <c r="Z1" s="179"/>
      <c r="AA1" s="179"/>
      <c r="AB1" s="179"/>
      <c r="AC1" s="180"/>
      <c r="AD1" s="178">
        <v>1114</v>
      </c>
      <c r="AE1" s="179"/>
      <c r="AF1" s="179"/>
      <c r="AG1" s="179"/>
      <c r="AH1" s="180"/>
      <c r="AI1" s="178">
        <v>1113</v>
      </c>
      <c r="AJ1" s="179"/>
      <c r="AK1" s="179"/>
      <c r="AL1" s="179"/>
      <c r="AM1" s="180"/>
      <c r="AN1" s="178">
        <v>1112</v>
      </c>
      <c r="AO1" s="179"/>
      <c r="AP1" s="179"/>
      <c r="AQ1" s="179"/>
      <c r="AR1" s="180"/>
      <c r="AS1" s="178">
        <v>1098</v>
      </c>
      <c r="AT1" s="179"/>
      <c r="AU1" s="179"/>
      <c r="AV1" s="179"/>
      <c r="AW1" s="180"/>
      <c r="AX1" s="178">
        <v>1111</v>
      </c>
      <c r="AY1" s="179"/>
      <c r="AZ1" s="179"/>
      <c r="BA1" s="179"/>
      <c r="BB1" s="180"/>
      <c r="BC1" s="178" t="s">
        <v>316</v>
      </c>
      <c r="BD1" s="179"/>
      <c r="BE1" s="179"/>
      <c r="BF1" s="179"/>
      <c r="BG1" s="180"/>
      <c r="BH1" s="178">
        <v>1103</v>
      </c>
      <c r="BI1" s="179"/>
      <c r="BJ1" s="179"/>
      <c r="BK1" s="179"/>
      <c r="BL1" s="180"/>
      <c r="BM1" s="178">
        <v>1115</v>
      </c>
      <c r="BN1" s="179"/>
      <c r="BO1" s="179"/>
      <c r="BP1" s="179"/>
      <c r="BQ1" s="179"/>
    </row>
    <row r="2" spans="1:99" x14ac:dyDescent="0.25">
      <c r="D2" s="181"/>
      <c r="E2" s="182"/>
      <c r="F2" s="183"/>
      <c r="G2" s="183"/>
      <c r="H2" s="183"/>
      <c r="I2" s="184"/>
      <c r="J2" s="178" t="s">
        <v>40</v>
      </c>
      <c r="K2" s="179"/>
      <c r="L2" s="179"/>
      <c r="M2" s="179"/>
      <c r="N2" s="180"/>
      <c r="O2" s="178" t="s">
        <v>41</v>
      </c>
      <c r="P2" s="179"/>
      <c r="Q2" s="179"/>
      <c r="R2" s="179"/>
      <c r="S2" s="180"/>
      <c r="T2" s="178" t="s">
        <v>306</v>
      </c>
      <c r="U2" s="179"/>
      <c r="V2" s="179"/>
      <c r="W2" s="179"/>
      <c r="X2" s="180"/>
      <c r="Y2" s="178" t="s">
        <v>307</v>
      </c>
      <c r="Z2" s="179"/>
      <c r="AA2" s="179"/>
      <c r="AB2" s="179"/>
      <c r="AC2" s="180"/>
      <c r="AD2" s="178" t="s">
        <v>308</v>
      </c>
      <c r="AE2" s="179"/>
      <c r="AF2" s="179"/>
      <c r="AG2" s="179"/>
      <c r="AH2" s="180"/>
      <c r="AI2" s="178" t="s">
        <v>309</v>
      </c>
      <c r="AJ2" s="179"/>
      <c r="AK2" s="179"/>
      <c r="AL2" s="179"/>
      <c r="AM2" s="180"/>
      <c r="AN2" s="178" t="s">
        <v>310</v>
      </c>
      <c r="AO2" s="179"/>
      <c r="AP2" s="179"/>
      <c r="AQ2" s="179"/>
      <c r="AR2" s="180"/>
      <c r="AS2" s="178" t="s">
        <v>311</v>
      </c>
      <c r="AT2" s="179"/>
      <c r="AU2" s="179"/>
      <c r="AV2" s="179"/>
      <c r="AW2" s="180"/>
      <c r="AX2" s="178" t="s">
        <v>315</v>
      </c>
      <c r="AY2" s="179"/>
      <c r="AZ2" s="179"/>
      <c r="BA2" s="179"/>
      <c r="BB2" s="180"/>
      <c r="BC2" s="178" t="s">
        <v>312</v>
      </c>
      <c r="BD2" s="179"/>
      <c r="BE2" s="179"/>
      <c r="BF2" s="179"/>
      <c r="BG2" s="180"/>
      <c r="BH2" s="178" t="s">
        <v>313</v>
      </c>
      <c r="BI2" s="179"/>
      <c r="BJ2" s="179"/>
      <c r="BK2" s="179"/>
      <c r="BL2" s="180"/>
      <c r="BM2" s="178" t="s">
        <v>314</v>
      </c>
      <c r="BN2" s="179"/>
      <c r="BO2" s="179"/>
      <c r="BP2" s="179"/>
      <c r="BQ2" s="179"/>
      <c r="BS2" s="21"/>
      <c r="BT2" s="107" t="str">
        <f>E1</f>
        <v>None</v>
      </c>
      <c r="BU2" s="107" t="str">
        <f>J2</f>
        <v>Without development</v>
      </c>
      <c r="BV2" s="107" t="str">
        <f>O2</f>
        <v>Baseline</v>
      </c>
      <c r="BW2" s="107" t="str">
        <f>T2</f>
        <v>415GL</v>
      </c>
      <c r="BX2" s="107" t="str">
        <f>Y2</f>
        <v>390GL</v>
      </c>
      <c r="BY2" s="107" t="str">
        <f>AD2</f>
        <v>350GL</v>
      </c>
      <c r="BZ2" s="107" t="str">
        <f>AI2</f>
        <v>Current water recovery</v>
      </c>
      <c r="CA2" s="22" t="str">
        <f>AN2</f>
        <v>320GL</v>
      </c>
      <c r="CB2" s="22" t="str">
        <f>AS2</f>
        <v>500GL</v>
      </c>
      <c r="CC2" s="22" t="str">
        <f>AX2</f>
        <v>320GL PR</v>
      </c>
      <c r="CD2" s="22" t="str">
        <f>BC2</f>
        <v>390GL Unco</v>
      </c>
      <c r="CE2" s="22" t="str">
        <f>BH2</f>
        <v>345GL</v>
      </c>
      <c r="CF2" s="23" t="str">
        <f>BM2</f>
        <v>321GL</v>
      </c>
      <c r="CH2" s="21"/>
      <c r="CI2" s="107" t="str">
        <f>BT2</f>
        <v>None</v>
      </c>
      <c r="CJ2" s="107" t="str">
        <f t="shared" ref="CJ2:CU2" si="0">BU2</f>
        <v>Without development</v>
      </c>
      <c r="CK2" s="107" t="str">
        <f t="shared" si="0"/>
        <v>Baseline</v>
      </c>
      <c r="CL2" s="107" t="str">
        <f t="shared" si="0"/>
        <v>415GL</v>
      </c>
      <c r="CM2" s="107" t="str">
        <f t="shared" si="0"/>
        <v>390GL</v>
      </c>
      <c r="CN2" s="107" t="str">
        <f t="shared" si="0"/>
        <v>350GL</v>
      </c>
      <c r="CO2" s="107" t="str">
        <f t="shared" si="0"/>
        <v>Current water recovery</v>
      </c>
      <c r="CP2" s="107" t="str">
        <f t="shared" si="0"/>
        <v>320GL</v>
      </c>
      <c r="CQ2" s="107" t="str">
        <f t="shared" si="0"/>
        <v>500GL</v>
      </c>
      <c r="CR2" s="107" t="str">
        <f t="shared" si="0"/>
        <v>320GL PR</v>
      </c>
      <c r="CS2" s="107" t="str">
        <f t="shared" si="0"/>
        <v>390GL Unco</v>
      </c>
      <c r="CT2" s="107" t="str">
        <f t="shared" si="0"/>
        <v>345GL</v>
      </c>
      <c r="CU2" s="107" t="str">
        <f t="shared" si="0"/>
        <v>321GL</v>
      </c>
    </row>
    <row r="3" spans="1:99" x14ac:dyDescent="0.25">
      <c r="B3" s="2"/>
      <c r="C3" s="1" t="s">
        <v>38</v>
      </c>
      <c r="D3" s="181"/>
      <c r="E3" s="10">
        <v>422013</v>
      </c>
      <c r="F3" s="11">
        <v>422014</v>
      </c>
      <c r="G3" s="11">
        <v>422015</v>
      </c>
      <c r="H3" s="11">
        <v>422206</v>
      </c>
      <c r="I3" s="11" t="s">
        <v>0</v>
      </c>
      <c r="J3" s="10">
        <v>422013</v>
      </c>
      <c r="K3" s="11">
        <v>422014</v>
      </c>
      <c r="L3" s="11">
        <v>422015</v>
      </c>
      <c r="M3" s="11">
        <v>422206</v>
      </c>
      <c r="N3" s="11" t="s">
        <v>0</v>
      </c>
      <c r="O3" s="10">
        <v>422013</v>
      </c>
      <c r="P3" s="11">
        <v>422014</v>
      </c>
      <c r="Q3" s="11">
        <v>422015</v>
      </c>
      <c r="R3" s="11">
        <v>422206</v>
      </c>
      <c r="S3" s="11" t="s">
        <v>0</v>
      </c>
      <c r="T3" s="10">
        <v>422013</v>
      </c>
      <c r="U3" s="11">
        <v>422014</v>
      </c>
      <c r="V3" s="11">
        <v>422015</v>
      </c>
      <c r="W3" s="11">
        <v>422206</v>
      </c>
      <c r="X3" s="11" t="s">
        <v>0</v>
      </c>
      <c r="Y3" s="10">
        <v>422013</v>
      </c>
      <c r="Z3" s="11">
        <v>422014</v>
      </c>
      <c r="AA3" s="11">
        <v>422015</v>
      </c>
      <c r="AB3" s="11">
        <v>422206</v>
      </c>
      <c r="AC3" s="11" t="s">
        <v>0</v>
      </c>
      <c r="AD3" s="10">
        <v>422013</v>
      </c>
      <c r="AE3" s="105">
        <v>422014</v>
      </c>
      <c r="AF3" s="105">
        <v>422015</v>
      </c>
      <c r="AG3" s="105">
        <v>422206</v>
      </c>
      <c r="AH3" s="106" t="s">
        <v>0</v>
      </c>
      <c r="AI3" s="10">
        <v>422013</v>
      </c>
      <c r="AJ3" s="105">
        <v>422014</v>
      </c>
      <c r="AK3" s="105">
        <v>422015</v>
      </c>
      <c r="AL3" s="105">
        <v>422206</v>
      </c>
      <c r="AM3" s="106" t="s">
        <v>0</v>
      </c>
      <c r="AN3" s="10">
        <v>422013</v>
      </c>
      <c r="AO3" s="105">
        <v>422014</v>
      </c>
      <c r="AP3" s="105">
        <v>422015</v>
      </c>
      <c r="AQ3" s="105">
        <v>422206</v>
      </c>
      <c r="AR3" s="106" t="s">
        <v>0</v>
      </c>
      <c r="AS3" s="10">
        <v>422013</v>
      </c>
      <c r="AT3" s="105">
        <v>422014</v>
      </c>
      <c r="AU3" s="105">
        <v>422015</v>
      </c>
      <c r="AV3" s="105">
        <v>422206</v>
      </c>
      <c r="AW3" s="106" t="s">
        <v>0</v>
      </c>
      <c r="AX3" s="10">
        <v>422013</v>
      </c>
      <c r="AY3" s="105">
        <v>422014</v>
      </c>
      <c r="AZ3" s="105">
        <v>422015</v>
      </c>
      <c r="BA3" s="105">
        <v>422206</v>
      </c>
      <c r="BB3" s="106" t="s">
        <v>0</v>
      </c>
      <c r="BC3" s="10">
        <v>422013</v>
      </c>
      <c r="BD3" s="105">
        <v>422014</v>
      </c>
      <c r="BE3" s="105">
        <v>422015</v>
      </c>
      <c r="BF3" s="105">
        <v>422206</v>
      </c>
      <c r="BG3" s="2" t="s">
        <v>0</v>
      </c>
      <c r="BH3" s="10">
        <v>422013</v>
      </c>
      <c r="BI3" s="105">
        <v>422014</v>
      </c>
      <c r="BJ3" s="105">
        <v>422015</v>
      </c>
      <c r="BK3" s="105">
        <v>422206</v>
      </c>
      <c r="BL3" s="106" t="s">
        <v>0</v>
      </c>
      <c r="BM3" s="105">
        <v>422013</v>
      </c>
      <c r="BN3" s="105">
        <v>422014</v>
      </c>
      <c r="BO3" s="105">
        <v>422015</v>
      </c>
      <c r="BP3" s="105">
        <v>422206</v>
      </c>
      <c r="BQ3" s="106" t="s">
        <v>0</v>
      </c>
      <c r="BS3" s="4">
        <v>1</v>
      </c>
      <c r="BT3" s="125">
        <f t="shared" ref="BT3:BT66" si="1">I4</f>
        <v>0</v>
      </c>
      <c r="BU3" s="125">
        <f t="shared" ref="BU3:BU66" si="2">N4</f>
        <v>0.19519631984417929</v>
      </c>
      <c r="BV3" s="125">
        <f t="shared" ref="BV3:BV66" si="3">S4</f>
        <v>2.2690599292155916E-2</v>
      </c>
      <c r="BW3" s="125">
        <f t="shared" ref="BW3:BW66" si="4">X4</f>
        <v>6.9744732737393025E-2</v>
      </c>
      <c r="BX3" s="125">
        <f t="shared" ref="BX3:BX66" si="5">AC4</f>
        <v>6.8663251490510613E-2</v>
      </c>
      <c r="BY3" s="125">
        <f t="shared" ref="BY3:BY66" si="6">AH4</f>
        <v>5.2832563994964332E-2</v>
      </c>
      <c r="BZ3" s="125">
        <f t="shared" ref="BZ3:BZ66" si="7">AM4</f>
        <v>4.5038915589197065E-2</v>
      </c>
      <c r="CA3" s="125">
        <f t="shared" ref="CA3:CA66" si="8">AR4</f>
        <v>5.1995344381190661E-2</v>
      </c>
      <c r="CB3" s="125">
        <f t="shared" ref="CB3:CB66" si="9">AW4</f>
        <v>7.5428071481167702E-2</v>
      </c>
      <c r="CC3" s="125">
        <f t="shared" ref="CC3:CC66" si="10">BB4</f>
        <v>5.8099114007236802E-2</v>
      </c>
      <c r="CD3" s="125">
        <f t="shared" ref="CD3:CD66" si="11">BG4</f>
        <v>6.8663251490510613E-2</v>
      </c>
      <c r="CE3" s="125">
        <f>BL4</f>
        <v>5.3748406559038467E-2</v>
      </c>
      <c r="CF3" s="126">
        <f>BQ4</f>
        <v>5.9168322789570779E-2</v>
      </c>
      <c r="CH3" s="4">
        <v>1</v>
      </c>
      <c r="CI3" s="127">
        <v>0</v>
      </c>
      <c r="CJ3" s="127">
        <v>0</v>
      </c>
      <c r="CK3" s="127">
        <v>0</v>
      </c>
      <c r="CL3" s="127">
        <v>0</v>
      </c>
      <c r="CM3" s="127">
        <v>0</v>
      </c>
      <c r="CN3" s="127">
        <v>0</v>
      </c>
      <c r="CO3" s="127">
        <v>0</v>
      </c>
      <c r="CP3" s="127">
        <v>0</v>
      </c>
      <c r="CQ3" s="127">
        <v>0</v>
      </c>
      <c r="CR3" s="127">
        <v>0</v>
      </c>
      <c r="CS3" s="127">
        <v>0</v>
      </c>
      <c r="CT3" s="127">
        <v>0</v>
      </c>
      <c r="CU3" s="127">
        <v>0</v>
      </c>
    </row>
    <row r="4" spans="1:99" x14ac:dyDescent="0.25">
      <c r="A4" t="s">
        <v>184</v>
      </c>
      <c r="B4" s="2" t="s">
        <v>1</v>
      </c>
      <c r="C4" s="1">
        <v>1705</v>
      </c>
      <c r="D4" s="19">
        <v>14.1</v>
      </c>
      <c r="E4" s="18">
        <v>0</v>
      </c>
      <c r="F4" s="19">
        <v>0</v>
      </c>
      <c r="G4" s="19">
        <v>0</v>
      </c>
      <c r="H4" s="19">
        <v>0</v>
      </c>
      <c r="I4" s="19">
        <f>SUM(E4:H4)/Variables!$E$3</f>
        <v>0</v>
      </c>
      <c r="J4" s="4">
        <v>6293</v>
      </c>
      <c r="K4">
        <v>15280</v>
      </c>
      <c r="L4">
        <v>195528</v>
      </c>
      <c r="M4">
        <v>29430</v>
      </c>
      <c r="N4" s="6">
        <f>SUM(J4:M4)/Variables!$E$3</f>
        <v>0.19519631984417929</v>
      </c>
      <c r="O4" s="4">
        <v>0</v>
      </c>
      <c r="P4">
        <v>0</v>
      </c>
      <c r="Q4">
        <v>24575</v>
      </c>
      <c r="R4">
        <v>4083</v>
      </c>
      <c r="S4" s="6">
        <f>SUM(O4:R4)/Variables!$E$3</f>
        <v>2.2690599292155916E-2</v>
      </c>
      <c r="T4" s="12">
        <v>0</v>
      </c>
      <c r="U4" s="6">
        <v>0</v>
      </c>
      <c r="V4" s="6">
        <v>77428.800000000003</v>
      </c>
      <c r="W4" s="6">
        <v>10658.1</v>
      </c>
      <c r="X4" s="6">
        <f>SUM(T4:W4)/Variables!$E$3</f>
        <v>6.9744732737393025E-2</v>
      </c>
      <c r="Y4" s="12">
        <v>0</v>
      </c>
      <c r="Z4" s="6">
        <v>0</v>
      </c>
      <c r="AA4" s="6">
        <v>75931.899999999994</v>
      </c>
      <c r="AB4" s="6">
        <v>10789.1</v>
      </c>
      <c r="AC4" s="6">
        <f>SUM(Y4:AB4)/Variables!$E$3</f>
        <v>6.8663251490510613E-2</v>
      </c>
      <c r="AD4" s="4">
        <v>0</v>
      </c>
      <c r="AE4" s="2">
        <v>0</v>
      </c>
      <c r="AF4" s="2">
        <v>56312.4</v>
      </c>
      <c r="AG4" s="2">
        <v>10414.6</v>
      </c>
      <c r="AH4" s="6">
        <f>SUM(AD4:AG4)/Variables!$E$3</f>
        <v>5.2832563994964332E-2</v>
      </c>
      <c r="AI4" s="4">
        <v>0</v>
      </c>
      <c r="AJ4" s="2">
        <v>0</v>
      </c>
      <c r="AK4" s="2">
        <v>50798.5</v>
      </c>
      <c r="AL4" s="2">
        <v>6085.2</v>
      </c>
      <c r="AM4" s="6">
        <f>SUM(AI4:AL4)/Variables!$E$3</f>
        <v>4.5038915589197065E-2</v>
      </c>
      <c r="AN4" s="4">
        <v>0</v>
      </c>
      <c r="AO4" s="2">
        <v>0</v>
      </c>
      <c r="AP4" s="2">
        <v>54848.2</v>
      </c>
      <c r="AQ4" s="2">
        <v>10821.4</v>
      </c>
      <c r="AR4" s="6">
        <f>SUM(AN4:AQ4)/Variables!$E$3</f>
        <v>5.1995344381190661E-2</v>
      </c>
      <c r="AS4" s="4">
        <v>0</v>
      </c>
      <c r="AT4" s="2">
        <v>191.7</v>
      </c>
      <c r="AU4" s="2">
        <v>79118.2</v>
      </c>
      <c r="AV4" s="2">
        <v>15955</v>
      </c>
      <c r="AW4" s="6">
        <f>SUM(AS4:AV4)/Variables!$E$3</f>
        <v>7.5428071481167702E-2</v>
      </c>
      <c r="AX4" s="4">
        <v>0</v>
      </c>
      <c r="AY4" s="2">
        <v>0</v>
      </c>
      <c r="AZ4" s="2">
        <v>61112.5</v>
      </c>
      <c r="BA4" s="2">
        <v>12266.1</v>
      </c>
      <c r="BB4" s="6">
        <f>SUM(AX4:BA4)/Variables!$E$3</f>
        <v>5.8099114007236802E-2</v>
      </c>
      <c r="BC4" s="12">
        <f>Y4</f>
        <v>0</v>
      </c>
      <c r="BD4" s="110">
        <f t="shared" ref="BD4:BF19" si="12">Z4</f>
        <v>0</v>
      </c>
      <c r="BE4" s="110">
        <f t="shared" si="12"/>
        <v>75931.899999999994</v>
      </c>
      <c r="BF4" s="110">
        <f t="shared" si="12"/>
        <v>10789.1</v>
      </c>
      <c r="BG4" s="6">
        <f>SUM(BC4:BF4)/Variables!$E$3</f>
        <v>6.8663251490510613E-2</v>
      </c>
      <c r="BH4" s="4">
        <v>0</v>
      </c>
      <c r="BI4">
        <v>0</v>
      </c>
      <c r="BJ4">
        <v>58363.4</v>
      </c>
      <c r="BK4">
        <v>9520.2999999999993</v>
      </c>
      <c r="BL4" s="6">
        <f>SUM(BH4:BK4)/Variables!$E$3</f>
        <v>5.3748406559038467E-2</v>
      </c>
      <c r="BM4" s="110">
        <v>0</v>
      </c>
      <c r="BN4" s="110">
        <v>0</v>
      </c>
      <c r="BO4" s="110">
        <v>62746</v>
      </c>
      <c r="BP4" s="110">
        <v>11983</v>
      </c>
      <c r="BQ4" s="6">
        <f>SUM(BM4:BP4)/Variables!$E$3</f>
        <v>5.9168322789570779E-2</v>
      </c>
      <c r="BS4" s="4">
        <v>2</v>
      </c>
      <c r="BT4" s="125">
        <f t="shared" si="1"/>
        <v>0</v>
      </c>
      <c r="BU4" s="125">
        <f t="shared" si="2"/>
        <v>0</v>
      </c>
      <c r="BV4" s="125">
        <f t="shared" si="3"/>
        <v>0</v>
      </c>
      <c r="BW4" s="125">
        <f t="shared" si="4"/>
        <v>0</v>
      </c>
      <c r="BX4" s="125">
        <f t="shared" si="5"/>
        <v>0</v>
      </c>
      <c r="BY4" s="125">
        <f t="shared" si="6"/>
        <v>0</v>
      </c>
      <c r="BZ4" s="125">
        <f t="shared" si="7"/>
        <v>0</v>
      </c>
      <c r="CA4" s="125">
        <f t="shared" si="8"/>
        <v>0</v>
      </c>
      <c r="CB4" s="125">
        <f t="shared" si="9"/>
        <v>0</v>
      </c>
      <c r="CC4" s="125">
        <f t="shared" si="10"/>
        <v>0</v>
      </c>
      <c r="CD4" s="125">
        <f t="shared" si="11"/>
        <v>0</v>
      </c>
      <c r="CE4" s="125">
        <f t="shared" ref="CE4:CE67" si="13">BL5</f>
        <v>0</v>
      </c>
      <c r="CF4" s="126">
        <f t="shared" ref="CF4:CF67" si="14">BQ5</f>
        <v>0</v>
      </c>
      <c r="CH4" s="4">
        <v>2</v>
      </c>
      <c r="CI4" s="127">
        <v>0</v>
      </c>
      <c r="CJ4" s="127">
        <v>0</v>
      </c>
      <c r="CK4" s="127">
        <v>0</v>
      </c>
      <c r="CL4" s="127">
        <v>0</v>
      </c>
      <c r="CM4" s="127">
        <v>0</v>
      </c>
      <c r="CN4" s="127">
        <v>0</v>
      </c>
      <c r="CO4" s="127">
        <v>0</v>
      </c>
      <c r="CP4" s="127">
        <v>0</v>
      </c>
      <c r="CQ4" s="127">
        <v>0</v>
      </c>
      <c r="CR4" s="127">
        <v>0</v>
      </c>
      <c r="CS4" s="127">
        <v>0</v>
      </c>
      <c r="CT4" s="127">
        <v>0</v>
      </c>
      <c r="CU4" s="127">
        <v>0</v>
      </c>
    </row>
    <row r="5" spans="1:99" x14ac:dyDescent="0.25">
      <c r="A5" t="s">
        <v>184</v>
      </c>
      <c r="B5" s="2" t="s">
        <v>2</v>
      </c>
      <c r="C5" s="1">
        <v>1796</v>
      </c>
      <c r="D5" s="19">
        <v>117.32</v>
      </c>
      <c r="E5" s="18">
        <v>0</v>
      </c>
      <c r="F5" s="19">
        <v>0</v>
      </c>
      <c r="G5" s="19">
        <v>0</v>
      </c>
      <c r="H5" s="19">
        <v>0</v>
      </c>
      <c r="I5" s="19">
        <f>SUM(E5:H5)/Variables!$E$3</f>
        <v>0</v>
      </c>
      <c r="J5" s="4">
        <v>0</v>
      </c>
      <c r="K5">
        <v>0</v>
      </c>
      <c r="L5">
        <v>0</v>
      </c>
      <c r="M5">
        <v>0</v>
      </c>
      <c r="N5" s="6">
        <f>SUM(J5:M5)/Variables!$E$3</f>
        <v>0</v>
      </c>
      <c r="O5" s="4">
        <v>0</v>
      </c>
      <c r="P5">
        <v>0</v>
      </c>
      <c r="Q5">
        <v>0</v>
      </c>
      <c r="R5">
        <v>0</v>
      </c>
      <c r="S5" s="6">
        <f>SUM(O5:R5)/Variables!$E$3</f>
        <v>0</v>
      </c>
      <c r="T5" s="12">
        <v>0</v>
      </c>
      <c r="U5" s="6">
        <v>0</v>
      </c>
      <c r="V5" s="6">
        <v>0</v>
      </c>
      <c r="W5" s="6">
        <v>0</v>
      </c>
      <c r="X5" s="6">
        <f>SUM(T5:W5)/Variables!$E$3</f>
        <v>0</v>
      </c>
      <c r="Y5" s="12">
        <v>0</v>
      </c>
      <c r="Z5" s="6">
        <v>0</v>
      </c>
      <c r="AA5" s="6">
        <v>0</v>
      </c>
      <c r="AB5" s="6">
        <v>0</v>
      </c>
      <c r="AC5" s="6">
        <f>SUM(Y5:AB5)/Variables!$E$3</f>
        <v>0</v>
      </c>
      <c r="AD5" s="4">
        <v>0</v>
      </c>
      <c r="AE5" s="2">
        <v>0</v>
      </c>
      <c r="AF5" s="2">
        <v>0</v>
      </c>
      <c r="AG5" s="2">
        <v>0</v>
      </c>
      <c r="AH5" s="6">
        <f>SUM(AD5:AG5)/Variables!$E$3</f>
        <v>0</v>
      </c>
      <c r="AI5" s="4">
        <v>0</v>
      </c>
      <c r="AJ5" s="2">
        <v>0</v>
      </c>
      <c r="AK5" s="2">
        <v>0</v>
      </c>
      <c r="AL5" s="2">
        <v>0</v>
      </c>
      <c r="AM5" s="6">
        <f>SUM(AI5:AL5)/Variables!$E$3</f>
        <v>0</v>
      </c>
      <c r="AN5" s="4">
        <v>0</v>
      </c>
      <c r="AO5" s="2">
        <v>0</v>
      </c>
      <c r="AP5" s="2">
        <v>0</v>
      </c>
      <c r="AQ5" s="2">
        <v>0</v>
      </c>
      <c r="AR5" s="6">
        <f>SUM(AN5:AQ5)/Variables!$E$3</f>
        <v>0</v>
      </c>
      <c r="AS5" s="4">
        <v>0</v>
      </c>
      <c r="AT5" s="2">
        <v>0</v>
      </c>
      <c r="AU5" s="2">
        <v>0</v>
      </c>
      <c r="AV5" s="2">
        <v>0</v>
      </c>
      <c r="AW5" s="6">
        <f>SUM(AS5:AV5)/Variables!$E$3</f>
        <v>0</v>
      </c>
      <c r="AX5" s="4">
        <v>0</v>
      </c>
      <c r="AY5" s="2">
        <v>0</v>
      </c>
      <c r="AZ5" s="2">
        <v>0</v>
      </c>
      <c r="BA5" s="2">
        <v>0</v>
      </c>
      <c r="BB5" s="6">
        <f>SUM(AX5:BA5)/Variables!$E$3</f>
        <v>0</v>
      </c>
      <c r="BC5" s="12">
        <f t="shared" ref="BC5:BF68" si="15">Y5</f>
        <v>0</v>
      </c>
      <c r="BD5" s="110">
        <f t="shared" si="12"/>
        <v>0</v>
      </c>
      <c r="BE5" s="110">
        <f t="shared" si="12"/>
        <v>0</v>
      </c>
      <c r="BF5" s="110">
        <f t="shared" si="12"/>
        <v>0</v>
      </c>
      <c r="BG5" s="6">
        <f>SUM(BC5:BF5)/Variables!$E$3</f>
        <v>0</v>
      </c>
      <c r="BH5" s="4">
        <v>0</v>
      </c>
      <c r="BI5">
        <v>0</v>
      </c>
      <c r="BJ5">
        <v>0</v>
      </c>
      <c r="BK5">
        <v>0</v>
      </c>
      <c r="BL5" s="6">
        <f>SUM(BH5:BK5)/Variables!$E$3</f>
        <v>0</v>
      </c>
      <c r="BM5" s="110">
        <v>0</v>
      </c>
      <c r="BN5" s="110">
        <v>0</v>
      </c>
      <c r="BO5" s="110">
        <v>0</v>
      </c>
      <c r="BP5" s="110">
        <v>0</v>
      </c>
      <c r="BQ5" s="6">
        <f>SUM(BM5:BP5)/Variables!$E$3</f>
        <v>0</v>
      </c>
      <c r="BS5" s="4">
        <v>3</v>
      </c>
      <c r="BT5" s="125">
        <f t="shared" si="1"/>
        <v>0</v>
      </c>
      <c r="BU5" s="125">
        <f t="shared" si="2"/>
        <v>1.8614557518270138E-3</v>
      </c>
      <c r="BV5" s="125">
        <f t="shared" si="3"/>
        <v>0</v>
      </c>
      <c r="BW5" s="125">
        <f t="shared" si="4"/>
        <v>0</v>
      </c>
      <c r="BX5" s="125">
        <f t="shared" si="5"/>
        <v>0</v>
      </c>
      <c r="BY5" s="125">
        <f t="shared" si="6"/>
        <v>0</v>
      </c>
      <c r="BZ5" s="125">
        <f t="shared" si="7"/>
        <v>0</v>
      </c>
      <c r="CA5" s="125">
        <f t="shared" si="8"/>
        <v>0</v>
      </c>
      <c r="CB5" s="125">
        <f t="shared" si="9"/>
        <v>0</v>
      </c>
      <c r="CC5" s="125">
        <f t="shared" si="10"/>
        <v>0</v>
      </c>
      <c r="CD5" s="125">
        <f t="shared" si="11"/>
        <v>0</v>
      </c>
      <c r="CE5" s="125">
        <f t="shared" si="13"/>
        <v>0</v>
      </c>
      <c r="CF5" s="126">
        <f t="shared" si="14"/>
        <v>0</v>
      </c>
      <c r="CH5" s="4">
        <v>3</v>
      </c>
      <c r="CI5" s="127">
        <v>0</v>
      </c>
      <c r="CJ5" s="127">
        <v>0</v>
      </c>
      <c r="CK5" s="127">
        <v>0</v>
      </c>
      <c r="CL5" s="127">
        <v>0</v>
      </c>
      <c r="CM5" s="127">
        <v>0</v>
      </c>
      <c r="CN5" s="127">
        <v>0</v>
      </c>
      <c r="CO5" s="127">
        <v>0</v>
      </c>
      <c r="CP5" s="127">
        <v>0</v>
      </c>
      <c r="CQ5" s="127">
        <v>0</v>
      </c>
      <c r="CR5" s="127">
        <v>0</v>
      </c>
      <c r="CS5" s="127">
        <v>0</v>
      </c>
      <c r="CT5" s="127">
        <v>0</v>
      </c>
      <c r="CU5" s="127">
        <v>0</v>
      </c>
    </row>
    <row r="6" spans="1:99" x14ac:dyDescent="0.25">
      <c r="A6" t="s">
        <v>185</v>
      </c>
      <c r="B6" s="2" t="s">
        <v>3</v>
      </c>
      <c r="C6" s="1">
        <v>1886</v>
      </c>
      <c r="D6" s="19">
        <v>112.8</v>
      </c>
      <c r="E6" s="18">
        <v>0</v>
      </c>
      <c r="F6" s="19">
        <v>0</v>
      </c>
      <c r="G6" s="19">
        <v>0</v>
      </c>
      <c r="H6" s="19">
        <v>0</v>
      </c>
      <c r="I6" s="19">
        <f>SUM(E6:H6)/Variables!$E$3</f>
        <v>0</v>
      </c>
      <c r="J6" s="4">
        <v>0</v>
      </c>
      <c r="K6">
        <v>0</v>
      </c>
      <c r="L6">
        <v>2351</v>
      </c>
      <c r="M6">
        <v>0</v>
      </c>
      <c r="N6" s="6">
        <f>SUM(J6:M6)/Variables!$E$3</f>
        <v>1.8614557518270138E-3</v>
      </c>
      <c r="O6" s="4">
        <v>0</v>
      </c>
      <c r="P6">
        <v>0</v>
      </c>
      <c r="Q6">
        <v>0</v>
      </c>
      <c r="R6">
        <v>0</v>
      </c>
      <c r="S6" s="6">
        <f>SUM(O6:R6)/Variables!$E$3</f>
        <v>0</v>
      </c>
      <c r="T6" s="12">
        <v>0</v>
      </c>
      <c r="U6" s="6">
        <v>0</v>
      </c>
      <c r="V6" s="6">
        <v>0</v>
      </c>
      <c r="W6" s="6">
        <v>0</v>
      </c>
      <c r="X6" s="6">
        <f>SUM(T6:W6)/Variables!$E$3</f>
        <v>0</v>
      </c>
      <c r="Y6" s="12">
        <v>0</v>
      </c>
      <c r="Z6" s="6">
        <v>0</v>
      </c>
      <c r="AA6" s="6">
        <v>0</v>
      </c>
      <c r="AB6" s="6">
        <v>0</v>
      </c>
      <c r="AC6" s="6">
        <f>SUM(Y6:AB6)/Variables!$E$3</f>
        <v>0</v>
      </c>
      <c r="AD6" s="4">
        <v>0</v>
      </c>
      <c r="AE6" s="2">
        <v>0</v>
      </c>
      <c r="AF6" s="2">
        <v>0</v>
      </c>
      <c r="AG6" s="2">
        <v>0</v>
      </c>
      <c r="AH6" s="6">
        <f>SUM(AD6:AG6)/Variables!$E$3</f>
        <v>0</v>
      </c>
      <c r="AI6" s="4">
        <v>0</v>
      </c>
      <c r="AJ6" s="2">
        <v>0</v>
      </c>
      <c r="AK6" s="2">
        <v>0</v>
      </c>
      <c r="AL6" s="2">
        <v>0</v>
      </c>
      <c r="AM6" s="6">
        <f>SUM(AI6:AL6)/Variables!$E$3</f>
        <v>0</v>
      </c>
      <c r="AN6" s="4">
        <v>0</v>
      </c>
      <c r="AO6" s="2">
        <v>0</v>
      </c>
      <c r="AP6" s="2">
        <v>0</v>
      </c>
      <c r="AQ6" s="2">
        <v>0</v>
      </c>
      <c r="AR6" s="6">
        <f>SUM(AN6:AQ6)/Variables!$E$3</f>
        <v>0</v>
      </c>
      <c r="AS6" s="4">
        <v>0</v>
      </c>
      <c r="AT6" s="2">
        <v>0</v>
      </c>
      <c r="AU6" s="2">
        <v>0</v>
      </c>
      <c r="AV6" s="2">
        <v>0</v>
      </c>
      <c r="AW6" s="6">
        <f>SUM(AS6:AV6)/Variables!$E$3</f>
        <v>0</v>
      </c>
      <c r="AX6" s="4">
        <v>0</v>
      </c>
      <c r="AY6" s="2">
        <v>0</v>
      </c>
      <c r="AZ6" s="2">
        <v>0</v>
      </c>
      <c r="BA6" s="2">
        <v>0</v>
      </c>
      <c r="BB6" s="6">
        <f>SUM(AX6:BA6)/Variables!$E$3</f>
        <v>0</v>
      </c>
      <c r="BC6" s="12">
        <f t="shared" si="15"/>
        <v>0</v>
      </c>
      <c r="BD6" s="110">
        <f t="shared" si="12"/>
        <v>0</v>
      </c>
      <c r="BE6" s="110">
        <f t="shared" si="12"/>
        <v>0</v>
      </c>
      <c r="BF6" s="110">
        <f t="shared" si="12"/>
        <v>0</v>
      </c>
      <c r="BG6" s="6">
        <f>SUM(BC6:BF6)/Variables!$E$3</f>
        <v>0</v>
      </c>
      <c r="BH6" s="4">
        <v>0</v>
      </c>
      <c r="BI6">
        <v>0</v>
      </c>
      <c r="BJ6">
        <v>0</v>
      </c>
      <c r="BK6">
        <v>0</v>
      </c>
      <c r="BL6" s="6">
        <f>SUM(BH6:BK6)/Variables!$E$3</f>
        <v>0</v>
      </c>
      <c r="BM6" s="110">
        <v>0</v>
      </c>
      <c r="BN6" s="110">
        <v>0</v>
      </c>
      <c r="BO6" s="110">
        <v>0</v>
      </c>
      <c r="BP6" s="110">
        <v>0</v>
      </c>
      <c r="BQ6" s="6">
        <f>SUM(BM6:BP6)/Variables!$E$3</f>
        <v>0</v>
      </c>
      <c r="BS6" s="4">
        <v>4</v>
      </c>
      <c r="BT6" s="125">
        <f t="shared" si="1"/>
        <v>0</v>
      </c>
      <c r="BU6" s="125">
        <f t="shared" si="2"/>
        <v>7.0626054046350325E-3</v>
      </c>
      <c r="BV6" s="125">
        <f t="shared" si="3"/>
        <v>0</v>
      </c>
      <c r="BW6" s="125">
        <f t="shared" si="4"/>
        <v>0</v>
      </c>
      <c r="BX6" s="125">
        <f t="shared" si="5"/>
        <v>0</v>
      </c>
      <c r="BY6" s="125">
        <f t="shared" si="6"/>
        <v>0</v>
      </c>
      <c r="BZ6" s="125">
        <f t="shared" si="7"/>
        <v>0</v>
      </c>
      <c r="CA6" s="125">
        <f t="shared" si="8"/>
        <v>0</v>
      </c>
      <c r="CB6" s="125">
        <f t="shared" si="9"/>
        <v>0</v>
      </c>
      <c r="CC6" s="125">
        <f t="shared" si="10"/>
        <v>0</v>
      </c>
      <c r="CD6" s="125">
        <f t="shared" si="11"/>
        <v>0</v>
      </c>
      <c r="CE6" s="125">
        <f t="shared" si="13"/>
        <v>0</v>
      </c>
      <c r="CF6" s="126">
        <f t="shared" si="14"/>
        <v>0</v>
      </c>
      <c r="CH6" s="4">
        <v>4</v>
      </c>
      <c r="CI6" s="127">
        <v>0</v>
      </c>
      <c r="CJ6" s="127">
        <v>0</v>
      </c>
      <c r="CK6" s="127">
        <v>0</v>
      </c>
      <c r="CL6" s="127">
        <v>0</v>
      </c>
      <c r="CM6" s="127">
        <v>0</v>
      </c>
      <c r="CN6" s="127">
        <v>0</v>
      </c>
      <c r="CO6" s="127">
        <v>0</v>
      </c>
      <c r="CP6" s="127">
        <v>0</v>
      </c>
      <c r="CQ6" s="127">
        <v>0</v>
      </c>
      <c r="CR6" s="127">
        <v>0</v>
      </c>
      <c r="CS6" s="127">
        <v>0</v>
      </c>
      <c r="CT6" s="127">
        <v>0</v>
      </c>
      <c r="CU6" s="127">
        <v>0</v>
      </c>
    </row>
    <row r="7" spans="1:99" x14ac:dyDescent="0.25">
      <c r="A7" t="s">
        <v>185</v>
      </c>
      <c r="B7" s="2" t="s">
        <v>4</v>
      </c>
      <c r="C7" s="1">
        <v>1978</v>
      </c>
      <c r="D7" s="19">
        <v>164.1</v>
      </c>
      <c r="E7" s="18">
        <v>0</v>
      </c>
      <c r="F7" s="19">
        <v>0</v>
      </c>
      <c r="G7" s="19">
        <v>0</v>
      </c>
      <c r="H7" s="19">
        <v>0</v>
      </c>
      <c r="I7" s="19">
        <f>SUM(E7:H7)/Variables!$E$3</f>
        <v>0</v>
      </c>
      <c r="J7" s="4">
        <v>0</v>
      </c>
      <c r="K7">
        <v>0</v>
      </c>
      <c r="L7">
        <v>8920</v>
      </c>
      <c r="M7">
        <v>0</v>
      </c>
      <c r="N7" s="6">
        <f>SUM(J7:M7)/Variables!$E$3</f>
        <v>7.0626054046350325E-3</v>
      </c>
      <c r="O7" s="4">
        <v>0</v>
      </c>
      <c r="P7">
        <v>0</v>
      </c>
      <c r="Q7">
        <v>0</v>
      </c>
      <c r="R7">
        <v>0</v>
      </c>
      <c r="S7" s="6">
        <f>SUM(O7:R7)/Variables!$E$3</f>
        <v>0</v>
      </c>
      <c r="T7" s="12">
        <v>0</v>
      </c>
      <c r="U7" s="6">
        <v>0</v>
      </c>
      <c r="V7" s="6">
        <v>0</v>
      </c>
      <c r="W7" s="6">
        <v>0</v>
      </c>
      <c r="X7" s="6">
        <f>SUM(T7:W7)/Variables!$E$3</f>
        <v>0</v>
      </c>
      <c r="Y7" s="12">
        <v>0</v>
      </c>
      <c r="Z7" s="6">
        <v>0</v>
      </c>
      <c r="AA7" s="6">
        <v>0</v>
      </c>
      <c r="AB7" s="6">
        <v>0</v>
      </c>
      <c r="AC7" s="6">
        <f>SUM(Y7:AB7)/Variables!$E$3</f>
        <v>0</v>
      </c>
      <c r="AD7" s="4">
        <v>0</v>
      </c>
      <c r="AE7" s="2">
        <v>0</v>
      </c>
      <c r="AF7" s="2">
        <v>0</v>
      </c>
      <c r="AG7" s="2">
        <v>0</v>
      </c>
      <c r="AH7" s="6">
        <f>SUM(AD7:AG7)/Variables!$E$3</f>
        <v>0</v>
      </c>
      <c r="AI7" s="4">
        <v>0</v>
      </c>
      <c r="AJ7" s="2">
        <v>0</v>
      </c>
      <c r="AK7" s="2">
        <v>0</v>
      </c>
      <c r="AL7" s="2">
        <v>0</v>
      </c>
      <c r="AM7" s="6">
        <f>SUM(AI7:AL7)/Variables!$E$3</f>
        <v>0</v>
      </c>
      <c r="AN7" s="4">
        <v>0</v>
      </c>
      <c r="AO7" s="2">
        <v>0</v>
      </c>
      <c r="AP7" s="2">
        <v>0</v>
      </c>
      <c r="AQ7" s="2">
        <v>0</v>
      </c>
      <c r="AR7" s="6">
        <f>SUM(AN7:AQ7)/Variables!$E$3</f>
        <v>0</v>
      </c>
      <c r="AS7" s="4">
        <v>0</v>
      </c>
      <c r="AT7" s="2">
        <v>0</v>
      </c>
      <c r="AU7" s="2">
        <v>0</v>
      </c>
      <c r="AV7" s="2">
        <v>0</v>
      </c>
      <c r="AW7" s="6">
        <f>SUM(AS7:AV7)/Variables!$E$3</f>
        <v>0</v>
      </c>
      <c r="AX7" s="4">
        <v>0</v>
      </c>
      <c r="AY7" s="2">
        <v>0</v>
      </c>
      <c r="AZ7" s="2">
        <v>0</v>
      </c>
      <c r="BA7" s="2">
        <v>0</v>
      </c>
      <c r="BB7" s="6">
        <f>SUM(AX7:BA7)/Variables!$E$3</f>
        <v>0</v>
      </c>
      <c r="BC7" s="12">
        <f t="shared" si="15"/>
        <v>0</v>
      </c>
      <c r="BD7" s="110">
        <f t="shared" si="12"/>
        <v>0</v>
      </c>
      <c r="BE7" s="110">
        <f t="shared" si="12"/>
        <v>0</v>
      </c>
      <c r="BF7" s="110">
        <f t="shared" si="12"/>
        <v>0</v>
      </c>
      <c r="BG7" s="6">
        <f>SUM(BC7:BF7)/Variables!$E$3</f>
        <v>0</v>
      </c>
      <c r="BH7" s="4">
        <v>0</v>
      </c>
      <c r="BI7">
        <v>0</v>
      </c>
      <c r="BJ7">
        <v>0</v>
      </c>
      <c r="BK7">
        <v>0</v>
      </c>
      <c r="BL7" s="6">
        <f>SUM(BH7:BK7)/Variables!$E$3</f>
        <v>0</v>
      </c>
      <c r="BM7" s="110">
        <v>0</v>
      </c>
      <c r="BN7" s="110">
        <v>0</v>
      </c>
      <c r="BO7" s="110">
        <v>0</v>
      </c>
      <c r="BP7" s="110">
        <v>0</v>
      </c>
      <c r="BQ7" s="6">
        <f>SUM(BM7:BP7)/Variables!$E$3</f>
        <v>0</v>
      </c>
      <c r="BS7" s="4">
        <v>5</v>
      </c>
      <c r="BT7" s="125">
        <f t="shared" si="1"/>
        <v>0</v>
      </c>
      <c r="BU7" s="125">
        <f t="shared" si="2"/>
        <v>0</v>
      </c>
      <c r="BV7" s="125">
        <f t="shared" si="3"/>
        <v>0</v>
      </c>
      <c r="BW7" s="125">
        <f t="shared" si="4"/>
        <v>0</v>
      </c>
      <c r="BX7" s="125">
        <f t="shared" si="5"/>
        <v>0</v>
      </c>
      <c r="BY7" s="125">
        <f t="shared" si="6"/>
        <v>0</v>
      </c>
      <c r="BZ7" s="125">
        <f t="shared" si="7"/>
        <v>0</v>
      </c>
      <c r="CA7" s="125">
        <f t="shared" si="8"/>
        <v>0</v>
      </c>
      <c r="CB7" s="125">
        <f t="shared" si="9"/>
        <v>0</v>
      </c>
      <c r="CC7" s="125">
        <f t="shared" si="10"/>
        <v>0</v>
      </c>
      <c r="CD7" s="125">
        <f t="shared" si="11"/>
        <v>0</v>
      </c>
      <c r="CE7" s="125">
        <f t="shared" si="13"/>
        <v>0</v>
      </c>
      <c r="CF7" s="126">
        <f t="shared" si="14"/>
        <v>0</v>
      </c>
      <c r="CH7" s="4">
        <v>5</v>
      </c>
      <c r="CI7" s="127">
        <v>0</v>
      </c>
      <c r="CJ7" s="127">
        <v>0</v>
      </c>
      <c r="CK7" s="127">
        <v>0</v>
      </c>
      <c r="CL7" s="127">
        <v>0</v>
      </c>
      <c r="CM7" s="127">
        <v>0</v>
      </c>
      <c r="CN7" s="127">
        <v>0</v>
      </c>
      <c r="CO7" s="127">
        <v>0</v>
      </c>
      <c r="CP7" s="127">
        <v>0</v>
      </c>
      <c r="CQ7" s="127">
        <v>0</v>
      </c>
      <c r="CR7" s="127">
        <v>0</v>
      </c>
      <c r="CS7" s="127">
        <v>0</v>
      </c>
      <c r="CT7" s="127">
        <v>0</v>
      </c>
      <c r="CU7" s="127">
        <v>0</v>
      </c>
    </row>
    <row r="8" spans="1:99" x14ac:dyDescent="0.25">
      <c r="A8" t="s">
        <v>185</v>
      </c>
      <c r="B8" s="2" t="s">
        <v>1</v>
      </c>
      <c r="C8" s="1">
        <v>2070</v>
      </c>
      <c r="D8" s="19">
        <v>13.68</v>
      </c>
      <c r="E8" s="18">
        <v>0</v>
      </c>
      <c r="F8" s="19">
        <v>0</v>
      </c>
      <c r="G8" s="19">
        <v>0</v>
      </c>
      <c r="H8" s="19">
        <v>0</v>
      </c>
      <c r="I8" s="19">
        <f>SUM(E8:H8)/Variables!$E$3</f>
        <v>0</v>
      </c>
      <c r="J8" s="4">
        <v>0</v>
      </c>
      <c r="K8">
        <v>0</v>
      </c>
      <c r="L8">
        <v>0</v>
      </c>
      <c r="M8">
        <v>0</v>
      </c>
      <c r="N8" s="6">
        <f>SUM(J8:M8)/Variables!$E$3</f>
        <v>0</v>
      </c>
      <c r="O8" s="4">
        <v>0</v>
      </c>
      <c r="P8">
        <v>0</v>
      </c>
      <c r="Q8">
        <v>0</v>
      </c>
      <c r="R8">
        <v>0</v>
      </c>
      <c r="S8" s="6">
        <f>SUM(O8:R8)/Variables!$E$3</f>
        <v>0</v>
      </c>
      <c r="T8" s="12">
        <v>0</v>
      </c>
      <c r="U8" s="6">
        <v>0</v>
      </c>
      <c r="V8" s="6">
        <v>0</v>
      </c>
      <c r="W8" s="6">
        <v>0</v>
      </c>
      <c r="X8" s="6">
        <f>SUM(T8:W8)/Variables!$E$3</f>
        <v>0</v>
      </c>
      <c r="Y8" s="12">
        <v>0</v>
      </c>
      <c r="Z8" s="6">
        <v>0</v>
      </c>
      <c r="AA8" s="6">
        <v>0</v>
      </c>
      <c r="AB8" s="6">
        <v>0</v>
      </c>
      <c r="AC8" s="6">
        <f>SUM(Y8:AB8)/Variables!$E$3</f>
        <v>0</v>
      </c>
      <c r="AD8" s="4">
        <v>0</v>
      </c>
      <c r="AE8" s="2">
        <v>0</v>
      </c>
      <c r="AF8" s="2">
        <v>0</v>
      </c>
      <c r="AG8" s="2">
        <v>0</v>
      </c>
      <c r="AH8" s="6">
        <f>SUM(AD8:AG8)/Variables!$E$3</f>
        <v>0</v>
      </c>
      <c r="AI8" s="4">
        <v>0</v>
      </c>
      <c r="AJ8" s="2">
        <v>0</v>
      </c>
      <c r="AK8" s="2">
        <v>0</v>
      </c>
      <c r="AL8" s="2">
        <v>0</v>
      </c>
      <c r="AM8" s="6">
        <f>SUM(AI8:AL8)/Variables!$E$3</f>
        <v>0</v>
      </c>
      <c r="AN8" s="4">
        <v>0</v>
      </c>
      <c r="AO8" s="2">
        <v>0</v>
      </c>
      <c r="AP8" s="2">
        <v>0</v>
      </c>
      <c r="AQ8" s="2">
        <v>0</v>
      </c>
      <c r="AR8" s="6">
        <f>SUM(AN8:AQ8)/Variables!$E$3</f>
        <v>0</v>
      </c>
      <c r="AS8" s="4">
        <v>0</v>
      </c>
      <c r="AT8" s="2">
        <v>0</v>
      </c>
      <c r="AU8" s="2">
        <v>0</v>
      </c>
      <c r="AV8" s="2">
        <v>0</v>
      </c>
      <c r="AW8" s="6">
        <f>SUM(AS8:AV8)/Variables!$E$3</f>
        <v>0</v>
      </c>
      <c r="AX8" s="4">
        <v>0</v>
      </c>
      <c r="AY8" s="2">
        <v>0</v>
      </c>
      <c r="AZ8" s="2">
        <v>0</v>
      </c>
      <c r="BA8" s="2">
        <v>0</v>
      </c>
      <c r="BB8" s="6">
        <f>SUM(AX8:BA8)/Variables!$E$3</f>
        <v>0</v>
      </c>
      <c r="BC8" s="12">
        <f t="shared" si="15"/>
        <v>0</v>
      </c>
      <c r="BD8" s="110">
        <f t="shared" si="12"/>
        <v>0</v>
      </c>
      <c r="BE8" s="110">
        <f t="shared" si="12"/>
        <v>0</v>
      </c>
      <c r="BF8" s="110">
        <f t="shared" si="12"/>
        <v>0</v>
      </c>
      <c r="BG8" s="6">
        <f>SUM(BC8:BF8)/Variables!$E$3</f>
        <v>0</v>
      </c>
      <c r="BH8" s="4">
        <v>0</v>
      </c>
      <c r="BI8">
        <v>0</v>
      </c>
      <c r="BJ8">
        <v>0</v>
      </c>
      <c r="BK8">
        <v>0</v>
      </c>
      <c r="BL8" s="6">
        <f>SUM(BH8:BK8)/Variables!$E$3</f>
        <v>0</v>
      </c>
      <c r="BM8" s="110">
        <v>0</v>
      </c>
      <c r="BN8" s="110">
        <v>0</v>
      </c>
      <c r="BO8" s="110">
        <v>0</v>
      </c>
      <c r="BP8" s="110">
        <v>0</v>
      </c>
      <c r="BQ8" s="6">
        <f>SUM(BM8:BP8)/Variables!$E$3</f>
        <v>0</v>
      </c>
      <c r="BS8" s="4">
        <v>6</v>
      </c>
      <c r="BT8" s="125">
        <f t="shared" si="1"/>
        <v>0</v>
      </c>
      <c r="BU8" s="125">
        <f t="shared" si="2"/>
        <v>0</v>
      </c>
      <c r="BV8" s="125">
        <f t="shared" si="3"/>
        <v>0</v>
      </c>
      <c r="BW8" s="125">
        <f t="shared" si="4"/>
        <v>0</v>
      </c>
      <c r="BX8" s="125">
        <f t="shared" si="5"/>
        <v>0</v>
      </c>
      <c r="BY8" s="125">
        <f t="shared" si="6"/>
        <v>0</v>
      </c>
      <c r="BZ8" s="125">
        <f t="shared" si="7"/>
        <v>0</v>
      </c>
      <c r="CA8" s="125">
        <f t="shared" si="8"/>
        <v>0</v>
      </c>
      <c r="CB8" s="125">
        <f t="shared" si="9"/>
        <v>0</v>
      </c>
      <c r="CC8" s="125">
        <f t="shared" si="10"/>
        <v>0</v>
      </c>
      <c r="CD8" s="125">
        <f t="shared" si="11"/>
        <v>0</v>
      </c>
      <c r="CE8" s="125">
        <f t="shared" si="13"/>
        <v>0</v>
      </c>
      <c r="CF8" s="126">
        <f t="shared" si="14"/>
        <v>0</v>
      </c>
      <c r="CH8" s="4">
        <v>6</v>
      </c>
      <c r="CI8" s="127">
        <v>0</v>
      </c>
      <c r="CJ8" s="127">
        <v>0</v>
      </c>
      <c r="CK8" s="127">
        <v>0</v>
      </c>
      <c r="CL8" s="127">
        <v>0</v>
      </c>
      <c r="CM8" s="127">
        <v>0</v>
      </c>
      <c r="CN8" s="127">
        <v>0</v>
      </c>
      <c r="CO8" s="127">
        <v>0</v>
      </c>
      <c r="CP8" s="127">
        <v>0</v>
      </c>
      <c r="CQ8" s="127">
        <v>0</v>
      </c>
      <c r="CR8" s="127">
        <v>0</v>
      </c>
      <c r="CS8" s="127">
        <v>0</v>
      </c>
      <c r="CT8" s="127">
        <v>0</v>
      </c>
      <c r="CU8" s="127">
        <v>0</v>
      </c>
    </row>
    <row r="9" spans="1:99" x14ac:dyDescent="0.25">
      <c r="A9" t="s">
        <v>185</v>
      </c>
      <c r="B9" s="2" t="s">
        <v>2</v>
      </c>
      <c r="C9" s="1">
        <v>2161</v>
      </c>
      <c r="D9" s="19">
        <v>54.1</v>
      </c>
      <c r="E9" s="18">
        <v>0</v>
      </c>
      <c r="F9" s="19">
        <v>0</v>
      </c>
      <c r="G9" s="19">
        <v>0</v>
      </c>
      <c r="H9" s="19">
        <v>0</v>
      </c>
      <c r="I9" s="19">
        <f>SUM(E9:H9)/Variables!$E$3</f>
        <v>0</v>
      </c>
      <c r="J9" s="4">
        <v>0</v>
      </c>
      <c r="K9">
        <v>0</v>
      </c>
      <c r="L9">
        <v>0</v>
      </c>
      <c r="M9">
        <v>0</v>
      </c>
      <c r="N9" s="6">
        <f>SUM(J9:M9)/Variables!$E$3</f>
        <v>0</v>
      </c>
      <c r="O9" s="4">
        <v>0</v>
      </c>
      <c r="P9">
        <v>0</v>
      </c>
      <c r="Q9">
        <v>0</v>
      </c>
      <c r="R9">
        <v>0</v>
      </c>
      <c r="S9" s="6">
        <f>SUM(O9:R9)/Variables!$E$3</f>
        <v>0</v>
      </c>
      <c r="T9" s="12">
        <v>0</v>
      </c>
      <c r="U9" s="6">
        <v>0</v>
      </c>
      <c r="V9" s="6">
        <v>0</v>
      </c>
      <c r="W9" s="6">
        <v>0</v>
      </c>
      <c r="X9" s="6">
        <f>SUM(T9:W9)/Variables!$E$3</f>
        <v>0</v>
      </c>
      <c r="Y9" s="12">
        <v>0</v>
      </c>
      <c r="Z9" s="6">
        <v>0</v>
      </c>
      <c r="AA9" s="6">
        <v>0</v>
      </c>
      <c r="AB9" s="6">
        <v>0</v>
      </c>
      <c r="AC9" s="6">
        <f>SUM(Y9:AB9)/Variables!$E$3</f>
        <v>0</v>
      </c>
      <c r="AD9" s="4">
        <v>0</v>
      </c>
      <c r="AE9" s="2">
        <v>0</v>
      </c>
      <c r="AF9" s="2">
        <v>0</v>
      </c>
      <c r="AG9" s="2">
        <v>0</v>
      </c>
      <c r="AH9" s="6">
        <f>SUM(AD9:AG9)/Variables!$E$3</f>
        <v>0</v>
      </c>
      <c r="AI9" s="4">
        <v>0</v>
      </c>
      <c r="AJ9" s="2">
        <v>0</v>
      </c>
      <c r="AK9" s="2">
        <v>0</v>
      </c>
      <c r="AL9" s="2">
        <v>0</v>
      </c>
      <c r="AM9" s="6">
        <f>SUM(AI9:AL9)/Variables!$E$3</f>
        <v>0</v>
      </c>
      <c r="AN9" s="4">
        <v>0</v>
      </c>
      <c r="AO9" s="2">
        <v>0</v>
      </c>
      <c r="AP9" s="2">
        <v>0</v>
      </c>
      <c r="AQ9" s="2">
        <v>0</v>
      </c>
      <c r="AR9" s="6">
        <f>SUM(AN9:AQ9)/Variables!$E$3</f>
        <v>0</v>
      </c>
      <c r="AS9" s="4">
        <v>0</v>
      </c>
      <c r="AT9" s="2">
        <v>0</v>
      </c>
      <c r="AU9" s="2">
        <v>0</v>
      </c>
      <c r="AV9" s="2">
        <v>0</v>
      </c>
      <c r="AW9" s="6">
        <f>SUM(AS9:AV9)/Variables!$E$3</f>
        <v>0</v>
      </c>
      <c r="AX9" s="4">
        <v>0</v>
      </c>
      <c r="AY9" s="2">
        <v>0</v>
      </c>
      <c r="AZ9" s="2">
        <v>0</v>
      </c>
      <c r="BA9" s="2">
        <v>0</v>
      </c>
      <c r="BB9" s="6">
        <f>SUM(AX9:BA9)/Variables!$E$3</f>
        <v>0</v>
      </c>
      <c r="BC9" s="12">
        <f t="shared" si="15"/>
        <v>0</v>
      </c>
      <c r="BD9" s="110">
        <f t="shared" si="12"/>
        <v>0</v>
      </c>
      <c r="BE9" s="110">
        <f t="shared" si="12"/>
        <v>0</v>
      </c>
      <c r="BF9" s="110">
        <f t="shared" si="12"/>
        <v>0</v>
      </c>
      <c r="BG9" s="6">
        <f>SUM(BC9:BF9)/Variables!$E$3</f>
        <v>0</v>
      </c>
      <c r="BH9" s="4">
        <v>0</v>
      </c>
      <c r="BI9">
        <v>0</v>
      </c>
      <c r="BJ9">
        <v>0</v>
      </c>
      <c r="BK9">
        <v>0</v>
      </c>
      <c r="BL9" s="6">
        <f>SUM(BH9:BK9)/Variables!$E$3</f>
        <v>0</v>
      </c>
      <c r="BM9" s="110">
        <v>0</v>
      </c>
      <c r="BN9" s="110">
        <v>0</v>
      </c>
      <c r="BO9" s="110">
        <v>0</v>
      </c>
      <c r="BP9" s="110">
        <v>0</v>
      </c>
      <c r="BQ9" s="6">
        <f>SUM(BM9:BP9)/Variables!$E$3</f>
        <v>0</v>
      </c>
      <c r="BS9" s="4">
        <v>7</v>
      </c>
      <c r="BT9" s="125">
        <f t="shared" si="1"/>
        <v>0</v>
      </c>
      <c r="BU9" s="125">
        <f t="shared" si="2"/>
        <v>0.37990720433257585</v>
      </c>
      <c r="BV9" s="125">
        <f t="shared" si="3"/>
        <v>0.15879302290596126</v>
      </c>
      <c r="BW9" s="125">
        <f t="shared" si="4"/>
        <v>0.23679490732309835</v>
      </c>
      <c r="BX9" s="125">
        <f t="shared" si="5"/>
        <v>0.23596370517581294</v>
      </c>
      <c r="BY9" s="125">
        <f t="shared" si="6"/>
        <v>0.22054180951551475</v>
      </c>
      <c r="BZ9" s="125">
        <f t="shared" si="7"/>
        <v>0.20634708113286723</v>
      </c>
      <c r="CA9" s="125">
        <f t="shared" si="8"/>
        <v>0.21883506599418839</v>
      </c>
      <c r="CB9" s="125">
        <f t="shared" si="9"/>
        <v>0.26056564184989589</v>
      </c>
      <c r="CC9" s="125">
        <f t="shared" si="10"/>
        <v>0.22462331451555437</v>
      </c>
      <c r="CD9" s="125">
        <f t="shared" si="11"/>
        <v>0.23596370517581294</v>
      </c>
      <c r="CE9" s="125">
        <f t="shared" si="13"/>
        <v>0.23163603829008939</v>
      </c>
      <c r="CF9" s="126">
        <f t="shared" si="14"/>
        <v>0.22811407849626678</v>
      </c>
      <c r="CH9" s="4">
        <v>7</v>
      </c>
      <c r="CI9" s="127">
        <v>0</v>
      </c>
      <c r="CJ9" s="127">
        <v>0</v>
      </c>
      <c r="CK9" s="127">
        <v>0</v>
      </c>
      <c r="CL9" s="127">
        <v>0</v>
      </c>
      <c r="CM9" s="127">
        <v>0</v>
      </c>
      <c r="CN9" s="127">
        <v>0</v>
      </c>
      <c r="CO9" s="127">
        <v>0</v>
      </c>
      <c r="CP9" s="127">
        <v>0</v>
      </c>
      <c r="CQ9" s="127">
        <v>0</v>
      </c>
      <c r="CR9" s="127">
        <v>0</v>
      </c>
      <c r="CS9" s="127">
        <v>0</v>
      </c>
      <c r="CT9" s="127">
        <v>0</v>
      </c>
      <c r="CU9" s="127">
        <v>0</v>
      </c>
    </row>
    <row r="10" spans="1:99" x14ac:dyDescent="0.25">
      <c r="A10" t="s">
        <v>186</v>
      </c>
      <c r="B10" s="2" t="s">
        <v>3</v>
      </c>
      <c r="C10" s="1">
        <v>2251</v>
      </c>
      <c r="D10" s="19">
        <v>136.84</v>
      </c>
      <c r="E10" s="18">
        <v>0</v>
      </c>
      <c r="F10" s="19">
        <v>0</v>
      </c>
      <c r="G10" s="19">
        <v>0</v>
      </c>
      <c r="H10" s="19">
        <v>0</v>
      </c>
      <c r="I10" s="19">
        <f>SUM(E10:H10)/Variables!$E$3</f>
        <v>0</v>
      </c>
      <c r="J10" s="4">
        <v>41995</v>
      </c>
      <c r="K10">
        <v>39764</v>
      </c>
      <c r="L10">
        <v>291421</v>
      </c>
      <c r="M10">
        <v>106639</v>
      </c>
      <c r="N10" s="6">
        <f>SUM(J10:M10)/Variables!$E$3</f>
        <v>0.37990720433257585</v>
      </c>
      <c r="O10" s="4">
        <v>10476</v>
      </c>
      <c r="P10">
        <v>13027</v>
      </c>
      <c r="Q10">
        <v>115154</v>
      </c>
      <c r="R10">
        <v>61897</v>
      </c>
      <c r="S10" s="6">
        <f>SUM(O10:R10)/Variables!$E$3</f>
        <v>0.15879302290596126</v>
      </c>
      <c r="T10" s="12">
        <v>16018.5</v>
      </c>
      <c r="U10" s="6">
        <v>17952.599999999999</v>
      </c>
      <c r="V10" s="6">
        <v>189279.3</v>
      </c>
      <c r="W10" s="6">
        <v>75819.199999999997</v>
      </c>
      <c r="X10" s="6">
        <f>SUM(T10:W10)/Variables!$E$3</f>
        <v>0.23679490732309835</v>
      </c>
      <c r="Y10" s="12">
        <v>16072.6</v>
      </c>
      <c r="Z10" s="6">
        <v>17995.8</v>
      </c>
      <c r="AA10" s="6">
        <v>187953.8</v>
      </c>
      <c r="AB10" s="6">
        <v>75997.600000000006</v>
      </c>
      <c r="AC10" s="6">
        <f>SUM(Y10:AB10)/Variables!$E$3</f>
        <v>0.23596370517581294</v>
      </c>
      <c r="AD10" s="4">
        <v>15924.8</v>
      </c>
      <c r="AE10" s="2">
        <v>17909.900000000001</v>
      </c>
      <c r="AF10" s="2">
        <v>175531.1</v>
      </c>
      <c r="AG10" s="2">
        <v>69176.3</v>
      </c>
      <c r="AH10" s="6">
        <f>SUM(AD10:AG10)/Variables!$E$3</f>
        <v>0.22054180951551475</v>
      </c>
      <c r="AI10" s="4">
        <v>16526</v>
      </c>
      <c r="AJ10" s="2">
        <v>18173.400000000001</v>
      </c>
      <c r="AK10" s="2">
        <v>161633</v>
      </c>
      <c r="AL10" s="2">
        <v>64281.9</v>
      </c>
      <c r="AM10" s="6">
        <f>SUM(AI10:AL10)/Variables!$E$3</f>
        <v>0.20634708113286723</v>
      </c>
      <c r="AN10" s="4">
        <v>16929.400000000001</v>
      </c>
      <c r="AO10" s="2">
        <v>18485.400000000001</v>
      </c>
      <c r="AP10" s="2">
        <v>164602.6</v>
      </c>
      <c r="AQ10" s="2">
        <v>76369.100000000006</v>
      </c>
      <c r="AR10" s="6">
        <f>SUM(AN10:AQ10)/Variables!$E$3</f>
        <v>0.21883506599418839</v>
      </c>
      <c r="AS10" s="4">
        <v>21392.3</v>
      </c>
      <c r="AT10" s="2">
        <v>21964.1</v>
      </c>
      <c r="AU10" s="2">
        <v>194959.3</v>
      </c>
      <c r="AV10" s="2">
        <v>90776.1</v>
      </c>
      <c r="AW10" s="6">
        <f>SUM(AS10:AV10)/Variables!$E$3</f>
        <v>0.26056564184989589</v>
      </c>
      <c r="AX10" s="4">
        <v>17169.8</v>
      </c>
      <c r="AY10" s="2">
        <v>18677</v>
      </c>
      <c r="AZ10" s="2">
        <v>169844</v>
      </c>
      <c r="BA10" s="2">
        <v>78006.2</v>
      </c>
      <c r="BB10" s="6">
        <f>SUM(AX10:BA10)/Variables!$E$3</f>
        <v>0.22462331451555437</v>
      </c>
      <c r="BC10" s="12">
        <f t="shared" si="15"/>
        <v>16072.6</v>
      </c>
      <c r="BD10" s="110">
        <f t="shared" si="12"/>
        <v>17995.8</v>
      </c>
      <c r="BE10" s="110">
        <f t="shared" si="12"/>
        <v>187953.8</v>
      </c>
      <c r="BF10" s="110">
        <f t="shared" si="12"/>
        <v>75997.600000000006</v>
      </c>
      <c r="BG10" s="6">
        <f>SUM(BC10:BF10)/Variables!$E$3</f>
        <v>0.23596370517581294</v>
      </c>
      <c r="BH10" s="4">
        <v>18331.900000000001</v>
      </c>
      <c r="BI10">
        <v>19535.599999999999</v>
      </c>
      <c r="BJ10">
        <v>172454.6</v>
      </c>
      <c r="BK10">
        <v>82231.899999999994</v>
      </c>
      <c r="BL10" s="6">
        <f>SUM(BH10:BK10)/Variables!$E$3</f>
        <v>0.23163603829008939</v>
      </c>
      <c r="BM10" s="110">
        <v>17574.5</v>
      </c>
      <c r="BN10" s="110">
        <v>18982</v>
      </c>
      <c r="BO10" s="110">
        <v>173981.3</v>
      </c>
      <c r="BP10" s="110">
        <v>77568</v>
      </c>
      <c r="BQ10" s="6">
        <f>SUM(BM10:BP10)/Variables!$E$3</f>
        <v>0.22811407849626678</v>
      </c>
      <c r="BS10" s="4">
        <v>8</v>
      </c>
      <c r="BT10" s="125">
        <f t="shared" si="1"/>
        <v>0</v>
      </c>
      <c r="BU10" s="125">
        <f t="shared" si="2"/>
        <v>0.11191537541864939</v>
      </c>
      <c r="BV10" s="125">
        <f t="shared" si="3"/>
        <v>9.8860640226763469E-3</v>
      </c>
      <c r="BW10" s="125">
        <f t="shared" si="4"/>
        <v>4.2251720124466541E-2</v>
      </c>
      <c r="BX10" s="125">
        <f t="shared" si="5"/>
        <v>4.1446883981662561E-2</v>
      </c>
      <c r="BY10" s="125">
        <f t="shared" si="6"/>
        <v>3.0568017165614927E-2</v>
      </c>
      <c r="BZ10" s="125">
        <f t="shared" si="7"/>
        <v>2.5311601833743737E-2</v>
      </c>
      <c r="CA10" s="125">
        <f t="shared" si="8"/>
        <v>2.855850006730061E-2</v>
      </c>
      <c r="CB10" s="125">
        <f t="shared" si="9"/>
        <v>4.5247309954948176E-2</v>
      </c>
      <c r="CC10" s="125">
        <f t="shared" si="10"/>
        <v>3.2725120547272744E-2</v>
      </c>
      <c r="CD10" s="125">
        <f t="shared" si="11"/>
        <v>4.1446883981662561E-2</v>
      </c>
      <c r="CE10" s="125">
        <f t="shared" si="13"/>
        <v>2.9937370842207777E-2</v>
      </c>
      <c r="CF10" s="126">
        <f t="shared" si="14"/>
        <v>3.4550550677360868E-2</v>
      </c>
      <c r="CH10" s="4">
        <v>8</v>
      </c>
      <c r="CI10" s="127">
        <v>0</v>
      </c>
      <c r="CJ10" s="127">
        <v>0</v>
      </c>
      <c r="CK10" s="127">
        <v>0</v>
      </c>
      <c r="CL10" s="127">
        <v>0</v>
      </c>
      <c r="CM10" s="127">
        <v>0</v>
      </c>
      <c r="CN10" s="127">
        <v>0</v>
      </c>
      <c r="CO10" s="127">
        <v>0</v>
      </c>
      <c r="CP10" s="127">
        <v>0</v>
      </c>
      <c r="CQ10" s="127">
        <v>0</v>
      </c>
      <c r="CR10" s="127">
        <v>0</v>
      </c>
      <c r="CS10" s="127">
        <v>0</v>
      </c>
      <c r="CT10" s="127">
        <v>0</v>
      </c>
      <c r="CU10" s="127">
        <v>0</v>
      </c>
    </row>
    <row r="11" spans="1:99" x14ac:dyDescent="0.25">
      <c r="A11" t="s">
        <v>186</v>
      </c>
      <c r="B11" s="2" t="s">
        <v>4</v>
      </c>
      <c r="C11" s="1">
        <v>2343</v>
      </c>
      <c r="D11" s="19">
        <v>64.319999999999993</v>
      </c>
      <c r="E11" s="18">
        <v>0</v>
      </c>
      <c r="F11" s="19">
        <v>0</v>
      </c>
      <c r="G11" s="19">
        <v>0</v>
      </c>
      <c r="H11" s="19">
        <v>0</v>
      </c>
      <c r="I11" s="19">
        <f>SUM(E11:H11)/Variables!$E$3</f>
        <v>0</v>
      </c>
      <c r="J11" s="4">
        <v>1415</v>
      </c>
      <c r="K11">
        <v>7215</v>
      </c>
      <c r="L11">
        <v>116044</v>
      </c>
      <c r="M11">
        <v>16674</v>
      </c>
      <c r="N11" s="6">
        <f>SUM(J11:M11)/Variables!$E$3</f>
        <v>0.11191537541864939</v>
      </c>
      <c r="O11" s="4">
        <v>0</v>
      </c>
      <c r="P11">
        <v>0</v>
      </c>
      <c r="Q11">
        <v>9540</v>
      </c>
      <c r="R11">
        <v>2946</v>
      </c>
      <c r="S11" s="6">
        <f>SUM(O11:R11)/Variables!$E$3</f>
        <v>9.8860640226763469E-3</v>
      </c>
      <c r="T11" s="12">
        <v>0</v>
      </c>
      <c r="U11" s="6">
        <v>0</v>
      </c>
      <c r="V11" s="6">
        <v>46030.7</v>
      </c>
      <c r="W11" s="6">
        <v>7332.8</v>
      </c>
      <c r="X11" s="6">
        <f>SUM(T11:W11)/Variables!$E$3</f>
        <v>4.2251720124466541E-2</v>
      </c>
      <c r="Y11" s="12">
        <v>0</v>
      </c>
      <c r="Z11" s="6">
        <v>0</v>
      </c>
      <c r="AA11" s="6">
        <v>44927.9</v>
      </c>
      <c r="AB11" s="6">
        <v>7419.1</v>
      </c>
      <c r="AC11" s="6">
        <f>SUM(Y11:AB11)/Variables!$E$3</f>
        <v>4.1446883981662561E-2</v>
      </c>
      <c r="AD11" s="4">
        <v>0</v>
      </c>
      <c r="AE11" s="2">
        <v>0</v>
      </c>
      <c r="AF11" s="2">
        <v>31838.6</v>
      </c>
      <c r="AG11" s="2">
        <v>6768.5</v>
      </c>
      <c r="AH11" s="6">
        <f>SUM(AD11:AG11)/Variables!$E$3</f>
        <v>3.0568017165614927E-2</v>
      </c>
      <c r="AI11" s="4">
        <v>0</v>
      </c>
      <c r="AJ11" s="2">
        <v>0</v>
      </c>
      <c r="AK11" s="2">
        <v>27838.400000000001</v>
      </c>
      <c r="AL11" s="2">
        <v>4129.8999999999996</v>
      </c>
      <c r="AM11" s="6">
        <f>SUM(AI11:AL11)/Variables!$E$3</f>
        <v>2.5311601833743737E-2</v>
      </c>
      <c r="AN11" s="4">
        <v>0</v>
      </c>
      <c r="AO11" s="2">
        <v>0</v>
      </c>
      <c r="AP11" s="2">
        <v>29002</v>
      </c>
      <c r="AQ11" s="2">
        <v>7067.1</v>
      </c>
      <c r="AR11" s="6">
        <f>SUM(AN11:AQ11)/Variables!$E$3</f>
        <v>2.855850006730061E-2</v>
      </c>
      <c r="AS11" s="4">
        <v>0</v>
      </c>
      <c r="AT11" s="2">
        <v>0</v>
      </c>
      <c r="AU11" s="2">
        <v>46395.199999999997</v>
      </c>
      <c r="AV11" s="2">
        <v>10751.7</v>
      </c>
      <c r="AW11" s="6">
        <f>SUM(AS11:AV11)/Variables!$E$3</f>
        <v>4.5247309954948176E-2</v>
      </c>
      <c r="AX11" s="4">
        <v>0</v>
      </c>
      <c r="AY11" s="2">
        <v>0</v>
      </c>
      <c r="AZ11" s="2">
        <v>33486.9</v>
      </c>
      <c r="BA11" s="2">
        <v>7844.6</v>
      </c>
      <c r="BB11" s="6">
        <f>SUM(AX11:BA11)/Variables!$E$3</f>
        <v>3.2725120547272744E-2</v>
      </c>
      <c r="BC11" s="12">
        <f t="shared" si="15"/>
        <v>0</v>
      </c>
      <c r="BD11" s="110">
        <f t="shared" si="12"/>
        <v>0</v>
      </c>
      <c r="BE11" s="110">
        <f t="shared" si="12"/>
        <v>44927.9</v>
      </c>
      <c r="BF11" s="110">
        <f t="shared" si="12"/>
        <v>7419.1</v>
      </c>
      <c r="BG11" s="6">
        <f>SUM(BC11:BF11)/Variables!$E$3</f>
        <v>4.1446883981662561E-2</v>
      </c>
      <c r="BH11" s="4">
        <v>0</v>
      </c>
      <c r="BI11">
        <v>0</v>
      </c>
      <c r="BJ11">
        <v>31418.9</v>
      </c>
      <c r="BK11">
        <v>6391.7</v>
      </c>
      <c r="BL11" s="6">
        <f>SUM(BH11:BK11)/Variables!$E$3</f>
        <v>2.9937370842207777E-2</v>
      </c>
      <c r="BM11" s="110">
        <v>0</v>
      </c>
      <c r="BN11" s="110">
        <v>0</v>
      </c>
      <c r="BO11" s="110">
        <v>35761.1</v>
      </c>
      <c r="BP11" s="110">
        <v>7875.9</v>
      </c>
      <c r="BQ11" s="6">
        <f>SUM(BM11:BP11)/Variables!$E$3</f>
        <v>3.4550550677360868E-2</v>
      </c>
      <c r="BS11" s="4">
        <v>9</v>
      </c>
      <c r="BT11" s="125">
        <f t="shared" si="1"/>
        <v>0</v>
      </c>
      <c r="BU11" s="125">
        <f t="shared" si="2"/>
        <v>0</v>
      </c>
      <c r="BV11" s="125">
        <f t="shared" si="3"/>
        <v>0</v>
      </c>
      <c r="BW11" s="125">
        <f t="shared" si="4"/>
        <v>0</v>
      </c>
      <c r="BX11" s="125">
        <f t="shared" si="5"/>
        <v>0</v>
      </c>
      <c r="BY11" s="125">
        <f t="shared" si="6"/>
        <v>0</v>
      </c>
      <c r="BZ11" s="125">
        <f t="shared" si="7"/>
        <v>0</v>
      </c>
      <c r="CA11" s="125">
        <f t="shared" si="8"/>
        <v>0</v>
      </c>
      <c r="CB11" s="125">
        <f t="shared" si="9"/>
        <v>0</v>
      </c>
      <c r="CC11" s="125">
        <f t="shared" si="10"/>
        <v>0</v>
      </c>
      <c r="CD11" s="125">
        <f t="shared" si="11"/>
        <v>0</v>
      </c>
      <c r="CE11" s="125">
        <f t="shared" si="13"/>
        <v>0</v>
      </c>
      <c r="CF11" s="126">
        <f t="shared" si="14"/>
        <v>0</v>
      </c>
      <c r="CH11" s="4">
        <v>9</v>
      </c>
      <c r="CI11" s="127">
        <v>0</v>
      </c>
      <c r="CJ11" s="127">
        <v>0</v>
      </c>
      <c r="CK11" s="127">
        <v>0</v>
      </c>
      <c r="CL11" s="127">
        <v>0</v>
      </c>
      <c r="CM11" s="127">
        <v>0</v>
      </c>
      <c r="CN11" s="127">
        <v>0</v>
      </c>
      <c r="CO11" s="127">
        <v>0</v>
      </c>
      <c r="CP11" s="127">
        <v>0</v>
      </c>
      <c r="CQ11" s="127">
        <v>0</v>
      </c>
      <c r="CR11" s="127">
        <v>0</v>
      </c>
      <c r="CS11" s="127">
        <v>0</v>
      </c>
      <c r="CT11" s="127">
        <v>0</v>
      </c>
      <c r="CU11" s="127">
        <v>0</v>
      </c>
    </row>
    <row r="12" spans="1:99" x14ac:dyDescent="0.25">
      <c r="A12" t="s">
        <v>186</v>
      </c>
      <c r="B12" s="2" t="s">
        <v>1</v>
      </c>
      <c r="C12" s="1">
        <v>2435</v>
      </c>
      <c r="D12" s="19">
        <v>61.06</v>
      </c>
      <c r="E12" s="18">
        <v>0</v>
      </c>
      <c r="F12" s="19">
        <v>0</v>
      </c>
      <c r="G12" s="19">
        <v>0</v>
      </c>
      <c r="H12" s="19">
        <v>0</v>
      </c>
      <c r="I12" s="19">
        <f>SUM(E12:H12)/Variables!$E$3</f>
        <v>0</v>
      </c>
      <c r="J12" s="4">
        <v>0</v>
      </c>
      <c r="K12">
        <v>0</v>
      </c>
      <c r="L12">
        <v>0</v>
      </c>
      <c r="M12">
        <v>0</v>
      </c>
      <c r="N12" s="6">
        <f>SUM(J12:M12)/Variables!$E$3</f>
        <v>0</v>
      </c>
      <c r="O12" s="4">
        <v>0</v>
      </c>
      <c r="P12">
        <v>0</v>
      </c>
      <c r="Q12">
        <v>0</v>
      </c>
      <c r="R12">
        <v>0</v>
      </c>
      <c r="S12" s="6">
        <f>SUM(O12:R12)/Variables!$E$3</f>
        <v>0</v>
      </c>
      <c r="T12" s="12">
        <v>0</v>
      </c>
      <c r="U12" s="6">
        <v>0</v>
      </c>
      <c r="V12" s="6">
        <v>0</v>
      </c>
      <c r="W12" s="6">
        <v>0</v>
      </c>
      <c r="X12" s="6">
        <f>SUM(T12:W12)/Variables!$E$3</f>
        <v>0</v>
      </c>
      <c r="Y12" s="12">
        <v>0</v>
      </c>
      <c r="Z12" s="6">
        <v>0</v>
      </c>
      <c r="AA12" s="6">
        <v>0</v>
      </c>
      <c r="AB12" s="6">
        <v>0</v>
      </c>
      <c r="AC12" s="6">
        <f>SUM(Y12:AB12)/Variables!$E$3</f>
        <v>0</v>
      </c>
      <c r="AD12" s="4">
        <v>0</v>
      </c>
      <c r="AE12" s="2">
        <v>0</v>
      </c>
      <c r="AF12" s="2">
        <v>0</v>
      </c>
      <c r="AG12" s="2">
        <v>0</v>
      </c>
      <c r="AH12" s="6">
        <f>SUM(AD12:AG12)/Variables!$E$3</f>
        <v>0</v>
      </c>
      <c r="AI12" s="4">
        <v>0</v>
      </c>
      <c r="AJ12" s="2">
        <v>0</v>
      </c>
      <c r="AK12" s="2">
        <v>0</v>
      </c>
      <c r="AL12" s="2">
        <v>0</v>
      </c>
      <c r="AM12" s="6">
        <f>SUM(AI12:AL12)/Variables!$E$3</f>
        <v>0</v>
      </c>
      <c r="AN12" s="4">
        <v>0</v>
      </c>
      <c r="AO12" s="2">
        <v>0</v>
      </c>
      <c r="AP12" s="2">
        <v>0</v>
      </c>
      <c r="AQ12" s="2">
        <v>0</v>
      </c>
      <c r="AR12" s="6">
        <f>SUM(AN12:AQ12)/Variables!$E$3</f>
        <v>0</v>
      </c>
      <c r="AS12" s="4">
        <v>0</v>
      </c>
      <c r="AT12" s="2">
        <v>0</v>
      </c>
      <c r="AU12" s="2">
        <v>0</v>
      </c>
      <c r="AV12" s="2">
        <v>0</v>
      </c>
      <c r="AW12" s="6">
        <f>SUM(AS12:AV12)/Variables!$E$3</f>
        <v>0</v>
      </c>
      <c r="AX12" s="4">
        <v>0</v>
      </c>
      <c r="AY12" s="2">
        <v>0</v>
      </c>
      <c r="AZ12" s="2">
        <v>0</v>
      </c>
      <c r="BA12" s="2">
        <v>0</v>
      </c>
      <c r="BB12" s="6">
        <f>SUM(AX12:BA12)/Variables!$E$3</f>
        <v>0</v>
      </c>
      <c r="BC12" s="12">
        <f t="shared" si="15"/>
        <v>0</v>
      </c>
      <c r="BD12" s="110">
        <f t="shared" si="12"/>
        <v>0</v>
      </c>
      <c r="BE12" s="110">
        <f t="shared" si="12"/>
        <v>0</v>
      </c>
      <c r="BF12" s="110">
        <f t="shared" si="12"/>
        <v>0</v>
      </c>
      <c r="BG12" s="6">
        <f>SUM(BC12:BF12)/Variables!$E$3</f>
        <v>0</v>
      </c>
      <c r="BH12" s="4">
        <v>0</v>
      </c>
      <c r="BI12">
        <v>0</v>
      </c>
      <c r="BJ12">
        <v>0</v>
      </c>
      <c r="BK12">
        <v>0</v>
      </c>
      <c r="BL12" s="6">
        <f>SUM(BH12:BK12)/Variables!$E$3</f>
        <v>0</v>
      </c>
      <c r="BM12" s="110">
        <v>0</v>
      </c>
      <c r="BN12" s="110">
        <v>0</v>
      </c>
      <c r="BO12" s="110">
        <v>0</v>
      </c>
      <c r="BP12" s="110">
        <v>0</v>
      </c>
      <c r="BQ12" s="6">
        <f>SUM(BM12:BP12)/Variables!$E$3</f>
        <v>0</v>
      </c>
      <c r="BS12" s="4">
        <v>10</v>
      </c>
      <c r="BT12" s="125">
        <f t="shared" si="1"/>
        <v>0</v>
      </c>
      <c r="BU12" s="125">
        <f t="shared" si="2"/>
        <v>1.2973182685531952E-2</v>
      </c>
      <c r="BV12" s="125">
        <f t="shared" si="3"/>
        <v>0</v>
      </c>
      <c r="BW12" s="125">
        <f t="shared" si="4"/>
        <v>0</v>
      </c>
      <c r="BX12" s="125">
        <f t="shared" si="5"/>
        <v>0</v>
      </c>
      <c r="BY12" s="125">
        <f t="shared" si="6"/>
        <v>0</v>
      </c>
      <c r="BZ12" s="125">
        <f t="shared" si="7"/>
        <v>0</v>
      </c>
      <c r="CA12" s="125">
        <f t="shared" si="8"/>
        <v>0</v>
      </c>
      <c r="CB12" s="125">
        <f t="shared" si="9"/>
        <v>0</v>
      </c>
      <c r="CC12" s="125">
        <f t="shared" si="10"/>
        <v>0</v>
      </c>
      <c r="CD12" s="125">
        <f t="shared" si="11"/>
        <v>0</v>
      </c>
      <c r="CE12" s="125">
        <f t="shared" si="13"/>
        <v>0</v>
      </c>
      <c r="CF12" s="126">
        <f t="shared" si="14"/>
        <v>0</v>
      </c>
      <c r="CH12" s="4">
        <v>10</v>
      </c>
      <c r="CI12" s="127">
        <v>0</v>
      </c>
      <c r="CJ12" s="127">
        <v>0</v>
      </c>
      <c r="CK12" s="127">
        <v>0</v>
      </c>
      <c r="CL12" s="127">
        <v>0</v>
      </c>
      <c r="CM12" s="127">
        <v>0</v>
      </c>
      <c r="CN12" s="127">
        <v>0</v>
      </c>
      <c r="CO12" s="127">
        <v>0</v>
      </c>
      <c r="CP12" s="127">
        <v>0</v>
      </c>
      <c r="CQ12" s="127">
        <v>0</v>
      </c>
      <c r="CR12" s="127">
        <v>0</v>
      </c>
      <c r="CS12" s="127">
        <v>0</v>
      </c>
      <c r="CT12" s="127">
        <v>0</v>
      </c>
      <c r="CU12" s="127">
        <v>0</v>
      </c>
    </row>
    <row r="13" spans="1:99" x14ac:dyDescent="0.25">
      <c r="A13" t="s">
        <v>186</v>
      </c>
      <c r="B13" s="2" t="s">
        <v>2</v>
      </c>
      <c r="C13" s="1">
        <v>2526</v>
      </c>
      <c r="D13" s="19">
        <v>146.02000000000001</v>
      </c>
      <c r="E13" s="18">
        <v>0</v>
      </c>
      <c r="F13" s="19">
        <v>0</v>
      </c>
      <c r="G13" s="19">
        <v>0</v>
      </c>
      <c r="H13" s="19">
        <v>0</v>
      </c>
      <c r="I13" s="19">
        <f>SUM(E13:H13)/Variables!$E$3</f>
        <v>0</v>
      </c>
      <c r="J13" s="4">
        <v>0</v>
      </c>
      <c r="K13">
        <v>0</v>
      </c>
      <c r="L13">
        <v>16385</v>
      </c>
      <c r="M13">
        <v>0</v>
      </c>
      <c r="N13" s="6">
        <f>SUM(J13:M13)/Variables!$E$3</f>
        <v>1.2973182685531952E-2</v>
      </c>
      <c r="O13" s="4">
        <v>0</v>
      </c>
      <c r="P13">
        <v>0</v>
      </c>
      <c r="Q13">
        <v>0</v>
      </c>
      <c r="R13">
        <v>0</v>
      </c>
      <c r="S13" s="6">
        <f>SUM(O13:R13)/Variables!$E$3</f>
        <v>0</v>
      </c>
      <c r="T13" s="12">
        <v>0</v>
      </c>
      <c r="U13" s="6">
        <v>0</v>
      </c>
      <c r="V13" s="6">
        <v>0</v>
      </c>
      <c r="W13" s="6">
        <v>0</v>
      </c>
      <c r="X13" s="6">
        <f>SUM(T13:W13)/Variables!$E$3</f>
        <v>0</v>
      </c>
      <c r="Y13" s="12">
        <v>0</v>
      </c>
      <c r="Z13" s="6">
        <v>0</v>
      </c>
      <c r="AA13" s="6">
        <v>0</v>
      </c>
      <c r="AB13" s="6">
        <v>0</v>
      </c>
      <c r="AC13" s="6">
        <f>SUM(Y13:AB13)/Variables!$E$3</f>
        <v>0</v>
      </c>
      <c r="AD13" s="4">
        <v>0</v>
      </c>
      <c r="AE13" s="2">
        <v>0</v>
      </c>
      <c r="AF13" s="2">
        <v>0</v>
      </c>
      <c r="AG13" s="2">
        <v>0</v>
      </c>
      <c r="AH13" s="6">
        <f>SUM(AD13:AG13)/Variables!$E$3</f>
        <v>0</v>
      </c>
      <c r="AI13" s="4">
        <v>0</v>
      </c>
      <c r="AJ13" s="2">
        <v>0</v>
      </c>
      <c r="AK13" s="2">
        <v>0</v>
      </c>
      <c r="AL13" s="2">
        <v>0</v>
      </c>
      <c r="AM13" s="6">
        <f>SUM(AI13:AL13)/Variables!$E$3</f>
        <v>0</v>
      </c>
      <c r="AN13" s="4">
        <v>0</v>
      </c>
      <c r="AO13" s="2">
        <v>0</v>
      </c>
      <c r="AP13" s="2">
        <v>0</v>
      </c>
      <c r="AQ13" s="2">
        <v>0</v>
      </c>
      <c r="AR13" s="6">
        <f>SUM(AN13:AQ13)/Variables!$E$3</f>
        <v>0</v>
      </c>
      <c r="AS13" s="4">
        <v>0</v>
      </c>
      <c r="AT13" s="2">
        <v>0</v>
      </c>
      <c r="AU13" s="2">
        <v>0</v>
      </c>
      <c r="AV13" s="2">
        <v>0</v>
      </c>
      <c r="AW13" s="6">
        <f>SUM(AS13:AV13)/Variables!$E$3</f>
        <v>0</v>
      </c>
      <c r="AX13" s="4">
        <v>0</v>
      </c>
      <c r="AY13" s="2">
        <v>0</v>
      </c>
      <c r="AZ13" s="2">
        <v>0</v>
      </c>
      <c r="BA13" s="2">
        <v>0</v>
      </c>
      <c r="BB13" s="6">
        <f>SUM(AX13:BA13)/Variables!$E$3</f>
        <v>0</v>
      </c>
      <c r="BC13" s="12">
        <f t="shared" si="15"/>
        <v>0</v>
      </c>
      <c r="BD13" s="110">
        <f t="shared" si="12"/>
        <v>0</v>
      </c>
      <c r="BE13" s="110">
        <f t="shared" si="12"/>
        <v>0</v>
      </c>
      <c r="BF13" s="110">
        <f t="shared" si="12"/>
        <v>0</v>
      </c>
      <c r="BG13" s="6">
        <f>SUM(BC13:BF13)/Variables!$E$3</f>
        <v>0</v>
      </c>
      <c r="BH13" s="4">
        <v>0</v>
      </c>
      <c r="BI13">
        <v>0</v>
      </c>
      <c r="BJ13">
        <v>0</v>
      </c>
      <c r="BK13">
        <v>0</v>
      </c>
      <c r="BL13" s="6">
        <f>SUM(BH13:BK13)/Variables!$E$3</f>
        <v>0</v>
      </c>
      <c r="BM13" s="110">
        <v>0</v>
      </c>
      <c r="BN13" s="110">
        <v>0</v>
      </c>
      <c r="BO13" s="110">
        <v>0</v>
      </c>
      <c r="BP13" s="110">
        <v>0</v>
      </c>
      <c r="BQ13" s="6">
        <f>SUM(BM13:BP13)/Variables!$E$3</f>
        <v>0</v>
      </c>
      <c r="BS13" s="4">
        <v>11</v>
      </c>
      <c r="BT13" s="125">
        <f t="shared" si="1"/>
        <v>0</v>
      </c>
      <c r="BU13" s="125">
        <f t="shared" si="2"/>
        <v>4.5812714273272152E-2</v>
      </c>
      <c r="BV13" s="125">
        <f t="shared" si="3"/>
        <v>0</v>
      </c>
      <c r="BW13" s="125">
        <f t="shared" si="4"/>
        <v>2.4964568207190872E-4</v>
      </c>
      <c r="BX13" s="125">
        <f t="shared" si="5"/>
        <v>1.2074521571825589E-4</v>
      </c>
      <c r="BY13" s="125">
        <f t="shared" si="6"/>
        <v>0</v>
      </c>
      <c r="BZ13" s="125">
        <f t="shared" si="7"/>
        <v>0</v>
      </c>
      <c r="CA13" s="125">
        <f t="shared" si="8"/>
        <v>0</v>
      </c>
      <c r="CB13" s="125">
        <f t="shared" si="9"/>
        <v>3.1647123096778361E-4</v>
      </c>
      <c r="CC13" s="125">
        <f t="shared" si="10"/>
        <v>0</v>
      </c>
      <c r="CD13" s="125">
        <f t="shared" si="11"/>
        <v>1.2074521571825589E-4</v>
      </c>
      <c r="CE13" s="125">
        <f t="shared" si="13"/>
        <v>0</v>
      </c>
      <c r="CF13" s="126">
        <f t="shared" si="14"/>
        <v>0</v>
      </c>
      <c r="CH13" s="4">
        <v>11</v>
      </c>
      <c r="CI13" s="127">
        <v>0</v>
      </c>
      <c r="CJ13" s="127">
        <v>0</v>
      </c>
      <c r="CK13" s="127">
        <v>0</v>
      </c>
      <c r="CL13" s="127">
        <v>0</v>
      </c>
      <c r="CM13" s="127">
        <v>0</v>
      </c>
      <c r="CN13" s="127">
        <v>0</v>
      </c>
      <c r="CO13" s="127">
        <v>0</v>
      </c>
      <c r="CP13" s="127">
        <v>0</v>
      </c>
      <c r="CQ13" s="127">
        <v>0</v>
      </c>
      <c r="CR13" s="127">
        <v>0</v>
      </c>
      <c r="CS13" s="127">
        <v>0</v>
      </c>
      <c r="CT13" s="127">
        <v>0</v>
      </c>
      <c r="CU13" s="127">
        <v>0</v>
      </c>
    </row>
    <row r="14" spans="1:99" x14ac:dyDescent="0.25">
      <c r="A14" t="s">
        <v>187</v>
      </c>
      <c r="B14" s="2" t="s">
        <v>3</v>
      </c>
      <c r="C14" s="1">
        <v>2616</v>
      </c>
      <c r="D14" s="19">
        <v>190.92</v>
      </c>
      <c r="E14" s="18">
        <v>0</v>
      </c>
      <c r="F14" s="19">
        <v>0</v>
      </c>
      <c r="G14" s="19">
        <v>0</v>
      </c>
      <c r="H14" s="19">
        <v>0</v>
      </c>
      <c r="I14" s="19">
        <f>SUM(E14:H14)/Variables!$E$3</f>
        <v>0</v>
      </c>
      <c r="J14" s="4">
        <v>0</v>
      </c>
      <c r="K14">
        <v>0</v>
      </c>
      <c r="L14">
        <v>57861</v>
      </c>
      <c r="M14">
        <v>0</v>
      </c>
      <c r="N14" s="6">
        <f>SUM(J14:M14)/Variables!$E$3</f>
        <v>4.5812714273272152E-2</v>
      </c>
      <c r="O14" s="4">
        <v>0</v>
      </c>
      <c r="P14">
        <v>0</v>
      </c>
      <c r="Q14">
        <v>0</v>
      </c>
      <c r="R14">
        <v>0</v>
      </c>
      <c r="S14" s="6">
        <f>SUM(O14:R14)/Variables!$E$3</f>
        <v>0</v>
      </c>
      <c r="T14" s="12">
        <v>0</v>
      </c>
      <c r="U14" s="6">
        <v>0</v>
      </c>
      <c r="V14" s="6">
        <v>315.3</v>
      </c>
      <c r="W14" s="6">
        <v>0</v>
      </c>
      <c r="X14" s="6">
        <f>SUM(T14:W14)/Variables!$E$3</f>
        <v>2.4964568207190872E-4</v>
      </c>
      <c r="Y14" s="12">
        <v>0</v>
      </c>
      <c r="Z14" s="6">
        <v>0</v>
      </c>
      <c r="AA14" s="6">
        <v>152.5</v>
      </c>
      <c r="AB14" s="6">
        <v>0</v>
      </c>
      <c r="AC14" s="6">
        <f>SUM(Y14:AB14)/Variables!$E$3</f>
        <v>1.2074521571825589E-4</v>
      </c>
      <c r="AD14" s="4">
        <v>0</v>
      </c>
      <c r="AE14" s="2">
        <v>0</v>
      </c>
      <c r="AF14" s="2">
        <v>0</v>
      </c>
      <c r="AG14" s="2">
        <v>0</v>
      </c>
      <c r="AH14" s="6">
        <f>SUM(AD14:AG14)/Variables!$E$3</f>
        <v>0</v>
      </c>
      <c r="AI14" s="4">
        <v>0</v>
      </c>
      <c r="AJ14" s="2">
        <v>0</v>
      </c>
      <c r="AK14" s="2">
        <v>0</v>
      </c>
      <c r="AL14" s="2">
        <v>0</v>
      </c>
      <c r="AM14" s="6">
        <f>SUM(AI14:AL14)/Variables!$E$3</f>
        <v>0</v>
      </c>
      <c r="AN14" s="4">
        <v>0</v>
      </c>
      <c r="AO14" s="2">
        <v>0</v>
      </c>
      <c r="AP14" s="2">
        <v>0</v>
      </c>
      <c r="AQ14" s="2">
        <v>0</v>
      </c>
      <c r="AR14" s="6">
        <f>SUM(AN14:AQ14)/Variables!$E$3</f>
        <v>0</v>
      </c>
      <c r="AS14" s="4">
        <v>0</v>
      </c>
      <c r="AT14" s="2">
        <v>0</v>
      </c>
      <c r="AU14" s="2">
        <v>399.70000000000101</v>
      </c>
      <c r="AV14" s="2">
        <v>0</v>
      </c>
      <c r="AW14" s="6">
        <f>SUM(AS14:AV14)/Variables!$E$3</f>
        <v>3.1647123096778361E-4</v>
      </c>
      <c r="AX14" s="4">
        <v>0</v>
      </c>
      <c r="AY14" s="2">
        <v>0</v>
      </c>
      <c r="AZ14" s="2">
        <v>0</v>
      </c>
      <c r="BA14" s="2">
        <v>0</v>
      </c>
      <c r="BB14" s="6">
        <f>SUM(AX14:BA14)/Variables!$E$3</f>
        <v>0</v>
      </c>
      <c r="BC14" s="12">
        <f t="shared" si="15"/>
        <v>0</v>
      </c>
      <c r="BD14" s="110">
        <f t="shared" si="12"/>
        <v>0</v>
      </c>
      <c r="BE14" s="110">
        <f t="shared" si="12"/>
        <v>152.5</v>
      </c>
      <c r="BF14" s="110">
        <f t="shared" si="12"/>
        <v>0</v>
      </c>
      <c r="BG14" s="6">
        <f>SUM(BC14:BF14)/Variables!$E$3</f>
        <v>1.2074521571825589E-4</v>
      </c>
      <c r="BH14" s="4">
        <v>0</v>
      </c>
      <c r="BI14">
        <v>0</v>
      </c>
      <c r="BJ14">
        <v>0</v>
      </c>
      <c r="BK14">
        <v>0</v>
      </c>
      <c r="BL14" s="6">
        <f>SUM(BH14:BK14)/Variables!$E$3</f>
        <v>0</v>
      </c>
      <c r="BM14" s="110">
        <v>0</v>
      </c>
      <c r="BN14" s="110">
        <v>0</v>
      </c>
      <c r="BO14" s="110">
        <v>0</v>
      </c>
      <c r="BP14" s="110">
        <v>0</v>
      </c>
      <c r="BQ14" s="6">
        <f>SUM(BM14:BP14)/Variables!$E$3</f>
        <v>0</v>
      </c>
      <c r="BS14" s="4">
        <v>12</v>
      </c>
      <c r="BT14" s="125">
        <f t="shared" si="1"/>
        <v>0</v>
      </c>
      <c r="BU14" s="125">
        <f t="shared" si="2"/>
        <v>1.0722966927687472E-2</v>
      </c>
      <c r="BV14" s="125">
        <f t="shared" si="3"/>
        <v>0</v>
      </c>
      <c r="BW14" s="125">
        <f t="shared" si="4"/>
        <v>0</v>
      </c>
      <c r="BX14" s="125">
        <f t="shared" si="5"/>
        <v>0</v>
      </c>
      <c r="BY14" s="125">
        <f t="shared" si="6"/>
        <v>0</v>
      </c>
      <c r="BZ14" s="125">
        <f t="shared" si="7"/>
        <v>0</v>
      </c>
      <c r="CA14" s="125">
        <f t="shared" si="8"/>
        <v>0</v>
      </c>
      <c r="CB14" s="125">
        <f t="shared" si="9"/>
        <v>1.2826704882857189E-5</v>
      </c>
      <c r="CC14" s="125">
        <f t="shared" si="10"/>
        <v>0</v>
      </c>
      <c r="CD14" s="125">
        <f t="shared" si="11"/>
        <v>0</v>
      </c>
      <c r="CE14" s="125">
        <f t="shared" si="13"/>
        <v>0</v>
      </c>
      <c r="CF14" s="126">
        <f t="shared" si="14"/>
        <v>0</v>
      </c>
      <c r="CH14" s="4">
        <v>12</v>
      </c>
      <c r="CI14" s="127">
        <v>0</v>
      </c>
      <c r="CJ14" s="127">
        <v>0</v>
      </c>
      <c r="CK14" s="127">
        <v>0</v>
      </c>
      <c r="CL14" s="127">
        <v>0</v>
      </c>
      <c r="CM14" s="127">
        <v>0</v>
      </c>
      <c r="CN14" s="127">
        <v>0</v>
      </c>
      <c r="CO14" s="127">
        <v>0</v>
      </c>
      <c r="CP14" s="127">
        <v>0</v>
      </c>
      <c r="CQ14" s="127">
        <v>0</v>
      </c>
      <c r="CR14" s="127">
        <v>0</v>
      </c>
      <c r="CS14" s="127">
        <v>0</v>
      </c>
      <c r="CT14" s="127">
        <v>0</v>
      </c>
      <c r="CU14" s="127">
        <v>0</v>
      </c>
    </row>
    <row r="15" spans="1:99" x14ac:dyDescent="0.25">
      <c r="A15" t="s">
        <v>187</v>
      </c>
      <c r="B15" s="2" t="s">
        <v>4</v>
      </c>
      <c r="C15" s="1">
        <v>2708</v>
      </c>
      <c r="D15" s="19">
        <v>53.56</v>
      </c>
      <c r="E15" s="18">
        <v>0</v>
      </c>
      <c r="F15" s="19">
        <v>0</v>
      </c>
      <c r="G15" s="19">
        <v>0</v>
      </c>
      <c r="H15" s="19">
        <v>0</v>
      </c>
      <c r="I15" s="19">
        <f>SUM(E15:H15)/Variables!$E$3</f>
        <v>0</v>
      </c>
      <c r="J15" s="4">
        <v>0</v>
      </c>
      <c r="K15">
        <v>0</v>
      </c>
      <c r="L15">
        <v>13543</v>
      </c>
      <c r="M15">
        <v>0</v>
      </c>
      <c r="N15" s="6">
        <f>SUM(J15:M15)/Variables!$E$3</f>
        <v>1.0722966927687472E-2</v>
      </c>
      <c r="O15" s="4">
        <v>0</v>
      </c>
      <c r="P15">
        <v>0</v>
      </c>
      <c r="Q15">
        <v>0</v>
      </c>
      <c r="R15">
        <v>0</v>
      </c>
      <c r="S15" s="6">
        <f>SUM(O15:R15)/Variables!$E$3</f>
        <v>0</v>
      </c>
      <c r="T15" s="12">
        <v>0</v>
      </c>
      <c r="U15" s="6">
        <v>0</v>
      </c>
      <c r="V15" s="6">
        <v>0</v>
      </c>
      <c r="W15" s="6">
        <v>0</v>
      </c>
      <c r="X15" s="6">
        <f>SUM(T15:W15)/Variables!$E$3</f>
        <v>0</v>
      </c>
      <c r="Y15" s="12">
        <v>0</v>
      </c>
      <c r="Z15" s="6">
        <v>0</v>
      </c>
      <c r="AA15" s="6">
        <v>0</v>
      </c>
      <c r="AB15" s="6">
        <v>0</v>
      </c>
      <c r="AC15" s="6">
        <f>SUM(Y15:AB15)/Variables!$E$3</f>
        <v>0</v>
      </c>
      <c r="AD15" s="4">
        <v>0</v>
      </c>
      <c r="AE15" s="2">
        <v>0</v>
      </c>
      <c r="AF15" s="2">
        <v>0</v>
      </c>
      <c r="AG15" s="2">
        <v>0</v>
      </c>
      <c r="AH15" s="6">
        <f>SUM(AD15:AG15)/Variables!$E$3</f>
        <v>0</v>
      </c>
      <c r="AI15" s="4">
        <v>0</v>
      </c>
      <c r="AJ15" s="2">
        <v>0</v>
      </c>
      <c r="AK15" s="2">
        <v>0</v>
      </c>
      <c r="AL15" s="2">
        <v>0</v>
      </c>
      <c r="AM15" s="6">
        <f>SUM(AI15:AL15)/Variables!$E$3</f>
        <v>0</v>
      </c>
      <c r="AN15" s="4">
        <v>0</v>
      </c>
      <c r="AO15" s="2">
        <v>0</v>
      </c>
      <c r="AP15" s="2">
        <v>0</v>
      </c>
      <c r="AQ15" s="2">
        <v>0</v>
      </c>
      <c r="AR15" s="6">
        <f>SUM(AN15:AQ15)/Variables!$E$3</f>
        <v>0</v>
      </c>
      <c r="AS15" s="4">
        <v>0</v>
      </c>
      <c r="AT15" s="2">
        <v>0</v>
      </c>
      <c r="AU15" s="2">
        <v>16.1999999999998</v>
      </c>
      <c r="AV15" s="2">
        <v>0</v>
      </c>
      <c r="AW15" s="6">
        <f>SUM(AS15:AV15)/Variables!$E$3</f>
        <v>1.2826704882857189E-5</v>
      </c>
      <c r="AX15" s="4">
        <v>0</v>
      </c>
      <c r="AY15" s="2">
        <v>0</v>
      </c>
      <c r="AZ15" s="2">
        <v>0</v>
      </c>
      <c r="BA15" s="2">
        <v>0</v>
      </c>
      <c r="BB15" s="6">
        <f>SUM(AX15:BA15)/Variables!$E$3</f>
        <v>0</v>
      </c>
      <c r="BC15" s="12">
        <f t="shared" si="15"/>
        <v>0</v>
      </c>
      <c r="BD15" s="110">
        <f t="shared" si="12"/>
        <v>0</v>
      </c>
      <c r="BE15" s="110">
        <f t="shared" si="12"/>
        <v>0</v>
      </c>
      <c r="BF15" s="110">
        <f t="shared" si="12"/>
        <v>0</v>
      </c>
      <c r="BG15" s="6">
        <f>SUM(BC15:BF15)/Variables!$E$3</f>
        <v>0</v>
      </c>
      <c r="BH15" s="4">
        <v>0</v>
      </c>
      <c r="BI15">
        <v>0</v>
      </c>
      <c r="BJ15">
        <v>0</v>
      </c>
      <c r="BK15">
        <v>0</v>
      </c>
      <c r="BL15" s="6">
        <f>SUM(BH15:BK15)/Variables!$E$3</f>
        <v>0</v>
      </c>
      <c r="BM15" s="110">
        <v>0</v>
      </c>
      <c r="BN15" s="110">
        <v>0</v>
      </c>
      <c r="BO15" s="110">
        <v>0</v>
      </c>
      <c r="BP15" s="110">
        <v>0</v>
      </c>
      <c r="BQ15" s="6">
        <f>SUM(BM15:BP15)/Variables!$E$3</f>
        <v>0</v>
      </c>
      <c r="BS15" s="4">
        <v>13</v>
      </c>
      <c r="BT15" s="125">
        <f t="shared" si="1"/>
        <v>0</v>
      </c>
      <c r="BU15" s="125">
        <f t="shared" si="2"/>
        <v>0</v>
      </c>
      <c r="BV15" s="125">
        <f t="shared" si="3"/>
        <v>0</v>
      </c>
      <c r="BW15" s="125">
        <f t="shared" si="4"/>
        <v>0</v>
      </c>
      <c r="BX15" s="125">
        <f t="shared" si="5"/>
        <v>0</v>
      </c>
      <c r="BY15" s="125">
        <f t="shared" si="6"/>
        <v>0</v>
      </c>
      <c r="BZ15" s="125">
        <f t="shared" si="7"/>
        <v>0</v>
      </c>
      <c r="CA15" s="125">
        <f t="shared" si="8"/>
        <v>0</v>
      </c>
      <c r="CB15" s="125">
        <f t="shared" si="9"/>
        <v>0</v>
      </c>
      <c r="CC15" s="125">
        <f t="shared" si="10"/>
        <v>0</v>
      </c>
      <c r="CD15" s="125">
        <f t="shared" si="11"/>
        <v>0</v>
      </c>
      <c r="CE15" s="125">
        <f t="shared" si="13"/>
        <v>0</v>
      </c>
      <c r="CF15" s="126">
        <f t="shared" si="14"/>
        <v>0</v>
      </c>
      <c r="CH15" s="4">
        <v>13</v>
      </c>
      <c r="CI15" s="127">
        <v>0</v>
      </c>
      <c r="CJ15" s="127">
        <v>0</v>
      </c>
      <c r="CK15" s="127">
        <v>0</v>
      </c>
      <c r="CL15" s="127">
        <v>0</v>
      </c>
      <c r="CM15" s="127">
        <v>0</v>
      </c>
      <c r="CN15" s="127">
        <v>0</v>
      </c>
      <c r="CO15" s="127">
        <v>0</v>
      </c>
      <c r="CP15" s="127">
        <v>0</v>
      </c>
      <c r="CQ15" s="127">
        <v>0</v>
      </c>
      <c r="CR15" s="127">
        <v>0</v>
      </c>
      <c r="CS15" s="127">
        <v>0</v>
      </c>
      <c r="CT15" s="127">
        <v>0</v>
      </c>
      <c r="CU15" s="127">
        <v>0</v>
      </c>
    </row>
    <row r="16" spans="1:99" x14ac:dyDescent="0.25">
      <c r="A16" t="s">
        <v>187</v>
      </c>
      <c r="B16" s="2" t="s">
        <v>1</v>
      </c>
      <c r="C16" s="1">
        <v>2800</v>
      </c>
      <c r="D16" s="19">
        <v>87.34</v>
      </c>
      <c r="E16" s="18">
        <v>0</v>
      </c>
      <c r="F16" s="19">
        <v>0</v>
      </c>
      <c r="G16" s="19">
        <v>0</v>
      </c>
      <c r="H16" s="19">
        <v>0</v>
      </c>
      <c r="I16" s="19">
        <f>SUM(E16:H16)/Variables!$E$3</f>
        <v>0</v>
      </c>
      <c r="J16" s="4">
        <v>0</v>
      </c>
      <c r="K16">
        <v>0</v>
      </c>
      <c r="L16">
        <v>0</v>
      </c>
      <c r="M16">
        <v>0</v>
      </c>
      <c r="N16" s="6">
        <f>SUM(J16:M16)/Variables!$E$3</f>
        <v>0</v>
      </c>
      <c r="O16" s="4">
        <v>0</v>
      </c>
      <c r="P16">
        <v>0</v>
      </c>
      <c r="Q16">
        <v>0</v>
      </c>
      <c r="R16">
        <v>0</v>
      </c>
      <c r="S16" s="6">
        <f>SUM(O16:R16)/Variables!$E$3</f>
        <v>0</v>
      </c>
      <c r="T16" s="12">
        <v>0</v>
      </c>
      <c r="U16" s="6">
        <v>0</v>
      </c>
      <c r="V16" s="6">
        <v>0</v>
      </c>
      <c r="W16" s="6">
        <v>0</v>
      </c>
      <c r="X16" s="6">
        <f>SUM(T16:W16)/Variables!$E$3</f>
        <v>0</v>
      </c>
      <c r="Y16" s="12">
        <v>0</v>
      </c>
      <c r="Z16" s="6">
        <v>0</v>
      </c>
      <c r="AA16" s="6">
        <v>0</v>
      </c>
      <c r="AB16" s="6">
        <v>0</v>
      </c>
      <c r="AC16" s="6">
        <f>SUM(Y16:AB16)/Variables!$E$3</f>
        <v>0</v>
      </c>
      <c r="AD16" s="4">
        <v>0</v>
      </c>
      <c r="AE16" s="2">
        <v>0</v>
      </c>
      <c r="AF16" s="2">
        <v>0</v>
      </c>
      <c r="AG16" s="2">
        <v>0</v>
      </c>
      <c r="AH16" s="6">
        <f>SUM(AD16:AG16)/Variables!$E$3</f>
        <v>0</v>
      </c>
      <c r="AI16" s="4">
        <v>0</v>
      </c>
      <c r="AJ16" s="2">
        <v>0</v>
      </c>
      <c r="AK16" s="2">
        <v>0</v>
      </c>
      <c r="AL16" s="2">
        <v>0</v>
      </c>
      <c r="AM16" s="6">
        <f>SUM(AI16:AL16)/Variables!$E$3</f>
        <v>0</v>
      </c>
      <c r="AN16" s="4">
        <v>0</v>
      </c>
      <c r="AO16" s="2">
        <v>0</v>
      </c>
      <c r="AP16" s="2">
        <v>0</v>
      </c>
      <c r="AQ16" s="2">
        <v>0</v>
      </c>
      <c r="AR16" s="6">
        <f>SUM(AN16:AQ16)/Variables!$E$3</f>
        <v>0</v>
      </c>
      <c r="AS16" s="4">
        <v>0</v>
      </c>
      <c r="AT16" s="2">
        <v>0</v>
      </c>
      <c r="AU16" s="2">
        <v>0</v>
      </c>
      <c r="AV16" s="2">
        <v>0</v>
      </c>
      <c r="AW16" s="6">
        <f>SUM(AS16:AV16)/Variables!$E$3</f>
        <v>0</v>
      </c>
      <c r="AX16" s="4">
        <v>0</v>
      </c>
      <c r="AY16" s="2">
        <v>0</v>
      </c>
      <c r="AZ16" s="2">
        <v>0</v>
      </c>
      <c r="BA16" s="2">
        <v>0</v>
      </c>
      <c r="BB16" s="6">
        <f>SUM(AX16:BA16)/Variables!$E$3</f>
        <v>0</v>
      </c>
      <c r="BC16" s="12">
        <f t="shared" si="15"/>
        <v>0</v>
      </c>
      <c r="BD16" s="110">
        <f t="shared" si="12"/>
        <v>0</v>
      </c>
      <c r="BE16" s="110">
        <f t="shared" si="12"/>
        <v>0</v>
      </c>
      <c r="BF16" s="110">
        <f t="shared" si="12"/>
        <v>0</v>
      </c>
      <c r="BG16" s="6">
        <f>SUM(BC16:BF16)/Variables!$E$3</f>
        <v>0</v>
      </c>
      <c r="BH16" s="4">
        <v>0</v>
      </c>
      <c r="BI16">
        <v>0</v>
      </c>
      <c r="BJ16">
        <v>0</v>
      </c>
      <c r="BK16">
        <v>0</v>
      </c>
      <c r="BL16" s="6">
        <f>SUM(BH16:BK16)/Variables!$E$3</f>
        <v>0</v>
      </c>
      <c r="BM16" s="110">
        <v>0</v>
      </c>
      <c r="BN16" s="110">
        <v>0</v>
      </c>
      <c r="BO16" s="110">
        <v>0</v>
      </c>
      <c r="BP16" s="110">
        <v>0</v>
      </c>
      <c r="BQ16" s="6">
        <f>SUM(BM16:BP16)/Variables!$E$3</f>
        <v>0</v>
      </c>
      <c r="BS16" s="4">
        <v>14</v>
      </c>
      <c r="BT16" s="125">
        <f t="shared" si="1"/>
        <v>0</v>
      </c>
      <c r="BU16" s="125">
        <f t="shared" si="2"/>
        <v>0</v>
      </c>
      <c r="BV16" s="125">
        <f t="shared" si="3"/>
        <v>0</v>
      </c>
      <c r="BW16" s="125">
        <f t="shared" si="4"/>
        <v>0</v>
      </c>
      <c r="BX16" s="125">
        <f t="shared" si="5"/>
        <v>0</v>
      </c>
      <c r="BY16" s="125">
        <f t="shared" si="6"/>
        <v>0</v>
      </c>
      <c r="BZ16" s="125">
        <f t="shared" si="7"/>
        <v>0</v>
      </c>
      <c r="CA16" s="125">
        <f t="shared" si="8"/>
        <v>0</v>
      </c>
      <c r="CB16" s="125">
        <f t="shared" si="9"/>
        <v>0</v>
      </c>
      <c r="CC16" s="125">
        <f t="shared" si="10"/>
        <v>0</v>
      </c>
      <c r="CD16" s="125">
        <f t="shared" si="11"/>
        <v>0</v>
      </c>
      <c r="CE16" s="125">
        <f t="shared" si="13"/>
        <v>0</v>
      </c>
      <c r="CF16" s="126">
        <f t="shared" si="14"/>
        <v>0</v>
      </c>
      <c r="CH16" s="4">
        <v>14</v>
      </c>
      <c r="CI16" s="127">
        <v>0</v>
      </c>
      <c r="CJ16" s="127">
        <v>0</v>
      </c>
      <c r="CK16" s="127">
        <v>0</v>
      </c>
      <c r="CL16" s="127">
        <v>0</v>
      </c>
      <c r="CM16" s="127">
        <v>0</v>
      </c>
      <c r="CN16" s="127">
        <v>0</v>
      </c>
      <c r="CO16" s="127">
        <v>0</v>
      </c>
      <c r="CP16" s="127">
        <v>0</v>
      </c>
      <c r="CQ16" s="127">
        <v>0</v>
      </c>
      <c r="CR16" s="127">
        <v>0</v>
      </c>
      <c r="CS16" s="127">
        <v>0</v>
      </c>
      <c r="CT16" s="127">
        <v>0</v>
      </c>
      <c r="CU16" s="127">
        <v>0</v>
      </c>
    </row>
    <row r="17" spans="1:99" x14ac:dyDescent="0.25">
      <c r="A17" t="s">
        <v>187</v>
      </c>
      <c r="B17" s="2" t="s">
        <v>2</v>
      </c>
      <c r="C17" s="1">
        <v>2891</v>
      </c>
      <c r="D17" s="19">
        <v>58</v>
      </c>
      <c r="E17" s="18">
        <v>0</v>
      </c>
      <c r="F17" s="19">
        <v>0</v>
      </c>
      <c r="G17" s="19">
        <v>0</v>
      </c>
      <c r="H17" s="19">
        <v>0</v>
      </c>
      <c r="I17" s="19">
        <f>SUM(E17:H17)/Variables!$E$3</f>
        <v>0</v>
      </c>
      <c r="J17" s="4">
        <v>0</v>
      </c>
      <c r="K17">
        <v>0</v>
      </c>
      <c r="L17">
        <v>0</v>
      </c>
      <c r="M17">
        <v>0</v>
      </c>
      <c r="N17" s="6">
        <f>SUM(J17:M17)/Variables!$E$3</f>
        <v>0</v>
      </c>
      <c r="O17" s="4">
        <v>0</v>
      </c>
      <c r="P17">
        <v>0</v>
      </c>
      <c r="Q17">
        <v>0</v>
      </c>
      <c r="R17">
        <v>0</v>
      </c>
      <c r="S17" s="6">
        <f>SUM(O17:R17)/Variables!$E$3</f>
        <v>0</v>
      </c>
      <c r="T17" s="12">
        <v>0</v>
      </c>
      <c r="U17" s="6">
        <v>0</v>
      </c>
      <c r="V17" s="6">
        <v>0</v>
      </c>
      <c r="W17" s="6">
        <v>0</v>
      </c>
      <c r="X17" s="6">
        <f>SUM(T17:W17)/Variables!$E$3</f>
        <v>0</v>
      </c>
      <c r="Y17" s="12">
        <v>0</v>
      </c>
      <c r="Z17" s="6">
        <v>0</v>
      </c>
      <c r="AA17" s="6">
        <v>0</v>
      </c>
      <c r="AB17" s="6">
        <v>0</v>
      </c>
      <c r="AC17" s="6">
        <f>SUM(Y17:AB17)/Variables!$E$3</f>
        <v>0</v>
      </c>
      <c r="AD17" s="4">
        <v>0</v>
      </c>
      <c r="AE17" s="2">
        <v>0</v>
      </c>
      <c r="AF17" s="2">
        <v>0</v>
      </c>
      <c r="AG17" s="2">
        <v>0</v>
      </c>
      <c r="AH17" s="6">
        <f>SUM(AD17:AG17)/Variables!$E$3</f>
        <v>0</v>
      </c>
      <c r="AI17" s="4">
        <v>0</v>
      </c>
      <c r="AJ17" s="2">
        <v>0</v>
      </c>
      <c r="AK17" s="2">
        <v>0</v>
      </c>
      <c r="AL17" s="2">
        <v>0</v>
      </c>
      <c r="AM17" s="6">
        <f>SUM(AI17:AL17)/Variables!$E$3</f>
        <v>0</v>
      </c>
      <c r="AN17" s="4">
        <v>0</v>
      </c>
      <c r="AO17" s="2">
        <v>0</v>
      </c>
      <c r="AP17" s="2">
        <v>0</v>
      </c>
      <c r="AQ17" s="2">
        <v>0</v>
      </c>
      <c r="AR17" s="6">
        <f>SUM(AN17:AQ17)/Variables!$E$3</f>
        <v>0</v>
      </c>
      <c r="AS17" s="4">
        <v>0</v>
      </c>
      <c r="AT17" s="2">
        <v>0</v>
      </c>
      <c r="AU17" s="2">
        <v>0</v>
      </c>
      <c r="AV17" s="2">
        <v>0</v>
      </c>
      <c r="AW17" s="6">
        <f>SUM(AS17:AV17)/Variables!$E$3</f>
        <v>0</v>
      </c>
      <c r="AX17" s="4">
        <v>0</v>
      </c>
      <c r="AY17" s="2">
        <v>0</v>
      </c>
      <c r="AZ17" s="2">
        <v>0</v>
      </c>
      <c r="BA17" s="2">
        <v>0</v>
      </c>
      <c r="BB17" s="6">
        <f>SUM(AX17:BA17)/Variables!$E$3</f>
        <v>0</v>
      </c>
      <c r="BC17" s="12">
        <f t="shared" si="15"/>
        <v>0</v>
      </c>
      <c r="BD17" s="110">
        <f t="shared" si="12"/>
        <v>0</v>
      </c>
      <c r="BE17" s="110">
        <f t="shared" si="12"/>
        <v>0</v>
      </c>
      <c r="BF17" s="110">
        <f t="shared" si="12"/>
        <v>0</v>
      </c>
      <c r="BG17" s="6">
        <f>SUM(BC17:BF17)/Variables!$E$3</f>
        <v>0</v>
      </c>
      <c r="BH17" s="4">
        <v>0</v>
      </c>
      <c r="BI17">
        <v>0</v>
      </c>
      <c r="BJ17">
        <v>0</v>
      </c>
      <c r="BK17">
        <v>0</v>
      </c>
      <c r="BL17" s="6">
        <f>SUM(BH17:BK17)/Variables!$E$3</f>
        <v>0</v>
      </c>
      <c r="BM17" s="110">
        <v>0</v>
      </c>
      <c r="BN17" s="110">
        <v>0</v>
      </c>
      <c r="BO17" s="110">
        <v>0</v>
      </c>
      <c r="BP17" s="110">
        <v>0</v>
      </c>
      <c r="BQ17" s="6">
        <f>SUM(BM17:BP17)/Variables!$E$3</f>
        <v>0</v>
      </c>
      <c r="BS17" s="4">
        <v>15</v>
      </c>
      <c r="BT17" s="125">
        <f t="shared" si="1"/>
        <v>0</v>
      </c>
      <c r="BU17" s="125">
        <f t="shared" si="2"/>
        <v>4.7104094252527734E-2</v>
      </c>
      <c r="BV17" s="125">
        <f t="shared" si="3"/>
        <v>0</v>
      </c>
      <c r="BW17" s="125">
        <f t="shared" si="4"/>
        <v>9.1679269036176064E-4</v>
      </c>
      <c r="BX17" s="125">
        <f t="shared" si="5"/>
        <v>7.1964148568080507E-4</v>
      </c>
      <c r="BY17" s="125">
        <f t="shared" si="6"/>
        <v>0</v>
      </c>
      <c r="BZ17" s="125">
        <f t="shared" si="7"/>
        <v>0</v>
      </c>
      <c r="CA17" s="125">
        <f t="shared" si="8"/>
        <v>0</v>
      </c>
      <c r="CB17" s="125">
        <f t="shared" si="9"/>
        <v>8.4418720654953728E-4</v>
      </c>
      <c r="CC17" s="125">
        <f t="shared" si="10"/>
        <v>3.1116635919524462E-5</v>
      </c>
      <c r="CD17" s="125">
        <f t="shared" si="11"/>
        <v>7.1964148568080507E-4</v>
      </c>
      <c r="CE17" s="125">
        <f t="shared" si="13"/>
        <v>0</v>
      </c>
      <c r="CF17" s="126">
        <f t="shared" si="14"/>
        <v>4.0538721605079845E-5</v>
      </c>
      <c r="CH17" s="4">
        <v>15</v>
      </c>
      <c r="CI17" s="127">
        <v>0</v>
      </c>
      <c r="CJ17" s="127">
        <v>0</v>
      </c>
      <c r="CK17" s="127">
        <v>0</v>
      </c>
      <c r="CL17" s="127">
        <v>0</v>
      </c>
      <c r="CM17" s="127">
        <v>0</v>
      </c>
      <c r="CN17" s="127">
        <v>0</v>
      </c>
      <c r="CO17" s="127">
        <v>0</v>
      </c>
      <c r="CP17" s="127">
        <v>0</v>
      </c>
      <c r="CQ17" s="127">
        <v>0</v>
      </c>
      <c r="CR17" s="127">
        <v>0</v>
      </c>
      <c r="CS17" s="127">
        <v>0</v>
      </c>
      <c r="CT17" s="127">
        <v>0</v>
      </c>
      <c r="CU17" s="127">
        <v>0</v>
      </c>
    </row>
    <row r="18" spans="1:99" x14ac:dyDescent="0.25">
      <c r="A18" t="s">
        <v>188</v>
      </c>
      <c r="B18" s="2" t="s">
        <v>3</v>
      </c>
      <c r="C18" s="1">
        <v>2981</v>
      </c>
      <c r="D18" s="19">
        <v>149.74</v>
      </c>
      <c r="E18" s="18">
        <v>0</v>
      </c>
      <c r="F18" s="19">
        <v>0</v>
      </c>
      <c r="G18" s="19">
        <v>0</v>
      </c>
      <c r="H18" s="19">
        <v>0</v>
      </c>
      <c r="I18" s="19">
        <f>SUM(E18:H18)/Variables!$E$3</f>
        <v>0</v>
      </c>
      <c r="J18" s="4">
        <v>0</v>
      </c>
      <c r="K18">
        <v>415</v>
      </c>
      <c r="L18">
        <v>54041</v>
      </c>
      <c r="M18">
        <v>5036</v>
      </c>
      <c r="N18" s="6">
        <f>SUM(J18:M18)/Variables!$E$3</f>
        <v>4.7104094252527734E-2</v>
      </c>
      <c r="O18" s="4">
        <v>0</v>
      </c>
      <c r="P18">
        <v>0</v>
      </c>
      <c r="Q18">
        <v>0</v>
      </c>
      <c r="R18">
        <v>0</v>
      </c>
      <c r="S18" s="6">
        <f>SUM(O18:R18)/Variables!$E$3</f>
        <v>0</v>
      </c>
      <c r="T18" s="12">
        <v>0</v>
      </c>
      <c r="U18" s="6">
        <v>0</v>
      </c>
      <c r="V18" s="6">
        <v>1157.9000000000001</v>
      </c>
      <c r="W18" s="6">
        <v>0</v>
      </c>
      <c r="X18" s="6">
        <f>SUM(T18:W18)/Variables!$E$3</f>
        <v>9.1679269036176064E-4</v>
      </c>
      <c r="Y18" s="12">
        <v>0</v>
      </c>
      <c r="Z18" s="6">
        <v>0</v>
      </c>
      <c r="AA18" s="6">
        <v>908.9</v>
      </c>
      <c r="AB18" s="6">
        <v>0</v>
      </c>
      <c r="AC18" s="6">
        <f>SUM(Y18:AB18)/Variables!$E$3</f>
        <v>7.1964148568080507E-4</v>
      </c>
      <c r="AD18" s="4">
        <v>0</v>
      </c>
      <c r="AE18" s="2">
        <v>0</v>
      </c>
      <c r="AF18" s="2">
        <v>0</v>
      </c>
      <c r="AG18" s="2">
        <v>0</v>
      </c>
      <c r="AH18" s="6">
        <f>SUM(AD18:AG18)/Variables!$E$3</f>
        <v>0</v>
      </c>
      <c r="AI18" s="4">
        <v>0</v>
      </c>
      <c r="AJ18" s="2">
        <v>0</v>
      </c>
      <c r="AK18" s="2">
        <v>0</v>
      </c>
      <c r="AL18" s="2">
        <v>0</v>
      </c>
      <c r="AM18" s="6">
        <f>SUM(AI18:AL18)/Variables!$E$3</f>
        <v>0</v>
      </c>
      <c r="AN18" s="4">
        <v>0</v>
      </c>
      <c r="AO18" s="2">
        <v>0</v>
      </c>
      <c r="AP18" s="2">
        <v>0</v>
      </c>
      <c r="AQ18" s="2">
        <v>0</v>
      </c>
      <c r="AR18" s="6">
        <f>SUM(AN18:AQ18)/Variables!$E$3</f>
        <v>0</v>
      </c>
      <c r="AS18" s="4">
        <v>0</v>
      </c>
      <c r="AT18" s="2">
        <v>0</v>
      </c>
      <c r="AU18" s="2">
        <v>1066.2</v>
      </c>
      <c r="AV18" s="2">
        <v>0</v>
      </c>
      <c r="AW18" s="6">
        <f>SUM(AS18:AV18)/Variables!$E$3</f>
        <v>8.4418720654953728E-4</v>
      </c>
      <c r="AX18" s="4">
        <v>0</v>
      </c>
      <c r="AY18" s="2">
        <v>0</v>
      </c>
      <c r="AZ18" s="2">
        <v>39.300000000000203</v>
      </c>
      <c r="BA18" s="2">
        <v>0</v>
      </c>
      <c r="BB18" s="6">
        <f>SUM(AX18:BA18)/Variables!$E$3</f>
        <v>3.1116635919524462E-5</v>
      </c>
      <c r="BC18" s="12">
        <f t="shared" si="15"/>
        <v>0</v>
      </c>
      <c r="BD18" s="110">
        <f t="shared" si="12"/>
        <v>0</v>
      </c>
      <c r="BE18" s="110">
        <f t="shared" si="12"/>
        <v>908.9</v>
      </c>
      <c r="BF18" s="110">
        <f t="shared" si="12"/>
        <v>0</v>
      </c>
      <c r="BG18" s="6">
        <f>SUM(BC18:BF18)/Variables!$E$3</f>
        <v>7.1964148568080507E-4</v>
      </c>
      <c r="BH18" s="4">
        <v>0</v>
      </c>
      <c r="BI18">
        <v>0</v>
      </c>
      <c r="BJ18">
        <v>0</v>
      </c>
      <c r="BK18">
        <v>0</v>
      </c>
      <c r="BL18" s="6">
        <f>SUM(BH18:BK18)/Variables!$E$3</f>
        <v>0</v>
      </c>
      <c r="BM18" s="110">
        <v>0</v>
      </c>
      <c r="BN18" s="110">
        <v>0</v>
      </c>
      <c r="BO18" s="110">
        <v>51.199999999999797</v>
      </c>
      <c r="BP18" s="110">
        <v>0</v>
      </c>
      <c r="BQ18" s="6">
        <f>SUM(BM18:BP18)/Variables!$E$3</f>
        <v>4.0538721605079845E-5</v>
      </c>
      <c r="BS18" s="4">
        <v>16</v>
      </c>
      <c r="BT18" s="125">
        <f t="shared" si="1"/>
        <v>0</v>
      </c>
      <c r="BU18" s="128">
        <f t="shared" si="2"/>
        <v>0.55934726324040573</v>
      </c>
      <c r="BV18" s="125">
        <f t="shared" si="3"/>
        <v>0.12771043317840997</v>
      </c>
      <c r="BW18" s="125">
        <f t="shared" si="4"/>
        <v>0.25034149122320842</v>
      </c>
      <c r="BX18" s="125">
        <f t="shared" si="5"/>
        <v>0.24683766300604121</v>
      </c>
      <c r="BY18" s="125">
        <f t="shared" si="6"/>
        <v>0.21143825366788338</v>
      </c>
      <c r="BZ18" s="125">
        <f t="shared" si="7"/>
        <v>0.18339749325014451</v>
      </c>
      <c r="CA18" s="125">
        <f t="shared" si="8"/>
        <v>0.19835002652435887</v>
      </c>
      <c r="CB18" s="125">
        <f t="shared" si="9"/>
        <v>0.27878075044141282</v>
      </c>
      <c r="CC18" s="125">
        <f t="shared" si="10"/>
        <v>0.21386471785208117</v>
      </c>
      <c r="CD18" s="125">
        <f t="shared" si="11"/>
        <v>0.24683766300604121</v>
      </c>
      <c r="CE18" s="125">
        <f t="shared" si="13"/>
        <v>0.2119777670448697</v>
      </c>
      <c r="CF18" s="126">
        <f t="shared" si="14"/>
        <v>0.22195828945597351</v>
      </c>
      <c r="CH18" s="4">
        <v>16</v>
      </c>
      <c r="CI18" s="127">
        <v>0</v>
      </c>
      <c r="CJ18" s="127">
        <v>0</v>
      </c>
      <c r="CK18" s="127">
        <v>0</v>
      </c>
      <c r="CL18" s="127">
        <v>0</v>
      </c>
      <c r="CM18" s="127">
        <v>0</v>
      </c>
      <c r="CN18" s="127">
        <v>0</v>
      </c>
      <c r="CO18" s="127">
        <v>0</v>
      </c>
      <c r="CP18" s="127">
        <v>0</v>
      </c>
      <c r="CQ18" s="127">
        <v>0</v>
      </c>
      <c r="CR18" s="127">
        <v>0</v>
      </c>
      <c r="CS18" s="127">
        <v>0</v>
      </c>
      <c r="CT18" s="127">
        <v>0</v>
      </c>
      <c r="CU18" s="127">
        <v>0</v>
      </c>
    </row>
    <row r="19" spans="1:99" x14ac:dyDescent="0.25">
      <c r="A19" t="s">
        <v>188</v>
      </c>
      <c r="B19" s="2" t="s">
        <v>4</v>
      </c>
      <c r="C19" s="1">
        <v>3074</v>
      </c>
      <c r="D19" s="19">
        <v>72.12</v>
      </c>
      <c r="E19" s="18">
        <v>0</v>
      </c>
      <c r="F19" s="19">
        <v>0</v>
      </c>
      <c r="G19" s="19">
        <v>0</v>
      </c>
      <c r="H19" s="19">
        <v>0</v>
      </c>
      <c r="I19" s="19">
        <f>SUM(E19:H19)/Variables!$E$3</f>
        <v>0</v>
      </c>
      <c r="J19" s="4">
        <v>39765</v>
      </c>
      <c r="K19">
        <v>50386</v>
      </c>
      <c r="L19">
        <v>508884</v>
      </c>
      <c r="M19">
        <v>107415</v>
      </c>
      <c r="N19" s="6">
        <f>SUM(J19:M19)/Variables!$E$3</f>
        <v>0.55934726324040573</v>
      </c>
      <c r="O19" s="4">
        <v>2681</v>
      </c>
      <c r="P19">
        <v>6020</v>
      </c>
      <c r="Q19">
        <v>111770</v>
      </c>
      <c r="R19">
        <v>40826</v>
      </c>
      <c r="S19" s="6">
        <f>SUM(O19:R19)/Variables!$E$3</f>
        <v>0.12771043317840997</v>
      </c>
      <c r="T19" s="12">
        <v>8112.1</v>
      </c>
      <c r="U19" s="6">
        <v>13043.4</v>
      </c>
      <c r="V19" s="6">
        <v>237443.7</v>
      </c>
      <c r="W19" s="6">
        <v>57579.6</v>
      </c>
      <c r="X19" s="6">
        <f>SUM(T19:W19)/Variables!$E$3</f>
        <v>0.25034149122320842</v>
      </c>
      <c r="Y19" s="12">
        <v>8094.9</v>
      </c>
      <c r="Z19" s="6">
        <v>13027.1</v>
      </c>
      <c r="AA19" s="6">
        <v>233080.9</v>
      </c>
      <c r="AB19" s="6">
        <v>57550.6</v>
      </c>
      <c r="AC19" s="6">
        <f>SUM(Y19:AB19)/Variables!$E$3</f>
        <v>0.24683766300604121</v>
      </c>
      <c r="AD19" s="4">
        <v>9354</v>
      </c>
      <c r="AE19" s="2">
        <v>14445.9</v>
      </c>
      <c r="AF19" s="2">
        <v>192939.5</v>
      </c>
      <c r="AG19" s="2">
        <v>50305</v>
      </c>
      <c r="AH19" s="6">
        <f>SUM(AD19:AG19)/Variables!$E$3</f>
        <v>0.21143825366788338</v>
      </c>
      <c r="AI19" s="4">
        <v>6871.4</v>
      </c>
      <c r="AJ19" s="2">
        <v>11373.1</v>
      </c>
      <c r="AK19" s="2">
        <v>171762.7</v>
      </c>
      <c r="AL19" s="2">
        <v>41622</v>
      </c>
      <c r="AM19" s="6">
        <f>SUM(AI19:AL19)/Variables!$E$3</f>
        <v>0.18339749325014451</v>
      </c>
      <c r="AN19" s="4">
        <v>7153.4</v>
      </c>
      <c r="AO19" s="2">
        <v>11754.4</v>
      </c>
      <c r="AP19" s="2">
        <v>176954.7</v>
      </c>
      <c r="AQ19" s="2">
        <v>54651.6</v>
      </c>
      <c r="AR19" s="6">
        <f>SUM(AN19:AQ19)/Variables!$E$3</f>
        <v>0.19835002652435887</v>
      </c>
      <c r="AS19" s="4">
        <v>13738.5</v>
      </c>
      <c r="AT19" s="2">
        <v>18589.5</v>
      </c>
      <c r="AU19" s="2">
        <v>245974.6</v>
      </c>
      <c r="AV19" s="2">
        <v>73794.7</v>
      </c>
      <c r="AW19" s="6">
        <f>SUM(AS19:AV19)/Variables!$E$3</f>
        <v>0.27878075044141282</v>
      </c>
      <c r="AX19" s="4">
        <v>7543</v>
      </c>
      <c r="AY19" s="2">
        <v>12277.5</v>
      </c>
      <c r="AZ19" s="2">
        <v>192569.1</v>
      </c>
      <c r="BA19" s="2">
        <v>57719.4</v>
      </c>
      <c r="BB19" s="6">
        <f>SUM(AX19:BA19)/Variables!$E$3</f>
        <v>0.21386471785208117</v>
      </c>
      <c r="BC19" s="12">
        <f t="shared" si="15"/>
        <v>8094.9</v>
      </c>
      <c r="BD19" s="110">
        <f t="shared" si="12"/>
        <v>13027.1</v>
      </c>
      <c r="BE19" s="110">
        <f t="shared" si="12"/>
        <v>233080.9</v>
      </c>
      <c r="BF19" s="110">
        <f t="shared" si="12"/>
        <v>57550.6</v>
      </c>
      <c r="BG19" s="6">
        <f>SUM(BC19:BF19)/Variables!$E$3</f>
        <v>0.24683766300604121</v>
      </c>
      <c r="BH19" s="4">
        <v>8066.8</v>
      </c>
      <c r="BI19">
        <v>12810.2</v>
      </c>
      <c r="BJ19">
        <v>189008.8</v>
      </c>
      <c r="BK19">
        <v>57840</v>
      </c>
      <c r="BL19" s="6">
        <f>SUM(BH19:BK19)/Variables!$E$3</f>
        <v>0.2119777670448697</v>
      </c>
      <c r="BM19" s="110">
        <v>9035.2999999999993</v>
      </c>
      <c r="BN19" s="110">
        <v>13812</v>
      </c>
      <c r="BO19" s="110">
        <v>200006.9</v>
      </c>
      <c r="BP19" s="110">
        <v>57476.9</v>
      </c>
      <c r="BQ19" s="6">
        <f>SUM(BM19:BP19)/Variables!$E$3</f>
        <v>0.22195828945597351</v>
      </c>
      <c r="BS19" s="4">
        <v>17</v>
      </c>
      <c r="BT19" s="125">
        <f t="shared" si="1"/>
        <v>0</v>
      </c>
      <c r="BU19" s="128">
        <f t="shared" si="2"/>
        <v>0</v>
      </c>
      <c r="BV19" s="125">
        <f t="shared" si="3"/>
        <v>0</v>
      </c>
      <c r="BW19" s="125">
        <f t="shared" si="4"/>
        <v>0</v>
      </c>
      <c r="BX19" s="125">
        <f t="shared" si="5"/>
        <v>0</v>
      </c>
      <c r="BY19" s="125">
        <f t="shared" si="6"/>
        <v>0</v>
      </c>
      <c r="BZ19" s="125">
        <f t="shared" si="7"/>
        <v>0</v>
      </c>
      <c r="CA19" s="125">
        <f t="shared" si="8"/>
        <v>0</v>
      </c>
      <c r="CB19" s="125">
        <f t="shared" si="9"/>
        <v>0</v>
      </c>
      <c r="CC19" s="125">
        <f t="shared" si="10"/>
        <v>0</v>
      </c>
      <c r="CD19" s="125">
        <f t="shared" si="11"/>
        <v>0</v>
      </c>
      <c r="CE19" s="125">
        <f t="shared" si="13"/>
        <v>0</v>
      </c>
      <c r="CF19" s="126">
        <f t="shared" si="14"/>
        <v>0</v>
      </c>
      <c r="CH19" s="4">
        <v>17</v>
      </c>
      <c r="CI19" s="127">
        <v>0</v>
      </c>
      <c r="CJ19" s="127">
        <v>0</v>
      </c>
      <c r="CK19" s="127">
        <v>0</v>
      </c>
      <c r="CL19" s="127">
        <v>0</v>
      </c>
      <c r="CM19" s="127">
        <v>0</v>
      </c>
      <c r="CN19" s="127">
        <v>0</v>
      </c>
      <c r="CO19" s="127">
        <v>0</v>
      </c>
      <c r="CP19" s="127">
        <v>0</v>
      </c>
      <c r="CQ19" s="127">
        <v>0</v>
      </c>
      <c r="CR19" s="127">
        <v>0</v>
      </c>
      <c r="CS19" s="127">
        <v>0</v>
      </c>
      <c r="CT19" s="127">
        <v>0</v>
      </c>
      <c r="CU19" s="127">
        <v>0</v>
      </c>
    </row>
    <row r="20" spans="1:99" x14ac:dyDescent="0.25">
      <c r="A20" t="s">
        <v>188</v>
      </c>
      <c r="B20" s="2" t="s">
        <v>1</v>
      </c>
      <c r="C20" s="1">
        <v>3166</v>
      </c>
      <c r="D20" s="109">
        <v>33.54</v>
      </c>
      <c r="E20" s="18">
        <v>0</v>
      </c>
      <c r="F20" s="19">
        <v>0</v>
      </c>
      <c r="G20" s="19">
        <v>0</v>
      </c>
      <c r="H20" s="19">
        <v>0</v>
      </c>
      <c r="I20" s="19">
        <f>SUM(E20:H20)/Variables!$E$3</f>
        <v>0</v>
      </c>
      <c r="J20" s="4">
        <v>0</v>
      </c>
      <c r="K20">
        <v>0</v>
      </c>
      <c r="L20">
        <v>0</v>
      </c>
      <c r="M20">
        <v>0</v>
      </c>
      <c r="N20" s="6">
        <f>SUM(J20:M20)/Variables!$E$3</f>
        <v>0</v>
      </c>
      <c r="O20" s="4">
        <v>0</v>
      </c>
      <c r="P20">
        <v>0</v>
      </c>
      <c r="Q20">
        <v>0</v>
      </c>
      <c r="R20">
        <v>0</v>
      </c>
      <c r="S20" s="6">
        <f>SUM(O20:R20)/Variables!$E$3</f>
        <v>0</v>
      </c>
      <c r="T20" s="12">
        <v>0</v>
      </c>
      <c r="U20" s="6">
        <v>0</v>
      </c>
      <c r="V20" s="6">
        <v>0</v>
      </c>
      <c r="W20" s="6">
        <v>0</v>
      </c>
      <c r="X20" s="6">
        <f>SUM(T20:W20)/Variables!$E$3</f>
        <v>0</v>
      </c>
      <c r="Y20" s="12">
        <v>0</v>
      </c>
      <c r="Z20" s="6">
        <v>0</v>
      </c>
      <c r="AA20" s="6">
        <v>0</v>
      </c>
      <c r="AB20" s="6">
        <v>0</v>
      </c>
      <c r="AC20" s="6">
        <f>SUM(Y20:AB20)/Variables!$E$3</f>
        <v>0</v>
      </c>
      <c r="AD20" s="4">
        <v>0</v>
      </c>
      <c r="AE20" s="2">
        <v>0</v>
      </c>
      <c r="AF20" s="2">
        <v>0</v>
      </c>
      <c r="AG20" s="2">
        <v>0</v>
      </c>
      <c r="AH20" s="6">
        <f>SUM(AD20:AG20)/Variables!$E$3</f>
        <v>0</v>
      </c>
      <c r="AI20" s="4">
        <v>0</v>
      </c>
      <c r="AJ20" s="2">
        <v>0</v>
      </c>
      <c r="AK20" s="2">
        <v>0</v>
      </c>
      <c r="AL20" s="2">
        <v>0</v>
      </c>
      <c r="AM20" s="6">
        <f>SUM(AI20:AL20)/Variables!$E$3</f>
        <v>0</v>
      </c>
      <c r="AN20" s="4">
        <v>0</v>
      </c>
      <c r="AO20" s="2">
        <v>0</v>
      </c>
      <c r="AP20" s="2">
        <v>0</v>
      </c>
      <c r="AQ20" s="2">
        <v>0</v>
      </c>
      <c r="AR20" s="6">
        <f>SUM(AN20:AQ20)/Variables!$E$3</f>
        <v>0</v>
      </c>
      <c r="AS20" s="4">
        <v>0</v>
      </c>
      <c r="AT20" s="2">
        <v>0</v>
      </c>
      <c r="AU20" s="2">
        <v>0</v>
      </c>
      <c r="AV20" s="2">
        <v>0</v>
      </c>
      <c r="AW20" s="6">
        <f>SUM(AS20:AV20)/Variables!$E$3</f>
        <v>0</v>
      </c>
      <c r="AX20" s="4">
        <v>0</v>
      </c>
      <c r="AY20" s="2">
        <v>0</v>
      </c>
      <c r="AZ20" s="2">
        <v>0</v>
      </c>
      <c r="BA20" s="2">
        <v>0</v>
      </c>
      <c r="BB20" s="6">
        <f>SUM(AX20:BA20)/Variables!$E$3</f>
        <v>0</v>
      </c>
      <c r="BC20" s="12">
        <f t="shared" si="15"/>
        <v>0</v>
      </c>
      <c r="BD20" s="110">
        <f t="shared" si="15"/>
        <v>0</v>
      </c>
      <c r="BE20" s="110">
        <f t="shared" si="15"/>
        <v>0</v>
      </c>
      <c r="BF20" s="110">
        <f t="shared" si="15"/>
        <v>0</v>
      </c>
      <c r="BG20" s="6">
        <f>SUM(BC20:BF20)/Variables!$E$3</f>
        <v>0</v>
      </c>
      <c r="BH20" s="4">
        <v>0</v>
      </c>
      <c r="BI20">
        <v>0</v>
      </c>
      <c r="BJ20">
        <v>0</v>
      </c>
      <c r="BK20">
        <v>0</v>
      </c>
      <c r="BL20" s="6">
        <f>SUM(BH20:BK20)/Variables!$E$3</f>
        <v>0</v>
      </c>
      <c r="BM20" s="110">
        <v>0</v>
      </c>
      <c r="BN20" s="110">
        <v>0</v>
      </c>
      <c r="BO20" s="110">
        <v>0</v>
      </c>
      <c r="BP20" s="110">
        <v>0</v>
      </c>
      <c r="BQ20" s="6">
        <f>SUM(BM20:BP20)/Variables!$E$3</f>
        <v>0</v>
      </c>
      <c r="BS20" s="4">
        <v>18</v>
      </c>
      <c r="BT20" s="125">
        <f t="shared" si="1"/>
        <v>0</v>
      </c>
      <c r="BU20" s="128">
        <f t="shared" si="2"/>
        <v>0</v>
      </c>
      <c r="BV20" s="125">
        <f t="shared" si="3"/>
        <v>0</v>
      </c>
      <c r="BW20" s="125">
        <f t="shared" si="4"/>
        <v>0</v>
      </c>
      <c r="BX20" s="125">
        <f t="shared" si="5"/>
        <v>0</v>
      </c>
      <c r="BY20" s="125">
        <f t="shared" si="6"/>
        <v>0</v>
      </c>
      <c r="BZ20" s="125">
        <f t="shared" si="7"/>
        <v>0</v>
      </c>
      <c r="CA20" s="125">
        <f t="shared" si="8"/>
        <v>0</v>
      </c>
      <c r="CB20" s="125">
        <f t="shared" si="9"/>
        <v>0</v>
      </c>
      <c r="CC20" s="125">
        <f t="shared" si="10"/>
        <v>0</v>
      </c>
      <c r="CD20" s="125">
        <f t="shared" si="11"/>
        <v>0</v>
      </c>
      <c r="CE20" s="125">
        <f t="shared" si="13"/>
        <v>0</v>
      </c>
      <c r="CF20" s="126">
        <f t="shared" si="14"/>
        <v>0</v>
      </c>
      <c r="CH20" s="4">
        <v>18</v>
      </c>
      <c r="CI20" s="127">
        <v>0</v>
      </c>
      <c r="CJ20" s="127">
        <v>0</v>
      </c>
      <c r="CK20" s="127">
        <v>0</v>
      </c>
      <c r="CL20" s="127">
        <v>0</v>
      </c>
      <c r="CM20" s="127">
        <v>0</v>
      </c>
      <c r="CN20" s="127">
        <v>0</v>
      </c>
      <c r="CO20" s="127">
        <v>0</v>
      </c>
      <c r="CP20" s="127">
        <v>0</v>
      </c>
      <c r="CQ20" s="127">
        <v>0</v>
      </c>
      <c r="CR20" s="127">
        <v>0</v>
      </c>
      <c r="CS20" s="127">
        <v>0</v>
      </c>
      <c r="CT20" s="127">
        <v>0</v>
      </c>
      <c r="CU20" s="127">
        <v>0</v>
      </c>
    </row>
    <row r="21" spans="1:99" x14ac:dyDescent="0.25">
      <c r="A21" t="s">
        <v>188</v>
      </c>
      <c r="B21" s="2" t="s">
        <v>2</v>
      </c>
      <c r="C21" s="1">
        <v>3257</v>
      </c>
      <c r="D21" s="109">
        <v>55.12</v>
      </c>
      <c r="E21" s="18">
        <v>0</v>
      </c>
      <c r="F21" s="19">
        <v>0</v>
      </c>
      <c r="G21" s="19">
        <v>0</v>
      </c>
      <c r="H21" s="19">
        <v>0</v>
      </c>
      <c r="I21" s="19">
        <f>SUM(E21:H21)/Variables!$E$3</f>
        <v>0</v>
      </c>
      <c r="J21" s="4">
        <v>0</v>
      </c>
      <c r="K21">
        <v>0</v>
      </c>
      <c r="L21">
        <v>0</v>
      </c>
      <c r="M21">
        <v>0</v>
      </c>
      <c r="N21" s="6">
        <f>SUM(J21:M21)/Variables!$E$3</f>
        <v>0</v>
      </c>
      <c r="O21" s="4">
        <v>0</v>
      </c>
      <c r="P21">
        <v>0</v>
      </c>
      <c r="Q21">
        <v>0</v>
      </c>
      <c r="R21">
        <v>0</v>
      </c>
      <c r="S21" s="6">
        <f>SUM(O21:R21)/Variables!$E$3</f>
        <v>0</v>
      </c>
      <c r="T21" s="12">
        <v>0</v>
      </c>
      <c r="U21" s="6">
        <v>0</v>
      </c>
      <c r="V21" s="6">
        <v>0</v>
      </c>
      <c r="W21" s="6">
        <v>0</v>
      </c>
      <c r="X21" s="6">
        <f>SUM(T21:W21)/Variables!$E$3</f>
        <v>0</v>
      </c>
      <c r="Y21" s="12">
        <v>0</v>
      </c>
      <c r="Z21" s="6">
        <v>0</v>
      </c>
      <c r="AA21" s="6">
        <v>0</v>
      </c>
      <c r="AB21" s="6">
        <v>0</v>
      </c>
      <c r="AC21" s="6">
        <f>SUM(Y21:AB21)/Variables!$E$3</f>
        <v>0</v>
      </c>
      <c r="AD21" s="4">
        <v>0</v>
      </c>
      <c r="AE21" s="2">
        <v>0</v>
      </c>
      <c r="AF21" s="2">
        <v>0</v>
      </c>
      <c r="AG21" s="2">
        <v>0</v>
      </c>
      <c r="AH21" s="6">
        <f>SUM(AD21:AG21)/Variables!$E$3</f>
        <v>0</v>
      </c>
      <c r="AI21" s="4">
        <v>0</v>
      </c>
      <c r="AJ21" s="2">
        <v>0</v>
      </c>
      <c r="AK21" s="2">
        <v>0</v>
      </c>
      <c r="AL21" s="2">
        <v>0</v>
      </c>
      <c r="AM21" s="6">
        <f>SUM(AI21:AL21)/Variables!$E$3</f>
        <v>0</v>
      </c>
      <c r="AN21" s="4">
        <v>0</v>
      </c>
      <c r="AO21" s="2">
        <v>0</v>
      </c>
      <c r="AP21" s="2">
        <v>0</v>
      </c>
      <c r="AQ21" s="2">
        <v>0</v>
      </c>
      <c r="AR21" s="6">
        <f>SUM(AN21:AQ21)/Variables!$E$3</f>
        <v>0</v>
      </c>
      <c r="AS21" s="4">
        <v>0</v>
      </c>
      <c r="AT21" s="2">
        <v>0</v>
      </c>
      <c r="AU21" s="2">
        <v>0</v>
      </c>
      <c r="AV21" s="2">
        <v>0</v>
      </c>
      <c r="AW21" s="6">
        <f>SUM(AS21:AV21)/Variables!$E$3</f>
        <v>0</v>
      </c>
      <c r="AX21" s="4">
        <v>0</v>
      </c>
      <c r="AY21" s="2">
        <v>0</v>
      </c>
      <c r="AZ21" s="2">
        <v>0</v>
      </c>
      <c r="BA21" s="2">
        <v>0</v>
      </c>
      <c r="BB21" s="6">
        <f>SUM(AX21:BA21)/Variables!$E$3</f>
        <v>0</v>
      </c>
      <c r="BC21" s="12">
        <f t="shared" si="15"/>
        <v>0</v>
      </c>
      <c r="BD21" s="110">
        <f t="shared" si="15"/>
        <v>0</v>
      </c>
      <c r="BE21" s="110">
        <f t="shared" si="15"/>
        <v>0</v>
      </c>
      <c r="BF21" s="110">
        <f t="shared" si="15"/>
        <v>0</v>
      </c>
      <c r="BG21" s="6">
        <f>SUM(BC21:BF21)/Variables!$E$3</f>
        <v>0</v>
      </c>
      <c r="BH21" s="4">
        <v>0</v>
      </c>
      <c r="BI21">
        <v>0</v>
      </c>
      <c r="BJ21">
        <v>0</v>
      </c>
      <c r="BK21">
        <v>0</v>
      </c>
      <c r="BL21" s="6">
        <f>SUM(BH21:BK21)/Variables!$E$3</f>
        <v>0</v>
      </c>
      <c r="BM21" s="110">
        <v>0</v>
      </c>
      <c r="BN21" s="110">
        <v>0</v>
      </c>
      <c r="BO21" s="110">
        <v>0</v>
      </c>
      <c r="BP21" s="110">
        <v>0</v>
      </c>
      <c r="BQ21" s="6">
        <f>SUM(BM21:BP21)/Variables!$E$3</f>
        <v>0</v>
      </c>
      <c r="BS21" s="4">
        <v>19</v>
      </c>
      <c r="BT21" s="125">
        <f t="shared" si="1"/>
        <v>0</v>
      </c>
      <c r="BU21" s="128">
        <f t="shared" si="2"/>
        <v>2.663045629814963E-2</v>
      </c>
      <c r="BV21" s="125">
        <f t="shared" si="3"/>
        <v>0</v>
      </c>
      <c r="BW21" s="125">
        <f t="shared" si="4"/>
        <v>0</v>
      </c>
      <c r="BX21" s="125">
        <f t="shared" si="5"/>
        <v>0</v>
      </c>
      <c r="BY21" s="125">
        <f t="shared" si="6"/>
        <v>0</v>
      </c>
      <c r="BZ21" s="125">
        <f t="shared" si="7"/>
        <v>0</v>
      </c>
      <c r="CA21" s="125">
        <f t="shared" si="8"/>
        <v>0</v>
      </c>
      <c r="CB21" s="125">
        <f t="shared" si="9"/>
        <v>0</v>
      </c>
      <c r="CC21" s="125">
        <f t="shared" si="10"/>
        <v>0</v>
      </c>
      <c r="CD21" s="125">
        <f t="shared" si="11"/>
        <v>0</v>
      </c>
      <c r="CE21" s="125">
        <f t="shared" si="13"/>
        <v>0</v>
      </c>
      <c r="CF21" s="126">
        <f t="shared" si="14"/>
        <v>0</v>
      </c>
      <c r="CH21" s="4">
        <v>19</v>
      </c>
      <c r="CI21" s="129">
        <v>0</v>
      </c>
      <c r="CJ21" s="125">
        <v>0</v>
      </c>
      <c r="CK21" s="125">
        <v>0</v>
      </c>
      <c r="CL21" s="125">
        <v>0</v>
      </c>
      <c r="CM21" s="125">
        <v>0</v>
      </c>
      <c r="CN21" s="125">
        <v>0</v>
      </c>
      <c r="CO21" s="125">
        <v>0</v>
      </c>
      <c r="CP21" s="125">
        <v>0</v>
      </c>
      <c r="CQ21" s="125">
        <v>0</v>
      </c>
      <c r="CR21" s="125">
        <v>0</v>
      </c>
      <c r="CS21" s="125">
        <v>0</v>
      </c>
      <c r="CT21" s="125">
        <v>0</v>
      </c>
      <c r="CU21" s="126">
        <v>0</v>
      </c>
    </row>
    <row r="22" spans="1:99" x14ac:dyDescent="0.25">
      <c r="A22" t="s">
        <v>189</v>
      </c>
      <c r="B22" s="2" t="s">
        <v>3</v>
      </c>
      <c r="C22" s="1">
        <v>3347</v>
      </c>
      <c r="D22" s="109">
        <v>177.4</v>
      </c>
      <c r="E22" s="18">
        <v>0</v>
      </c>
      <c r="F22" s="19">
        <v>0</v>
      </c>
      <c r="G22" s="19">
        <v>0</v>
      </c>
      <c r="H22" s="19">
        <v>0</v>
      </c>
      <c r="I22" s="19">
        <f>SUM(E22:H22)/Variables!$E$3</f>
        <v>0</v>
      </c>
      <c r="J22" s="4">
        <v>0</v>
      </c>
      <c r="K22">
        <v>0</v>
      </c>
      <c r="L22">
        <v>33518</v>
      </c>
      <c r="M22">
        <v>116</v>
      </c>
      <c r="N22" s="6">
        <f>SUM(J22:M22)/Variables!$E$3</f>
        <v>2.663045629814963E-2</v>
      </c>
      <c r="O22" s="4">
        <v>0</v>
      </c>
      <c r="P22">
        <v>0</v>
      </c>
      <c r="Q22">
        <v>0</v>
      </c>
      <c r="R22">
        <v>0</v>
      </c>
      <c r="S22" s="6">
        <f>SUM(O22:R22)/Variables!$E$3</f>
        <v>0</v>
      </c>
      <c r="T22" s="12">
        <v>0</v>
      </c>
      <c r="U22" s="6">
        <v>0</v>
      </c>
      <c r="V22" s="6">
        <v>0</v>
      </c>
      <c r="W22" s="6">
        <v>0</v>
      </c>
      <c r="X22" s="6">
        <f>SUM(T22:W22)/Variables!$E$3</f>
        <v>0</v>
      </c>
      <c r="Y22" s="12">
        <v>0</v>
      </c>
      <c r="Z22" s="6">
        <v>0</v>
      </c>
      <c r="AA22" s="6">
        <v>0</v>
      </c>
      <c r="AB22" s="6">
        <v>0</v>
      </c>
      <c r="AC22" s="6">
        <f>SUM(Y22:AB22)/Variables!$E$3</f>
        <v>0</v>
      </c>
      <c r="AD22" s="4">
        <v>0</v>
      </c>
      <c r="AE22" s="2">
        <v>0</v>
      </c>
      <c r="AF22" s="2">
        <v>0</v>
      </c>
      <c r="AG22" s="2">
        <v>0</v>
      </c>
      <c r="AH22" s="6">
        <f>SUM(AD22:AG22)/Variables!$E$3</f>
        <v>0</v>
      </c>
      <c r="AI22" s="4">
        <v>0</v>
      </c>
      <c r="AJ22" s="2">
        <v>0</v>
      </c>
      <c r="AK22" s="2">
        <v>0</v>
      </c>
      <c r="AL22" s="2">
        <v>0</v>
      </c>
      <c r="AM22" s="6">
        <f>SUM(AI22:AL22)/Variables!$E$3</f>
        <v>0</v>
      </c>
      <c r="AN22" s="4">
        <v>0</v>
      </c>
      <c r="AO22" s="2">
        <v>0</v>
      </c>
      <c r="AP22" s="2">
        <v>0</v>
      </c>
      <c r="AQ22" s="2">
        <v>0</v>
      </c>
      <c r="AR22" s="6">
        <f>SUM(AN22:AQ22)/Variables!$E$3</f>
        <v>0</v>
      </c>
      <c r="AS22" s="4">
        <v>0</v>
      </c>
      <c r="AT22" s="2">
        <v>0</v>
      </c>
      <c r="AU22" s="2">
        <v>0</v>
      </c>
      <c r="AV22" s="2">
        <v>0</v>
      </c>
      <c r="AW22" s="6">
        <f>SUM(AS22:AV22)/Variables!$E$3</f>
        <v>0</v>
      </c>
      <c r="AX22" s="4">
        <v>0</v>
      </c>
      <c r="AY22" s="2">
        <v>0</v>
      </c>
      <c r="AZ22" s="2">
        <v>0</v>
      </c>
      <c r="BA22" s="2">
        <v>0</v>
      </c>
      <c r="BB22" s="6">
        <f>SUM(AX22:BA22)/Variables!$E$3</f>
        <v>0</v>
      </c>
      <c r="BC22" s="12">
        <f t="shared" si="15"/>
        <v>0</v>
      </c>
      <c r="BD22" s="110">
        <f t="shared" si="15"/>
        <v>0</v>
      </c>
      <c r="BE22" s="110">
        <f t="shared" si="15"/>
        <v>0</v>
      </c>
      <c r="BF22" s="110">
        <f t="shared" si="15"/>
        <v>0</v>
      </c>
      <c r="BG22" s="6">
        <f>SUM(BC22:BF22)/Variables!$E$3</f>
        <v>0</v>
      </c>
      <c r="BH22" s="4">
        <v>0</v>
      </c>
      <c r="BI22">
        <v>0</v>
      </c>
      <c r="BJ22">
        <v>0</v>
      </c>
      <c r="BK22">
        <v>0</v>
      </c>
      <c r="BL22" s="6">
        <f>SUM(BH22:BK22)/Variables!$E$3</f>
        <v>0</v>
      </c>
      <c r="BM22" s="110">
        <v>0</v>
      </c>
      <c r="BN22" s="110">
        <v>0</v>
      </c>
      <c r="BO22" s="110">
        <v>0</v>
      </c>
      <c r="BP22" s="110">
        <v>0</v>
      </c>
      <c r="BQ22" s="6">
        <f>SUM(BM22:BP22)/Variables!$E$3</f>
        <v>0</v>
      </c>
      <c r="BS22" s="4">
        <v>20</v>
      </c>
      <c r="BT22" s="125">
        <f t="shared" si="1"/>
        <v>0</v>
      </c>
      <c r="BU22" s="128">
        <f t="shared" si="2"/>
        <v>1.3204380082185925E-2</v>
      </c>
      <c r="BV22" s="125">
        <f t="shared" si="3"/>
        <v>0</v>
      </c>
      <c r="BW22" s="125">
        <f t="shared" si="4"/>
        <v>0</v>
      </c>
      <c r="BX22" s="125">
        <f t="shared" si="5"/>
        <v>0</v>
      </c>
      <c r="BY22" s="125">
        <f t="shared" si="6"/>
        <v>0</v>
      </c>
      <c r="BZ22" s="125">
        <f t="shared" si="7"/>
        <v>0</v>
      </c>
      <c r="CA22" s="125">
        <f t="shared" si="8"/>
        <v>0</v>
      </c>
      <c r="CB22" s="125">
        <f t="shared" si="9"/>
        <v>0</v>
      </c>
      <c r="CC22" s="125">
        <f t="shared" si="10"/>
        <v>0</v>
      </c>
      <c r="CD22" s="125">
        <f t="shared" si="11"/>
        <v>0</v>
      </c>
      <c r="CE22" s="125">
        <f t="shared" si="13"/>
        <v>0</v>
      </c>
      <c r="CF22" s="126">
        <f t="shared" si="14"/>
        <v>0</v>
      </c>
      <c r="CH22" s="4">
        <v>20</v>
      </c>
      <c r="CI22" s="129">
        <v>0</v>
      </c>
      <c r="CJ22" s="125">
        <v>0</v>
      </c>
      <c r="CK22" s="125">
        <v>0</v>
      </c>
      <c r="CL22" s="125">
        <v>0</v>
      </c>
      <c r="CM22" s="125">
        <v>0</v>
      </c>
      <c r="CN22" s="125">
        <v>0</v>
      </c>
      <c r="CO22" s="125">
        <v>0</v>
      </c>
      <c r="CP22" s="125">
        <v>0</v>
      </c>
      <c r="CQ22" s="125">
        <v>0</v>
      </c>
      <c r="CR22" s="125">
        <v>0</v>
      </c>
      <c r="CS22" s="125">
        <v>0</v>
      </c>
      <c r="CT22" s="125">
        <v>0</v>
      </c>
      <c r="CU22" s="126">
        <v>0</v>
      </c>
    </row>
    <row r="23" spans="1:99" x14ac:dyDescent="0.25">
      <c r="A23" t="s">
        <v>189</v>
      </c>
      <c r="B23" s="2" t="s">
        <v>4</v>
      </c>
      <c r="C23" s="1">
        <v>3439</v>
      </c>
      <c r="D23" s="109">
        <v>30.78</v>
      </c>
      <c r="E23" s="18">
        <v>0</v>
      </c>
      <c r="F23" s="19">
        <v>0</v>
      </c>
      <c r="G23" s="19">
        <v>0</v>
      </c>
      <c r="H23" s="19">
        <v>0</v>
      </c>
      <c r="I23" s="19">
        <f>SUM(E23:H23)/Variables!$E$3</f>
        <v>0</v>
      </c>
      <c r="J23" s="4">
        <v>0</v>
      </c>
      <c r="K23">
        <v>0</v>
      </c>
      <c r="L23">
        <v>16677</v>
      </c>
      <c r="M23">
        <v>0</v>
      </c>
      <c r="N23" s="6">
        <f>SUM(J23:M23)/Variables!$E$3</f>
        <v>1.3204380082185925E-2</v>
      </c>
      <c r="O23" s="4">
        <v>0</v>
      </c>
      <c r="P23">
        <v>0</v>
      </c>
      <c r="Q23">
        <v>0</v>
      </c>
      <c r="R23">
        <v>0</v>
      </c>
      <c r="S23" s="6">
        <f>SUM(O23:R23)/Variables!$E$3</f>
        <v>0</v>
      </c>
      <c r="T23" s="12">
        <v>0</v>
      </c>
      <c r="U23" s="6">
        <v>0</v>
      </c>
      <c r="V23" s="6">
        <v>0</v>
      </c>
      <c r="W23" s="6">
        <v>0</v>
      </c>
      <c r="X23" s="6">
        <f>SUM(T23:W23)/Variables!$E$3</f>
        <v>0</v>
      </c>
      <c r="Y23" s="12">
        <v>0</v>
      </c>
      <c r="Z23" s="6">
        <v>0</v>
      </c>
      <c r="AA23" s="6">
        <v>0</v>
      </c>
      <c r="AB23" s="6">
        <v>0</v>
      </c>
      <c r="AC23" s="6">
        <f>SUM(Y23:AB23)/Variables!$E$3</f>
        <v>0</v>
      </c>
      <c r="AD23" s="4">
        <v>0</v>
      </c>
      <c r="AE23" s="2">
        <v>0</v>
      </c>
      <c r="AF23" s="2">
        <v>0</v>
      </c>
      <c r="AG23" s="2">
        <v>0</v>
      </c>
      <c r="AH23" s="6">
        <f>SUM(AD23:AG23)/Variables!$E$3</f>
        <v>0</v>
      </c>
      <c r="AI23" s="4">
        <v>0</v>
      </c>
      <c r="AJ23" s="2">
        <v>0</v>
      </c>
      <c r="AK23" s="2">
        <v>0</v>
      </c>
      <c r="AL23" s="2">
        <v>0</v>
      </c>
      <c r="AM23" s="6">
        <f>SUM(AI23:AL23)/Variables!$E$3</f>
        <v>0</v>
      </c>
      <c r="AN23" s="4">
        <v>0</v>
      </c>
      <c r="AO23" s="2">
        <v>0</v>
      </c>
      <c r="AP23" s="2">
        <v>0</v>
      </c>
      <c r="AQ23" s="2">
        <v>0</v>
      </c>
      <c r="AR23" s="6">
        <f>SUM(AN23:AQ23)/Variables!$E$3</f>
        <v>0</v>
      </c>
      <c r="AS23" s="4">
        <v>0</v>
      </c>
      <c r="AT23" s="2">
        <v>0</v>
      </c>
      <c r="AU23" s="2">
        <v>0</v>
      </c>
      <c r="AV23" s="2">
        <v>0</v>
      </c>
      <c r="AW23" s="6">
        <f>SUM(AS23:AV23)/Variables!$E$3</f>
        <v>0</v>
      </c>
      <c r="AX23" s="4">
        <v>0</v>
      </c>
      <c r="AY23" s="2">
        <v>0</v>
      </c>
      <c r="AZ23" s="2">
        <v>0</v>
      </c>
      <c r="BA23" s="2">
        <v>0</v>
      </c>
      <c r="BB23" s="6">
        <f>SUM(AX23:BA23)/Variables!$E$3</f>
        <v>0</v>
      </c>
      <c r="BC23" s="12">
        <f t="shared" si="15"/>
        <v>0</v>
      </c>
      <c r="BD23" s="110">
        <f t="shared" si="15"/>
        <v>0</v>
      </c>
      <c r="BE23" s="110">
        <f t="shared" si="15"/>
        <v>0</v>
      </c>
      <c r="BF23" s="110">
        <f t="shared" si="15"/>
        <v>0</v>
      </c>
      <c r="BG23" s="6">
        <f>SUM(BC23:BF23)/Variables!$E$3</f>
        <v>0</v>
      </c>
      <c r="BH23" s="4">
        <v>0</v>
      </c>
      <c r="BI23">
        <v>0</v>
      </c>
      <c r="BJ23">
        <v>0</v>
      </c>
      <c r="BK23">
        <v>0</v>
      </c>
      <c r="BL23" s="6">
        <f>SUM(BH23:BK23)/Variables!$E$3</f>
        <v>0</v>
      </c>
      <c r="BM23" s="110">
        <v>0</v>
      </c>
      <c r="BN23" s="110">
        <v>0</v>
      </c>
      <c r="BO23" s="110">
        <v>0</v>
      </c>
      <c r="BP23" s="110">
        <v>0</v>
      </c>
      <c r="BQ23" s="6">
        <f>SUM(BM23:BP23)/Variables!$E$3</f>
        <v>0</v>
      </c>
      <c r="BS23" s="4">
        <v>21</v>
      </c>
      <c r="BT23" s="125">
        <f t="shared" si="1"/>
        <v>0</v>
      </c>
      <c r="BU23" s="128">
        <f t="shared" si="2"/>
        <v>0</v>
      </c>
      <c r="BV23" s="125">
        <f t="shared" si="3"/>
        <v>0</v>
      </c>
      <c r="BW23" s="125">
        <f t="shared" si="4"/>
        <v>0</v>
      </c>
      <c r="BX23" s="125">
        <f t="shared" si="5"/>
        <v>0</v>
      </c>
      <c r="BY23" s="125">
        <f t="shared" si="6"/>
        <v>0</v>
      </c>
      <c r="BZ23" s="125">
        <f t="shared" si="7"/>
        <v>0</v>
      </c>
      <c r="CA23" s="125">
        <f t="shared" si="8"/>
        <v>0</v>
      </c>
      <c r="CB23" s="125">
        <f t="shared" si="9"/>
        <v>0</v>
      </c>
      <c r="CC23" s="125">
        <f t="shared" si="10"/>
        <v>0</v>
      </c>
      <c r="CD23" s="125">
        <f t="shared" si="11"/>
        <v>0</v>
      </c>
      <c r="CE23" s="125">
        <f t="shared" si="13"/>
        <v>0</v>
      </c>
      <c r="CF23" s="126">
        <f t="shared" si="14"/>
        <v>0</v>
      </c>
      <c r="CH23" s="4">
        <v>21</v>
      </c>
      <c r="CI23" s="129">
        <v>0</v>
      </c>
      <c r="CJ23" s="125">
        <v>0</v>
      </c>
      <c r="CK23" s="125">
        <v>0</v>
      </c>
      <c r="CL23" s="125">
        <v>0</v>
      </c>
      <c r="CM23" s="125">
        <v>0</v>
      </c>
      <c r="CN23" s="125">
        <v>0</v>
      </c>
      <c r="CO23" s="125">
        <v>0</v>
      </c>
      <c r="CP23" s="125">
        <v>0</v>
      </c>
      <c r="CQ23" s="125">
        <v>0</v>
      </c>
      <c r="CR23" s="125">
        <v>0</v>
      </c>
      <c r="CS23" s="125">
        <v>0</v>
      </c>
      <c r="CT23" s="125">
        <v>0</v>
      </c>
      <c r="CU23" s="126">
        <v>0</v>
      </c>
    </row>
    <row r="24" spans="1:99" x14ac:dyDescent="0.25">
      <c r="A24" t="s">
        <v>189</v>
      </c>
      <c r="B24" s="2" t="s">
        <v>1</v>
      </c>
      <c r="C24" s="1">
        <v>3531</v>
      </c>
      <c r="D24" s="109">
        <v>121.72</v>
      </c>
      <c r="E24" s="18">
        <v>0</v>
      </c>
      <c r="F24" s="19">
        <v>0</v>
      </c>
      <c r="G24" s="19">
        <v>0</v>
      </c>
      <c r="H24" s="19">
        <v>0</v>
      </c>
      <c r="I24" s="19">
        <f>SUM(E24:H24)/Variables!$E$3</f>
        <v>0</v>
      </c>
      <c r="J24" s="4">
        <v>0</v>
      </c>
      <c r="K24">
        <v>0</v>
      </c>
      <c r="L24">
        <v>0</v>
      </c>
      <c r="M24">
        <v>0</v>
      </c>
      <c r="N24" s="6">
        <f>SUM(J24:M24)/Variables!$E$3</f>
        <v>0</v>
      </c>
      <c r="O24" s="4">
        <v>0</v>
      </c>
      <c r="P24">
        <v>0</v>
      </c>
      <c r="Q24">
        <v>0</v>
      </c>
      <c r="R24">
        <v>0</v>
      </c>
      <c r="S24" s="6">
        <f>SUM(O24:R24)/Variables!$E$3</f>
        <v>0</v>
      </c>
      <c r="T24" s="12">
        <v>0</v>
      </c>
      <c r="U24" s="6">
        <v>0</v>
      </c>
      <c r="V24" s="6">
        <v>0</v>
      </c>
      <c r="W24" s="6">
        <v>0</v>
      </c>
      <c r="X24" s="6">
        <f>SUM(T24:W24)/Variables!$E$3</f>
        <v>0</v>
      </c>
      <c r="Y24" s="12">
        <v>0</v>
      </c>
      <c r="Z24" s="6">
        <v>0</v>
      </c>
      <c r="AA24" s="6">
        <v>0</v>
      </c>
      <c r="AB24" s="6">
        <v>0</v>
      </c>
      <c r="AC24" s="6">
        <f>SUM(Y24:AB24)/Variables!$E$3</f>
        <v>0</v>
      </c>
      <c r="AD24" s="4">
        <v>0</v>
      </c>
      <c r="AE24" s="2">
        <v>0</v>
      </c>
      <c r="AF24" s="2">
        <v>0</v>
      </c>
      <c r="AG24" s="2">
        <v>0</v>
      </c>
      <c r="AH24" s="6">
        <f>SUM(AD24:AG24)/Variables!$E$3</f>
        <v>0</v>
      </c>
      <c r="AI24" s="4">
        <v>0</v>
      </c>
      <c r="AJ24" s="2">
        <v>0</v>
      </c>
      <c r="AK24" s="2">
        <v>0</v>
      </c>
      <c r="AL24" s="2">
        <v>0</v>
      </c>
      <c r="AM24" s="6">
        <f>SUM(AI24:AL24)/Variables!$E$3</f>
        <v>0</v>
      </c>
      <c r="AN24" s="4">
        <v>0</v>
      </c>
      <c r="AO24" s="2">
        <v>0</v>
      </c>
      <c r="AP24" s="2">
        <v>0</v>
      </c>
      <c r="AQ24" s="2">
        <v>0</v>
      </c>
      <c r="AR24" s="6">
        <f>SUM(AN24:AQ24)/Variables!$E$3</f>
        <v>0</v>
      </c>
      <c r="AS24" s="4">
        <v>0</v>
      </c>
      <c r="AT24" s="2">
        <v>0</v>
      </c>
      <c r="AU24" s="2">
        <v>0</v>
      </c>
      <c r="AV24" s="2">
        <v>0</v>
      </c>
      <c r="AW24" s="6">
        <f>SUM(AS24:AV24)/Variables!$E$3</f>
        <v>0</v>
      </c>
      <c r="AX24" s="4">
        <v>0</v>
      </c>
      <c r="AY24" s="2">
        <v>0</v>
      </c>
      <c r="AZ24" s="2">
        <v>0</v>
      </c>
      <c r="BA24" s="2">
        <v>0</v>
      </c>
      <c r="BB24" s="6">
        <f>SUM(AX24:BA24)/Variables!$E$3</f>
        <v>0</v>
      </c>
      <c r="BC24" s="12">
        <f t="shared" si="15"/>
        <v>0</v>
      </c>
      <c r="BD24" s="110">
        <f t="shared" si="15"/>
        <v>0</v>
      </c>
      <c r="BE24" s="110">
        <f t="shared" si="15"/>
        <v>0</v>
      </c>
      <c r="BF24" s="110">
        <f t="shared" si="15"/>
        <v>0</v>
      </c>
      <c r="BG24" s="6">
        <f>SUM(BC24:BF24)/Variables!$E$3</f>
        <v>0</v>
      </c>
      <c r="BH24" s="4">
        <v>0</v>
      </c>
      <c r="BI24">
        <v>0</v>
      </c>
      <c r="BJ24">
        <v>0</v>
      </c>
      <c r="BK24">
        <v>0</v>
      </c>
      <c r="BL24" s="6">
        <f>SUM(BH24:BK24)/Variables!$E$3</f>
        <v>0</v>
      </c>
      <c r="BM24" s="110">
        <v>0</v>
      </c>
      <c r="BN24" s="110">
        <v>0</v>
      </c>
      <c r="BO24" s="110">
        <v>0</v>
      </c>
      <c r="BP24" s="110">
        <v>0</v>
      </c>
      <c r="BQ24" s="6">
        <f>SUM(BM24:BP24)/Variables!$E$3</f>
        <v>0</v>
      </c>
      <c r="BS24" s="4">
        <v>22</v>
      </c>
      <c r="BT24" s="125">
        <f t="shared" si="1"/>
        <v>0</v>
      </c>
      <c r="BU24" s="128">
        <f t="shared" si="2"/>
        <v>6.3484271451080369E-3</v>
      </c>
      <c r="BV24" s="128">
        <f t="shared" si="3"/>
        <v>0</v>
      </c>
      <c r="BW24" s="125">
        <f t="shared" si="4"/>
        <v>0</v>
      </c>
      <c r="BX24" s="125">
        <f t="shared" si="5"/>
        <v>0</v>
      </c>
      <c r="BY24" s="125">
        <f t="shared" si="6"/>
        <v>0</v>
      </c>
      <c r="BZ24" s="125">
        <f t="shared" si="7"/>
        <v>0</v>
      </c>
      <c r="CA24" s="125">
        <f t="shared" si="8"/>
        <v>0</v>
      </c>
      <c r="CB24" s="125">
        <f t="shared" si="9"/>
        <v>2.3198916856032272E-5</v>
      </c>
      <c r="CC24" s="125">
        <f t="shared" si="10"/>
        <v>0</v>
      </c>
      <c r="CD24" s="125">
        <f t="shared" si="11"/>
        <v>0</v>
      </c>
      <c r="CE24" s="125">
        <f t="shared" si="13"/>
        <v>0</v>
      </c>
      <c r="CF24" s="126">
        <f t="shared" si="14"/>
        <v>0</v>
      </c>
      <c r="CH24" s="4">
        <v>22</v>
      </c>
      <c r="CI24" s="129">
        <v>0</v>
      </c>
      <c r="CJ24" s="125">
        <v>0</v>
      </c>
      <c r="CK24" s="125">
        <v>0</v>
      </c>
      <c r="CL24" s="125">
        <v>0</v>
      </c>
      <c r="CM24" s="125">
        <v>0</v>
      </c>
      <c r="CN24" s="125">
        <v>0</v>
      </c>
      <c r="CO24" s="125">
        <v>0</v>
      </c>
      <c r="CP24" s="125">
        <v>0</v>
      </c>
      <c r="CQ24" s="125">
        <v>0</v>
      </c>
      <c r="CR24" s="125">
        <v>0</v>
      </c>
      <c r="CS24" s="125">
        <v>0</v>
      </c>
      <c r="CT24" s="125">
        <v>0</v>
      </c>
      <c r="CU24" s="126">
        <v>0</v>
      </c>
    </row>
    <row r="25" spans="1:99" x14ac:dyDescent="0.25">
      <c r="A25" t="s">
        <v>189</v>
      </c>
      <c r="B25" s="2" t="s">
        <v>2</v>
      </c>
      <c r="C25" s="1">
        <v>3622</v>
      </c>
      <c r="D25" s="109">
        <v>34.6</v>
      </c>
      <c r="E25" s="18">
        <v>0</v>
      </c>
      <c r="F25" s="19">
        <v>0</v>
      </c>
      <c r="G25" s="19">
        <v>0</v>
      </c>
      <c r="H25" s="19">
        <v>0</v>
      </c>
      <c r="I25" s="19">
        <f>SUM(E25:H25)/Variables!$E$3</f>
        <v>0</v>
      </c>
      <c r="J25" s="4">
        <v>0</v>
      </c>
      <c r="K25">
        <v>0</v>
      </c>
      <c r="L25">
        <v>8018</v>
      </c>
      <c r="M25">
        <v>0</v>
      </c>
      <c r="N25" s="6">
        <f>SUM(J25:M25)/Variables!$E$3</f>
        <v>6.3484271451080369E-3</v>
      </c>
      <c r="O25" s="4">
        <v>0</v>
      </c>
      <c r="P25">
        <v>0</v>
      </c>
      <c r="Q25">
        <v>0</v>
      </c>
      <c r="R25">
        <v>0</v>
      </c>
      <c r="S25" s="6">
        <f>SUM(O25:R25)/Variables!$E$3</f>
        <v>0</v>
      </c>
      <c r="T25" s="12">
        <v>0</v>
      </c>
      <c r="U25" s="6">
        <v>0</v>
      </c>
      <c r="V25" s="6">
        <v>0</v>
      </c>
      <c r="W25" s="6">
        <v>0</v>
      </c>
      <c r="X25" s="6">
        <f>SUM(T25:W25)/Variables!$E$3</f>
        <v>0</v>
      </c>
      <c r="Y25" s="12">
        <v>0</v>
      </c>
      <c r="Z25" s="6">
        <v>0</v>
      </c>
      <c r="AA25" s="6">
        <v>0</v>
      </c>
      <c r="AB25" s="6">
        <v>0</v>
      </c>
      <c r="AC25" s="6">
        <f>SUM(Y25:AB25)/Variables!$E$3</f>
        <v>0</v>
      </c>
      <c r="AD25" s="4">
        <v>0</v>
      </c>
      <c r="AE25" s="2">
        <v>0</v>
      </c>
      <c r="AF25" s="2">
        <v>0</v>
      </c>
      <c r="AG25" s="2">
        <v>0</v>
      </c>
      <c r="AH25" s="6">
        <f>SUM(AD25:AG25)/Variables!$E$3</f>
        <v>0</v>
      </c>
      <c r="AI25" s="4">
        <v>0</v>
      </c>
      <c r="AJ25" s="2">
        <v>0</v>
      </c>
      <c r="AK25" s="2">
        <v>0</v>
      </c>
      <c r="AL25" s="2">
        <v>0</v>
      </c>
      <c r="AM25" s="6">
        <f>SUM(AI25:AL25)/Variables!$E$3</f>
        <v>0</v>
      </c>
      <c r="AN25" s="4">
        <v>0</v>
      </c>
      <c r="AO25" s="2">
        <v>0</v>
      </c>
      <c r="AP25" s="2">
        <v>0</v>
      </c>
      <c r="AQ25" s="2">
        <v>0</v>
      </c>
      <c r="AR25" s="6">
        <f>SUM(AN25:AQ25)/Variables!$E$3</f>
        <v>0</v>
      </c>
      <c r="AS25" s="4">
        <v>0</v>
      </c>
      <c r="AT25" s="2">
        <v>0</v>
      </c>
      <c r="AU25" s="2">
        <v>29.3000000000002</v>
      </c>
      <c r="AV25" s="2">
        <v>0</v>
      </c>
      <c r="AW25" s="6">
        <f>SUM(AS25:AV25)/Variables!$E$3</f>
        <v>2.3198916856032272E-5</v>
      </c>
      <c r="AX25" s="4">
        <v>0</v>
      </c>
      <c r="AY25" s="2">
        <v>0</v>
      </c>
      <c r="AZ25" s="2">
        <v>0</v>
      </c>
      <c r="BA25" s="2">
        <v>0</v>
      </c>
      <c r="BB25" s="6">
        <f>SUM(AX25:BA25)/Variables!$E$3</f>
        <v>0</v>
      </c>
      <c r="BC25" s="12">
        <f t="shared" si="15"/>
        <v>0</v>
      </c>
      <c r="BD25" s="110">
        <f t="shared" si="15"/>
        <v>0</v>
      </c>
      <c r="BE25" s="110">
        <f t="shared" si="15"/>
        <v>0</v>
      </c>
      <c r="BF25" s="110">
        <f t="shared" si="15"/>
        <v>0</v>
      </c>
      <c r="BG25" s="6">
        <f>SUM(BC25:BF25)/Variables!$E$3</f>
        <v>0</v>
      </c>
      <c r="BH25" s="4">
        <v>0</v>
      </c>
      <c r="BI25">
        <v>0</v>
      </c>
      <c r="BJ25">
        <v>0</v>
      </c>
      <c r="BK25">
        <v>0</v>
      </c>
      <c r="BL25" s="6">
        <f>SUM(BH25:BK25)/Variables!$E$3</f>
        <v>0</v>
      </c>
      <c r="BM25" s="110">
        <v>0</v>
      </c>
      <c r="BN25" s="110">
        <v>0</v>
      </c>
      <c r="BO25" s="110">
        <v>0</v>
      </c>
      <c r="BP25" s="110">
        <v>0</v>
      </c>
      <c r="BQ25" s="6">
        <f>SUM(BM25:BP25)/Variables!$E$3</f>
        <v>0</v>
      </c>
      <c r="BS25" s="4">
        <v>23</v>
      </c>
      <c r="BT25" s="125">
        <f t="shared" si="1"/>
        <v>0</v>
      </c>
      <c r="BU25" s="128">
        <f t="shared" si="2"/>
        <v>0.3253557035289274</v>
      </c>
      <c r="BV25" s="128">
        <f t="shared" si="3"/>
        <v>4.220302615222607E-2</v>
      </c>
      <c r="BW25" s="125">
        <f t="shared" si="4"/>
        <v>0.1043549830164926</v>
      </c>
      <c r="BX25" s="125">
        <f t="shared" si="5"/>
        <v>0.10302773576987942</v>
      </c>
      <c r="BY25" s="125">
        <f t="shared" si="6"/>
        <v>8.2668983919112593E-2</v>
      </c>
      <c r="BZ25" s="125">
        <f t="shared" si="7"/>
        <v>7.1799222479987962E-2</v>
      </c>
      <c r="CA25" s="125">
        <f t="shared" si="8"/>
        <v>7.8772199304824264E-2</v>
      </c>
      <c r="CB25" s="125">
        <f t="shared" si="9"/>
        <v>0.11885557288656283</v>
      </c>
      <c r="CC25" s="125">
        <f t="shared" si="10"/>
        <v>8.6206541619490262E-2</v>
      </c>
      <c r="CD25" s="125">
        <f t="shared" si="11"/>
        <v>0.10302773576987942</v>
      </c>
      <c r="CE25" s="125">
        <f t="shared" si="13"/>
        <v>8.7753109684162195E-2</v>
      </c>
      <c r="CF25" s="126">
        <f t="shared" si="14"/>
        <v>8.8632372386162991E-2</v>
      </c>
      <c r="CH25" s="4">
        <v>23</v>
      </c>
      <c r="CI25" s="129">
        <v>0</v>
      </c>
      <c r="CJ25" s="125">
        <v>0.45722214744376438</v>
      </c>
      <c r="CK25" s="125">
        <v>0</v>
      </c>
      <c r="CL25" s="125">
        <v>3.3366693322987515E-2</v>
      </c>
      <c r="CM25" s="125">
        <v>3.307516290706973E-2</v>
      </c>
      <c r="CN25" s="125">
        <v>0</v>
      </c>
      <c r="CO25" s="125">
        <v>0</v>
      </c>
      <c r="CP25" s="125">
        <v>0</v>
      </c>
      <c r="CQ25" s="125">
        <v>7.3103033278173218E-2</v>
      </c>
      <c r="CR25" s="125">
        <v>0</v>
      </c>
      <c r="CS25" s="125">
        <v>3.307516290706973E-2</v>
      </c>
      <c r="CT25" s="125">
        <v>0</v>
      </c>
      <c r="CU25" s="126">
        <v>0</v>
      </c>
    </row>
    <row r="26" spans="1:99" x14ac:dyDescent="0.25">
      <c r="A26" t="s">
        <v>190</v>
      </c>
      <c r="B26" s="2" t="s">
        <v>3</v>
      </c>
      <c r="C26" s="1">
        <v>3712</v>
      </c>
      <c r="D26" s="109">
        <v>86.2</v>
      </c>
      <c r="E26" s="18">
        <v>0</v>
      </c>
      <c r="F26" s="19">
        <v>0</v>
      </c>
      <c r="G26" s="19">
        <v>0</v>
      </c>
      <c r="H26" s="19">
        <v>0</v>
      </c>
      <c r="I26" s="19">
        <f>SUM(E26:H26)/Variables!$E$3</f>
        <v>0</v>
      </c>
      <c r="J26" s="4">
        <v>26655</v>
      </c>
      <c r="K26">
        <v>31089</v>
      </c>
      <c r="L26">
        <v>283431</v>
      </c>
      <c r="M26">
        <v>69746</v>
      </c>
      <c r="N26" s="6">
        <f>SUM(J26:M26)/Variables!$E$3</f>
        <v>0.3253557035289274</v>
      </c>
      <c r="O26" s="4">
        <v>0</v>
      </c>
      <c r="P26">
        <v>0</v>
      </c>
      <c r="Q26">
        <v>40710</v>
      </c>
      <c r="R26">
        <v>12592</v>
      </c>
      <c r="S26" s="6">
        <f>SUM(O26:R26)/Variables!$E$3</f>
        <v>4.220302615222607E-2</v>
      </c>
      <c r="T26" s="12">
        <v>0</v>
      </c>
      <c r="U26" s="6">
        <v>773.2</v>
      </c>
      <c r="V26" s="6">
        <v>106205.7</v>
      </c>
      <c r="W26" s="6">
        <v>24820.400000000001</v>
      </c>
      <c r="X26" s="6">
        <f>SUM(T26:W26)/Variables!$E$3</f>
        <v>0.1043549830164926</v>
      </c>
      <c r="Y26" s="12">
        <v>0</v>
      </c>
      <c r="Z26" s="6">
        <v>797.9</v>
      </c>
      <c r="AA26" s="6">
        <v>104315.3</v>
      </c>
      <c r="AB26" s="6">
        <v>25009.8</v>
      </c>
      <c r="AC26" s="6">
        <f>SUM(Y26:AB26)/Variables!$E$3</f>
        <v>0.10302773576987942</v>
      </c>
      <c r="AD26" s="4">
        <v>15.100000000000399</v>
      </c>
      <c r="AE26" s="2">
        <v>1446</v>
      </c>
      <c r="AF26" s="2">
        <v>83092.399999999994</v>
      </c>
      <c r="AG26" s="2">
        <v>19856.599999999999</v>
      </c>
      <c r="AH26" s="6">
        <f>SUM(AD26:AG26)/Variables!$E$3</f>
        <v>8.2668983919112593E-2</v>
      </c>
      <c r="AI26" s="4">
        <v>0</v>
      </c>
      <c r="AJ26" s="2">
        <v>645.79999999999995</v>
      </c>
      <c r="AK26" s="2">
        <v>75411.199999999997</v>
      </c>
      <c r="AL26" s="2">
        <v>14624.7</v>
      </c>
      <c r="AM26" s="6">
        <f>SUM(AI26:AL26)/Variables!$E$3</f>
        <v>7.1799222479987962E-2</v>
      </c>
      <c r="AN26" s="4">
        <v>0</v>
      </c>
      <c r="AO26" s="2">
        <v>748.2</v>
      </c>
      <c r="AP26" s="2">
        <v>76991</v>
      </c>
      <c r="AQ26" s="2">
        <v>21749.3</v>
      </c>
      <c r="AR26" s="6">
        <f>SUM(AN26:AQ26)/Variables!$E$3</f>
        <v>7.8772199304824264E-2</v>
      </c>
      <c r="AS26" s="4">
        <v>1636.1</v>
      </c>
      <c r="AT26" s="2">
        <v>4094</v>
      </c>
      <c r="AU26" s="2">
        <v>110070.2</v>
      </c>
      <c r="AV26" s="2">
        <v>34313.1</v>
      </c>
      <c r="AW26" s="6">
        <f>SUM(AS26:AV26)/Variables!$E$3</f>
        <v>0.11885557288656283</v>
      </c>
      <c r="AX26" s="4">
        <v>0</v>
      </c>
      <c r="AY26" s="2">
        <v>986.2</v>
      </c>
      <c r="AZ26" s="2">
        <v>84189.7</v>
      </c>
      <c r="BA26" s="2">
        <v>23702.1</v>
      </c>
      <c r="BB26" s="6">
        <f>SUM(AX26:BA26)/Variables!$E$3</f>
        <v>8.6206541619490262E-2</v>
      </c>
      <c r="BC26" s="12">
        <f t="shared" si="15"/>
        <v>0</v>
      </c>
      <c r="BD26" s="110">
        <f t="shared" si="15"/>
        <v>797.9</v>
      </c>
      <c r="BE26" s="110">
        <f t="shared" si="15"/>
        <v>104315.3</v>
      </c>
      <c r="BF26" s="110">
        <f t="shared" si="15"/>
        <v>25009.8</v>
      </c>
      <c r="BG26" s="6">
        <f>SUM(BC26:BF26)/Variables!$E$3</f>
        <v>0.10302773576987942</v>
      </c>
      <c r="BH26" s="4">
        <v>0</v>
      </c>
      <c r="BI26">
        <v>1176.7</v>
      </c>
      <c r="BJ26">
        <v>84932.3</v>
      </c>
      <c r="BK26">
        <v>24722.3</v>
      </c>
      <c r="BL26" s="6">
        <f>SUM(BH26:BK26)/Variables!$E$3</f>
        <v>8.7753109684162195E-2</v>
      </c>
      <c r="BM26" s="110">
        <v>95.699999999999804</v>
      </c>
      <c r="BN26" s="110">
        <v>1546.7</v>
      </c>
      <c r="BO26" s="110">
        <v>87068.6</v>
      </c>
      <c r="BP26" s="110">
        <v>23230.799999999999</v>
      </c>
      <c r="BQ26" s="6">
        <f>SUM(BM26:BP26)/Variables!$E$3</f>
        <v>8.8632372386162991E-2</v>
      </c>
      <c r="BS26" s="4">
        <v>24</v>
      </c>
      <c r="BT26" s="125">
        <f t="shared" si="1"/>
        <v>0</v>
      </c>
      <c r="BU26" s="128">
        <f t="shared" si="2"/>
        <v>0.18273383003824259</v>
      </c>
      <c r="BV26" s="128">
        <f t="shared" si="3"/>
        <v>4.0142835651905399E-2</v>
      </c>
      <c r="BW26" s="125">
        <f t="shared" si="4"/>
        <v>8.762310073713965E-2</v>
      </c>
      <c r="BX26" s="125">
        <f t="shared" si="5"/>
        <v>8.67306154443028E-2</v>
      </c>
      <c r="BY26" s="125">
        <f t="shared" si="6"/>
        <v>7.3465427279709256E-2</v>
      </c>
      <c r="BZ26" s="125">
        <f t="shared" si="7"/>
        <v>6.2168742428681145E-2</v>
      </c>
      <c r="CA26" s="125">
        <f t="shared" si="8"/>
        <v>6.7758097847172183E-2</v>
      </c>
      <c r="CB26" s="125">
        <f t="shared" si="9"/>
        <v>9.5979065550796119E-2</v>
      </c>
      <c r="CC26" s="125">
        <f t="shared" si="10"/>
        <v>7.2718865549212586E-2</v>
      </c>
      <c r="CD26" s="125">
        <f t="shared" si="11"/>
        <v>8.67306154443028E-2</v>
      </c>
      <c r="CE26" s="125">
        <f t="shared" si="13"/>
        <v>7.2785611920917828E-2</v>
      </c>
      <c r="CF26" s="126">
        <f t="shared" si="14"/>
        <v>7.5744542712135488E-2</v>
      </c>
      <c r="CH26" s="4">
        <v>24</v>
      </c>
      <c r="CI26" s="129">
        <v>0</v>
      </c>
      <c r="CJ26" s="125">
        <v>0.16200088678453511</v>
      </c>
      <c r="CK26" s="125">
        <v>0</v>
      </c>
      <c r="CL26" s="125">
        <v>0</v>
      </c>
      <c r="CM26" s="125">
        <v>0</v>
      </c>
      <c r="CN26" s="125">
        <v>0</v>
      </c>
      <c r="CO26" s="125">
        <v>0</v>
      </c>
      <c r="CP26" s="125">
        <v>0</v>
      </c>
      <c r="CQ26" s="125">
        <v>5.1631525190223203E-2</v>
      </c>
      <c r="CR26" s="125">
        <v>0</v>
      </c>
      <c r="CS26" s="125">
        <v>0</v>
      </c>
      <c r="CT26" s="125">
        <v>0</v>
      </c>
      <c r="CU26" s="126">
        <v>0</v>
      </c>
    </row>
    <row r="27" spans="1:99" x14ac:dyDescent="0.25">
      <c r="A27" t="s">
        <v>190</v>
      </c>
      <c r="B27" s="2" t="s">
        <v>4</v>
      </c>
      <c r="C27" s="1">
        <v>3804</v>
      </c>
      <c r="D27" s="109">
        <v>55.36</v>
      </c>
      <c r="E27" s="18">
        <v>0</v>
      </c>
      <c r="F27" s="19">
        <v>0</v>
      </c>
      <c r="G27" s="19">
        <v>0</v>
      </c>
      <c r="H27" s="19">
        <v>0</v>
      </c>
      <c r="I27" s="19">
        <f>SUM(E27:H27)/Variables!$E$3</f>
        <v>0</v>
      </c>
      <c r="J27" s="4">
        <v>10294</v>
      </c>
      <c r="K27">
        <v>15846</v>
      </c>
      <c r="L27">
        <v>168941</v>
      </c>
      <c r="M27">
        <v>35710</v>
      </c>
      <c r="N27" s="6">
        <f>SUM(J27:M27)/Variables!$E$3</f>
        <v>0.18273383003824259</v>
      </c>
      <c r="O27" s="4">
        <v>0</v>
      </c>
      <c r="P27">
        <v>0</v>
      </c>
      <c r="Q27">
        <v>38773</v>
      </c>
      <c r="R27">
        <v>11927</v>
      </c>
      <c r="S27" s="6">
        <f>SUM(O27:R27)/Variables!$E$3</f>
        <v>4.0142835651905399E-2</v>
      </c>
      <c r="T27" s="12">
        <v>515.6</v>
      </c>
      <c r="U27" s="6">
        <v>2253</v>
      </c>
      <c r="V27" s="6">
        <v>87437.5</v>
      </c>
      <c r="W27" s="6">
        <v>20461</v>
      </c>
      <c r="X27" s="6">
        <f>SUM(T27:W27)/Variables!$E$3</f>
        <v>8.762310073713965E-2</v>
      </c>
      <c r="Y27" s="12">
        <v>536.900000000001</v>
      </c>
      <c r="Z27" s="6">
        <v>2282.9</v>
      </c>
      <c r="AA27" s="6">
        <v>86116.9</v>
      </c>
      <c r="AB27" s="6">
        <v>20603.2</v>
      </c>
      <c r="AC27" s="6">
        <f>SUM(Y27:AB27)/Variables!$E$3</f>
        <v>8.67306154443028E-2</v>
      </c>
      <c r="AD27" s="4">
        <v>1220.5</v>
      </c>
      <c r="AE27" s="2">
        <v>3165.9</v>
      </c>
      <c r="AF27" s="2">
        <v>70949.899999999994</v>
      </c>
      <c r="AG27" s="2">
        <v>17449.8</v>
      </c>
      <c r="AH27" s="6">
        <f>SUM(AD27:AG27)/Variables!$E$3</f>
        <v>7.3465427279709256E-2</v>
      </c>
      <c r="AI27" s="4">
        <v>0</v>
      </c>
      <c r="AJ27" s="2">
        <v>870.5</v>
      </c>
      <c r="AK27" s="2">
        <v>64278.6</v>
      </c>
      <c r="AL27" s="2">
        <v>13369.4</v>
      </c>
      <c r="AM27" s="6">
        <f>SUM(AI27:AL27)/Variables!$E$3</f>
        <v>6.2168742428681145E-2</v>
      </c>
      <c r="AN27" s="4">
        <v>0</v>
      </c>
      <c r="AO27" s="2">
        <v>952.9</v>
      </c>
      <c r="AP27" s="2">
        <v>65912.5</v>
      </c>
      <c r="AQ27" s="2">
        <v>18712.400000000001</v>
      </c>
      <c r="AR27" s="6">
        <f>SUM(AN27:AQ27)/Variables!$E$3</f>
        <v>6.7758097847172183E-2</v>
      </c>
      <c r="AS27" s="4">
        <v>1499.5</v>
      </c>
      <c r="AT27" s="2">
        <v>3608.7</v>
      </c>
      <c r="AU27" s="2">
        <v>89126.9</v>
      </c>
      <c r="AV27" s="2">
        <v>26985.5</v>
      </c>
      <c r="AW27" s="6">
        <f>SUM(AS27:AV27)/Variables!$E$3</f>
        <v>9.5979065550796119E-2</v>
      </c>
      <c r="AX27" s="4">
        <v>50</v>
      </c>
      <c r="AY27" s="2">
        <v>1173.5</v>
      </c>
      <c r="AZ27" s="2">
        <v>70595.7</v>
      </c>
      <c r="BA27" s="2">
        <v>20024</v>
      </c>
      <c r="BB27" s="6">
        <f>SUM(AX27:BA27)/Variables!$E$3</f>
        <v>7.2718865549212586E-2</v>
      </c>
      <c r="BC27" s="12">
        <f t="shared" si="15"/>
        <v>536.900000000001</v>
      </c>
      <c r="BD27" s="110">
        <f t="shared" si="15"/>
        <v>2282.9</v>
      </c>
      <c r="BE27" s="110">
        <f t="shared" si="15"/>
        <v>86116.9</v>
      </c>
      <c r="BF27" s="110">
        <f t="shared" si="15"/>
        <v>20603.2</v>
      </c>
      <c r="BG27" s="6">
        <f>SUM(BC27:BF27)/Variables!$E$3</f>
        <v>8.67306154443028E-2</v>
      </c>
      <c r="BH27" s="4">
        <v>108</v>
      </c>
      <c r="BI27">
        <v>1365.8</v>
      </c>
      <c r="BJ27">
        <v>70447</v>
      </c>
      <c r="BK27">
        <v>20006.7</v>
      </c>
      <c r="BL27" s="6">
        <f>SUM(BH27:BK27)/Variables!$E$3</f>
        <v>7.2785611920917828E-2</v>
      </c>
      <c r="BM27" s="110">
        <v>295.60000000000002</v>
      </c>
      <c r="BN27" s="110">
        <v>1834.7</v>
      </c>
      <c r="BO27" s="110">
        <v>73623</v>
      </c>
      <c r="BP27" s="110">
        <v>19911.3</v>
      </c>
      <c r="BQ27" s="6">
        <f>SUM(BM27:BP27)/Variables!$E$3</f>
        <v>7.5744542712135488E-2</v>
      </c>
      <c r="BS27" s="4">
        <v>25</v>
      </c>
      <c r="BT27" s="125">
        <f t="shared" si="1"/>
        <v>0</v>
      </c>
      <c r="BU27" s="128">
        <f t="shared" si="2"/>
        <v>0.13311665175496243</v>
      </c>
      <c r="BV27" s="128">
        <f t="shared" si="3"/>
        <v>1.110935161798589E-2</v>
      </c>
      <c r="BW27" s="125">
        <f t="shared" si="4"/>
        <v>3.790853450937854E-2</v>
      </c>
      <c r="BX27" s="125">
        <f t="shared" si="5"/>
        <v>3.6613749910925662E-2</v>
      </c>
      <c r="BY27" s="125">
        <f t="shared" si="6"/>
        <v>2.6948273541358207E-2</v>
      </c>
      <c r="BZ27" s="125">
        <f t="shared" si="7"/>
        <v>2.2874132020047667E-2</v>
      </c>
      <c r="CA27" s="125">
        <f t="shared" si="8"/>
        <v>2.65843751732001E-2</v>
      </c>
      <c r="CB27" s="125">
        <f t="shared" si="9"/>
        <v>4.3256637028004974E-2</v>
      </c>
      <c r="CC27" s="125">
        <f t="shared" si="10"/>
        <v>3.1498586687147168E-2</v>
      </c>
      <c r="CD27" s="125">
        <f t="shared" si="11"/>
        <v>3.6613749910925662E-2</v>
      </c>
      <c r="CE27" s="125">
        <f t="shared" si="13"/>
        <v>2.5826570281633269E-2</v>
      </c>
      <c r="CF27" s="126">
        <f t="shared" si="14"/>
        <v>3.2531611493360993E-2</v>
      </c>
      <c r="CH27" s="4">
        <v>25</v>
      </c>
      <c r="CI27" s="129">
        <v>0</v>
      </c>
      <c r="CJ27" s="125">
        <v>0.10477636402505167</v>
      </c>
      <c r="CK27" s="125">
        <v>0</v>
      </c>
      <c r="CL27" s="125">
        <v>0</v>
      </c>
      <c r="CM27" s="125">
        <v>0</v>
      </c>
      <c r="CN27" s="125">
        <v>0</v>
      </c>
      <c r="CO27" s="125">
        <v>0</v>
      </c>
      <c r="CP27" s="125">
        <v>0</v>
      </c>
      <c r="CQ27" s="125">
        <v>0</v>
      </c>
      <c r="CR27" s="125">
        <v>0</v>
      </c>
      <c r="CS27" s="125">
        <v>0</v>
      </c>
      <c r="CT27" s="125">
        <v>0</v>
      </c>
      <c r="CU27" s="126">
        <v>0</v>
      </c>
    </row>
    <row r="28" spans="1:99" x14ac:dyDescent="0.25">
      <c r="A28" t="s">
        <v>190</v>
      </c>
      <c r="B28" s="2" t="s">
        <v>1</v>
      </c>
      <c r="C28" s="1">
        <v>3896</v>
      </c>
      <c r="D28" s="19">
        <v>92.62</v>
      </c>
      <c r="E28" s="18">
        <v>0</v>
      </c>
      <c r="F28" s="19">
        <v>0</v>
      </c>
      <c r="G28" s="19">
        <v>0</v>
      </c>
      <c r="H28" s="19">
        <v>0</v>
      </c>
      <c r="I28" s="19">
        <f>SUM(E28:H28)/Variables!$E$3</f>
        <v>0</v>
      </c>
      <c r="J28" s="4">
        <v>660</v>
      </c>
      <c r="K28">
        <v>7338</v>
      </c>
      <c r="L28">
        <v>146236</v>
      </c>
      <c r="M28">
        <v>13891</v>
      </c>
      <c r="N28" s="6">
        <f>SUM(J28:M28)/Variables!$E$3</f>
        <v>0.13311665175496243</v>
      </c>
      <c r="O28" s="4">
        <v>0</v>
      </c>
      <c r="P28">
        <v>0</v>
      </c>
      <c r="Q28">
        <v>12842</v>
      </c>
      <c r="R28">
        <v>1189</v>
      </c>
      <c r="S28" s="6">
        <f>SUM(O28:R28)/Variables!$E$3</f>
        <v>1.110935161798589E-2</v>
      </c>
      <c r="T28" s="12">
        <v>0</v>
      </c>
      <c r="U28" s="6">
        <v>0</v>
      </c>
      <c r="V28" s="6">
        <v>45379.3</v>
      </c>
      <c r="W28" s="6">
        <v>2498.8000000000002</v>
      </c>
      <c r="X28" s="6">
        <f>SUM(T28:W28)/Variables!$E$3</f>
        <v>3.790853450937854E-2</v>
      </c>
      <c r="Y28" s="12">
        <v>0</v>
      </c>
      <c r="Z28" s="6">
        <v>0</v>
      </c>
      <c r="AA28" s="6">
        <v>43768.800000000003</v>
      </c>
      <c r="AB28" s="6">
        <v>2474</v>
      </c>
      <c r="AC28" s="6">
        <f>SUM(Y28:AB28)/Variables!$E$3</f>
        <v>3.6613749910925662E-2</v>
      </c>
      <c r="AD28" s="4">
        <v>0</v>
      </c>
      <c r="AE28" s="2">
        <v>0</v>
      </c>
      <c r="AF28" s="2">
        <v>30480.400000000001</v>
      </c>
      <c r="AG28" s="2">
        <v>3555</v>
      </c>
      <c r="AH28" s="6">
        <f>SUM(AD28:AG28)/Variables!$E$3</f>
        <v>2.6948273541358207E-2</v>
      </c>
      <c r="AI28" s="4">
        <v>0</v>
      </c>
      <c r="AJ28" s="2">
        <v>0</v>
      </c>
      <c r="AK28" s="2">
        <v>27481.4</v>
      </c>
      <c r="AL28" s="2">
        <v>1408.4</v>
      </c>
      <c r="AM28" s="6">
        <f>SUM(AI28:AL28)/Variables!$E$3</f>
        <v>2.2874132020047667E-2</v>
      </c>
      <c r="AN28" s="4">
        <v>0</v>
      </c>
      <c r="AO28" s="2">
        <v>0</v>
      </c>
      <c r="AP28" s="2">
        <v>29450.1</v>
      </c>
      <c r="AQ28" s="2">
        <v>4125.7</v>
      </c>
      <c r="AR28" s="6">
        <f>SUM(AN28:AQ28)/Variables!$E$3</f>
        <v>2.65843751732001E-2</v>
      </c>
      <c r="AS28" s="4">
        <v>0</v>
      </c>
      <c r="AT28" s="2">
        <v>0</v>
      </c>
      <c r="AU28" s="2">
        <v>48509.3</v>
      </c>
      <c r="AV28" s="2">
        <v>6123.4</v>
      </c>
      <c r="AW28" s="6">
        <f>SUM(AS28:AV28)/Variables!$E$3</f>
        <v>4.3256637028004974E-2</v>
      </c>
      <c r="AX28" s="4">
        <v>0</v>
      </c>
      <c r="AY28" s="2">
        <v>0</v>
      </c>
      <c r="AZ28" s="2">
        <v>34928.300000000003</v>
      </c>
      <c r="BA28" s="2">
        <v>4854.1000000000004</v>
      </c>
      <c r="BB28" s="6">
        <f>SUM(AX28:BA28)/Variables!$E$3</f>
        <v>3.1498586687147168E-2</v>
      </c>
      <c r="BC28" s="12">
        <f t="shared" si="15"/>
        <v>0</v>
      </c>
      <c r="BD28" s="110">
        <f t="shared" si="15"/>
        <v>0</v>
      </c>
      <c r="BE28" s="110">
        <f t="shared" si="15"/>
        <v>43768.800000000003</v>
      </c>
      <c r="BF28" s="110">
        <f t="shared" si="15"/>
        <v>2474</v>
      </c>
      <c r="BG28" s="6">
        <f>SUM(BC28:BF28)/Variables!$E$3</f>
        <v>3.6613749910925662E-2</v>
      </c>
      <c r="BH28" s="4">
        <v>0</v>
      </c>
      <c r="BI28">
        <v>0</v>
      </c>
      <c r="BJ28">
        <v>30823.7</v>
      </c>
      <c r="BK28">
        <v>1795</v>
      </c>
      <c r="BL28" s="6">
        <f>SUM(BH28:BK28)/Variables!$E$3</f>
        <v>2.5826570281633269E-2</v>
      </c>
      <c r="BM28" s="110">
        <v>0</v>
      </c>
      <c r="BN28" s="110">
        <v>0</v>
      </c>
      <c r="BO28" s="110">
        <v>36426.5</v>
      </c>
      <c r="BP28" s="110">
        <v>4660.6000000000004</v>
      </c>
      <c r="BQ28" s="6">
        <f>SUM(BM28:BP28)/Variables!$E$3</f>
        <v>3.2531611493360993E-2</v>
      </c>
      <c r="BS28" s="4">
        <v>26</v>
      </c>
      <c r="BT28" s="125">
        <f t="shared" si="1"/>
        <v>0</v>
      </c>
      <c r="BU28" s="125">
        <f t="shared" si="2"/>
        <v>1.0846483345077949E-2</v>
      </c>
      <c r="BV28" s="125">
        <f t="shared" si="3"/>
        <v>0</v>
      </c>
      <c r="BW28" s="125">
        <f t="shared" si="4"/>
        <v>0</v>
      </c>
      <c r="BX28" s="125">
        <f t="shared" si="5"/>
        <v>0</v>
      </c>
      <c r="BY28" s="125">
        <f t="shared" si="6"/>
        <v>0</v>
      </c>
      <c r="BZ28" s="125">
        <f t="shared" si="7"/>
        <v>0</v>
      </c>
      <c r="CA28" s="125">
        <f t="shared" si="8"/>
        <v>0</v>
      </c>
      <c r="CB28" s="125">
        <f t="shared" si="9"/>
        <v>0</v>
      </c>
      <c r="CC28" s="125">
        <f t="shared" si="10"/>
        <v>0</v>
      </c>
      <c r="CD28" s="125">
        <f t="shared" si="11"/>
        <v>0</v>
      </c>
      <c r="CE28" s="125">
        <f t="shared" si="13"/>
        <v>0</v>
      </c>
      <c r="CF28" s="126">
        <f t="shared" si="14"/>
        <v>0</v>
      </c>
      <c r="CH28" s="4">
        <v>26</v>
      </c>
      <c r="CI28" s="129">
        <v>0</v>
      </c>
      <c r="CJ28" s="125">
        <v>0</v>
      </c>
      <c r="CK28" s="125">
        <v>0</v>
      </c>
      <c r="CL28" s="125">
        <v>0</v>
      </c>
      <c r="CM28" s="125">
        <v>0</v>
      </c>
      <c r="CN28" s="125">
        <v>0</v>
      </c>
      <c r="CO28" s="125">
        <v>0</v>
      </c>
      <c r="CP28" s="125">
        <v>0</v>
      </c>
      <c r="CQ28" s="125">
        <v>0</v>
      </c>
      <c r="CR28" s="125">
        <v>0</v>
      </c>
      <c r="CS28" s="125">
        <v>0</v>
      </c>
      <c r="CT28" s="125">
        <v>0</v>
      </c>
      <c r="CU28" s="126">
        <v>0</v>
      </c>
    </row>
    <row r="29" spans="1:99" x14ac:dyDescent="0.25">
      <c r="A29" t="s">
        <v>190</v>
      </c>
      <c r="B29" s="2" t="s">
        <v>2</v>
      </c>
      <c r="C29" s="1">
        <v>3987</v>
      </c>
      <c r="D29" s="19">
        <v>70.400000000000006</v>
      </c>
      <c r="E29" s="18">
        <v>0</v>
      </c>
      <c r="F29" s="19">
        <v>0</v>
      </c>
      <c r="G29" s="19">
        <v>0</v>
      </c>
      <c r="H29" s="19">
        <v>0</v>
      </c>
      <c r="I29" s="19">
        <f>SUM(E29:H29)/Variables!$E$3</f>
        <v>0</v>
      </c>
      <c r="J29" s="4">
        <v>0</v>
      </c>
      <c r="K29">
        <v>0</v>
      </c>
      <c r="L29">
        <v>13699</v>
      </c>
      <c r="M29">
        <v>0</v>
      </c>
      <c r="N29" s="6">
        <f>SUM(J29:M29)/Variables!$E$3</f>
        <v>1.0846483345077949E-2</v>
      </c>
      <c r="O29" s="4">
        <v>0</v>
      </c>
      <c r="P29">
        <v>0</v>
      </c>
      <c r="Q29">
        <v>0</v>
      </c>
      <c r="R29">
        <v>0</v>
      </c>
      <c r="S29" s="6">
        <f>SUM(O29:R29)/Variables!$E$3</f>
        <v>0</v>
      </c>
      <c r="T29" s="12">
        <v>0</v>
      </c>
      <c r="U29" s="6">
        <v>0</v>
      </c>
      <c r="V29" s="6">
        <v>0</v>
      </c>
      <c r="W29" s="6">
        <v>0</v>
      </c>
      <c r="X29" s="6">
        <f>SUM(T29:W29)/Variables!$E$3</f>
        <v>0</v>
      </c>
      <c r="Y29" s="12">
        <v>0</v>
      </c>
      <c r="Z29" s="6">
        <v>0</v>
      </c>
      <c r="AA29" s="6">
        <v>0</v>
      </c>
      <c r="AB29" s="6">
        <v>0</v>
      </c>
      <c r="AC29" s="6">
        <f>SUM(Y29:AB29)/Variables!$E$3</f>
        <v>0</v>
      </c>
      <c r="AD29" s="4">
        <v>0</v>
      </c>
      <c r="AE29" s="2">
        <v>0</v>
      </c>
      <c r="AF29" s="2">
        <v>0</v>
      </c>
      <c r="AG29" s="2">
        <v>0</v>
      </c>
      <c r="AH29" s="6">
        <f>SUM(AD29:AG29)/Variables!$E$3</f>
        <v>0</v>
      </c>
      <c r="AI29" s="4">
        <v>0</v>
      </c>
      <c r="AJ29" s="2">
        <v>0</v>
      </c>
      <c r="AK29" s="2">
        <v>0</v>
      </c>
      <c r="AL29" s="2">
        <v>0</v>
      </c>
      <c r="AM29" s="6">
        <f>SUM(AI29:AL29)/Variables!$E$3</f>
        <v>0</v>
      </c>
      <c r="AN29" s="4">
        <v>0</v>
      </c>
      <c r="AO29" s="2">
        <v>0</v>
      </c>
      <c r="AP29" s="2">
        <v>0</v>
      </c>
      <c r="AQ29" s="2">
        <v>0</v>
      </c>
      <c r="AR29" s="6">
        <f>SUM(AN29:AQ29)/Variables!$E$3</f>
        <v>0</v>
      </c>
      <c r="AS29" s="4">
        <v>0</v>
      </c>
      <c r="AT29" s="2">
        <v>0</v>
      </c>
      <c r="AU29" s="2">
        <v>0</v>
      </c>
      <c r="AV29" s="2">
        <v>0</v>
      </c>
      <c r="AW29" s="6">
        <f>SUM(AS29:AV29)/Variables!$E$3</f>
        <v>0</v>
      </c>
      <c r="AX29" s="4">
        <v>0</v>
      </c>
      <c r="AY29" s="2">
        <v>0</v>
      </c>
      <c r="AZ29" s="2">
        <v>0</v>
      </c>
      <c r="BA29" s="2">
        <v>0</v>
      </c>
      <c r="BB29" s="6">
        <f>SUM(AX29:BA29)/Variables!$E$3</f>
        <v>0</v>
      </c>
      <c r="BC29" s="12">
        <f t="shared" si="15"/>
        <v>0</v>
      </c>
      <c r="BD29" s="110">
        <f t="shared" si="15"/>
        <v>0</v>
      </c>
      <c r="BE29" s="110">
        <f t="shared" si="15"/>
        <v>0</v>
      </c>
      <c r="BF29" s="110">
        <f t="shared" si="15"/>
        <v>0</v>
      </c>
      <c r="BG29" s="6">
        <f>SUM(BC29:BF29)/Variables!$E$3</f>
        <v>0</v>
      </c>
      <c r="BH29" s="4">
        <v>0</v>
      </c>
      <c r="BI29">
        <v>0</v>
      </c>
      <c r="BJ29">
        <v>0</v>
      </c>
      <c r="BK29">
        <v>0</v>
      </c>
      <c r="BL29" s="6">
        <f>SUM(BH29:BK29)/Variables!$E$3</f>
        <v>0</v>
      </c>
      <c r="BM29" s="110">
        <v>0</v>
      </c>
      <c r="BN29" s="110">
        <v>0</v>
      </c>
      <c r="BO29" s="110">
        <v>0</v>
      </c>
      <c r="BP29" s="110">
        <v>0</v>
      </c>
      <c r="BQ29" s="6">
        <f>SUM(BM29:BP29)/Variables!$E$3</f>
        <v>0</v>
      </c>
      <c r="BS29" s="4">
        <v>27</v>
      </c>
      <c r="BT29" s="125">
        <f t="shared" si="1"/>
        <v>0</v>
      </c>
      <c r="BU29" s="125">
        <f t="shared" si="2"/>
        <v>0.69375371143081099</v>
      </c>
      <c r="BV29" s="125">
        <f t="shared" si="3"/>
        <v>0.30041884733845875</v>
      </c>
      <c r="BW29" s="125">
        <f t="shared" si="4"/>
        <v>0.41939318601097397</v>
      </c>
      <c r="BX29" s="125">
        <f t="shared" si="5"/>
        <v>0.41577858890410846</v>
      </c>
      <c r="BY29" s="125">
        <f t="shared" si="6"/>
        <v>0.36548024924979616</v>
      </c>
      <c r="BZ29" s="125">
        <f t="shared" si="7"/>
        <v>0.34578302282678408</v>
      </c>
      <c r="CA29" s="125">
        <f t="shared" si="8"/>
        <v>0.3633541833268672</v>
      </c>
      <c r="CB29" s="125">
        <f t="shared" si="9"/>
        <v>0.44185480486781364</v>
      </c>
      <c r="CC29" s="125">
        <f t="shared" si="10"/>
        <v>0.36962105796562128</v>
      </c>
      <c r="CD29" s="125">
        <f t="shared" si="11"/>
        <v>0.41577858890410846</v>
      </c>
      <c r="CE29" s="125">
        <f t="shared" si="13"/>
        <v>0.36634058860323521</v>
      </c>
      <c r="CF29" s="126">
        <f t="shared" si="14"/>
        <v>0.37781233422275712</v>
      </c>
      <c r="CH29" s="4">
        <v>27</v>
      </c>
      <c r="CI29" s="129">
        <v>0</v>
      </c>
      <c r="CJ29" s="125">
        <v>0</v>
      </c>
      <c r="CK29" s="125">
        <v>0.23987125788802763</v>
      </c>
      <c r="CL29" s="125">
        <v>0.28924255140579103</v>
      </c>
      <c r="CM29" s="125">
        <v>0.28915640662238024</v>
      </c>
      <c r="CN29" s="125">
        <v>0.27848925961409038</v>
      </c>
      <c r="CO29" s="125">
        <v>0.25926032668508858</v>
      </c>
      <c r="CP29" s="125">
        <v>0.25981773410715842</v>
      </c>
      <c r="CQ29" s="125">
        <v>0.30844662269693346</v>
      </c>
      <c r="CR29" s="125">
        <v>0.26185607170286385</v>
      </c>
      <c r="CS29" s="125">
        <v>0.28915640662238024</v>
      </c>
      <c r="CT29" s="125">
        <v>0.26052462806514698</v>
      </c>
      <c r="CU29" s="126">
        <v>0.2790741019327152</v>
      </c>
    </row>
    <row r="30" spans="1:99" x14ac:dyDescent="0.25">
      <c r="A30" t="s">
        <v>191</v>
      </c>
      <c r="B30" s="2" t="s">
        <v>3</v>
      </c>
      <c r="C30" s="1">
        <v>4077</v>
      </c>
      <c r="D30" s="19">
        <v>214.76</v>
      </c>
      <c r="E30" s="18">
        <v>0</v>
      </c>
      <c r="F30" s="19">
        <v>0</v>
      </c>
      <c r="G30" s="19">
        <v>0</v>
      </c>
      <c r="H30" s="19">
        <v>0</v>
      </c>
      <c r="I30" s="19">
        <f>SUM(E30:H30)/Variables!$E$3</f>
        <v>0</v>
      </c>
      <c r="J30" s="4">
        <v>40105</v>
      </c>
      <c r="K30">
        <v>52802</v>
      </c>
      <c r="L30">
        <v>638121</v>
      </c>
      <c r="M30">
        <v>145176</v>
      </c>
      <c r="N30" s="6">
        <f>SUM(J30:M30)/Variables!$E$3</f>
        <v>0.69375371143081099</v>
      </c>
      <c r="O30" s="4">
        <v>11609</v>
      </c>
      <c r="P30">
        <v>15640</v>
      </c>
      <c r="Q30">
        <v>275813</v>
      </c>
      <c r="R30">
        <v>76364</v>
      </c>
      <c r="S30" s="6">
        <f>SUM(O30:R30)/Variables!$E$3</f>
        <v>0.30041884733845875</v>
      </c>
      <c r="T30" s="12">
        <v>15328.3</v>
      </c>
      <c r="U30" s="6">
        <v>19668</v>
      </c>
      <c r="V30" s="6">
        <v>391418.8</v>
      </c>
      <c r="W30" s="6">
        <v>103274.3</v>
      </c>
      <c r="X30" s="6">
        <f>SUM(T30:W30)/Variables!$E$3</f>
        <v>0.41939318601097397</v>
      </c>
      <c r="Y30" s="12">
        <v>15300.7</v>
      </c>
      <c r="Z30" s="6">
        <v>19632.900000000001</v>
      </c>
      <c r="AA30" s="6">
        <v>386993.9</v>
      </c>
      <c r="AB30" s="6">
        <v>103196.7</v>
      </c>
      <c r="AC30" s="6">
        <f>SUM(Y30:AB30)/Variables!$E$3</f>
        <v>0.41577858890410846</v>
      </c>
      <c r="AD30" s="4">
        <v>15351.8</v>
      </c>
      <c r="AE30" s="2">
        <v>20304.2</v>
      </c>
      <c r="AF30" s="2">
        <v>338935.7</v>
      </c>
      <c r="AG30" s="2">
        <v>87006.2</v>
      </c>
      <c r="AH30" s="6">
        <f>SUM(AD30:AG30)/Variables!$E$3</f>
        <v>0.36548024924979616</v>
      </c>
      <c r="AI30" s="4">
        <v>13954.6</v>
      </c>
      <c r="AJ30" s="2">
        <v>18419</v>
      </c>
      <c r="AK30" s="2">
        <v>325244.3</v>
      </c>
      <c r="AL30" s="2">
        <v>79102.600000000006</v>
      </c>
      <c r="AM30" s="6">
        <f>SUM(AI30:AL30)/Variables!$E$3</f>
        <v>0.34578302282678408</v>
      </c>
      <c r="AN30" s="4">
        <v>14047.4</v>
      </c>
      <c r="AO30" s="2">
        <v>18474.900000000001</v>
      </c>
      <c r="AP30" s="2">
        <v>331004.90000000002</v>
      </c>
      <c r="AQ30" s="2">
        <v>95385.5</v>
      </c>
      <c r="AR30" s="6">
        <f>SUM(AN30:AQ30)/Variables!$E$3</f>
        <v>0.3633541833268672</v>
      </c>
      <c r="AS30" s="4">
        <v>17339.2</v>
      </c>
      <c r="AT30" s="2">
        <v>22256.6</v>
      </c>
      <c r="AU30" s="2">
        <v>396756.6</v>
      </c>
      <c r="AV30" s="2">
        <v>121705.8</v>
      </c>
      <c r="AW30" s="6">
        <f>SUM(AS30:AV30)/Variables!$E$3</f>
        <v>0.44185480486781364</v>
      </c>
      <c r="AX30" s="4">
        <v>12958.2</v>
      </c>
      <c r="AY30" s="2">
        <v>17304.599999999999</v>
      </c>
      <c r="AZ30" s="2">
        <v>337980.2</v>
      </c>
      <c r="BA30" s="2">
        <v>98584.7</v>
      </c>
      <c r="BB30" s="6">
        <f>SUM(AX30:BA30)/Variables!$E$3</f>
        <v>0.36962105796562128</v>
      </c>
      <c r="BC30" s="12">
        <f t="shared" si="15"/>
        <v>15300.7</v>
      </c>
      <c r="BD30" s="110">
        <f t="shared" si="15"/>
        <v>19632.900000000001</v>
      </c>
      <c r="BE30" s="110">
        <f t="shared" si="15"/>
        <v>386993.9</v>
      </c>
      <c r="BF30" s="110">
        <f t="shared" si="15"/>
        <v>103196.7</v>
      </c>
      <c r="BG30" s="6">
        <f>SUM(BC30:BF30)/Variables!$E$3</f>
        <v>0.41577858890410846</v>
      </c>
      <c r="BH30" s="4">
        <v>12894.2</v>
      </c>
      <c r="BI30">
        <v>17247.400000000001</v>
      </c>
      <c r="BJ30">
        <v>332272.8</v>
      </c>
      <c r="BK30">
        <v>100270.1</v>
      </c>
      <c r="BL30" s="6">
        <f>SUM(BH30:BK30)/Variables!$E$3</f>
        <v>0.36634058860323521</v>
      </c>
      <c r="BM30" s="110">
        <v>14073.2</v>
      </c>
      <c r="BN30" s="110">
        <v>18789.3</v>
      </c>
      <c r="BO30" s="110">
        <v>345739.2</v>
      </c>
      <c r="BP30" s="110">
        <v>98571.5</v>
      </c>
      <c r="BQ30" s="6">
        <f>SUM(BM30:BP30)/Variables!$E$3</f>
        <v>0.37781233422275712</v>
      </c>
      <c r="BS30" s="4">
        <v>28</v>
      </c>
      <c r="BT30" s="125">
        <f t="shared" si="1"/>
        <v>0</v>
      </c>
      <c r="BU30" s="125">
        <f t="shared" si="2"/>
        <v>4.8885581041813474E-2</v>
      </c>
      <c r="BV30" s="125">
        <f t="shared" si="3"/>
        <v>2.5404793387121039E-2</v>
      </c>
      <c r="BW30" s="125">
        <f t="shared" si="4"/>
        <v>3.0048377263477938E-2</v>
      </c>
      <c r="BX30" s="125">
        <f t="shared" si="5"/>
        <v>3.0022169613377777E-2</v>
      </c>
      <c r="BY30" s="125">
        <f t="shared" si="6"/>
        <v>2.8163801771985526E-2</v>
      </c>
      <c r="BZ30" s="125">
        <f t="shared" si="7"/>
        <v>2.7245425537811067E-2</v>
      </c>
      <c r="CA30" s="125">
        <f t="shared" si="8"/>
        <v>2.7434421491856625E-2</v>
      </c>
      <c r="CB30" s="125">
        <f t="shared" si="9"/>
        <v>3.0169280833577464E-2</v>
      </c>
      <c r="CC30" s="125">
        <f t="shared" si="10"/>
        <v>2.8226035043824572E-2</v>
      </c>
      <c r="CD30" s="125">
        <f t="shared" si="11"/>
        <v>3.0022169613377777E-2</v>
      </c>
      <c r="CE30" s="125">
        <f t="shared" si="13"/>
        <v>2.7978052082756E-2</v>
      </c>
      <c r="CF30" s="126">
        <f t="shared" si="14"/>
        <v>2.8308300144894258E-2</v>
      </c>
      <c r="CH30" s="4">
        <v>28</v>
      </c>
      <c r="CI30" s="129">
        <v>0</v>
      </c>
      <c r="CJ30" s="125">
        <v>0.858182566766166</v>
      </c>
      <c r="CK30" s="125">
        <v>0.23987125788802763</v>
      </c>
      <c r="CL30" s="125">
        <v>0.28924255140579103</v>
      </c>
      <c r="CM30" s="125">
        <v>0.28915640662238024</v>
      </c>
      <c r="CN30" s="125">
        <v>0.27848925961409038</v>
      </c>
      <c r="CO30" s="125">
        <v>0.25926032668508858</v>
      </c>
      <c r="CP30" s="125">
        <v>0.25981773410715842</v>
      </c>
      <c r="CQ30" s="125">
        <v>0.30844662269693346</v>
      </c>
      <c r="CR30" s="125">
        <v>0.26185607170286385</v>
      </c>
      <c r="CS30" s="125">
        <v>0.28915640662238024</v>
      </c>
      <c r="CT30" s="125">
        <v>0.26052462806514698</v>
      </c>
      <c r="CU30" s="126">
        <v>0.2790741019327152</v>
      </c>
    </row>
    <row r="31" spans="1:99" x14ac:dyDescent="0.25">
      <c r="A31" t="s">
        <v>191</v>
      </c>
      <c r="B31" s="2" t="s">
        <v>4</v>
      </c>
      <c r="C31" s="1">
        <v>4169</v>
      </c>
      <c r="D31" s="19">
        <v>82.22</v>
      </c>
      <c r="E31" s="18">
        <v>0</v>
      </c>
      <c r="F31" s="19">
        <v>0</v>
      </c>
      <c r="G31" s="19">
        <v>0</v>
      </c>
      <c r="H31" s="19">
        <v>0</v>
      </c>
      <c r="I31" s="19">
        <f>SUM(E31:H31)/Variables!$E$3</f>
        <v>0</v>
      </c>
      <c r="J31" s="4">
        <v>13013</v>
      </c>
      <c r="K31">
        <v>15010</v>
      </c>
      <c r="L31">
        <v>33719</v>
      </c>
      <c r="M31">
        <v>0</v>
      </c>
      <c r="N31" s="6">
        <f>SUM(J31:M31)/Variables!$E$3</f>
        <v>4.8885581041813474E-2</v>
      </c>
      <c r="O31" s="4">
        <v>6537</v>
      </c>
      <c r="P31">
        <v>8251</v>
      </c>
      <c r="Q31">
        <v>17298</v>
      </c>
      <c r="R31">
        <v>0</v>
      </c>
      <c r="S31" s="6">
        <f>SUM(O31:R31)/Variables!$E$3</f>
        <v>2.5404793387121039E-2</v>
      </c>
      <c r="T31" s="12">
        <v>7699.6</v>
      </c>
      <c r="U31" s="6">
        <v>9302.2999999999993</v>
      </c>
      <c r="V31" s="6">
        <v>20948.900000000001</v>
      </c>
      <c r="W31" s="6">
        <v>0</v>
      </c>
      <c r="X31" s="6">
        <f>SUM(T31:W31)/Variables!$E$3</f>
        <v>3.0048377263477938E-2</v>
      </c>
      <c r="Y31" s="12">
        <v>7690.4</v>
      </c>
      <c r="Z31" s="6">
        <v>9292.7000000000007</v>
      </c>
      <c r="AA31" s="6">
        <v>20934.599999999999</v>
      </c>
      <c r="AB31" s="6">
        <v>0</v>
      </c>
      <c r="AC31" s="6">
        <f>SUM(Y31:AB31)/Variables!$E$3</f>
        <v>3.0022169613377777E-2</v>
      </c>
      <c r="AD31" s="4">
        <v>6842.1</v>
      </c>
      <c r="AE31" s="2">
        <v>8550.7000000000007</v>
      </c>
      <c r="AF31" s="2">
        <v>20177.8</v>
      </c>
      <c r="AG31" s="2">
        <v>0</v>
      </c>
      <c r="AH31" s="6">
        <f>SUM(AD31:AG31)/Variables!$E$3</f>
        <v>2.8163801771985526E-2</v>
      </c>
      <c r="AI31" s="4">
        <v>7156.8</v>
      </c>
      <c r="AJ31" s="2">
        <v>8841</v>
      </c>
      <c r="AK31" s="2">
        <v>18412.900000000001</v>
      </c>
      <c r="AL31" s="2">
        <v>0</v>
      </c>
      <c r="AM31" s="6">
        <f>SUM(AI31:AL31)/Variables!$E$3</f>
        <v>2.7245425537811067E-2</v>
      </c>
      <c r="AN31" s="4">
        <v>7199.4</v>
      </c>
      <c r="AO31" s="2">
        <v>8881.6</v>
      </c>
      <c r="AP31" s="2">
        <v>18568.400000000001</v>
      </c>
      <c r="AQ31" s="2">
        <v>0</v>
      </c>
      <c r="AR31" s="6">
        <f>SUM(AN31:AQ31)/Variables!$E$3</f>
        <v>2.7434421491856625E-2</v>
      </c>
      <c r="AS31" s="4">
        <v>7633.5</v>
      </c>
      <c r="AT31" s="2">
        <v>9258</v>
      </c>
      <c r="AU31" s="2">
        <v>21212</v>
      </c>
      <c r="AV31" s="2">
        <v>0</v>
      </c>
      <c r="AW31" s="6">
        <f>SUM(AS31:AV31)/Variables!$E$3</f>
        <v>3.0169280833577464E-2</v>
      </c>
      <c r="AX31" s="4">
        <v>6885</v>
      </c>
      <c r="AY31" s="2">
        <v>8572.6</v>
      </c>
      <c r="AZ31" s="2">
        <v>20191.599999999999</v>
      </c>
      <c r="BA31" s="2">
        <v>0</v>
      </c>
      <c r="BB31" s="6">
        <f>SUM(AX31:BA31)/Variables!$E$3</f>
        <v>2.8226035043824572E-2</v>
      </c>
      <c r="BC31" s="12">
        <f t="shared" si="15"/>
        <v>7690.4</v>
      </c>
      <c r="BD31" s="110">
        <f t="shared" si="15"/>
        <v>9292.7000000000007</v>
      </c>
      <c r="BE31" s="110">
        <f t="shared" si="15"/>
        <v>20934.599999999999</v>
      </c>
      <c r="BF31" s="110">
        <f t="shared" si="15"/>
        <v>0</v>
      </c>
      <c r="BG31" s="6">
        <f>SUM(BC31:BF31)/Variables!$E$3</f>
        <v>3.0022169613377777E-2</v>
      </c>
      <c r="BH31" s="4">
        <v>6813</v>
      </c>
      <c r="BI31">
        <v>8504</v>
      </c>
      <c r="BJ31">
        <v>20019</v>
      </c>
      <c r="BK31">
        <v>0</v>
      </c>
      <c r="BL31" s="6">
        <f>SUM(BH31:BK31)/Variables!$E$3</f>
        <v>2.7978052082756E-2</v>
      </c>
      <c r="BM31" s="110">
        <v>6892.5</v>
      </c>
      <c r="BN31" s="110">
        <v>8579.1</v>
      </c>
      <c r="BO31" s="110">
        <v>20281.5</v>
      </c>
      <c r="BP31" s="110">
        <v>0</v>
      </c>
      <c r="BQ31" s="6">
        <f>SUM(BM31:BP31)/Variables!$E$3</f>
        <v>2.8308300144894258E-2</v>
      </c>
      <c r="BS31" s="4">
        <v>29</v>
      </c>
      <c r="BT31" s="125">
        <f t="shared" si="1"/>
        <v>0</v>
      </c>
      <c r="BU31" s="125">
        <f t="shared" si="2"/>
        <v>0</v>
      </c>
      <c r="BV31" s="125">
        <f t="shared" si="3"/>
        <v>0</v>
      </c>
      <c r="BW31" s="125">
        <f t="shared" si="4"/>
        <v>0</v>
      </c>
      <c r="BX31" s="125">
        <f t="shared" si="5"/>
        <v>0</v>
      </c>
      <c r="BY31" s="125">
        <f t="shared" si="6"/>
        <v>0</v>
      </c>
      <c r="BZ31" s="125">
        <f t="shared" si="7"/>
        <v>0</v>
      </c>
      <c r="CA31" s="125">
        <f t="shared" si="8"/>
        <v>0</v>
      </c>
      <c r="CB31" s="125">
        <f t="shared" si="9"/>
        <v>0</v>
      </c>
      <c r="CC31" s="125">
        <f t="shared" si="10"/>
        <v>0</v>
      </c>
      <c r="CD31" s="125">
        <f t="shared" si="11"/>
        <v>0</v>
      </c>
      <c r="CE31" s="125">
        <f t="shared" si="13"/>
        <v>0</v>
      </c>
      <c r="CF31" s="126">
        <f t="shared" si="14"/>
        <v>0</v>
      </c>
      <c r="CH31" s="4">
        <v>29</v>
      </c>
      <c r="CI31" s="129">
        <v>0</v>
      </c>
      <c r="CJ31" s="125">
        <v>0</v>
      </c>
      <c r="CK31" s="125">
        <v>0</v>
      </c>
      <c r="CL31" s="125">
        <v>0</v>
      </c>
      <c r="CM31" s="125">
        <v>0</v>
      </c>
      <c r="CN31" s="125">
        <v>0</v>
      </c>
      <c r="CO31" s="125">
        <v>0</v>
      </c>
      <c r="CP31" s="125">
        <v>0</v>
      </c>
      <c r="CQ31" s="125">
        <v>0</v>
      </c>
      <c r="CR31" s="125">
        <v>0</v>
      </c>
      <c r="CS31" s="125">
        <v>0</v>
      </c>
      <c r="CT31" s="125">
        <v>0</v>
      </c>
      <c r="CU31" s="126">
        <v>0</v>
      </c>
    </row>
    <row r="32" spans="1:99" x14ac:dyDescent="0.25">
      <c r="A32" t="s">
        <v>191</v>
      </c>
      <c r="B32" s="2" t="s">
        <v>1</v>
      </c>
      <c r="C32" s="1">
        <v>4261</v>
      </c>
      <c r="D32" s="19">
        <v>5</v>
      </c>
      <c r="E32" s="18">
        <v>0</v>
      </c>
      <c r="F32" s="19">
        <v>0</v>
      </c>
      <c r="G32" s="19">
        <v>0</v>
      </c>
      <c r="H32" s="19">
        <v>0</v>
      </c>
      <c r="I32" s="19">
        <f>SUM(E32:H32)/Variables!$E$3</f>
        <v>0</v>
      </c>
      <c r="J32" s="4">
        <v>0</v>
      </c>
      <c r="K32">
        <v>0</v>
      </c>
      <c r="L32">
        <v>0</v>
      </c>
      <c r="M32">
        <v>0</v>
      </c>
      <c r="N32" s="6">
        <f>SUM(J32:M32)/Variables!$E$3</f>
        <v>0</v>
      </c>
      <c r="O32" s="4">
        <v>0</v>
      </c>
      <c r="P32">
        <v>0</v>
      </c>
      <c r="Q32">
        <v>0</v>
      </c>
      <c r="R32">
        <v>0</v>
      </c>
      <c r="S32" s="6">
        <f>SUM(O32:R32)/Variables!$E$3</f>
        <v>0</v>
      </c>
      <c r="T32" s="12">
        <v>0</v>
      </c>
      <c r="U32" s="6">
        <v>0</v>
      </c>
      <c r="V32" s="6">
        <v>0</v>
      </c>
      <c r="W32" s="6">
        <v>0</v>
      </c>
      <c r="X32" s="6">
        <f>SUM(T32:W32)/Variables!$E$3</f>
        <v>0</v>
      </c>
      <c r="Y32" s="12">
        <v>0</v>
      </c>
      <c r="Z32" s="6">
        <v>0</v>
      </c>
      <c r="AA32" s="6">
        <v>0</v>
      </c>
      <c r="AB32" s="6">
        <v>0</v>
      </c>
      <c r="AC32" s="6">
        <f>SUM(Y32:AB32)/Variables!$E$3</f>
        <v>0</v>
      </c>
      <c r="AD32" s="4">
        <v>0</v>
      </c>
      <c r="AE32" s="2">
        <v>0</v>
      </c>
      <c r="AF32" s="2">
        <v>0</v>
      </c>
      <c r="AG32" s="2">
        <v>0</v>
      </c>
      <c r="AH32" s="6">
        <f>SUM(AD32:AG32)/Variables!$E$3</f>
        <v>0</v>
      </c>
      <c r="AI32" s="4">
        <v>0</v>
      </c>
      <c r="AJ32" s="2">
        <v>0</v>
      </c>
      <c r="AK32" s="2">
        <v>0</v>
      </c>
      <c r="AL32" s="2">
        <v>0</v>
      </c>
      <c r="AM32" s="6">
        <f>SUM(AI32:AL32)/Variables!$E$3</f>
        <v>0</v>
      </c>
      <c r="AN32" s="4">
        <v>0</v>
      </c>
      <c r="AO32" s="2">
        <v>0</v>
      </c>
      <c r="AP32" s="2">
        <v>0</v>
      </c>
      <c r="AQ32" s="2">
        <v>0</v>
      </c>
      <c r="AR32" s="6">
        <f>SUM(AN32:AQ32)/Variables!$E$3</f>
        <v>0</v>
      </c>
      <c r="AS32" s="4">
        <v>0</v>
      </c>
      <c r="AT32" s="2">
        <v>0</v>
      </c>
      <c r="AU32" s="2">
        <v>0</v>
      </c>
      <c r="AV32" s="2">
        <v>0</v>
      </c>
      <c r="AW32" s="6">
        <f>SUM(AS32:AV32)/Variables!$E$3</f>
        <v>0</v>
      </c>
      <c r="AX32" s="4">
        <v>0</v>
      </c>
      <c r="AY32" s="2">
        <v>0</v>
      </c>
      <c r="AZ32" s="2">
        <v>0</v>
      </c>
      <c r="BA32" s="2">
        <v>0</v>
      </c>
      <c r="BB32" s="6">
        <f>SUM(AX32:BA32)/Variables!$E$3</f>
        <v>0</v>
      </c>
      <c r="BC32" s="12">
        <f t="shared" si="15"/>
        <v>0</v>
      </c>
      <c r="BD32" s="110">
        <f t="shared" si="15"/>
        <v>0</v>
      </c>
      <c r="BE32" s="110">
        <f t="shared" si="15"/>
        <v>0</v>
      </c>
      <c r="BF32" s="110">
        <f t="shared" si="15"/>
        <v>0</v>
      </c>
      <c r="BG32" s="6">
        <f>SUM(BC32:BF32)/Variables!$E$3</f>
        <v>0</v>
      </c>
      <c r="BH32" s="4">
        <v>0</v>
      </c>
      <c r="BI32">
        <v>0</v>
      </c>
      <c r="BJ32">
        <v>0</v>
      </c>
      <c r="BK32">
        <v>0</v>
      </c>
      <c r="BL32" s="6">
        <f>SUM(BH32:BK32)/Variables!$E$3</f>
        <v>0</v>
      </c>
      <c r="BM32" s="110">
        <v>0</v>
      </c>
      <c r="BN32" s="110">
        <v>0</v>
      </c>
      <c r="BO32" s="110">
        <v>0</v>
      </c>
      <c r="BP32" s="110">
        <v>0</v>
      </c>
      <c r="BQ32" s="6">
        <f>SUM(BM32:BP32)/Variables!$E$3</f>
        <v>0</v>
      </c>
      <c r="BS32" s="4">
        <v>30</v>
      </c>
      <c r="BT32" s="125">
        <f t="shared" si="1"/>
        <v>0</v>
      </c>
      <c r="BU32" s="125">
        <f t="shared" si="2"/>
        <v>0</v>
      </c>
      <c r="BV32" s="125">
        <f t="shared" si="3"/>
        <v>0</v>
      </c>
      <c r="BW32" s="125">
        <f t="shared" si="4"/>
        <v>0</v>
      </c>
      <c r="BX32" s="125">
        <f t="shared" si="5"/>
        <v>0</v>
      </c>
      <c r="BY32" s="125">
        <f t="shared" si="6"/>
        <v>0</v>
      </c>
      <c r="BZ32" s="125">
        <f t="shared" si="7"/>
        <v>0</v>
      </c>
      <c r="CA32" s="125">
        <f t="shared" si="8"/>
        <v>0</v>
      </c>
      <c r="CB32" s="125">
        <f t="shared" si="9"/>
        <v>0</v>
      </c>
      <c r="CC32" s="125">
        <f t="shared" si="10"/>
        <v>0</v>
      </c>
      <c r="CD32" s="125">
        <f t="shared" si="11"/>
        <v>0</v>
      </c>
      <c r="CE32" s="125">
        <f t="shared" si="13"/>
        <v>0</v>
      </c>
      <c r="CF32" s="126">
        <f t="shared" si="14"/>
        <v>0</v>
      </c>
      <c r="CH32" s="4">
        <v>30</v>
      </c>
      <c r="CI32" s="129">
        <v>0</v>
      </c>
      <c r="CJ32" s="125">
        <v>0</v>
      </c>
      <c r="CK32" s="125">
        <v>0</v>
      </c>
      <c r="CL32" s="125">
        <v>0</v>
      </c>
      <c r="CM32" s="125">
        <v>0</v>
      </c>
      <c r="CN32" s="125">
        <v>0</v>
      </c>
      <c r="CO32" s="125">
        <v>0</v>
      </c>
      <c r="CP32" s="125">
        <v>0</v>
      </c>
      <c r="CQ32" s="125">
        <v>0</v>
      </c>
      <c r="CR32" s="125">
        <v>0</v>
      </c>
      <c r="CS32" s="125">
        <v>0</v>
      </c>
      <c r="CT32" s="125">
        <v>0</v>
      </c>
      <c r="CU32" s="126">
        <v>0</v>
      </c>
    </row>
    <row r="33" spans="1:99" x14ac:dyDescent="0.25">
      <c r="A33" t="s">
        <v>191</v>
      </c>
      <c r="B33" s="2" t="s">
        <v>2</v>
      </c>
      <c r="C33" s="1">
        <v>4352</v>
      </c>
      <c r="D33" s="19">
        <v>35</v>
      </c>
      <c r="E33" s="18">
        <v>0</v>
      </c>
      <c r="F33" s="19">
        <v>0</v>
      </c>
      <c r="G33" s="19">
        <v>0</v>
      </c>
      <c r="H33" s="19">
        <v>0</v>
      </c>
      <c r="I33" s="19">
        <f>SUM(E33:H33)/Variables!$E$3</f>
        <v>0</v>
      </c>
      <c r="J33" s="4">
        <v>0</v>
      </c>
      <c r="K33">
        <v>0</v>
      </c>
      <c r="L33">
        <v>0</v>
      </c>
      <c r="M33">
        <v>0</v>
      </c>
      <c r="N33" s="6">
        <f>SUM(J33:M33)/Variables!$E$3</f>
        <v>0</v>
      </c>
      <c r="O33" s="4">
        <v>0</v>
      </c>
      <c r="P33">
        <v>0</v>
      </c>
      <c r="Q33">
        <v>0</v>
      </c>
      <c r="R33">
        <v>0</v>
      </c>
      <c r="S33" s="6">
        <f>SUM(O33:R33)/Variables!$E$3</f>
        <v>0</v>
      </c>
      <c r="T33" s="12">
        <v>0</v>
      </c>
      <c r="U33" s="6">
        <v>0</v>
      </c>
      <c r="V33" s="6">
        <v>0</v>
      </c>
      <c r="W33" s="6">
        <v>0</v>
      </c>
      <c r="X33" s="6">
        <f>SUM(T33:W33)/Variables!$E$3</f>
        <v>0</v>
      </c>
      <c r="Y33" s="12">
        <v>0</v>
      </c>
      <c r="Z33" s="6">
        <v>0</v>
      </c>
      <c r="AA33" s="6">
        <v>0</v>
      </c>
      <c r="AB33" s="6">
        <v>0</v>
      </c>
      <c r="AC33" s="6">
        <f>SUM(Y33:AB33)/Variables!$E$3</f>
        <v>0</v>
      </c>
      <c r="AD33" s="4">
        <v>0</v>
      </c>
      <c r="AE33" s="2">
        <v>0</v>
      </c>
      <c r="AF33" s="2">
        <v>0</v>
      </c>
      <c r="AG33" s="2">
        <v>0</v>
      </c>
      <c r="AH33" s="6">
        <f>SUM(AD33:AG33)/Variables!$E$3</f>
        <v>0</v>
      </c>
      <c r="AI33" s="4">
        <v>0</v>
      </c>
      <c r="AJ33" s="2">
        <v>0</v>
      </c>
      <c r="AK33" s="2">
        <v>0</v>
      </c>
      <c r="AL33" s="2">
        <v>0</v>
      </c>
      <c r="AM33" s="6">
        <f>SUM(AI33:AL33)/Variables!$E$3</f>
        <v>0</v>
      </c>
      <c r="AN33" s="4">
        <v>0</v>
      </c>
      <c r="AO33" s="2">
        <v>0</v>
      </c>
      <c r="AP33" s="2">
        <v>0</v>
      </c>
      <c r="AQ33" s="2">
        <v>0</v>
      </c>
      <c r="AR33" s="6">
        <f>SUM(AN33:AQ33)/Variables!$E$3</f>
        <v>0</v>
      </c>
      <c r="AS33" s="4">
        <v>0</v>
      </c>
      <c r="AT33" s="2">
        <v>0</v>
      </c>
      <c r="AU33" s="2">
        <v>0</v>
      </c>
      <c r="AV33" s="2">
        <v>0</v>
      </c>
      <c r="AW33" s="6">
        <f>SUM(AS33:AV33)/Variables!$E$3</f>
        <v>0</v>
      </c>
      <c r="AX33" s="4">
        <v>0</v>
      </c>
      <c r="AY33" s="2">
        <v>0</v>
      </c>
      <c r="AZ33" s="2">
        <v>0</v>
      </c>
      <c r="BA33" s="2">
        <v>0</v>
      </c>
      <c r="BB33" s="6">
        <f>SUM(AX33:BA33)/Variables!$E$3</f>
        <v>0</v>
      </c>
      <c r="BC33" s="12">
        <f t="shared" si="15"/>
        <v>0</v>
      </c>
      <c r="BD33" s="110">
        <f t="shared" si="15"/>
        <v>0</v>
      </c>
      <c r="BE33" s="110">
        <f t="shared" si="15"/>
        <v>0</v>
      </c>
      <c r="BF33" s="110">
        <f t="shared" si="15"/>
        <v>0</v>
      </c>
      <c r="BG33" s="6">
        <f>SUM(BC33:BF33)/Variables!$E$3</f>
        <v>0</v>
      </c>
      <c r="BH33" s="4">
        <v>0</v>
      </c>
      <c r="BI33">
        <v>0</v>
      </c>
      <c r="BJ33">
        <v>0</v>
      </c>
      <c r="BK33">
        <v>0</v>
      </c>
      <c r="BL33" s="6">
        <f>SUM(BH33:BK33)/Variables!$E$3</f>
        <v>0</v>
      </c>
      <c r="BM33" s="110">
        <v>0</v>
      </c>
      <c r="BN33" s="110">
        <v>0</v>
      </c>
      <c r="BO33" s="110">
        <v>0</v>
      </c>
      <c r="BP33" s="110">
        <v>0</v>
      </c>
      <c r="BQ33" s="6">
        <f>SUM(BM33:BP33)/Variables!$E$3</f>
        <v>0</v>
      </c>
      <c r="BS33" s="4">
        <v>31</v>
      </c>
      <c r="BT33" s="125">
        <f t="shared" si="1"/>
        <v>0</v>
      </c>
      <c r="BU33" s="125">
        <f t="shared" si="2"/>
        <v>0</v>
      </c>
      <c r="BV33" s="125">
        <f t="shared" si="3"/>
        <v>0</v>
      </c>
      <c r="BW33" s="125">
        <f t="shared" si="4"/>
        <v>0</v>
      </c>
      <c r="BX33" s="125">
        <f t="shared" si="5"/>
        <v>0</v>
      </c>
      <c r="BY33" s="125">
        <f t="shared" si="6"/>
        <v>0</v>
      </c>
      <c r="BZ33" s="125">
        <f t="shared" si="7"/>
        <v>0</v>
      </c>
      <c r="CA33" s="125">
        <f t="shared" si="8"/>
        <v>0</v>
      </c>
      <c r="CB33" s="125">
        <f t="shared" si="9"/>
        <v>0</v>
      </c>
      <c r="CC33" s="125">
        <f t="shared" si="10"/>
        <v>0</v>
      </c>
      <c r="CD33" s="125">
        <f t="shared" si="11"/>
        <v>0</v>
      </c>
      <c r="CE33" s="125">
        <f t="shared" si="13"/>
        <v>0</v>
      </c>
      <c r="CF33" s="126">
        <f t="shared" si="14"/>
        <v>0</v>
      </c>
      <c r="CH33" s="4">
        <v>31</v>
      </c>
      <c r="CI33" s="129">
        <v>0</v>
      </c>
      <c r="CJ33" s="125">
        <v>0</v>
      </c>
      <c r="CK33" s="125">
        <v>0</v>
      </c>
      <c r="CL33" s="125">
        <v>0</v>
      </c>
      <c r="CM33" s="125">
        <v>0</v>
      </c>
      <c r="CN33" s="125">
        <v>0</v>
      </c>
      <c r="CO33" s="125">
        <v>0</v>
      </c>
      <c r="CP33" s="125">
        <v>0</v>
      </c>
      <c r="CQ33" s="125">
        <v>0</v>
      </c>
      <c r="CR33" s="125">
        <v>0</v>
      </c>
      <c r="CS33" s="125">
        <v>0</v>
      </c>
      <c r="CT33" s="125">
        <v>0</v>
      </c>
      <c r="CU33" s="126">
        <v>0</v>
      </c>
    </row>
    <row r="34" spans="1:99" x14ac:dyDescent="0.25">
      <c r="A34" t="s">
        <v>192</v>
      </c>
      <c r="B34" s="2" t="s">
        <v>3</v>
      </c>
      <c r="C34" s="1">
        <v>4442</v>
      </c>
      <c r="D34" s="19">
        <v>48.1</v>
      </c>
      <c r="E34" s="18">
        <v>0</v>
      </c>
      <c r="F34" s="19">
        <v>0</v>
      </c>
      <c r="G34" s="19">
        <v>0</v>
      </c>
      <c r="H34" s="19">
        <v>0</v>
      </c>
      <c r="I34" s="19">
        <f>SUM(E34:H34)/Variables!$E$3</f>
        <v>0</v>
      </c>
      <c r="J34" s="4">
        <v>0</v>
      </c>
      <c r="K34">
        <v>0</v>
      </c>
      <c r="L34">
        <v>0</v>
      </c>
      <c r="M34">
        <v>0</v>
      </c>
      <c r="N34" s="6">
        <f>SUM(J34:M34)/Variables!$E$3</f>
        <v>0</v>
      </c>
      <c r="O34" s="4">
        <v>0</v>
      </c>
      <c r="P34">
        <v>0</v>
      </c>
      <c r="Q34">
        <v>0</v>
      </c>
      <c r="R34">
        <v>0</v>
      </c>
      <c r="S34" s="6">
        <f>SUM(O34:R34)/Variables!$E$3</f>
        <v>0</v>
      </c>
      <c r="T34" s="12">
        <v>0</v>
      </c>
      <c r="U34" s="6">
        <v>0</v>
      </c>
      <c r="V34" s="6">
        <v>0</v>
      </c>
      <c r="W34" s="6">
        <v>0</v>
      </c>
      <c r="X34" s="6">
        <f>SUM(T34:W34)/Variables!$E$3</f>
        <v>0</v>
      </c>
      <c r="Y34" s="12">
        <v>0</v>
      </c>
      <c r="Z34" s="6">
        <v>0</v>
      </c>
      <c r="AA34" s="6">
        <v>0</v>
      </c>
      <c r="AB34" s="6">
        <v>0</v>
      </c>
      <c r="AC34" s="6">
        <f>SUM(Y34:AB34)/Variables!$E$3</f>
        <v>0</v>
      </c>
      <c r="AD34" s="4">
        <v>0</v>
      </c>
      <c r="AE34" s="2">
        <v>0</v>
      </c>
      <c r="AF34" s="2">
        <v>0</v>
      </c>
      <c r="AG34" s="2">
        <v>0</v>
      </c>
      <c r="AH34" s="6">
        <f>SUM(AD34:AG34)/Variables!$E$3</f>
        <v>0</v>
      </c>
      <c r="AI34" s="4">
        <v>0</v>
      </c>
      <c r="AJ34" s="2">
        <v>0</v>
      </c>
      <c r="AK34" s="2">
        <v>0</v>
      </c>
      <c r="AL34" s="2">
        <v>0</v>
      </c>
      <c r="AM34" s="6">
        <f>SUM(AI34:AL34)/Variables!$E$3</f>
        <v>0</v>
      </c>
      <c r="AN34" s="4">
        <v>0</v>
      </c>
      <c r="AO34" s="2">
        <v>0</v>
      </c>
      <c r="AP34" s="2">
        <v>0</v>
      </c>
      <c r="AQ34" s="2">
        <v>0</v>
      </c>
      <c r="AR34" s="6">
        <f>SUM(AN34:AQ34)/Variables!$E$3</f>
        <v>0</v>
      </c>
      <c r="AS34" s="4">
        <v>0</v>
      </c>
      <c r="AT34" s="2">
        <v>0</v>
      </c>
      <c r="AU34" s="2">
        <v>0</v>
      </c>
      <c r="AV34" s="2">
        <v>0</v>
      </c>
      <c r="AW34" s="6">
        <f>SUM(AS34:AV34)/Variables!$E$3</f>
        <v>0</v>
      </c>
      <c r="AX34" s="4">
        <v>0</v>
      </c>
      <c r="AY34" s="2">
        <v>0</v>
      </c>
      <c r="AZ34" s="2">
        <v>0</v>
      </c>
      <c r="BA34" s="2">
        <v>0</v>
      </c>
      <c r="BB34" s="6">
        <f>SUM(AX34:BA34)/Variables!$E$3</f>
        <v>0</v>
      </c>
      <c r="BC34" s="12">
        <f t="shared" si="15"/>
        <v>0</v>
      </c>
      <c r="BD34" s="110">
        <f t="shared" si="15"/>
        <v>0</v>
      </c>
      <c r="BE34" s="110">
        <f t="shared" si="15"/>
        <v>0</v>
      </c>
      <c r="BF34" s="110">
        <f t="shared" si="15"/>
        <v>0</v>
      </c>
      <c r="BG34" s="6">
        <f>SUM(BC34:BF34)/Variables!$E$3</f>
        <v>0</v>
      </c>
      <c r="BH34" s="4">
        <v>0</v>
      </c>
      <c r="BI34">
        <v>0</v>
      </c>
      <c r="BJ34">
        <v>0</v>
      </c>
      <c r="BK34">
        <v>0</v>
      </c>
      <c r="BL34" s="6">
        <f>SUM(BH34:BK34)/Variables!$E$3</f>
        <v>0</v>
      </c>
      <c r="BM34" s="110">
        <v>0</v>
      </c>
      <c r="BN34" s="110">
        <v>0</v>
      </c>
      <c r="BO34" s="110">
        <v>0</v>
      </c>
      <c r="BP34" s="110">
        <v>0</v>
      </c>
      <c r="BQ34" s="6">
        <f>SUM(BM34:BP34)/Variables!$E$3</f>
        <v>0</v>
      </c>
      <c r="BS34" s="4">
        <v>32</v>
      </c>
      <c r="BT34" s="125">
        <f t="shared" si="1"/>
        <v>0</v>
      </c>
      <c r="BU34" s="125">
        <f t="shared" si="2"/>
        <v>6.8931662166763002E-3</v>
      </c>
      <c r="BV34" s="125">
        <f t="shared" si="3"/>
        <v>0</v>
      </c>
      <c r="BW34" s="125">
        <f t="shared" si="4"/>
        <v>0</v>
      </c>
      <c r="BX34" s="125">
        <f t="shared" si="5"/>
        <v>0</v>
      </c>
      <c r="BY34" s="125">
        <f t="shared" si="6"/>
        <v>0</v>
      </c>
      <c r="BZ34" s="125">
        <f t="shared" si="7"/>
        <v>0</v>
      </c>
      <c r="CA34" s="125">
        <f t="shared" si="8"/>
        <v>0</v>
      </c>
      <c r="CB34" s="125">
        <f t="shared" si="9"/>
        <v>0</v>
      </c>
      <c r="CC34" s="125">
        <f t="shared" si="10"/>
        <v>0</v>
      </c>
      <c r="CD34" s="125">
        <f t="shared" si="11"/>
        <v>0</v>
      </c>
      <c r="CE34" s="125">
        <f t="shared" si="13"/>
        <v>0</v>
      </c>
      <c r="CF34" s="126">
        <f t="shared" si="14"/>
        <v>0</v>
      </c>
      <c r="CH34" s="4">
        <v>32</v>
      </c>
      <c r="CI34" s="129">
        <v>0</v>
      </c>
      <c r="CJ34" s="125">
        <v>0</v>
      </c>
      <c r="CK34" s="125">
        <v>0</v>
      </c>
      <c r="CL34" s="125">
        <v>0</v>
      </c>
      <c r="CM34" s="125">
        <v>0</v>
      </c>
      <c r="CN34" s="125">
        <v>0</v>
      </c>
      <c r="CO34" s="125">
        <v>0</v>
      </c>
      <c r="CP34" s="125">
        <v>0</v>
      </c>
      <c r="CQ34" s="125">
        <v>0</v>
      </c>
      <c r="CR34" s="125">
        <v>0</v>
      </c>
      <c r="CS34" s="125">
        <v>0</v>
      </c>
      <c r="CT34" s="125">
        <v>0</v>
      </c>
      <c r="CU34" s="126">
        <v>0</v>
      </c>
    </row>
    <row r="35" spans="1:99" x14ac:dyDescent="0.25">
      <c r="A35" t="s">
        <v>192</v>
      </c>
      <c r="B35" s="2" t="s">
        <v>4</v>
      </c>
      <c r="C35" s="1">
        <v>4535</v>
      </c>
      <c r="D35" s="19">
        <v>9.7200000000000006</v>
      </c>
      <c r="E35" s="18">
        <v>0</v>
      </c>
      <c r="F35" s="19">
        <v>0</v>
      </c>
      <c r="G35" s="19">
        <v>0</v>
      </c>
      <c r="H35" s="19">
        <v>0</v>
      </c>
      <c r="I35" s="19">
        <f>SUM(E35:H35)/Variables!$E$3</f>
        <v>0</v>
      </c>
      <c r="J35" s="4">
        <v>0</v>
      </c>
      <c r="K35">
        <v>0</v>
      </c>
      <c r="L35">
        <v>8706</v>
      </c>
      <c r="M35">
        <v>0</v>
      </c>
      <c r="N35" s="6">
        <f>SUM(J35:M35)/Variables!$E$3</f>
        <v>6.8931662166763002E-3</v>
      </c>
      <c r="O35" s="4">
        <v>0</v>
      </c>
      <c r="P35">
        <v>0</v>
      </c>
      <c r="Q35">
        <v>0</v>
      </c>
      <c r="R35">
        <v>0</v>
      </c>
      <c r="S35" s="6">
        <f>SUM(O35:R35)/Variables!$E$3</f>
        <v>0</v>
      </c>
      <c r="T35" s="12">
        <v>0</v>
      </c>
      <c r="U35" s="6">
        <v>0</v>
      </c>
      <c r="V35" s="6">
        <v>0</v>
      </c>
      <c r="W35" s="6">
        <v>0</v>
      </c>
      <c r="X35" s="6">
        <f>SUM(T35:W35)/Variables!$E$3</f>
        <v>0</v>
      </c>
      <c r="Y35" s="12">
        <v>0</v>
      </c>
      <c r="Z35" s="6">
        <v>0</v>
      </c>
      <c r="AA35" s="6">
        <v>0</v>
      </c>
      <c r="AB35" s="6">
        <v>0</v>
      </c>
      <c r="AC35" s="6">
        <f>SUM(Y35:AB35)/Variables!$E$3</f>
        <v>0</v>
      </c>
      <c r="AD35" s="4">
        <v>0</v>
      </c>
      <c r="AE35" s="2">
        <v>0</v>
      </c>
      <c r="AF35" s="2">
        <v>0</v>
      </c>
      <c r="AG35" s="2">
        <v>0</v>
      </c>
      <c r="AH35" s="6">
        <f>SUM(AD35:AG35)/Variables!$E$3</f>
        <v>0</v>
      </c>
      <c r="AI35" s="4">
        <v>0</v>
      </c>
      <c r="AJ35" s="2">
        <v>0</v>
      </c>
      <c r="AK35" s="2">
        <v>0</v>
      </c>
      <c r="AL35" s="2">
        <v>0</v>
      </c>
      <c r="AM35" s="6">
        <f>SUM(AI35:AL35)/Variables!$E$3</f>
        <v>0</v>
      </c>
      <c r="AN35" s="4">
        <v>0</v>
      </c>
      <c r="AO35" s="2">
        <v>0</v>
      </c>
      <c r="AP35" s="2">
        <v>0</v>
      </c>
      <c r="AQ35" s="2">
        <v>0</v>
      </c>
      <c r="AR35" s="6">
        <f>SUM(AN35:AQ35)/Variables!$E$3</f>
        <v>0</v>
      </c>
      <c r="AS35" s="4">
        <v>0</v>
      </c>
      <c r="AT35" s="2">
        <v>0</v>
      </c>
      <c r="AU35" s="2">
        <v>0</v>
      </c>
      <c r="AV35" s="2">
        <v>0</v>
      </c>
      <c r="AW35" s="6">
        <f>SUM(AS35:AV35)/Variables!$E$3</f>
        <v>0</v>
      </c>
      <c r="AX35" s="4">
        <v>0</v>
      </c>
      <c r="AY35" s="2">
        <v>0</v>
      </c>
      <c r="AZ35" s="2">
        <v>0</v>
      </c>
      <c r="BA35" s="2">
        <v>0</v>
      </c>
      <c r="BB35" s="6">
        <f>SUM(AX35:BA35)/Variables!$E$3</f>
        <v>0</v>
      </c>
      <c r="BC35" s="12">
        <f t="shared" si="15"/>
        <v>0</v>
      </c>
      <c r="BD35" s="110">
        <f t="shared" si="15"/>
        <v>0</v>
      </c>
      <c r="BE35" s="110">
        <f t="shared" si="15"/>
        <v>0</v>
      </c>
      <c r="BF35" s="110">
        <f t="shared" si="15"/>
        <v>0</v>
      </c>
      <c r="BG35" s="6">
        <f>SUM(BC35:BF35)/Variables!$E$3</f>
        <v>0</v>
      </c>
      <c r="BH35" s="4">
        <v>0</v>
      </c>
      <c r="BI35">
        <v>0</v>
      </c>
      <c r="BJ35">
        <v>0</v>
      </c>
      <c r="BK35">
        <v>0</v>
      </c>
      <c r="BL35" s="6">
        <f>SUM(BH35:BK35)/Variables!$E$3</f>
        <v>0</v>
      </c>
      <c r="BM35" s="110">
        <v>0</v>
      </c>
      <c r="BN35" s="110">
        <v>0</v>
      </c>
      <c r="BO35" s="110">
        <v>0</v>
      </c>
      <c r="BP35" s="110">
        <v>0</v>
      </c>
      <c r="BQ35" s="6">
        <f>SUM(BM35:BP35)/Variables!$E$3</f>
        <v>0</v>
      </c>
      <c r="BS35" s="4">
        <v>33</v>
      </c>
      <c r="BT35" s="125">
        <f t="shared" si="1"/>
        <v>0</v>
      </c>
      <c r="BU35" s="125">
        <f t="shared" si="2"/>
        <v>0.54508349234752451</v>
      </c>
      <c r="BV35" s="125">
        <f t="shared" si="3"/>
        <v>0.10215045249764448</v>
      </c>
      <c r="BW35" s="125">
        <f t="shared" si="4"/>
        <v>0.23885414769713142</v>
      </c>
      <c r="BX35" s="125">
        <f t="shared" si="5"/>
        <v>0.23607795786189911</v>
      </c>
      <c r="BY35" s="125">
        <f t="shared" si="6"/>
        <v>0.19214704787844716</v>
      </c>
      <c r="BZ35" s="125">
        <f t="shared" si="7"/>
        <v>0.18134347857069338</v>
      </c>
      <c r="CA35" s="125">
        <f t="shared" si="8"/>
        <v>0.19809800552656789</v>
      </c>
      <c r="CB35" s="125">
        <f t="shared" si="9"/>
        <v>0.27937220405545576</v>
      </c>
      <c r="CC35" s="125">
        <f t="shared" si="10"/>
        <v>0.21742800813941521</v>
      </c>
      <c r="CD35" s="125">
        <f t="shared" si="11"/>
        <v>0.23607795786189911</v>
      </c>
      <c r="CE35" s="125">
        <f t="shared" si="13"/>
        <v>0.21769633963847693</v>
      </c>
      <c r="CF35" s="126">
        <f t="shared" si="14"/>
        <v>0.22115028622554414</v>
      </c>
      <c r="CH35" s="4">
        <v>33</v>
      </c>
      <c r="CI35" s="129">
        <v>0</v>
      </c>
      <c r="CJ35" s="125">
        <v>0.69260643393851096</v>
      </c>
      <c r="CK35" s="125">
        <v>0</v>
      </c>
      <c r="CL35" s="125">
        <v>7.8328846625864021E-2</v>
      </c>
      <c r="CM35" s="125">
        <v>7.7792619102289018E-2</v>
      </c>
      <c r="CN35" s="125">
        <v>7.2288458340921152E-2</v>
      </c>
      <c r="CO35" s="125">
        <v>7.3779523194957994E-2</v>
      </c>
      <c r="CP35" s="125">
        <v>5.5854599007118033E-2</v>
      </c>
      <c r="CQ35" s="125">
        <v>0.32125123714360365</v>
      </c>
      <c r="CR35" s="125">
        <v>5.7664827116604256E-2</v>
      </c>
      <c r="CS35" s="125">
        <v>7.7792619102289018E-2</v>
      </c>
      <c r="CT35" s="125">
        <v>7.1791859001258909E-2</v>
      </c>
      <c r="CU35" s="126">
        <v>5.9950118369899996E-2</v>
      </c>
    </row>
    <row r="36" spans="1:99" x14ac:dyDescent="0.25">
      <c r="A36" t="s">
        <v>192</v>
      </c>
      <c r="B36" s="2" t="s">
        <v>1</v>
      </c>
      <c r="C36" s="1">
        <v>4627</v>
      </c>
      <c r="D36" s="19">
        <v>127.16</v>
      </c>
      <c r="E36" s="18">
        <v>0</v>
      </c>
      <c r="F36" s="19">
        <v>0</v>
      </c>
      <c r="G36" s="19">
        <v>0</v>
      </c>
      <c r="H36" s="19">
        <v>0</v>
      </c>
      <c r="I36" s="19">
        <f>SUM(E36:H36)/Variables!$E$3</f>
        <v>0</v>
      </c>
      <c r="J36" s="4">
        <v>34255</v>
      </c>
      <c r="K36">
        <v>48094</v>
      </c>
      <c r="L36">
        <v>505820</v>
      </c>
      <c r="M36">
        <v>100266</v>
      </c>
      <c r="N36" s="6">
        <f>SUM(J36:M36)/Variables!$E$3</f>
        <v>0.54508349234752451</v>
      </c>
      <c r="O36" s="4">
        <v>120</v>
      </c>
      <c r="P36">
        <v>1673</v>
      </c>
      <c r="Q36">
        <v>96440</v>
      </c>
      <c r="R36">
        <v>30782</v>
      </c>
      <c r="S36" s="6">
        <f>SUM(O36:R36)/Variables!$E$3</f>
        <v>0.10215045249764448</v>
      </c>
      <c r="T36" s="12">
        <v>4545.5</v>
      </c>
      <c r="U36" s="6">
        <v>8235.7000000000007</v>
      </c>
      <c r="V36" s="6">
        <v>239433.8</v>
      </c>
      <c r="W36" s="6">
        <v>49455.4</v>
      </c>
      <c r="X36" s="6">
        <f>SUM(T36:W36)/Variables!$E$3</f>
        <v>0.23885414769713142</v>
      </c>
      <c r="Y36" s="12">
        <v>4579.2</v>
      </c>
      <c r="Z36" s="6">
        <v>8314.9</v>
      </c>
      <c r="AA36" s="6">
        <v>235534.5</v>
      </c>
      <c r="AB36" s="6">
        <v>49735.5</v>
      </c>
      <c r="AC36" s="6">
        <f>SUM(Y36:AB36)/Variables!$E$3</f>
        <v>0.23607795786189911</v>
      </c>
      <c r="AD36" s="4">
        <v>4497.3</v>
      </c>
      <c r="AE36" s="2">
        <v>7776.3</v>
      </c>
      <c r="AF36" s="2">
        <v>188040.4</v>
      </c>
      <c r="AG36" s="2">
        <v>42365.8</v>
      </c>
      <c r="AH36" s="6">
        <f>SUM(AD36:AG36)/Variables!$E$3</f>
        <v>0.19214704787844716</v>
      </c>
      <c r="AI36" s="4">
        <v>3319.5</v>
      </c>
      <c r="AJ36" s="2">
        <v>6136.2</v>
      </c>
      <c r="AK36" s="2">
        <v>185216.2</v>
      </c>
      <c r="AL36" s="2">
        <v>34363.1</v>
      </c>
      <c r="AM36" s="6">
        <f>SUM(AI36:AL36)/Variables!$E$3</f>
        <v>0.18134347857069338</v>
      </c>
      <c r="AN36" s="4">
        <v>3482.6</v>
      </c>
      <c r="AO36" s="2">
        <v>6545.8</v>
      </c>
      <c r="AP36" s="2">
        <v>192891.5</v>
      </c>
      <c r="AQ36" s="2">
        <v>47275.9</v>
      </c>
      <c r="AR36" s="6">
        <f>SUM(AN36:AQ36)/Variables!$E$3</f>
        <v>0.19809800552656789</v>
      </c>
      <c r="AS36" s="4">
        <v>8702.5</v>
      </c>
      <c r="AT36" s="2">
        <v>14085.8</v>
      </c>
      <c r="AU36" s="2">
        <v>261961.1</v>
      </c>
      <c r="AV36" s="2">
        <v>68094.899999999994</v>
      </c>
      <c r="AW36" s="6">
        <f>SUM(AS36:AV36)/Variables!$E$3</f>
        <v>0.27937220405545576</v>
      </c>
      <c r="AX36" s="4">
        <v>3760.2</v>
      </c>
      <c r="AY36" s="2">
        <v>7897.2</v>
      </c>
      <c r="AZ36" s="2">
        <v>212874.1</v>
      </c>
      <c r="BA36" s="2">
        <v>50077.9</v>
      </c>
      <c r="BB36" s="6">
        <f>SUM(AX36:BA36)/Variables!$E$3</f>
        <v>0.21742800813941521</v>
      </c>
      <c r="BC36" s="12">
        <f t="shared" si="15"/>
        <v>4579.2</v>
      </c>
      <c r="BD36" s="110">
        <f t="shared" si="15"/>
        <v>8314.9</v>
      </c>
      <c r="BE36" s="110">
        <f t="shared" si="15"/>
        <v>235534.5</v>
      </c>
      <c r="BF36" s="110">
        <f t="shared" si="15"/>
        <v>49735.5</v>
      </c>
      <c r="BG36" s="6">
        <f>SUM(BC36:BF36)/Variables!$E$3</f>
        <v>0.23607795786189911</v>
      </c>
      <c r="BH36" s="4">
        <v>5239.5</v>
      </c>
      <c r="BI36">
        <v>9219.2999999999993</v>
      </c>
      <c r="BJ36">
        <v>208574.6</v>
      </c>
      <c r="BK36">
        <v>51914.9</v>
      </c>
      <c r="BL36" s="6">
        <f>SUM(BH36:BK36)/Variables!$E$3</f>
        <v>0.21769633963847693</v>
      </c>
      <c r="BM36" s="110">
        <v>4448.6000000000004</v>
      </c>
      <c r="BN36" s="110">
        <v>8647.1</v>
      </c>
      <c r="BO36" s="110">
        <v>216808.8</v>
      </c>
      <c r="BP36" s="110">
        <v>49406.1</v>
      </c>
      <c r="BQ36" s="6">
        <f>SUM(BM36:BP36)/Variables!$E$3</f>
        <v>0.22115028622554414</v>
      </c>
      <c r="BS36" s="4">
        <v>34</v>
      </c>
      <c r="BT36" s="125">
        <f t="shared" si="1"/>
        <v>0</v>
      </c>
      <c r="BU36" s="125">
        <f t="shared" si="2"/>
        <v>0</v>
      </c>
      <c r="BV36" s="125">
        <f t="shared" si="3"/>
        <v>0</v>
      </c>
      <c r="BW36" s="125">
        <f t="shared" si="4"/>
        <v>0</v>
      </c>
      <c r="BX36" s="125">
        <f t="shared" si="5"/>
        <v>0</v>
      </c>
      <c r="BY36" s="125">
        <f t="shared" si="6"/>
        <v>0</v>
      </c>
      <c r="BZ36" s="125">
        <f t="shared" si="7"/>
        <v>0</v>
      </c>
      <c r="CA36" s="125">
        <f t="shared" si="8"/>
        <v>0</v>
      </c>
      <c r="CB36" s="125">
        <f t="shared" si="9"/>
        <v>0</v>
      </c>
      <c r="CC36" s="125">
        <f t="shared" si="10"/>
        <v>0</v>
      </c>
      <c r="CD36" s="125">
        <f t="shared" si="11"/>
        <v>0</v>
      </c>
      <c r="CE36" s="125">
        <f t="shared" si="13"/>
        <v>0</v>
      </c>
      <c r="CF36" s="126">
        <f t="shared" si="14"/>
        <v>0</v>
      </c>
      <c r="CH36" s="4">
        <v>34</v>
      </c>
      <c r="CI36" s="129">
        <v>0</v>
      </c>
      <c r="CJ36" s="125">
        <v>0</v>
      </c>
      <c r="CK36" s="125">
        <v>0</v>
      </c>
      <c r="CL36" s="125">
        <v>0</v>
      </c>
      <c r="CM36" s="125">
        <v>0</v>
      </c>
      <c r="CN36" s="125">
        <v>0</v>
      </c>
      <c r="CO36" s="125">
        <v>0</v>
      </c>
      <c r="CP36" s="125">
        <v>0</v>
      </c>
      <c r="CQ36" s="125">
        <v>0</v>
      </c>
      <c r="CR36" s="125">
        <v>0</v>
      </c>
      <c r="CS36" s="125">
        <v>0</v>
      </c>
      <c r="CT36" s="125">
        <v>0</v>
      </c>
      <c r="CU36" s="126">
        <v>0</v>
      </c>
    </row>
    <row r="37" spans="1:99" x14ac:dyDescent="0.25">
      <c r="A37" t="s">
        <v>192</v>
      </c>
      <c r="B37" s="2" t="s">
        <v>2</v>
      </c>
      <c r="C37" s="1">
        <v>4718</v>
      </c>
      <c r="D37" s="19">
        <v>55.1</v>
      </c>
      <c r="E37" s="18">
        <v>0</v>
      </c>
      <c r="F37" s="19">
        <v>0</v>
      </c>
      <c r="G37" s="19">
        <v>0</v>
      </c>
      <c r="H37" s="19">
        <v>0</v>
      </c>
      <c r="I37" s="19">
        <f>SUM(E37:H37)/Variables!$E$3</f>
        <v>0</v>
      </c>
      <c r="J37" s="4">
        <v>0</v>
      </c>
      <c r="K37">
        <v>0</v>
      </c>
      <c r="L37">
        <v>0</v>
      </c>
      <c r="M37">
        <v>0</v>
      </c>
      <c r="N37" s="6">
        <f>SUM(J37:M37)/Variables!$E$3</f>
        <v>0</v>
      </c>
      <c r="O37" s="4">
        <v>0</v>
      </c>
      <c r="P37">
        <v>0</v>
      </c>
      <c r="Q37">
        <v>0</v>
      </c>
      <c r="R37">
        <v>0</v>
      </c>
      <c r="S37" s="6">
        <f>SUM(O37:R37)/Variables!$E$3</f>
        <v>0</v>
      </c>
      <c r="T37" s="12">
        <v>0</v>
      </c>
      <c r="U37" s="6">
        <v>0</v>
      </c>
      <c r="V37" s="6">
        <v>0</v>
      </c>
      <c r="W37" s="6">
        <v>0</v>
      </c>
      <c r="X37" s="6">
        <f>SUM(T37:W37)/Variables!$E$3</f>
        <v>0</v>
      </c>
      <c r="Y37" s="12">
        <v>0</v>
      </c>
      <c r="Z37" s="6">
        <v>0</v>
      </c>
      <c r="AA37" s="6">
        <v>0</v>
      </c>
      <c r="AB37" s="6">
        <v>0</v>
      </c>
      <c r="AC37" s="6">
        <f>SUM(Y37:AB37)/Variables!$E$3</f>
        <v>0</v>
      </c>
      <c r="AD37" s="4">
        <v>0</v>
      </c>
      <c r="AE37" s="2">
        <v>0</v>
      </c>
      <c r="AF37" s="2">
        <v>0</v>
      </c>
      <c r="AG37" s="2">
        <v>0</v>
      </c>
      <c r="AH37" s="6">
        <f>SUM(AD37:AG37)/Variables!$E$3</f>
        <v>0</v>
      </c>
      <c r="AI37" s="4">
        <v>0</v>
      </c>
      <c r="AJ37" s="2">
        <v>0</v>
      </c>
      <c r="AK37" s="2">
        <v>0</v>
      </c>
      <c r="AL37" s="2">
        <v>0</v>
      </c>
      <c r="AM37" s="6">
        <f>SUM(AI37:AL37)/Variables!$E$3</f>
        <v>0</v>
      </c>
      <c r="AN37" s="4">
        <v>0</v>
      </c>
      <c r="AO37" s="2">
        <v>0</v>
      </c>
      <c r="AP37" s="2">
        <v>0</v>
      </c>
      <c r="AQ37" s="2">
        <v>0</v>
      </c>
      <c r="AR37" s="6">
        <f>SUM(AN37:AQ37)/Variables!$E$3</f>
        <v>0</v>
      </c>
      <c r="AS37" s="4">
        <v>0</v>
      </c>
      <c r="AT37" s="2">
        <v>0</v>
      </c>
      <c r="AU37" s="2">
        <v>0</v>
      </c>
      <c r="AV37" s="2">
        <v>0</v>
      </c>
      <c r="AW37" s="6">
        <f>SUM(AS37:AV37)/Variables!$E$3</f>
        <v>0</v>
      </c>
      <c r="AX37" s="4">
        <v>0</v>
      </c>
      <c r="AY37" s="2">
        <v>0</v>
      </c>
      <c r="AZ37" s="2">
        <v>0</v>
      </c>
      <c r="BA37" s="2">
        <v>0</v>
      </c>
      <c r="BB37" s="6">
        <f>SUM(AX37:BA37)/Variables!$E$3</f>
        <v>0</v>
      </c>
      <c r="BC37" s="12">
        <f t="shared" si="15"/>
        <v>0</v>
      </c>
      <c r="BD37" s="110">
        <f t="shared" si="15"/>
        <v>0</v>
      </c>
      <c r="BE37" s="110">
        <f t="shared" si="15"/>
        <v>0</v>
      </c>
      <c r="BF37" s="110">
        <f t="shared" si="15"/>
        <v>0</v>
      </c>
      <c r="BG37" s="6">
        <f>SUM(BC37:BF37)/Variables!$E$3</f>
        <v>0</v>
      </c>
      <c r="BH37" s="4">
        <v>0</v>
      </c>
      <c r="BI37">
        <v>0</v>
      </c>
      <c r="BJ37">
        <v>0</v>
      </c>
      <c r="BK37">
        <v>0</v>
      </c>
      <c r="BL37" s="6">
        <f>SUM(BH37:BK37)/Variables!$E$3</f>
        <v>0</v>
      </c>
      <c r="BM37" s="110">
        <v>0</v>
      </c>
      <c r="BN37" s="110">
        <v>0</v>
      </c>
      <c r="BO37" s="110">
        <v>0</v>
      </c>
      <c r="BP37" s="110">
        <v>0</v>
      </c>
      <c r="BQ37" s="6">
        <f>SUM(BM37:BP37)/Variables!$E$3</f>
        <v>0</v>
      </c>
      <c r="BS37" s="4">
        <v>35</v>
      </c>
      <c r="BT37" s="125">
        <f t="shared" si="1"/>
        <v>0</v>
      </c>
      <c r="BU37" s="125">
        <f t="shared" si="2"/>
        <v>0</v>
      </c>
      <c r="BV37" s="125">
        <f t="shared" si="3"/>
        <v>0</v>
      </c>
      <c r="BW37" s="125">
        <f t="shared" si="4"/>
        <v>0</v>
      </c>
      <c r="BX37" s="125">
        <f t="shared" si="5"/>
        <v>0</v>
      </c>
      <c r="BY37" s="125">
        <f t="shared" si="6"/>
        <v>0</v>
      </c>
      <c r="BZ37" s="125">
        <f t="shared" si="7"/>
        <v>0</v>
      </c>
      <c r="CA37" s="125">
        <f t="shared" si="8"/>
        <v>0</v>
      </c>
      <c r="CB37" s="125">
        <f t="shared" si="9"/>
        <v>0</v>
      </c>
      <c r="CC37" s="125">
        <f t="shared" si="10"/>
        <v>0</v>
      </c>
      <c r="CD37" s="125">
        <f t="shared" si="11"/>
        <v>0</v>
      </c>
      <c r="CE37" s="125">
        <f t="shared" si="13"/>
        <v>0</v>
      </c>
      <c r="CF37" s="126">
        <f t="shared" si="14"/>
        <v>0</v>
      </c>
      <c r="CH37" s="4">
        <v>35</v>
      </c>
      <c r="CI37" s="129">
        <v>0</v>
      </c>
      <c r="CJ37" s="125">
        <v>0</v>
      </c>
      <c r="CK37" s="125">
        <v>0</v>
      </c>
      <c r="CL37" s="125">
        <v>0</v>
      </c>
      <c r="CM37" s="125">
        <v>0</v>
      </c>
      <c r="CN37" s="125">
        <v>0</v>
      </c>
      <c r="CO37" s="125">
        <v>0</v>
      </c>
      <c r="CP37" s="125">
        <v>0</v>
      </c>
      <c r="CQ37" s="125">
        <v>0</v>
      </c>
      <c r="CR37" s="125">
        <v>0</v>
      </c>
      <c r="CS37" s="125">
        <v>0</v>
      </c>
      <c r="CT37" s="125">
        <v>0</v>
      </c>
      <c r="CU37" s="126">
        <v>0</v>
      </c>
    </row>
    <row r="38" spans="1:99" x14ac:dyDescent="0.25">
      <c r="A38" t="s">
        <v>193</v>
      </c>
      <c r="B38" s="2" t="s">
        <v>3</v>
      </c>
      <c r="C38" s="1">
        <v>4808</v>
      </c>
      <c r="D38" s="19">
        <v>85.56</v>
      </c>
      <c r="E38" s="18">
        <v>0</v>
      </c>
      <c r="F38" s="19">
        <v>0</v>
      </c>
      <c r="G38" s="19">
        <v>0</v>
      </c>
      <c r="H38" s="19">
        <v>0</v>
      </c>
      <c r="I38" s="19">
        <f>SUM(E38:H38)/Variables!$E$3</f>
        <v>0</v>
      </c>
      <c r="J38" s="4">
        <v>0</v>
      </c>
      <c r="K38">
        <v>0</v>
      </c>
      <c r="L38">
        <v>0</v>
      </c>
      <c r="M38">
        <v>0</v>
      </c>
      <c r="N38" s="6">
        <f>SUM(J38:M38)/Variables!$E$3</f>
        <v>0</v>
      </c>
      <c r="O38" s="4">
        <v>0</v>
      </c>
      <c r="P38">
        <v>0</v>
      </c>
      <c r="Q38">
        <v>0</v>
      </c>
      <c r="R38">
        <v>0</v>
      </c>
      <c r="S38" s="6">
        <f>SUM(O38:R38)/Variables!$E$3</f>
        <v>0</v>
      </c>
      <c r="T38" s="12">
        <v>0</v>
      </c>
      <c r="U38" s="6">
        <v>0</v>
      </c>
      <c r="V38" s="6">
        <v>0</v>
      </c>
      <c r="W38" s="6">
        <v>0</v>
      </c>
      <c r="X38" s="6">
        <f>SUM(T38:W38)/Variables!$E$3</f>
        <v>0</v>
      </c>
      <c r="Y38" s="12">
        <v>0</v>
      </c>
      <c r="Z38" s="6">
        <v>0</v>
      </c>
      <c r="AA38" s="6">
        <v>0</v>
      </c>
      <c r="AB38" s="6">
        <v>0</v>
      </c>
      <c r="AC38" s="6">
        <f>SUM(Y38:AB38)/Variables!$E$3</f>
        <v>0</v>
      </c>
      <c r="AD38" s="4">
        <v>0</v>
      </c>
      <c r="AE38" s="2">
        <v>0</v>
      </c>
      <c r="AF38" s="2">
        <v>0</v>
      </c>
      <c r="AG38" s="2">
        <v>0</v>
      </c>
      <c r="AH38" s="6">
        <f>SUM(AD38:AG38)/Variables!$E$3</f>
        <v>0</v>
      </c>
      <c r="AI38" s="4">
        <v>0</v>
      </c>
      <c r="AJ38" s="2">
        <v>0</v>
      </c>
      <c r="AK38" s="2">
        <v>0</v>
      </c>
      <c r="AL38" s="2">
        <v>0</v>
      </c>
      <c r="AM38" s="6">
        <f>SUM(AI38:AL38)/Variables!$E$3</f>
        <v>0</v>
      </c>
      <c r="AN38" s="4">
        <v>0</v>
      </c>
      <c r="AO38" s="2">
        <v>0</v>
      </c>
      <c r="AP38" s="2">
        <v>0</v>
      </c>
      <c r="AQ38" s="2">
        <v>0</v>
      </c>
      <c r="AR38" s="6">
        <f>SUM(AN38:AQ38)/Variables!$E$3</f>
        <v>0</v>
      </c>
      <c r="AS38" s="4">
        <v>0</v>
      </c>
      <c r="AT38" s="2">
        <v>0</v>
      </c>
      <c r="AU38" s="2">
        <v>0</v>
      </c>
      <c r="AV38" s="2">
        <v>0</v>
      </c>
      <c r="AW38" s="6">
        <f>SUM(AS38:AV38)/Variables!$E$3</f>
        <v>0</v>
      </c>
      <c r="AX38" s="4">
        <v>0</v>
      </c>
      <c r="AY38" s="2">
        <v>0</v>
      </c>
      <c r="AZ38" s="2">
        <v>0</v>
      </c>
      <c r="BA38" s="2">
        <v>0</v>
      </c>
      <c r="BB38" s="6">
        <f>SUM(AX38:BA38)/Variables!$E$3</f>
        <v>0</v>
      </c>
      <c r="BC38" s="12">
        <f t="shared" si="15"/>
        <v>0</v>
      </c>
      <c r="BD38" s="110">
        <f t="shared" si="15"/>
        <v>0</v>
      </c>
      <c r="BE38" s="110">
        <f t="shared" si="15"/>
        <v>0</v>
      </c>
      <c r="BF38" s="110">
        <f t="shared" si="15"/>
        <v>0</v>
      </c>
      <c r="BG38" s="6">
        <f>SUM(BC38:BF38)/Variables!$E$3</f>
        <v>0</v>
      </c>
      <c r="BH38" s="4">
        <v>0</v>
      </c>
      <c r="BI38">
        <v>0</v>
      </c>
      <c r="BJ38">
        <v>0</v>
      </c>
      <c r="BK38">
        <v>0</v>
      </c>
      <c r="BL38" s="6">
        <f>SUM(BH38:BK38)/Variables!$E$3</f>
        <v>0</v>
      </c>
      <c r="BM38" s="110">
        <v>0</v>
      </c>
      <c r="BN38" s="110">
        <v>0</v>
      </c>
      <c r="BO38" s="110">
        <v>0</v>
      </c>
      <c r="BP38" s="110">
        <v>0</v>
      </c>
      <c r="BQ38" s="6">
        <f>SUM(BM38:BP38)/Variables!$E$3</f>
        <v>0</v>
      </c>
      <c r="BS38" s="4">
        <v>36</v>
      </c>
      <c r="BT38" s="125">
        <f t="shared" si="1"/>
        <v>0</v>
      </c>
      <c r="BU38" s="125">
        <f t="shared" si="2"/>
        <v>0</v>
      </c>
      <c r="BV38" s="125">
        <f t="shared" si="3"/>
        <v>0</v>
      </c>
      <c r="BW38" s="125">
        <f t="shared" si="4"/>
        <v>0</v>
      </c>
      <c r="BX38" s="125">
        <f t="shared" si="5"/>
        <v>0</v>
      </c>
      <c r="BY38" s="125">
        <f t="shared" si="6"/>
        <v>0</v>
      </c>
      <c r="BZ38" s="125">
        <f t="shared" si="7"/>
        <v>0</v>
      </c>
      <c r="CA38" s="125">
        <f t="shared" si="8"/>
        <v>0</v>
      </c>
      <c r="CB38" s="125">
        <f t="shared" si="9"/>
        <v>0</v>
      </c>
      <c r="CC38" s="125">
        <f t="shared" si="10"/>
        <v>0</v>
      </c>
      <c r="CD38" s="125">
        <f t="shared" si="11"/>
        <v>0</v>
      </c>
      <c r="CE38" s="125">
        <f t="shared" si="13"/>
        <v>0</v>
      </c>
      <c r="CF38" s="126">
        <f t="shared" si="14"/>
        <v>0</v>
      </c>
      <c r="CH38" s="4">
        <v>36</v>
      </c>
      <c r="CI38" s="129">
        <v>0</v>
      </c>
      <c r="CJ38" s="125">
        <v>0</v>
      </c>
      <c r="CK38" s="125">
        <v>0</v>
      </c>
      <c r="CL38" s="125">
        <v>0</v>
      </c>
      <c r="CM38" s="125">
        <v>0</v>
      </c>
      <c r="CN38" s="125">
        <v>0</v>
      </c>
      <c r="CO38" s="125">
        <v>0</v>
      </c>
      <c r="CP38" s="125">
        <v>0</v>
      </c>
      <c r="CQ38" s="125">
        <v>0</v>
      </c>
      <c r="CR38" s="125">
        <v>0</v>
      </c>
      <c r="CS38" s="125">
        <v>0</v>
      </c>
      <c r="CT38" s="125">
        <v>0</v>
      </c>
      <c r="CU38" s="126">
        <v>0</v>
      </c>
    </row>
    <row r="39" spans="1:99" x14ac:dyDescent="0.25">
      <c r="A39" t="s">
        <v>193</v>
      </c>
      <c r="B39" s="2" t="s">
        <v>4</v>
      </c>
      <c r="C39" s="1">
        <v>4900</v>
      </c>
      <c r="D39" s="19">
        <v>167.86</v>
      </c>
      <c r="E39" s="18">
        <v>0</v>
      </c>
      <c r="F39" s="19">
        <v>0</v>
      </c>
      <c r="G39" s="19">
        <v>0</v>
      </c>
      <c r="H39" s="19">
        <v>0</v>
      </c>
      <c r="I39" s="19">
        <f>SUM(E39:H39)/Variables!$E$3</f>
        <v>0</v>
      </c>
      <c r="J39" s="4">
        <v>0</v>
      </c>
      <c r="K39">
        <v>0</v>
      </c>
      <c r="L39">
        <v>0</v>
      </c>
      <c r="M39">
        <v>0</v>
      </c>
      <c r="N39" s="6">
        <f>SUM(J39:M39)/Variables!$E$3</f>
        <v>0</v>
      </c>
      <c r="O39" s="4">
        <v>0</v>
      </c>
      <c r="P39">
        <v>0</v>
      </c>
      <c r="Q39">
        <v>0</v>
      </c>
      <c r="R39">
        <v>0</v>
      </c>
      <c r="S39" s="6">
        <f>SUM(O39:R39)/Variables!$E$3</f>
        <v>0</v>
      </c>
      <c r="T39" s="12">
        <v>0</v>
      </c>
      <c r="U39" s="6">
        <v>0</v>
      </c>
      <c r="V39" s="6">
        <v>0</v>
      </c>
      <c r="W39" s="6">
        <v>0</v>
      </c>
      <c r="X39" s="6">
        <f>SUM(T39:W39)/Variables!$E$3</f>
        <v>0</v>
      </c>
      <c r="Y39" s="12">
        <v>0</v>
      </c>
      <c r="Z39" s="6">
        <v>0</v>
      </c>
      <c r="AA39" s="6">
        <v>0</v>
      </c>
      <c r="AB39" s="6">
        <v>0</v>
      </c>
      <c r="AC39" s="6">
        <f>SUM(Y39:AB39)/Variables!$E$3</f>
        <v>0</v>
      </c>
      <c r="AD39" s="4">
        <v>0</v>
      </c>
      <c r="AE39" s="2">
        <v>0</v>
      </c>
      <c r="AF39" s="2">
        <v>0</v>
      </c>
      <c r="AG39" s="2">
        <v>0</v>
      </c>
      <c r="AH39" s="6">
        <f>SUM(AD39:AG39)/Variables!$E$3</f>
        <v>0</v>
      </c>
      <c r="AI39" s="4">
        <v>0</v>
      </c>
      <c r="AJ39" s="2">
        <v>0</v>
      </c>
      <c r="AK39" s="2">
        <v>0</v>
      </c>
      <c r="AL39" s="2">
        <v>0</v>
      </c>
      <c r="AM39" s="6">
        <f>SUM(AI39:AL39)/Variables!$E$3</f>
        <v>0</v>
      </c>
      <c r="AN39" s="4">
        <v>0</v>
      </c>
      <c r="AO39" s="2">
        <v>0</v>
      </c>
      <c r="AP39" s="2">
        <v>0</v>
      </c>
      <c r="AQ39" s="2">
        <v>0</v>
      </c>
      <c r="AR39" s="6">
        <f>SUM(AN39:AQ39)/Variables!$E$3</f>
        <v>0</v>
      </c>
      <c r="AS39" s="4">
        <v>0</v>
      </c>
      <c r="AT39" s="2">
        <v>0</v>
      </c>
      <c r="AU39" s="2">
        <v>0</v>
      </c>
      <c r="AV39" s="2">
        <v>0</v>
      </c>
      <c r="AW39" s="6">
        <f>SUM(AS39:AV39)/Variables!$E$3</f>
        <v>0</v>
      </c>
      <c r="AX39" s="4">
        <v>0</v>
      </c>
      <c r="AY39" s="2">
        <v>0</v>
      </c>
      <c r="AZ39" s="2">
        <v>0</v>
      </c>
      <c r="BA39" s="2">
        <v>0</v>
      </c>
      <c r="BB39" s="6">
        <f>SUM(AX39:BA39)/Variables!$E$3</f>
        <v>0</v>
      </c>
      <c r="BC39" s="12">
        <f t="shared" si="15"/>
        <v>0</v>
      </c>
      <c r="BD39" s="110">
        <f t="shared" si="15"/>
        <v>0</v>
      </c>
      <c r="BE39" s="110">
        <f t="shared" si="15"/>
        <v>0</v>
      </c>
      <c r="BF39" s="110">
        <f t="shared" si="15"/>
        <v>0</v>
      </c>
      <c r="BG39" s="6">
        <f>SUM(BC39:BF39)/Variables!$E$3</f>
        <v>0</v>
      </c>
      <c r="BH39" s="4">
        <v>0</v>
      </c>
      <c r="BI39">
        <v>0</v>
      </c>
      <c r="BJ39">
        <v>0</v>
      </c>
      <c r="BK39">
        <v>0</v>
      </c>
      <c r="BL39" s="6">
        <f>SUM(BH39:BK39)/Variables!$E$3</f>
        <v>0</v>
      </c>
      <c r="BM39" s="110">
        <v>0</v>
      </c>
      <c r="BN39" s="110">
        <v>0</v>
      </c>
      <c r="BO39" s="110">
        <v>0</v>
      </c>
      <c r="BP39" s="110">
        <v>0</v>
      </c>
      <c r="BQ39" s="6">
        <f>SUM(BM39:BP39)/Variables!$E$3</f>
        <v>0</v>
      </c>
      <c r="BS39" s="4">
        <v>37</v>
      </c>
      <c r="BT39" s="125">
        <f t="shared" si="1"/>
        <v>0</v>
      </c>
      <c r="BU39" s="125">
        <f t="shared" si="2"/>
        <v>8.9359377350572852E-2</v>
      </c>
      <c r="BV39" s="125">
        <f t="shared" si="3"/>
        <v>0</v>
      </c>
      <c r="BW39" s="125">
        <f t="shared" si="4"/>
        <v>1.1548943380390978E-2</v>
      </c>
      <c r="BX39" s="125">
        <f t="shared" si="5"/>
        <v>1.09270857251443E-2</v>
      </c>
      <c r="BY39" s="125">
        <f t="shared" si="6"/>
        <v>4.4106445815089591E-3</v>
      </c>
      <c r="BZ39" s="125">
        <f t="shared" si="7"/>
        <v>3.9162622031845068E-3</v>
      </c>
      <c r="CA39" s="125">
        <f t="shared" si="8"/>
        <v>4.2262409045202252E-3</v>
      </c>
      <c r="CB39" s="125">
        <f t="shared" si="9"/>
        <v>1.1988139256842889E-2</v>
      </c>
      <c r="CC39" s="125">
        <f t="shared" si="10"/>
        <v>6.6549220500558203E-3</v>
      </c>
      <c r="CD39" s="125">
        <f t="shared" si="11"/>
        <v>1.09270857251443E-2</v>
      </c>
      <c r="CE39" s="125">
        <f t="shared" si="13"/>
        <v>5.5833379520027872E-3</v>
      </c>
      <c r="CF39" s="126">
        <f t="shared" si="14"/>
        <v>6.8423344602886798E-3</v>
      </c>
      <c r="CH39" s="4">
        <v>37</v>
      </c>
      <c r="CI39" s="129">
        <v>0</v>
      </c>
      <c r="CJ39" s="125">
        <v>6.4377786047395469E-2</v>
      </c>
      <c r="CK39" s="125">
        <v>0</v>
      </c>
      <c r="CL39" s="125">
        <v>0</v>
      </c>
      <c r="CM39" s="125">
        <v>0</v>
      </c>
      <c r="CN39" s="125">
        <v>0</v>
      </c>
      <c r="CO39" s="125">
        <v>0</v>
      </c>
      <c r="CP39" s="125">
        <v>0</v>
      </c>
      <c r="CQ39" s="125">
        <v>0</v>
      </c>
      <c r="CR39" s="125">
        <v>0</v>
      </c>
      <c r="CS39" s="125">
        <v>0</v>
      </c>
      <c r="CT39" s="125">
        <v>0</v>
      </c>
      <c r="CU39" s="126">
        <v>0</v>
      </c>
    </row>
    <row r="40" spans="1:99" x14ac:dyDescent="0.25">
      <c r="A40" t="s">
        <v>193</v>
      </c>
      <c r="B40" s="2" t="s">
        <v>1</v>
      </c>
      <c r="C40" s="1">
        <v>4992</v>
      </c>
      <c r="D40" s="19">
        <v>46.28</v>
      </c>
      <c r="E40" s="18">
        <v>0</v>
      </c>
      <c r="F40" s="19">
        <v>0</v>
      </c>
      <c r="G40" s="19">
        <v>0</v>
      </c>
      <c r="H40" s="19">
        <v>0</v>
      </c>
      <c r="I40" s="19">
        <f>SUM(E40:H40)/Variables!$E$3</f>
        <v>0</v>
      </c>
      <c r="J40" s="4">
        <v>0</v>
      </c>
      <c r="K40">
        <v>3300</v>
      </c>
      <c r="L40">
        <v>102439</v>
      </c>
      <c r="M40">
        <v>7121</v>
      </c>
      <c r="N40" s="6">
        <f>SUM(J40:M40)/Variables!$E$3</f>
        <v>8.9359377350572852E-2</v>
      </c>
      <c r="O40" s="4">
        <v>0</v>
      </c>
      <c r="P40">
        <v>0</v>
      </c>
      <c r="Q40">
        <v>0</v>
      </c>
      <c r="R40">
        <v>0</v>
      </c>
      <c r="S40" s="6">
        <f>SUM(O40:R40)/Variables!$E$3</f>
        <v>0</v>
      </c>
      <c r="T40" s="12">
        <v>0</v>
      </c>
      <c r="U40" s="6">
        <v>0</v>
      </c>
      <c r="V40" s="6">
        <v>14586.2</v>
      </c>
      <c r="W40" s="6">
        <v>0</v>
      </c>
      <c r="X40" s="6">
        <f>SUM(T40:W40)/Variables!$E$3</f>
        <v>1.1548943380390978E-2</v>
      </c>
      <c r="Y40" s="12">
        <v>0</v>
      </c>
      <c r="Z40" s="6">
        <v>0</v>
      </c>
      <c r="AA40" s="6">
        <v>13800.8</v>
      </c>
      <c r="AB40" s="6">
        <v>0</v>
      </c>
      <c r="AC40" s="6">
        <f>SUM(Y40:AB40)/Variables!$E$3</f>
        <v>1.09270857251443E-2</v>
      </c>
      <c r="AD40" s="4">
        <v>0</v>
      </c>
      <c r="AE40" s="2">
        <v>0</v>
      </c>
      <c r="AF40" s="2">
        <v>5570.6</v>
      </c>
      <c r="AG40" s="2">
        <v>0</v>
      </c>
      <c r="AH40" s="6">
        <f>SUM(AD40:AG40)/Variables!$E$3</f>
        <v>4.4106445815089591E-3</v>
      </c>
      <c r="AI40" s="4">
        <v>0</v>
      </c>
      <c r="AJ40" s="2">
        <v>0</v>
      </c>
      <c r="AK40" s="2">
        <v>4946.2</v>
      </c>
      <c r="AL40" s="2">
        <v>0</v>
      </c>
      <c r="AM40" s="6">
        <f>SUM(AI40:AL40)/Variables!$E$3</f>
        <v>3.9162622031845068E-3</v>
      </c>
      <c r="AN40" s="4">
        <v>0</v>
      </c>
      <c r="AO40" s="2">
        <v>0</v>
      </c>
      <c r="AP40" s="2">
        <v>5337.7</v>
      </c>
      <c r="AQ40" s="2">
        <v>0</v>
      </c>
      <c r="AR40" s="6">
        <f>SUM(AN40:AQ40)/Variables!$E$3</f>
        <v>4.2262409045202252E-3</v>
      </c>
      <c r="AS40" s="4">
        <v>0</v>
      </c>
      <c r="AT40" s="2">
        <v>0</v>
      </c>
      <c r="AU40" s="2">
        <v>15140.9</v>
      </c>
      <c r="AV40" s="2">
        <v>0</v>
      </c>
      <c r="AW40" s="6">
        <f>SUM(AS40:AV40)/Variables!$E$3</f>
        <v>1.1988139256842889E-2</v>
      </c>
      <c r="AX40" s="4">
        <v>0</v>
      </c>
      <c r="AY40" s="2">
        <v>0</v>
      </c>
      <c r="AZ40" s="2">
        <v>8405.1</v>
      </c>
      <c r="BA40" s="2">
        <v>0</v>
      </c>
      <c r="BB40" s="6">
        <f>SUM(AX40:BA40)/Variables!$E$3</f>
        <v>6.6549220500558203E-3</v>
      </c>
      <c r="BC40" s="12">
        <f t="shared" si="15"/>
        <v>0</v>
      </c>
      <c r="BD40" s="110">
        <f t="shared" si="15"/>
        <v>0</v>
      </c>
      <c r="BE40" s="110">
        <f t="shared" si="15"/>
        <v>13800.8</v>
      </c>
      <c r="BF40" s="110">
        <f t="shared" si="15"/>
        <v>0</v>
      </c>
      <c r="BG40" s="6">
        <f>SUM(BC40:BF40)/Variables!$E$3</f>
        <v>1.09270857251443E-2</v>
      </c>
      <c r="BH40" s="4">
        <v>0</v>
      </c>
      <c r="BI40">
        <v>0</v>
      </c>
      <c r="BJ40">
        <v>7051.7</v>
      </c>
      <c r="BK40">
        <v>0</v>
      </c>
      <c r="BL40" s="6">
        <f>SUM(BH40:BK40)/Variables!$E$3</f>
        <v>5.5833379520027872E-3</v>
      </c>
      <c r="BM40" s="110">
        <v>0</v>
      </c>
      <c r="BN40" s="110">
        <v>0</v>
      </c>
      <c r="BO40" s="110">
        <v>8641.7999999999993</v>
      </c>
      <c r="BP40" s="110">
        <v>0</v>
      </c>
      <c r="BQ40" s="6">
        <f>SUM(BM40:BP40)/Variables!$E$3</f>
        <v>6.8423344602886798E-3</v>
      </c>
      <c r="BS40" s="4">
        <v>38</v>
      </c>
      <c r="BT40" s="125">
        <f t="shared" si="1"/>
        <v>0</v>
      </c>
      <c r="BU40" s="125">
        <f t="shared" si="2"/>
        <v>0</v>
      </c>
      <c r="BV40" s="125">
        <f t="shared" si="3"/>
        <v>0</v>
      </c>
      <c r="BW40" s="125">
        <f t="shared" si="4"/>
        <v>0</v>
      </c>
      <c r="BX40" s="125">
        <f t="shared" si="5"/>
        <v>0</v>
      </c>
      <c r="BY40" s="125">
        <f t="shared" si="6"/>
        <v>0</v>
      </c>
      <c r="BZ40" s="125">
        <f t="shared" si="7"/>
        <v>0</v>
      </c>
      <c r="CA40" s="125">
        <f t="shared" si="8"/>
        <v>0</v>
      </c>
      <c r="CB40" s="125">
        <f t="shared" si="9"/>
        <v>0</v>
      </c>
      <c r="CC40" s="125">
        <f t="shared" si="10"/>
        <v>0</v>
      </c>
      <c r="CD40" s="125">
        <f t="shared" si="11"/>
        <v>0</v>
      </c>
      <c r="CE40" s="125">
        <f t="shared" si="13"/>
        <v>0</v>
      </c>
      <c r="CF40" s="126">
        <f t="shared" si="14"/>
        <v>0</v>
      </c>
      <c r="CH40" s="4">
        <v>38</v>
      </c>
      <c r="CI40" s="129">
        <v>0</v>
      </c>
      <c r="CJ40" s="125">
        <v>0</v>
      </c>
      <c r="CK40" s="125">
        <v>0</v>
      </c>
      <c r="CL40" s="125">
        <v>0</v>
      </c>
      <c r="CM40" s="125">
        <v>0</v>
      </c>
      <c r="CN40" s="125">
        <v>0</v>
      </c>
      <c r="CO40" s="125">
        <v>0</v>
      </c>
      <c r="CP40" s="125">
        <v>0</v>
      </c>
      <c r="CQ40" s="125">
        <v>0</v>
      </c>
      <c r="CR40" s="125">
        <v>0</v>
      </c>
      <c r="CS40" s="125">
        <v>0</v>
      </c>
      <c r="CT40" s="125">
        <v>0</v>
      </c>
      <c r="CU40" s="126">
        <v>0</v>
      </c>
    </row>
    <row r="41" spans="1:99" x14ac:dyDescent="0.25">
      <c r="A41" t="s">
        <v>193</v>
      </c>
      <c r="B41" s="2" t="s">
        <v>2</v>
      </c>
      <c r="C41" s="1">
        <v>5083</v>
      </c>
      <c r="D41" s="19">
        <v>15.16</v>
      </c>
      <c r="E41" s="18">
        <v>0</v>
      </c>
      <c r="F41" s="19">
        <v>0</v>
      </c>
      <c r="G41" s="19">
        <v>0</v>
      </c>
      <c r="H41" s="19">
        <v>0</v>
      </c>
      <c r="I41" s="19">
        <f>SUM(E41:H41)/Variables!$E$3</f>
        <v>0</v>
      </c>
      <c r="J41" s="4">
        <v>0</v>
      </c>
      <c r="K41">
        <v>0</v>
      </c>
      <c r="L41">
        <v>0</v>
      </c>
      <c r="M41">
        <v>0</v>
      </c>
      <c r="N41" s="6">
        <f>SUM(J41:M41)/Variables!$E$3</f>
        <v>0</v>
      </c>
      <c r="O41" s="4">
        <v>0</v>
      </c>
      <c r="P41">
        <v>0</v>
      </c>
      <c r="Q41">
        <v>0</v>
      </c>
      <c r="R41">
        <v>0</v>
      </c>
      <c r="S41" s="6">
        <f>SUM(O41:R41)/Variables!$E$3</f>
        <v>0</v>
      </c>
      <c r="T41" s="12">
        <v>0</v>
      </c>
      <c r="U41" s="6">
        <v>0</v>
      </c>
      <c r="V41" s="6">
        <v>0</v>
      </c>
      <c r="W41" s="6">
        <v>0</v>
      </c>
      <c r="X41" s="6">
        <f>SUM(T41:W41)/Variables!$E$3</f>
        <v>0</v>
      </c>
      <c r="Y41" s="12">
        <v>0</v>
      </c>
      <c r="Z41" s="6">
        <v>0</v>
      </c>
      <c r="AA41" s="6">
        <v>0</v>
      </c>
      <c r="AB41" s="6">
        <v>0</v>
      </c>
      <c r="AC41" s="6">
        <f>SUM(Y41:AB41)/Variables!$E$3</f>
        <v>0</v>
      </c>
      <c r="AD41" s="4">
        <v>0</v>
      </c>
      <c r="AE41" s="2">
        <v>0</v>
      </c>
      <c r="AF41" s="2">
        <v>0</v>
      </c>
      <c r="AG41" s="2">
        <v>0</v>
      </c>
      <c r="AH41" s="6">
        <f>SUM(AD41:AG41)/Variables!$E$3</f>
        <v>0</v>
      </c>
      <c r="AI41" s="4">
        <v>0</v>
      </c>
      <c r="AJ41" s="2">
        <v>0</v>
      </c>
      <c r="AK41" s="2">
        <v>0</v>
      </c>
      <c r="AL41" s="2">
        <v>0</v>
      </c>
      <c r="AM41" s="6">
        <f>SUM(AI41:AL41)/Variables!$E$3</f>
        <v>0</v>
      </c>
      <c r="AN41" s="4">
        <v>0</v>
      </c>
      <c r="AO41" s="2">
        <v>0</v>
      </c>
      <c r="AP41" s="2">
        <v>0</v>
      </c>
      <c r="AQ41" s="2">
        <v>0</v>
      </c>
      <c r="AR41" s="6">
        <f>SUM(AN41:AQ41)/Variables!$E$3</f>
        <v>0</v>
      </c>
      <c r="AS41" s="4">
        <v>0</v>
      </c>
      <c r="AT41" s="2">
        <v>0</v>
      </c>
      <c r="AU41" s="2">
        <v>0</v>
      </c>
      <c r="AV41" s="2">
        <v>0</v>
      </c>
      <c r="AW41" s="6">
        <f>SUM(AS41:AV41)/Variables!$E$3</f>
        <v>0</v>
      </c>
      <c r="AX41" s="4">
        <v>0</v>
      </c>
      <c r="AY41" s="2">
        <v>0</v>
      </c>
      <c r="AZ41" s="2">
        <v>0</v>
      </c>
      <c r="BA41" s="2">
        <v>0</v>
      </c>
      <c r="BB41" s="6">
        <f>SUM(AX41:BA41)/Variables!$E$3</f>
        <v>0</v>
      </c>
      <c r="BC41" s="12">
        <f t="shared" si="15"/>
        <v>0</v>
      </c>
      <c r="BD41" s="110">
        <f t="shared" si="15"/>
        <v>0</v>
      </c>
      <c r="BE41" s="110">
        <f t="shared" si="15"/>
        <v>0</v>
      </c>
      <c r="BF41" s="110">
        <f t="shared" si="15"/>
        <v>0</v>
      </c>
      <c r="BG41" s="6">
        <f>SUM(BC41:BF41)/Variables!$E$3</f>
        <v>0</v>
      </c>
      <c r="BH41" s="4">
        <v>0</v>
      </c>
      <c r="BI41">
        <v>0</v>
      </c>
      <c r="BJ41">
        <v>0</v>
      </c>
      <c r="BK41">
        <v>0</v>
      </c>
      <c r="BL41" s="6">
        <f>SUM(BH41:BK41)/Variables!$E$3</f>
        <v>0</v>
      </c>
      <c r="BM41" s="110">
        <v>0</v>
      </c>
      <c r="BN41" s="110">
        <v>0</v>
      </c>
      <c r="BO41" s="110">
        <v>0</v>
      </c>
      <c r="BP41" s="110">
        <v>0</v>
      </c>
      <c r="BQ41" s="6">
        <f>SUM(BM41:BP41)/Variables!$E$3</f>
        <v>0</v>
      </c>
      <c r="BS41" s="4">
        <v>39</v>
      </c>
      <c r="BT41" s="125">
        <f t="shared" si="1"/>
        <v>0</v>
      </c>
      <c r="BU41" s="125">
        <f t="shared" si="2"/>
        <v>0</v>
      </c>
      <c r="BV41" s="125">
        <f t="shared" si="3"/>
        <v>0</v>
      </c>
      <c r="BW41" s="125">
        <f t="shared" si="4"/>
        <v>0</v>
      </c>
      <c r="BX41" s="125">
        <f t="shared" si="5"/>
        <v>0</v>
      </c>
      <c r="BY41" s="125">
        <f t="shared" si="6"/>
        <v>0</v>
      </c>
      <c r="BZ41" s="125">
        <f t="shared" si="7"/>
        <v>0</v>
      </c>
      <c r="CA41" s="125">
        <f t="shared" si="8"/>
        <v>0</v>
      </c>
      <c r="CB41" s="125">
        <f t="shared" si="9"/>
        <v>0</v>
      </c>
      <c r="CC41" s="125">
        <f t="shared" si="10"/>
        <v>0</v>
      </c>
      <c r="CD41" s="125">
        <f t="shared" si="11"/>
        <v>0</v>
      </c>
      <c r="CE41" s="125">
        <f t="shared" si="13"/>
        <v>0</v>
      </c>
      <c r="CF41" s="126">
        <f t="shared" si="14"/>
        <v>0</v>
      </c>
      <c r="CH41" s="4">
        <v>39</v>
      </c>
      <c r="CI41" s="129">
        <v>0</v>
      </c>
      <c r="CJ41" s="125">
        <v>0</v>
      </c>
      <c r="CK41" s="125">
        <v>0</v>
      </c>
      <c r="CL41" s="125">
        <v>0</v>
      </c>
      <c r="CM41" s="125">
        <v>0</v>
      </c>
      <c r="CN41" s="125">
        <v>0</v>
      </c>
      <c r="CO41" s="125">
        <v>0</v>
      </c>
      <c r="CP41" s="125">
        <v>0</v>
      </c>
      <c r="CQ41" s="125">
        <v>0</v>
      </c>
      <c r="CR41" s="125">
        <v>0</v>
      </c>
      <c r="CS41" s="125">
        <v>0</v>
      </c>
      <c r="CT41" s="125">
        <v>0</v>
      </c>
      <c r="CU41" s="126">
        <v>0</v>
      </c>
    </row>
    <row r="42" spans="1:99" x14ac:dyDescent="0.25">
      <c r="A42" t="s">
        <v>194</v>
      </c>
      <c r="B42" s="2" t="s">
        <v>3</v>
      </c>
      <c r="C42" s="1">
        <v>5173</v>
      </c>
      <c r="D42" s="19">
        <v>121.4</v>
      </c>
      <c r="E42" s="18">
        <v>0</v>
      </c>
      <c r="F42" s="19">
        <v>0</v>
      </c>
      <c r="G42" s="19">
        <v>0</v>
      </c>
      <c r="H42" s="19">
        <v>0</v>
      </c>
      <c r="I42" s="19">
        <f>SUM(E42:H42)/Variables!$E$3</f>
        <v>0</v>
      </c>
      <c r="J42" s="4">
        <v>0</v>
      </c>
      <c r="K42">
        <v>0</v>
      </c>
      <c r="L42">
        <v>0</v>
      </c>
      <c r="M42">
        <v>0</v>
      </c>
      <c r="N42" s="6">
        <f>SUM(J42:M42)/Variables!$E$3</f>
        <v>0</v>
      </c>
      <c r="O42" s="4">
        <v>0</v>
      </c>
      <c r="P42">
        <v>0</v>
      </c>
      <c r="Q42">
        <v>0</v>
      </c>
      <c r="R42">
        <v>0</v>
      </c>
      <c r="S42" s="6">
        <f>SUM(O42:R42)/Variables!$E$3</f>
        <v>0</v>
      </c>
      <c r="T42" s="12">
        <v>0</v>
      </c>
      <c r="U42" s="6">
        <v>0</v>
      </c>
      <c r="V42" s="6">
        <v>0</v>
      </c>
      <c r="W42" s="6">
        <v>0</v>
      </c>
      <c r="X42" s="6">
        <f>SUM(T42:W42)/Variables!$E$3</f>
        <v>0</v>
      </c>
      <c r="Y42" s="12">
        <v>0</v>
      </c>
      <c r="Z42" s="6">
        <v>0</v>
      </c>
      <c r="AA42" s="6">
        <v>0</v>
      </c>
      <c r="AB42" s="6">
        <v>0</v>
      </c>
      <c r="AC42" s="6">
        <f>SUM(Y42:AB42)/Variables!$E$3</f>
        <v>0</v>
      </c>
      <c r="AD42" s="4">
        <v>0</v>
      </c>
      <c r="AE42" s="2">
        <v>0</v>
      </c>
      <c r="AF42" s="2">
        <v>0</v>
      </c>
      <c r="AG42" s="2">
        <v>0</v>
      </c>
      <c r="AH42" s="6">
        <f>SUM(AD42:AG42)/Variables!$E$3</f>
        <v>0</v>
      </c>
      <c r="AI42" s="4">
        <v>0</v>
      </c>
      <c r="AJ42" s="2">
        <v>0</v>
      </c>
      <c r="AK42" s="2">
        <v>0</v>
      </c>
      <c r="AL42" s="2">
        <v>0</v>
      </c>
      <c r="AM42" s="6">
        <f>SUM(AI42:AL42)/Variables!$E$3</f>
        <v>0</v>
      </c>
      <c r="AN42" s="4">
        <v>0</v>
      </c>
      <c r="AO42" s="2">
        <v>0</v>
      </c>
      <c r="AP42" s="2">
        <v>0</v>
      </c>
      <c r="AQ42" s="2">
        <v>0</v>
      </c>
      <c r="AR42" s="6">
        <f>SUM(AN42:AQ42)/Variables!$E$3</f>
        <v>0</v>
      </c>
      <c r="AS42" s="4">
        <v>0</v>
      </c>
      <c r="AT42" s="2">
        <v>0</v>
      </c>
      <c r="AU42" s="2">
        <v>0</v>
      </c>
      <c r="AV42" s="2">
        <v>0</v>
      </c>
      <c r="AW42" s="6">
        <f>SUM(AS42:AV42)/Variables!$E$3</f>
        <v>0</v>
      </c>
      <c r="AX42" s="4">
        <v>0</v>
      </c>
      <c r="AY42" s="2">
        <v>0</v>
      </c>
      <c r="AZ42" s="2">
        <v>0</v>
      </c>
      <c r="BA42" s="2">
        <v>0</v>
      </c>
      <c r="BB42" s="6">
        <f>SUM(AX42:BA42)/Variables!$E$3</f>
        <v>0</v>
      </c>
      <c r="BC42" s="12">
        <f t="shared" si="15"/>
        <v>0</v>
      </c>
      <c r="BD42" s="110">
        <f t="shared" si="15"/>
        <v>0</v>
      </c>
      <c r="BE42" s="110">
        <f t="shared" si="15"/>
        <v>0</v>
      </c>
      <c r="BF42" s="110">
        <f t="shared" si="15"/>
        <v>0</v>
      </c>
      <c r="BG42" s="6">
        <f>SUM(BC42:BF42)/Variables!$E$3</f>
        <v>0</v>
      </c>
      <c r="BH42" s="4">
        <v>0</v>
      </c>
      <c r="BI42">
        <v>0</v>
      </c>
      <c r="BJ42">
        <v>0</v>
      </c>
      <c r="BK42">
        <v>0</v>
      </c>
      <c r="BL42" s="6">
        <f>SUM(BH42:BK42)/Variables!$E$3</f>
        <v>0</v>
      </c>
      <c r="BM42" s="110">
        <v>0</v>
      </c>
      <c r="BN42" s="110">
        <v>0</v>
      </c>
      <c r="BO42" s="110">
        <v>0</v>
      </c>
      <c r="BP42" s="110">
        <v>0</v>
      </c>
      <c r="BQ42" s="6">
        <f>SUM(BM42:BP42)/Variables!$E$3</f>
        <v>0</v>
      </c>
      <c r="BS42" s="4">
        <v>40</v>
      </c>
      <c r="BT42" s="125">
        <f t="shared" si="1"/>
        <v>0</v>
      </c>
      <c r="BU42" s="125">
        <f t="shared" si="2"/>
        <v>6.1857180183532728E-2</v>
      </c>
      <c r="BV42" s="125">
        <f t="shared" si="3"/>
        <v>0</v>
      </c>
      <c r="BW42" s="125">
        <f t="shared" si="4"/>
        <v>3.7744558547573616E-3</v>
      </c>
      <c r="BX42" s="125">
        <f t="shared" si="5"/>
        <v>3.4227507739570382E-3</v>
      </c>
      <c r="BY42" s="125">
        <f t="shared" si="6"/>
        <v>0</v>
      </c>
      <c r="BZ42" s="125">
        <f t="shared" si="7"/>
        <v>3.7791273090048222E-4</v>
      </c>
      <c r="CA42" s="125">
        <f t="shared" si="8"/>
        <v>7.7775754360683773E-4</v>
      </c>
      <c r="CB42" s="125">
        <f t="shared" si="9"/>
        <v>3.684906452149265E-3</v>
      </c>
      <c r="CC42" s="125">
        <f t="shared" si="10"/>
        <v>1.7135527597209794E-3</v>
      </c>
      <c r="CD42" s="125">
        <f t="shared" si="11"/>
        <v>3.4227507739570382E-3</v>
      </c>
      <c r="CE42" s="125">
        <f t="shared" si="13"/>
        <v>1.3946270358435142E-3</v>
      </c>
      <c r="CF42" s="126">
        <f t="shared" si="14"/>
        <v>1.6563076508919312E-3</v>
      </c>
      <c r="CH42" s="4">
        <v>40</v>
      </c>
      <c r="CI42" s="129">
        <v>0</v>
      </c>
      <c r="CJ42" s="125">
        <v>0</v>
      </c>
      <c r="CK42" s="125">
        <v>0</v>
      </c>
      <c r="CL42" s="125">
        <v>0</v>
      </c>
      <c r="CM42" s="125">
        <v>0</v>
      </c>
      <c r="CN42" s="125">
        <v>0</v>
      </c>
      <c r="CO42" s="125">
        <v>0</v>
      </c>
      <c r="CP42" s="125">
        <v>0</v>
      </c>
      <c r="CQ42" s="125">
        <v>0</v>
      </c>
      <c r="CR42" s="125">
        <v>0</v>
      </c>
      <c r="CS42" s="125">
        <v>0</v>
      </c>
      <c r="CT42" s="125">
        <v>0</v>
      </c>
      <c r="CU42" s="126">
        <v>0</v>
      </c>
    </row>
    <row r="43" spans="1:99" x14ac:dyDescent="0.25">
      <c r="A43" t="s">
        <v>194</v>
      </c>
      <c r="B43" s="2" t="s">
        <v>4</v>
      </c>
      <c r="C43" s="1">
        <v>5265</v>
      </c>
      <c r="D43" s="19">
        <v>56.44</v>
      </c>
      <c r="E43" s="18">
        <v>0</v>
      </c>
      <c r="F43" s="19">
        <v>0</v>
      </c>
      <c r="G43" s="19">
        <v>0</v>
      </c>
      <c r="H43" s="19">
        <v>0</v>
      </c>
      <c r="I43" s="19">
        <f>SUM(E43:H43)/Variables!$E$3</f>
        <v>0</v>
      </c>
      <c r="J43" s="4">
        <v>0</v>
      </c>
      <c r="K43">
        <v>1589</v>
      </c>
      <c r="L43">
        <v>69584</v>
      </c>
      <c r="M43">
        <v>6952</v>
      </c>
      <c r="N43" s="6">
        <f>SUM(J43:M43)/Variables!$E$3</f>
        <v>6.1857180183532728E-2</v>
      </c>
      <c r="O43" s="4">
        <v>0</v>
      </c>
      <c r="P43">
        <v>0</v>
      </c>
      <c r="Q43">
        <v>0</v>
      </c>
      <c r="R43">
        <v>0</v>
      </c>
      <c r="S43" s="6">
        <f>SUM(O43:R43)/Variables!$E$3</f>
        <v>0</v>
      </c>
      <c r="T43" s="12">
        <v>0</v>
      </c>
      <c r="U43" s="6">
        <v>0</v>
      </c>
      <c r="V43" s="6">
        <v>4767.1000000000004</v>
      </c>
      <c r="W43" s="6">
        <v>0</v>
      </c>
      <c r="X43" s="6">
        <f>SUM(T43:W43)/Variables!$E$3</f>
        <v>3.7744558547573616E-3</v>
      </c>
      <c r="Y43" s="12">
        <v>0</v>
      </c>
      <c r="Z43" s="6">
        <v>0</v>
      </c>
      <c r="AA43" s="6">
        <v>4322.8999999999996</v>
      </c>
      <c r="AB43" s="6">
        <v>0</v>
      </c>
      <c r="AC43" s="6">
        <f>SUM(Y43:AB43)/Variables!$E$3</f>
        <v>3.4227507739570382E-3</v>
      </c>
      <c r="AD43" s="4">
        <v>0</v>
      </c>
      <c r="AE43" s="2">
        <v>0</v>
      </c>
      <c r="AF43" s="2">
        <v>0</v>
      </c>
      <c r="AG43" s="2">
        <v>0</v>
      </c>
      <c r="AH43" s="6">
        <f>SUM(AD43:AG43)/Variables!$E$3</f>
        <v>0</v>
      </c>
      <c r="AI43" s="4">
        <v>0</v>
      </c>
      <c r="AJ43" s="2">
        <v>0</v>
      </c>
      <c r="AK43" s="2">
        <v>477.3</v>
      </c>
      <c r="AL43" s="2">
        <v>0</v>
      </c>
      <c r="AM43" s="6">
        <f>SUM(AI43:AL43)/Variables!$E$3</f>
        <v>3.7791273090048222E-4</v>
      </c>
      <c r="AN43" s="4">
        <v>0</v>
      </c>
      <c r="AO43" s="2">
        <v>0</v>
      </c>
      <c r="AP43" s="2">
        <v>982.3</v>
      </c>
      <c r="AQ43" s="2">
        <v>0</v>
      </c>
      <c r="AR43" s="6">
        <f>SUM(AN43:AQ43)/Variables!$E$3</f>
        <v>7.7775754360683773E-4</v>
      </c>
      <c r="AS43" s="4">
        <v>0</v>
      </c>
      <c r="AT43" s="2">
        <v>0</v>
      </c>
      <c r="AU43" s="2">
        <v>4612.6000000000004</v>
      </c>
      <c r="AV43" s="2">
        <v>41.399999999999601</v>
      </c>
      <c r="AW43" s="6">
        <f>SUM(AS43:AV43)/Variables!$E$3</f>
        <v>3.684906452149265E-3</v>
      </c>
      <c r="AX43" s="4">
        <v>0</v>
      </c>
      <c r="AY43" s="2">
        <v>0</v>
      </c>
      <c r="AZ43" s="2">
        <v>2164.1999999999998</v>
      </c>
      <c r="BA43" s="2">
        <v>0</v>
      </c>
      <c r="BB43" s="6">
        <f>SUM(AX43:BA43)/Variables!$E$3</f>
        <v>1.7135527597209794E-3</v>
      </c>
      <c r="BC43" s="12">
        <f t="shared" si="15"/>
        <v>0</v>
      </c>
      <c r="BD43" s="110">
        <f t="shared" si="15"/>
        <v>0</v>
      </c>
      <c r="BE43" s="110">
        <f t="shared" si="15"/>
        <v>4322.8999999999996</v>
      </c>
      <c r="BF43" s="110">
        <f t="shared" si="15"/>
        <v>0</v>
      </c>
      <c r="BG43" s="6">
        <f>SUM(BC43:BF43)/Variables!$E$3</f>
        <v>3.4227507739570382E-3</v>
      </c>
      <c r="BH43" s="4">
        <v>0</v>
      </c>
      <c r="BI43">
        <v>0</v>
      </c>
      <c r="BJ43">
        <v>1761.4</v>
      </c>
      <c r="BK43">
        <v>0</v>
      </c>
      <c r="BL43" s="6">
        <f>SUM(BH43:BK43)/Variables!$E$3</f>
        <v>1.3946270358435142E-3</v>
      </c>
      <c r="BM43" s="110">
        <v>0</v>
      </c>
      <c r="BN43" s="110">
        <v>0</v>
      </c>
      <c r="BO43" s="110">
        <v>2091.9</v>
      </c>
      <c r="BP43" s="110">
        <v>0</v>
      </c>
      <c r="BQ43" s="6">
        <f>SUM(BM43:BP43)/Variables!$E$3</f>
        <v>1.6563076508919312E-3</v>
      </c>
      <c r="BS43" s="4">
        <v>41</v>
      </c>
      <c r="BT43" s="125">
        <f t="shared" si="1"/>
        <v>0</v>
      </c>
      <c r="BU43" s="125">
        <f t="shared" si="2"/>
        <v>0</v>
      </c>
      <c r="BV43" s="125">
        <f t="shared" si="3"/>
        <v>0</v>
      </c>
      <c r="BW43" s="125">
        <f t="shared" si="4"/>
        <v>0</v>
      </c>
      <c r="BX43" s="125">
        <f t="shared" si="5"/>
        <v>0</v>
      </c>
      <c r="BY43" s="125">
        <f t="shared" si="6"/>
        <v>0</v>
      </c>
      <c r="BZ43" s="125">
        <f t="shared" si="7"/>
        <v>0</v>
      </c>
      <c r="CA43" s="125">
        <f t="shared" si="8"/>
        <v>0</v>
      </c>
      <c r="CB43" s="125">
        <f t="shared" si="9"/>
        <v>0</v>
      </c>
      <c r="CC43" s="125">
        <f t="shared" si="10"/>
        <v>0</v>
      </c>
      <c r="CD43" s="125">
        <f t="shared" si="11"/>
        <v>0</v>
      </c>
      <c r="CE43" s="125">
        <f t="shared" si="13"/>
        <v>0</v>
      </c>
      <c r="CF43" s="126">
        <f t="shared" si="14"/>
        <v>0</v>
      </c>
      <c r="CH43" s="4">
        <v>41</v>
      </c>
      <c r="CI43" s="129">
        <v>0</v>
      </c>
      <c r="CJ43" s="125">
        <v>0</v>
      </c>
      <c r="CK43" s="125">
        <v>0</v>
      </c>
      <c r="CL43" s="125">
        <v>0</v>
      </c>
      <c r="CM43" s="125">
        <v>0</v>
      </c>
      <c r="CN43" s="125">
        <v>0</v>
      </c>
      <c r="CO43" s="125">
        <v>0</v>
      </c>
      <c r="CP43" s="125">
        <v>0</v>
      </c>
      <c r="CQ43" s="125">
        <v>0</v>
      </c>
      <c r="CR43" s="125">
        <v>0</v>
      </c>
      <c r="CS43" s="125">
        <v>0</v>
      </c>
      <c r="CT43" s="125">
        <v>0</v>
      </c>
      <c r="CU43" s="126">
        <v>0</v>
      </c>
    </row>
    <row r="44" spans="1:99" x14ac:dyDescent="0.25">
      <c r="A44" t="s">
        <v>194</v>
      </c>
      <c r="B44" s="2" t="s">
        <v>1</v>
      </c>
      <c r="C44" s="1">
        <v>5357</v>
      </c>
      <c r="D44" s="19">
        <v>49.74</v>
      </c>
      <c r="E44" s="18">
        <v>0</v>
      </c>
      <c r="F44" s="19">
        <v>0</v>
      </c>
      <c r="G44" s="19">
        <v>0</v>
      </c>
      <c r="H44" s="19">
        <v>0</v>
      </c>
      <c r="I44" s="19">
        <f>SUM(E44:H44)/Variables!$E$3</f>
        <v>0</v>
      </c>
      <c r="J44" s="4">
        <v>0</v>
      </c>
      <c r="K44">
        <v>0</v>
      </c>
      <c r="L44">
        <v>0</v>
      </c>
      <c r="M44">
        <v>0</v>
      </c>
      <c r="N44" s="6">
        <f>SUM(J44:M44)/Variables!$E$3</f>
        <v>0</v>
      </c>
      <c r="O44" s="4">
        <v>0</v>
      </c>
      <c r="P44">
        <v>0</v>
      </c>
      <c r="Q44">
        <v>0</v>
      </c>
      <c r="R44">
        <v>0</v>
      </c>
      <c r="S44" s="6">
        <f>SUM(O44:R44)/Variables!$E$3</f>
        <v>0</v>
      </c>
      <c r="T44" s="12">
        <v>0</v>
      </c>
      <c r="U44" s="6">
        <v>0</v>
      </c>
      <c r="V44" s="6">
        <v>0</v>
      </c>
      <c r="W44" s="6">
        <v>0</v>
      </c>
      <c r="X44" s="6">
        <f>SUM(T44:W44)/Variables!$E$3</f>
        <v>0</v>
      </c>
      <c r="Y44" s="12">
        <v>0</v>
      </c>
      <c r="Z44" s="6">
        <v>0</v>
      </c>
      <c r="AA44" s="6">
        <v>0</v>
      </c>
      <c r="AB44" s="6">
        <v>0</v>
      </c>
      <c r="AC44" s="6">
        <f>SUM(Y44:AB44)/Variables!$E$3</f>
        <v>0</v>
      </c>
      <c r="AD44" s="4">
        <v>0</v>
      </c>
      <c r="AE44" s="2">
        <v>0</v>
      </c>
      <c r="AF44" s="2">
        <v>0</v>
      </c>
      <c r="AG44" s="2">
        <v>0</v>
      </c>
      <c r="AH44" s="6">
        <f>SUM(AD44:AG44)/Variables!$E$3</f>
        <v>0</v>
      </c>
      <c r="AI44" s="4">
        <v>0</v>
      </c>
      <c r="AJ44" s="2">
        <v>0</v>
      </c>
      <c r="AK44" s="2">
        <v>0</v>
      </c>
      <c r="AL44" s="2">
        <v>0</v>
      </c>
      <c r="AM44" s="6">
        <f>SUM(AI44:AL44)/Variables!$E$3</f>
        <v>0</v>
      </c>
      <c r="AN44" s="4">
        <v>0</v>
      </c>
      <c r="AO44" s="2">
        <v>0</v>
      </c>
      <c r="AP44" s="2">
        <v>0</v>
      </c>
      <c r="AQ44" s="2">
        <v>0</v>
      </c>
      <c r="AR44" s="6">
        <f>SUM(AN44:AQ44)/Variables!$E$3</f>
        <v>0</v>
      </c>
      <c r="AS44" s="4">
        <v>0</v>
      </c>
      <c r="AT44" s="2">
        <v>0</v>
      </c>
      <c r="AU44" s="2">
        <v>0</v>
      </c>
      <c r="AV44" s="2">
        <v>0</v>
      </c>
      <c r="AW44" s="6">
        <f>SUM(AS44:AV44)/Variables!$E$3</f>
        <v>0</v>
      </c>
      <c r="AX44" s="4">
        <v>0</v>
      </c>
      <c r="AY44" s="2">
        <v>0</v>
      </c>
      <c r="AZ44" s="2">
        <v>0</v>
      </c>
      <c r="BA44" s="2">
        <v>0</v>
      </c>
      <c r="BB44" s="6">
        <f>SUM(AX44:BA44)/Variables!$E$3</f>
        <v>0</v>
      </c>
      <c r="BC44" s="12">
        <f t="shared" si="15"/>
        <v>0</v>
      </c>
      <c r="BD44" s="110">
        <f t="shared" si="15"/>
        <v>0</v>
      </c>
      <c r="BE44" s="110">
        <f t="shared" si="15"/>
        <v>0</v>
      </c>
      <c r="BF44" s="110">
        <f t="shared" si="15"/>
        <v>0</v>
      </c>
      <c r="BG44" s="6">
        <f>SUM(BC44:BF44)/Variables!$E$3</f>
        <v>0</v>
      </c>
      <c r="BH44" s="4">
        <v>0</v>
      </c>
      <c r="BI44">
        <v>0</v>
      </c>
      <c r="BJ44">
        <v>0</v>
      </c>
      <c r="BK44">
        <v>0</v>
      </c>
      <c r="BL44" s="6">
        <f>SUM(BH44:BK44)/Variables!$E$3</f>
        <v>0</v>
      </c>
      <c r="BM44" s="110">
        <v>0</v>
      </c>
      <c r="BN44" s="110">
        <v>0</v>
      </c>
      <c r="BO44" s="110">
        <v>0</v>
      </c>
      <c r="BP44" s="110">
        <v>0</v>
      </c>
      <c r="BQ44" s="6">
        <f>SUM(BM44:BP44)/Variables!$E$3</f>
        <v>0</v>
      </c>
      <c r="BS44" s="4">
        <v>42</v>
      </c>
      <c r="BT44" s="125">
        <f t="shared" si="1"/>
        <v>0</v>
      </c>
      <c r="BU44" s="125">
        <f t="shared" si="2"/>
        <v>0</v>
      </c>
      <c r="BV44" s="125">
        <f t="shared" si="3"/>
        <v>0</v>
      </c>
      <c r="BW44" s="125">
        <f t="shared" si="4"/>
        <v>0</v>
      </c>
      <c r="BX44" s="125">
        <f t="shared" si="5"/>
        <v>0</v>
      </c>
      <c r="BY44" s="125">
        <f t="shared" si="6"/>
        <v>0</v>
      </c>
      <c r="BZ44" s="125">
        <f t="shared" si="7"/>
        <v>0</v>
      </c>
      <c r="CA44" s="125">
        <f t="shared" si="8"/>
        <v>0</v>
      </c>
      <c r="CB44" s="125">
        <f t="shared" si="9"/>
        <v>0</v>
      </c>
      <c r="CC44" s="125">
        <f t="shared" si="10"/>
        <v>0</v>
      </c>
      <c r="CD44" s="125">
        <f t="shared" si="11"/>
        <v>0</v>
      </c>
      <c r="CE44" s="125">
        <f t="shared" si="13"/>
        <v>0</v>
      </c>
      <c r="CF44" s="126">
        <f t="shared" si="14"/>
        <v>0</v>
      </c>
      <c r="CH44" s="4">
        <v>42</v>
      </c>
      <c r="CI44" s="129">
        <v>0</v>
      </c>
      <c r="CJ44" s="125">
        <v>0</v>
      </c>
      <c r="CK44" s="125">
        <v>0</v>
      </c>
      <c r="CL44" s="125">
        <v>0</v>
      </c>
      <c r="CM44" s="125">
        <v>0</v>
      </c>
      <c r="CN44" s="125">
        <v>0</v>
      </c>
      <c r="CO44" s="125">
        <v>0</v>
      </c>
      <c r="CP44" s="125">
        <v>0</v>
      </c>
      <c r="CQ44" s="125">
        <v>0</v>
      </c>
      <c r="CR44" s="125">
        <v>0</v>
      </c>
      <c r="CS44" s="125">
        <v>0</v>
      </c>
      <c r="CT44" s="125">
        <v>0</v>
      </c>
      <c r="CU44" s="126">
        <v>0</v>
      </c>
    </row>
    <row r="45" spans="1:99" x14ac:dyDescent="0.25">
      <c r="A45" t="s">
        <v>194</v>
      </c>
      <c r="B45" s="2" t="s">
        <v>2</v>
      </c>
      <c r="C45" s="1">
        <v>5448</v>
      </c>
      <c r="D45" s="19">
        <v>98.58</v>
      </c>
      <c r="E45" s="18">
        <v>0</v>
      </c>
      <c r="F45" s="19">
        <v>0</v>
      </c>
      <c r="G45" s="19">
        <v>0</v>
      </c>
      <c r="H45" s="19">
        <v>0</v>
      </c>
      <c r="I45" s="19">
        <f>SUM(E45:H45)/Variables!$E$3</f>
        <v>0</v>
      </c>
      <c r="J45" s="4">
        <v>0</v>
      </c>
      <c r="K45">
        <v>0</v>
      </c>
      <c r="L45">
        <v>0</v>
      </c>
      <c r="M45">
        <v>0</v>
      </c>
      <c r="N45" s="6">
        <f>SUM(J45:M45)/Variables!$E$3</f>
        <v>0</v>
      </c>
      <c r="O45" s="4">
        <v>0</v>
      </c>
      <c r="P45">
        <v>0</v>
      </c>
      <c r="Q45">
        <v>0</v>
      </c>
      <c r="R45">
        <v>0</v>
      </c>
      <c r="S45" s="6">
        <f>SUM(O45:R45)/Variables!$E$3</f>
        <v>0</v>
      </c>
      <c r="T45" s="12">
        <v>0</v>
      </c>
      <c r="U45" s="6">
        <v>0</v>
      </c>
      <c r="V45" s="6">
        <v>0</v>
      </c>
      <c r="W45" s="6">
        <v>0</v>
      </c>
      <c r="X45" s="6">
        <f>SUM(T45:W45)/Variables!$E$3</f>
        <v>0</v>
      </c>
      <c r="Y45" s="12">
        <v>0</v>
      </c>
      <c r="Z45" s="6">
        <v>0</v>
      </c>
      <c r="AA45" s="6">
        <v>0</v>
      </c>
      <c r="AB45" s="6">
        <v>0</v>
      </c>
      <c r="AC45" s="6">
        <f>SUM(Y45:AB45)/Variables!$E$3</f>
        <v>0</v>
      </c>
      <c r="AD45" s="4">
        <v>0</v>
      </c>
      <c r="AE45" s="2">
        <v>0</v>
      </c>
      <c r="AF45" s="2">
        <v>0</v>
      </c>
      <c r="AG45" s="2">
        <v>0</v>
      </c>
      <c r="AH45" s="6">
        <f>SUM(AD45:AG45)/Variables!$E$3</f>
        <v>0</v>
      </c>
      <c r="AI45" s="4">
        <v>0</v>
      </c>
      <c r="AJ45" s="2">
        <v>0</v>
      </c>
      <c r="AK45" s="2">
        <v>0</v>
      </c>
      <c r="AL45" s="2">
        <v>0</v>
      </c>
      <c r="AM45" s="6">
        <f>SUM(AI45:AL45)/Variables!$E$3</f>
        <v>0</v>
      </c>
      <c r="AN45" s="4">
        <v>0</v>
      </c>
      <c r="AO45" s="2">
        <v>0</v>
      </c>
      <c r="AP45" s="2">
        <v>0</v>
      </c>
      <c r="AQ45" s="2">
        <v>0</v>
      </c>
      <c r="AR45" s="6">
        <f>SUM(AN45:AQ45)/Variables!$E$3</f>
        <v>0</v>
      </c>
      <c r="AS45" s="4">
        <v>0</v>
      </c>
      <c r="AT45" s="2">
        <v>0</v>
      </c>
      <c r="AU45" s="2">
        <v>0</v>
      </c>
      <c r="AV45" s="2">
        <v>0</v>
      </c>
      <c r="AW45" s="6">
        <f>SUM(AS45:AV45)/Variables!$E$3</f>
        <v>0</v>
      </c>
      <c r="AX45" s="4">
        <v>0</v>
      </c>
      <c r="AY45" s="2">
        <v>0</v>
      </c>
      <c r="AZ45" s="2">
        <v>0</v>
      </c>
      <c r="BA45" s="2">
        <v>0</v>
      </c>
      <c r="BB45" s="6">
        <f>SUM(AX45:BA45)/Variables!$E$3</f>
        <v>0</v>
      </c>
      <c r="BC45" s="12">
        <f t="shared" si="15"/>
        <v>0</v>
      </c>
      <c r="BD45" s="110">
        <f t="shared" si="15"/>
        <v>0</v>
      </c>
      <c r="BE45" s="110">
        <f t="shared" si="15"/>
        <v>0</v>
      </c>
      <c r="BF45" s="110">
        <f t="shared" si="15"/>
        <v>0</v>
      </c>
      <c r="BG45" s="6">
        <f>SUM(BC45:BF45)/Variables!$E$3</f>
        <v>0</v>
      </c>
      <c r="BH45" s="4">
        <v>0</v>
      </c>
      <c r="BI45">
        <v>0</v>
      </c>
      <c r="BJ45">
        <v>0</v>
      </c>
      <c r="BK45">
        <v>0</v>
      </c>
      <c r="BL45" s="6">
        <f>SUM(BH45:BK45)/Variables!$E$3</f>
        <v>0</v>
      </c>
      <c r="BM45" s="110">
        <v>0</v>
      </c>
      <c r="BN45" s="110">
        <v>0</v>
      </c>
      <c r="BO45" s="110">
        <v>0</v>
      </c>
      <c r="BP45" s="110">
        <v>0</v>
      </c>
      <c r="BQ45" s="6">
        <f>SUM(BM45:BP45)/Variables!$E$3</f>
        <v>0</v>
      </c>
      <c r="BS45" s="4">
        <v>43</v>
      </c>
      <c r="BT45" s="125">
        <f t="shared" si="1"/>
        <v>0</v>
      </c>
      <c r="BU45" s="125">
        <f t="shared" si="2"/>
        <v>0</v>
      </c>
      <c r="BV45" s="125">
        <f t="shared" si="3"/>
        <v>0</v>
      </c>
      <c r="BW45" s="125">
        <f t="shared" si="4"/>
        <v>0</v>
      </c>
      <c r="BX45" s="125">
        <f t="shared" si="5"/>
        <v>0</v>
      </c>
      <c r="BY45" s="125">
        <f t="shared" si="6"/>
        <v>0</v>
      </c>
      <c r="BZ45" s="125">
        <f t="shared" si="7"/>
        <v>0</v>
      </c>
      <c r="CA45" s="125">
        <f t="shared" si="8"/>
        <v>0</v>
      </c>
      <c r="CB45" s="125">
        <f t="shared" si="9"/>
        <v>0</v>
      </c>
      <c r="CC45" s="125">
        <f t="shared" si="10"/>
        <v>0</v>
      </c>
      <c r="CD45" s="125">
        <f t="shared" si="11"/>
        <v>0</v>
      </c>
      <c r="CE45" s="125">
        <f t="shared" si="13"/>
        <v>0</v>
      </c>
      <c r="CF45" s="126">
        <f t="shared" si="14"/>
        <v>0</v>
      </c>
      <c r="CH45" s="4">
        <v>43</v>
      </c>
      <c r="CI45" s="129">
        <v>0</v>
      </c>
      <c r="CJ45" s="125">
        <v>0</v>
      </c>
      <c r="CK45" s="125">
        <v>0</v>
      </c>
      <c r="CL45" s="125">
        <v>0</v>
      </c>
      <c r="CM45" s="125">
        <v>0</v>
      </c>
      <c r="CN45" s="125">
        <v>0</v>
      </c>
      <c r="CO45" s="125">
        <v>0</v>
      </c>
      <c r="CP45" s="125">
        <v>0</v>
      </c>
      <c r="CQ45" s="125">
        <v>0</v>
      </c>
      <c r="CR45" s="125">
        <v>0</v>
      </c>
      <c r="CS45" s="125">
        <v>0</v>
      </c>
      <c r="CT45" s="125">
        <v>0</v>
      </c>
      <c r="CU45" s="126">
        <v>0</v>
      </c>
    </row>
    <row r="46" spans="1:99" x14ac:dyDescent="0.25">
      <c r="A46" t="s">
        <v>195</v>
      </c>
      <c r="B46" s="2" t="s">
        <v>3</v>
      </c>
      <c r="C46" s="1">
        <v>5538</v>
      </c>
      <c r="D46" s="19">
        <v>71.44</v>
      </c>
      <c r="E46" s="18">
        <v>0</v>
      </c>
      <c r="F46" s="19">
        <v>0</v>
      </c>
      <c r="G46" s="19">
        <v>0</v>
      </c>
      <c r="H46" s="19">
        <v>0</v>
      </c>
      <c r="I46" s="19">
        <f>SUM(E46:H46)/Variables!$E$3</f>
        <v>0</v>
      </c>
      <c r="J46" s="4">
        <v>0</v>
      </c>
      <c r="K46">
        <v>0</v>
      </c>
      <c r="L46">
        <v>0</v>
      </c>
      <c r="M46">
        <v>0</v>
      </c>
      <c r="N46" s="6">
        <f>SUM(J46:M46)/Variables!$E$3</f>
        <v>0</v>
      </c>
      <c r="O46" s="4">
        <v>0</v>
      </c>
      <c r="P46">
        <v>0</v>
      </c>
      <c r="Q46">
        <v>0</v>
      </c>
      <c r="R46">
        <v>0</v>
      </c>
      <c r="S46" s="6">
        <f>SUM(O46:R46)/Variables!$E$3</f>
        <v>0</v>
      </c>
      <c r="T46" s="12">
        <v>0</v>
      </c>
      <c r="U46" s="6">
        <v>0</v>
      </c>
      <c r="V46" s="6">
        <v>0</v>
      </c>
      <c r="W46" s="6">
        <v>0</v>
      </c>
      <c r="X46" s="6">
        <f>SUM(T46:W46)/Variables!$E$3</f>
        <v>0</v>
      </c>
      <c r="Y46" s="12">
        <v>0</v>
      </c>
      <c r="Z46" s="6">
        <v>0</v>
      </c>
      <c r="AA46" s="6">
        <v>0</v>
      </c>
      <c r="AB46" s="6">
        <v>0</v>
      </c>
      <c r="AC46" s="6">
        <f>SUM(Y46:AB46)/Variables!$E$3</f>
        <v>0</v>
      </c>
      <c r="AD46" s="4">
        <v>0</v>
      </c>
      <c r="AE46" s="2">
        <v>0</v>
      </c>
      <c r="AF46" s="2">
        <v>0</v>
      </c>
      <c r="AG46" s="2">
        <v>0</v>
      </c>
      <c r="AH46" s="6">
        <f>SUM(AD46:AG46)/Variables!$E$3</f>
        <v>0</v>
      </c>
      <c r="AI46" s="4">
        <v>0</v>
      </c>
      <c r="AJ46" s="2">
        <v>0</v>
      </c>
      <c r="AK46" s="2">
        <v>0</v>
      </c>
      <c r="AL46" s="2">
        <v>0</v>
      </c>
      <c r="AM46" s="6">
        <f>SUM(AI46:AL46)/Variables!$E$3</f>
        <v>0</v>
      </c>
      <c r="AN46" s="4">
        <v>0</v>
      </c>
      <c r="AO46" s="2">
        <v>0</v>
      </c>
      <c r="AP46" s="2">
        <v>0</v>
      </c>
      <c r="AQ46" s="2">
        <v>0</v>
      </c>
      <c r="AR46" s="6">
        <f>SUM(AN46:AQ46)/Variables!$E$3</f>
        <v>0</v>
      </c>
      <c r="AS46" s="4">
        <v>0</v>
      </c>
      <c r="AT46" s="2">
        <v>0</v>
      </c>
      <c r="AU46" s="2">
        <v>0</v>
      </c>
      <c r="AV46" s="2">
        <v>0</v>
      </c>
      <c r="AW46" s="6">
        <f>SUM(AS46:AV46)/Variables!$E$3</f>
        <v>0</v>
      </c>
      <c r="AX46" s="4">
        <v>0</v>
      </c>
      <c r="AY46" s="2">
        <v>0</v>
      </c>
      <c r="AZ46" s="2">
        <v>0</v>
      </c>
      <c r="BA46" s="2">
        <v>0</v>
      </c>
      <c r="BB46" s="6">
        <f>SUM(AX46:BA46)/Variables!$E$3</f>
        <v>0</v>
      </c>
      <c r="BC46" s="12">
        <f t="shared" si="15"/>
        <v>0</v>
      </c>
      <c r="BD46" s="110">
        <f t="shared" si="15"/>
        <v>0</v>
      </c>
      <c r="BE46" s="110">
        <f t="shared" si="15"/>
        <v>0</v>
      </c>
      <c r="BF46" s="110">
        <f t="shared" si="15"/>
        <v>0</v>
      </c>
      <c r="BG46" s="6">
        <f>SUM(BC46:BF46)/Variables!$E$3</f>
        <v>0</v>
      </c>
      <c r="BH46" s="4">
        <v>0</v>
      </c>
      <c r="BI46">
        <v>0</v>
      </c>
      <c r="BJ46">
        <v>0</v>
      </c>
      <c r="BK46">
        <v>0</v>
      </c>
      <c r="BL46" s="6">
        <f>SUM(BH46:BK46)/Variables!$E$3</f>
        <v>0</v>
      </c>
      <c r="BM46" s="110">
        <v>0</v>
      </c>
      <c r="BN46" s="110">
        <v>0</v>
      </c>
      <c r="BO46" s="110">
        <v>0</v>
      </c>
      <c r="BP46" s="110">
        <v>0</v>
      </c>
      <c r="BQ46" s="6">
        <f>SUM(BM46:BP46)/Variables!$E$3</f>
        <v>0</v>
      </c>
      <c r="BS46" s="4">
        <v>44</v>
      </c>
      <c r="BT46" s="125">
        <f t="shared" si="1"/>
        <v>0</v>
      </c>
      <c r="BU46" s="125">
        <f t="shared" si="2"/>
        <v>0</v>
      </c>
      <c r="BV46" s="125">
        <f t="shared" si="3"/>
        <v>0</v>
      </c>
      <c r="BW46" s="125">
        <f t="shared" si="4"/>
        <v>0</v>
      </c>
      <c r="BX46" s="125">
        <f t="shared" si="5"/>
        <v>0</v>
      </c>
      <c r="BY46" s="125">
        <f t="shared" si="6"/>
        <v>0</v>
      </c>
      <c r="BZ46" s="125">
        <f t="shared" si="7"/>
        <v>0</v>
      </c>
      <c r="CA46" s="125">
        <f t="shared" si="8"/>
        <v>0</v>
      </c>
      <c r="CB46" s="125">
        <f t="shared" si="9"/>
        <v>0</v>
      </c>
      <c r="CC46" s="125">
        <f t="shared" si="10"/>
        <v>0</v>
      </c>
      <c r="CD46" s="125">
        <f t="shared" si="11"/>
        <v>0</v>
      </c>
      <c r="CE46" s="125">
        <f t="shared" si="13"/>
        <v>0</v>
      </c>
      <c r="CF46" s="126">
        <f t="shared" si="14"/>
        <v>0</v>
      </c>
      <c r="CH46" s="4">
        <v>44</v>
      </c>
      <c r="CI46" s="129">
        <v>0</v>
      </c>
      <c r="CJ46" s="125">
        <v>0</v>
      </c>
      <c r="CK46" s="125">
        <v>0</v>
      </c>
      <c r="CL46" s="125">
        <v>0</v>
      </c>
      <c r="CM46" s="125">
        <v>0</v>
      </c>
      <c r="CN46" s="125">
        <v>0</v>
      </c>
      <c r="CO46" s="125">
        <v>0</v>
      </c>
      <c r="CP46" s="125">
        <v>0</v>
      </c>
      <c r="CQ46" s="125">
        <v>0</v>
      </c>
      <c r="CR46" s="125">
        <v>0</v>
      </c>
      <c r="CS46" s="125">
        <v>0</v>
      </c>
      <c r="CT46" s="125">
        <v>0</v>
      </c>
      <c r="CU46" s="126">
        <v>0</v>
      </c>
    </row>
    <row r="47" spans="1:99" x14ac:dyDescent="0.25">
      <c r="A47" t="s">
        <v>195</v>
      </c>
      <c r="B47" s="2" t="s">
        <v>4</v>
      </c>
      <c r="C47" s="1">
        <v>5630</v>
      </c>
      <c r="D47" s="19">
        <v>32.520000000000003</v>
      </c>
      <c r="E47" s="18">
        <v>0</v>
      </c>
      <c r="F47" s="19">
        <v>0</v>
      </c>
      <c r="G47" s="19">
        <v>0</v>
      </c>
      <c r="H47" s="19">
        <v>0</v>
      </c>
      <c r="I47" s="19">
        <f>SUM(E47:H47)/Variables!$E$3</f>
        <v>0</v>
      </c>
      <c r="J47" s="4">
        <v>0</v>
      </c>
      <c r="K47">
        <v>0</v>
      </c>
      <c r="L47">
        <v>0</v>
      </c>
      <c r="M47">
        <v>0</v>
      </c>
      <c r="N47" s="6">
        <f>SUM(J47:M47)/Variables!$E$3</f>
        <v>0</v>
      </c>
      <c r="O47" s="4">
        <v>0</v>
      </c>
      <c r="P47">
        <v>0</v>
      </c>
      <c r="Q47">
        <v>0</v>
      </c>
      <c r="R47">
        <v>0</v>
      </c>
      <c r="S47" s="6">
        <f>SUM(O47:R47)/Variables!$E$3</f>
        <v>0</v>
      </c>
      <c r="T47" s="12">
        <v>0</v>
      </c>
      <c r="U47" s="6">
        <v>0</v>
      </c>
      <c r="V47" s="6">
        <v>0</v>
      </c>
      <c r="W47" s="6">
        <v>0</v>
      </c>
      <c r="X47" s="6">
        <f>SUM(T47:W47)/Variables!$E$3</f>
        <v>0</v>
      </c>
      <c r="Y47" s="12">
        <v>0</v>
      </c>
      <c r="Z47" s="6">
        <v>0</v>
      </c>
      <c r="AA47" s="6">
        <v>0</v>
      </c>
      <c r="AB47" s="6">
        <v>0</v>
      </c>
      <c r="AC47" s="6">
        <f>SUM(Y47:AB47)/Variables!$E$3</f>
        <v>0</v>
      </c>
      <c r="AD47" s="4">
        <v>0</v>
      </c>
      <c r="AE47" s="2">
        <v>0</v>
      </c>
      <c r="AF47" s="2">
        <v>0</v>
      </c>
      <c r="AG47" s="2">
        <v>0</v>
      </c>
      <c r="AH47" s="6">
        <f>SUM(AD47:AG47)/Variables!$E$3</f>
        <v>0</v>
      </c>
      <c r="AI47" s="4">
        <v>0</v>
      </c>
      <c r="AJ47" s="2">
        <v>0</v>
      </c>
      <c r="AK47" s="2">
        <v>0</v>
      </c>
      <c r="AL47" s="2">
        <v>0</v>
      </c>
      <c r="AM47" s="6">
        <f>SUM(AI47:AL47)/Variables!$E$3</f>
        <v>0</v>
      </c>
      <c r="AN47" s="4">
        <v>0</v>
      </c>
      <c r="AO47" s="2">
        <v>0</v>
      </c>
      <c r="AP47" s="2">
        <v>0</v>
      </c>
      <c r="AQ47" s="2">
        <v>0</v>
      </c>
      <c r="AR47" s="6">
        <f>SUM(AN47:AQ47)/Variables!$E$3</f>
        <v>0</v>
      </c>
      <c r="AS47" s="4">
        <v>0</v>
      </c>
      <c r="AT47" s="2">
        <v>0</v>
      </c>
      <c r="AU47" s="2">
        <v>0</v>
      </c>
      <c r="AV47" s="2">
        <v>0</v>
      </c>
      <c r="AW47" s="6">
        <f>SUM(AS47:AV47)/Variables!$E$3</f>
        <v>0</v>
      </c>
      <c r="AX47" s="4">
        <v>0</v>
      </c>
      <c r="AY47" s="2">
        <v>0</v>
      </c>
      <c r="AZ47" s="2">
        <v>0</v>
      </c>
      <c r="BA47" s="2">
        <v>0</v>
      </c>
      <c r="BB47" s="6">
        <f>SUM(AX47:BA47)/Variables!$E$3</f>
        <v>0</v>
      </c>
      <c r="BC47" s="12">
        <f t="shared" si="15"/>
        <v>0</v>
      </c>
      <c r="BD47" s="110">
        <f t="shared" si="15"/>
        <v>0</v>
      </c>
      <c r="BE47" s="110">
        <f t="shared" si="15"/>
        <v>0</v>
      </c>
      <c r="BF47" s="110">
        <f t="shared" si="15"/>
        <v>0</v>
      </c>
      <c r="BG47" s="6">
        <f>SUM(BC47:BF47)/Variables!$E$3</f>
        <v>0</v>
      </c>
      <c r="BH47" s="4">
        <v>0</v>
      </c>
      <c r="BI47">
        <v>0</v>
      </c>
      <c r="BJ47">
        <v>0</v>
      </c>
      <c r="BK47">
        <v>0</v>
      </c>
      <c r="BL47" s="6">
        <f>SUM(BH47:BK47)/Variables!$E$3</f>
        <v>0</v>
      </c>
      <c r="BM47" s="110">
        <v>0</v>
      </c>
      <c r="BN47" s="110">
        <v>0</v>
      </c>
      <c r="BO47" s="110">
        <v>0</v>
      </c>
      <c r="BP47" s="110">
        <v>0</v>
      </c>
      <c r="BQ47" s="6">
        <f>SUM(BM47:BP47)/Variables!$E$3</f>
        <v>0</v>
      </c>
      <c r="BS47" s="4">
        <v>45</v>
      </c>
      <c r="BT47" s="125">
        <f t="shared" si="1"/>
        <v>0</v>
      </c>
      <c r="BU47" s="125">
        <f t="shared" si="2"/>
        <v>0</v>
      </c>
      <c r="BV47" s="125">
        <f t="shared" si="3"/>
        <v>0</v>
      </c>
      <c r="BW47" s="125">
        <f t="shared" si="4"/>
        <v>0</v>
      </c>
      <c r="BX47" s="125">
        <f t="shared" si="5"/>
        <v>0</v>
      </c>
      <c r="BY47" s="125">
        <f t="shared" si="6"/>
        <v>0</v>
      </c>
      <c r="BZ47" s="125">
        <f t="shared" si="7"/>
        <v>0</v>
      </c>
      <c r="CA47" s="125">
        <f t="shared" si="8"/>
        <v>0</v>
      </c>
      <c r="CB47" s="125">
        <f t="shared" si="9"/>
        <v>0</v>
      </c>
      <c r="CC47" s="125">
        <f t="shared" si="10"/>
        <v>0</v>
      </c>
      <c r="CD47" s="125">
        <f t="shared" si="11"/>
        <v>0</v>
      </c>
      <c r="CE47" s="125">
        <f t="shared" si="13"/>
        <v>0</v>
      </c>
      <c r="CF47" s="126">
        <f t="shared" si="14"/>
        <v>0</v>
      </c>
      <c r="CH47" s="4">
        <v>45</v>
      </c>
      <c r="CI47" s="129">
        <v>0</v>
      </c>
      <c r="CJ47" s="125">
        <v>0</v>
      </c>
      <c r="CK47" s="125">
        <v>0</v>
      </c>
      <c r="CL47" s="125">
        <v>0</v>
      </c>
      <c r="CM47" s="125">
        <v>0</v>
      </c>
      <c r="CN47" s="125">
        <v>0</v>
      </c>
      <c r="CO47" s="125">
        <v>0</v>
      </c>
      <c r="CP47" s="125">
        <v>0</v>
      </c>
      <c r="CQ47" s="125">
        <v>0</v>
      </c>
      <c r="CR47" s="125">
        <v>0</v>
      </c>
      <c r="CS47" s="125">
        <v>0</v>
      </c>
      <c r="CT47" s="125">
        <v>0</v>
      </c>
      <c r="CU47" s="126">
        <v>0</v>
      </c>
    </row>
    <row r="48" spans="1:99" x14ac:dyDescent="0.25">
      <c r="A48" t="s">
        <v>195</v>
      </c>
      <c r="B48" s="2" t="s">
        <v>1</v>
      </c>
      <c r="C48" s="1">
        <v>5722</v>
      </c>
      <c r="D48" s="19">
        <v>41.62</v>
      </c>
      <c r="E48" s="18">
        <v>0</v>
      </c>
      <c r="F48" s="19">
        <v>0</v>
      </c>
      <c r="G48" s="19">
        <v>0</v>
      </c>
      <c r="H48" s="19">
        <v>0</v>
      </c>
      <c r="I48" s="19">
        <f>SUM(E48:H48)/Variables!$E$3</f>
        <v>0</v>
      </c>
      <c r="J48" s="4">
        <v>0</v>
      </c>
      <c r="K48">
        <v>0</v>
      </c>
      <c r="L48">
        <v>0</v>
      </c>
      <c r="M48">
        <v>0</v>
      </c>
      <c r="N48" s="6">
        <f>SUM(J48:M48)/Variables!$E$3</f>
        <v>0</v>
      </c>
      <c r="O48" s="4">
        <v>0</v>
      </c>
      <c r="P48">
        <v>0</v>
      </c>
      <c r="Q48">
        <v>0</v>
      </c>
      <c r="R48">
        <v>0</v>
      </c>
      <c r="S48" s="6">
        <f>SUM(O48:R48)/Variables!$E$3</f>
        <v>0</v>
      </c>
      <c r="T48" s="12">
        <v>0</v>
      </c>
      <c r="U48" s="6">
        <v>0</v>
      </c>
      <c r="V48" s="6">
        <v>0</v>
      </c>
      <c r="W48" s="6">
        <v>0</v>
      </c>
      <c r="X48" s="6">
        <f>SUM(T48:W48)/Variables!$E$3</f>
        <v>0</v>
      </c>
      <c r="Y48" s="12">
        <v>0</v>
      </c>
      <c r="Z48" s="6">
        <v>0</v>
      </c>
      <c r="AA48" s="6">
        <v>0</v>
      </c>
      <c r="AB48" s="6">
        <v>0</v>
      </c>
      <c r="AC48" s="6">
        <f>SUM(Y48:AB48)/Variables!$E$3</f>
        <v>0</v>
      </c>
      <c r="AD48" s="4">
        <v>0</v>
      </c>
      <c r="AE48" s="2">
        <v>0</v>
      </c>
      <c r="AF48" s="2">
        <v>0</v>
      </c>
      <c r="AG48" s="2">
        <v>0</v>
      </c>
      <c r="AH48" s="6">
        <f>SUM(AD48:AG48)/Variables!$E$3</f>
        <v>0</v>
      </c>
      <c r="AI48" s="4">
        <v>0</v>
      </c>
      <c r="AJ48" s="2">
        <v>0</v>
      </c>
      <c r="AK48" s="2">
        <v>0</v>
      </c>
      <c r="AL48" s="2">
        <v>0</v>
      </c>
      <c r="AM48" s="6">
        <f>SUM(AI48:AL48)/Variables!$E$3</f>
        <v>0</v>
      </c>
      <c r="AN48" s="4">
        <v>0</v>
      </c>
      <c r="AO48" s="2">
        <v>0</v>
      </c>
      <c r="AP48" s="2">
        <v>0</v>
      </c>
      <c r="AQ48" s="2">
        <v>0</v>
      </c>
      <c r="AR48" s="6">
        <f>SUM(AN48:AQ48)/Variables!$E$3</f>
        <v>0</v>
      </c>
      <c r="AS48" s="4">
        <v>0</v>
      </c>
      <c r="AT48" s="2">
        <v>0</v>
      </c>
      <c r="AU48" s="2">
        <v>0</v>
      </c>
      <c r="AV48" s="2">
        <v>0</v>
      </c>
      <c r="AW48" s="6">
        <f>SUM(AS48:AV48)/Variables!$E$3</f>
        <v>0</v>
      </c>
      <c r="AX48" s="4">
        <v>0</v>
      </c>
      <c r="AY48" s="2">
        <v>0</v>
      </c>
      <c r="AZ48" s="2">
        <v>0</v>
      </c>
      <c r="BA48" s="2">
        <v>0</v>
      </c>
      <c r="BB48" s="6">
        <f>SUM(AX48:BA48)/Variables!$E$3</f>
        <v>0</v>
      </c>
      <c r="BC48" s="12">
        <f t="shared" si="15"/>
        <v>0</v>
      </c>
      <c r="BD48" s="110">
        <f t="shared" si="15"/>
        <v>0</v>
      </c>
      <c r="BE48" s="110">
        <f t="shared" si="15"/>
        <v>0</v>
      </c>
      <c r="BF48" s="110">
        <f t="shared" si="15"/>
        <v>0</v>
      </c>
      <c r="BG48" s="6">
        <f>SUM(BC48:BF48)/Variables!$E$3</f>
        <v>0</v>
      </c>
      <c r="BH48" s="4">
        <v>0</v>
      </c>
      <c r="BI48">
        <v>0</v>
      </c>
      <c r="BJ48">
        <v>0</v>
      </c>
      <c r="BK48">
        <v>0</v>
      </c>
      <c r="BL48" s="6">
        <f>SUM(BH48:BK48)/Variables!$E$3</f>
        <v>0</v>
      </c>
      <c r="BM48" s="110">
        <v>0</v>
      </c>
      <c r="BN48" s="110">
        <v>0</v>
      </c>
      <c r="BO48" s="110">
        <v>0</v>
      </c>
      <c r="BP48" s="110">
        <v>0</v>
      </c>
      <c r="BQ48" s="6">
        <f>SUM(BM48:BP48)/Variables!$E$3</f>
        <v>0</v>
      </c>
      <c r="BS48" s="4">
        <v>46</v>
      </c>
      <c r="BT48" s="125">
        <f t="shared" si="1"/>
        <v>0</v>
      </c>
      <c r="BU48" s="125">
        <f t="shared" si="2"/>
        <v>0</v>
      </c>
      <c r="BV48" s="125">
        <f t="shared" si="3"/>
        <v>0</v>
      </c>
      <c r="BW48" s="125">
        <f t="shared" si="4"/>
        <v>0</v>
      </c>
      <c r="BX48" s="125">
        <f t="shared" si="5"/>
        <v>0</v>
      </c>
      <c r="BY48" s="125">
        <f t="shared" si="6"/>
        <v>0</v>
      </c>
      <c r="BZ48" s="125">
        <f t="shared" si="7"/>
        <v>0</v>
      </c>
      <c r="CA48" s="125">
        <f t="shared" si="8"/>
        <v>0</v>
      </c>
      <c r="CB48" s="125">
        <f t="shared" si="9"/>
        <v>0</v>
      </c>
      <c r="CC48" s="125">
        <f t="shared" si="10"/>
        <v>0</v>
      </c>
      <c r="CD48" s="125">
        <f t="shared" si="11"/>
        <v>0</v>
      </c>
      <c r="CE48" s="125">
        <f t="shared" si="13"/>
        <v>0</v>
      </c>
      <c r="CF48" s="126">
        <f t="shared" si="14"/>
        <v>0</v>
      </c>
      <c r="CH48" s="4">
        <v>46</v>
      </c>
      <c r="CI48" s="129">
        <v>0</v>
      </c>
      <c r="CJ48" s="125">
        <v>0</v>
      </c>
      <c r="CK48" s="125">
        <v>0</v>
      </c>
      <c r="CL48" s="125">
        <v>0</v>
      </c>
      <c r="CM48" s="125">
        <v>0</v>
      </c>
      <c r="CN48" s="125">
        <v>0</v>
      </c>
      <c r="CO48" s="125">
        <v>0</v>
      </c>
      <c r="CP48" s="125">
        <v>0</v>
      </c>
      <c r="CQ48" s="125">
        <v>0</v>
      </c>
      <c r="CR48" s="125">
        <v>0</v>
      </c>
      <c r="CS48" s="125">
        <v>0</v>
      </c>
      <c r="CT48" s="125">
        <v>0</v>
      </c>
      <c r="CU48" s="126">
        <v>0</v>
      </c>
    </row>
    <row r="49" spans="1:99" x14ac:dyDescent="0.25">
      <c r="A49" t="s">
        <v>195</v>
      </c>
      <c r="B49" s="2" t="s">
        <v>2</v>
      </c>
      <c r="C49" s="1">
        <v>5813</v>
      </c>
      <c r="D49" s="19">
        <v>20.86</v>
      </c>
      <c r="E49" s="18">
        <v>0</v>
      </c>
      <c r="F49" s="19">
        <v>0</v>
      </c>
      <c r="G49" s="19">
        <v>0</v>
      </c>
      <c r="H49" s="19">
        <v>0</v>
      </c>
      <c r="I49" s="19">
        <f>SUM(E49:H49)/Variables!$E$3</f>
        <v>0</v>
      </c>
      <c r="J49" s="4">
        <v>0</v>
      </c>
      <c r="K49">
        <v>0</v>
      </c>
      <c r="L49">
        <v>0</v>
      </c>
      <c r="M49">
        <v>0</v>
      </c>
      <c r="N49" s="6">
        <f>SUM(J49:M49)/Variables!$E$3</f>
        <v>0</v>
      </c>
      <c r="O49" s="4">
        <v>0</v>
      </c>
      <c r="P49">
        <v>0</v>
      </c>
      <c r="Q49">
        <v>0</v>
      </c>
      <c r="R49">
        <v>0</v>
      </c>
      <c r="S49" s="6">
        <f>SUM(O49:R49)/Variables!$E$3</f>
        <v>0</v>
      </c>
      <c r="T49" s="12">
        <v>0</v>
      </c>
      <c r="U49" s="6">
        <v>0</v>
      </c>
      <c r="V49" s="6">
        <v>0</v>
      </c>
      <c r="W49" s="6">
        <v>0</v>
      </c>
      <c r="X49" s="6">
        <f>SUM(T49:W49)/Variables!$E$3</f>
        <v>0</v>
      </c>
      <c r="Y49" s="12">
        <v>0</v>
      </c>
      <c r="Z49" s="6">
        <v>0</v>
      </c>
      <c r="AA49" s="6">
        <v>0</v>
      </c>
      <c r="AB49" s="6">
        <v>0</v>
      </c>
      <c r="AC49" s="6">
        <f>SUM(Y49:AB49)/Variables!$E$3</f>
        <v>0</v>
      </c>
      <c r="AD49" s="4">
        <v>0</v>
      </c>
      <c r="AE49" s="2">
        <v>0</v>
      </c>
      <c r="AF49" s="2">
        <v>0</v>
      </c>
      <c r="AG49" s="2">
        <v>0</v>
      </c>
      <c r="AH49" s="6">
        <f>SUM(AD49:AG49)/Variables!$E$3</f>
        <v>0</v>
      </c>
      <c r="AI49" s="4">
        <v>0</v>
      </c>
      <c r="AJ49" s="2">
        <v>0</v>
      </c>
      <c r="AK49" s="2">
        <v>0</v>
      </c>
      <c r="AL49" s="2">
        <v>0</v>
      </c>
      <c r="AM49" s="6">
        <f>SUM(AI49:AL49)/Variables!$E$3</f>
        <v>0</v>
      </c>
      <c r="AN49" s="4">
        <v>0</v>
      </c>
      <c r="AO49" s="2">
        <v>0</v>
      </c>
      <c r="AP49" s="2">
        <v>0</v>
      </c>
      <c r="AQ49" s="2">
        <v>0</v>
      </c>
      <c r="AR49" s="6">
        <f>SUM(AN49:AQ49)/Variables!$E$3</f>
        <v>0</v>
      </c>
      <c r="AS49" s="4">
        <v>0</v>
      </c>
      <c r="AT49" s="2">
        <v>0</v>
      </c>
      <c r="AU49" s="2">
        <v>0</v>
      </c>
      <c r="AV49" s="2">
        <v>0</v>
      </c>
      <c r="AW49" s="6">
        <f>SUM(AS49:AV49)/Variables!$E$3</f>
        <v>0</v>
      </c>
      <c r="AX49" s="4">
        <v>0</v>
      </c>
      <c r="AY49" s="2">
        <v>0</v>
      </c>
      <c r="AZ49" s="2">
        <v>0</v>
      </c>
      <c r="BA49" s="2">
        <v>0</v>
      </c>
      <c r="BB49" s="6">
        <f>SUM(AX49:BA49)/Variables!$E$3</f>
        <v>0</v>
      </c>
      <c r="BC49" s="12">
        <f t="shared" si="15"/>
        <v>0</v>
      </c>
      <c r="BD49" s="110">
        <f t="shared" si="15"/>
        <v>0</v>
      </c>
      <c r="BE49" s="110">
        <f t="shared" si="15"/>
        <v>0</v>
      </c>
      <c r="BF49" s="110">
        <f t="shared" si="15"/>
        <v>0</v>
      </c>
      <c r="BG49" s="6">
        <f>SUM(BC49:BF49)/Variables!$E$3</f>
        <v>0</v>
      </c>
      <c r="BH49" s="4">
        <v>0</v>
      </c>
      <c r="BI49">
        <v>0</v>
      </c>
      <c r="BJ49">
        <v>0</v>
      </c>
      <c r="BK49">
        <v>0</v>
      </c>
      <c r="BL49" s="6">
        <f>SUM(BH49:BK49)/Variables!$E$3</f>
        <v>0</v>
      </c>
      <c r="BM49" s="110">
        <v>0</v>
      </c>
      <c r="BN49" s="110">
        <v>0</v>
      </c>
      <c r="BO49" s="110">
        <v>0</v>
      </c>
      <c r="BP49" s="110">
        <v>0</v>
      </c>
      <c r="BQ49" s="6">
        <f>SUM(BM49:BP49)/Variables!$E$3</f>
        <v>0</v>
      </c>
      <c r="BS49" s="4">
        <v>47</v>
      </c>
      <c r="BT49" s="125">
        <f t="shared" si="1"/>
        <v>0</v>
      </c>
      <c r="BU49" s="125">
        <f t="shared" si="2"/>
        <v>0</v>
      </c>
      <c r="BV49" s="125">
        <f t="shared" si="3"/>
        <v>0</v>
      </c>
      <c r="BW49" s="125">
        <f t="shared" si="4"/>
        <v>0</v>
      </c>
      <c r="BX49" s="125">
        <f t="shared" si="5"/>
        <v>0</v>
      </c>
      <c r="BY49" s="125">
        <f t="shared" si="6"/>
        <v>0</v>
      </c>
      <c r="BZ49" s="125">
        <f t="shared" si="7"/>
        <v>0</v>
      </c>
      <c r="CA49" s="125">
        <f t="shared" si="8"/>
        <v>0</v>
      </c>
      <c r="CB49" s="125">
        <f t="shared" si="9"/>
        <v>0</v>
      </c>
      <c r="CC49" s="125">
        <f t="shared" si="10"/>
        <v>0</v>
      </c>
      <c r="CD49" s="125">
        <f t="shared" si="11"/>
        <v>0</v>
      </c>
      <c r="CE49" s="125">
        <f t="shared" si="13"/>
        <v>0</v>
      </c>
      <c r="CF49" s="126">
        <f t="shared" si="14"/>
        <v>0</v>
      </c>
      <c r="CH49" s="4">
        <v>47</v>
      </c>
      <c r="CI49" s="129">
        <v>0</v>
      </c>
      <c r="CJ49" s="125">
        <v>0</v>
      </c>
      <c r="CK49" s="125">
        <v>0</v>
      </c>
      <c r="CL49" s="125">
        <v>0</v>
      </c>
      <c r="CM49" s="125">
        <v>0</v>
      </c>
      <c r="CN49" s="125">
        <v>0</v>
      </c>
      <c r="CO49" s="125">
        <v>0</v>
      </c>
      <c r="CP49" s="125">
        <v>0</v>
      </c>
      <c r="CQ49" s="125">
        <v>0</v>
      </c>
      <c r="CR49" s="125">
        <v>0</v>
      </c>
      <c r="CS49" s="125">
        <v>0</v>
      </c>
      <c r="CT49" s="125">
        <v>0</v>
      </c>
      <c r="CU49" s="126">
        <v>0</v>
      </c>
    </row>
    <row r="50" spans="1:99" x14ac:dyDescent="0.25">
      <c r="A50" t="s">
        <v>196</v>
      </c>
      <c r="B50" s="2" t="s">
        <v>3</v>
      </c>
      <c r="C50" s="1">
        <v>5903</v>
      </c>
      <c r="D50" s="19">
        <v>59.66</v>
      </c>
      <c r="E50" s="18">
        <v>0</v>
      </c>
      <c r="F50" s="19">
        <v>0</v>
      </c>
      <c r="G50" s="19">
        <v>0</v>
      </c>
      <c r="H50" s="19">
        <v>0</v>
      </c>
      <c r="I50" s="19">
        <f>SUM(E50:H50)/Variables!$E$3</f>
        <v>0</v>
      </c>
      <c r="J50" s="4">
        <v>0</v>
      </c>
      <c r="K50">
        <v>0</v>
      </c>
      <c r="L50">
        <v>0</v>
      </c>
      <c r="M50">
        <v>0</v>
      </c>
      <c r="N50" s="6">
        <f>SUM(J50:M50)/Variables!$E$3</f>
        <v>0</v>
      </c>
      <c r="O50" s="4">
        <v>0</v>
      </c>
      <c r="P50">
        <v>0</v>
      </c>
      <c r="Q50">
        <v>0</v>
      </c>
      <c r="R50">
        <v>0</v>
      </c>
      <c r="S50" s="6">
        <f>SUM(O50:R50)/Variables!$E$3</f>
        <v>0</v>
      </c>
      <c r="T50" s="12">
        <v>0</v>
      </c>
      <c r="U50" s="6">
        <v>0</v>
      </c>
      <c r="V50" s="6">
        <v>0</v>
      </c>
      <c r="W50" s="6">
        <v>0</v>
      </c>
      <c r="X50" s="6">
        <f>SUM(T50:W50)/Variables!$E$3</f>
        <v>0</v>
      </c>
      <c r="Y50" s="12">
        <v>0</v>
      </c>
      <c r="Z50" s="6">
        <v>0</v>
      </c>
      <c r="AA50" s="6">
        <v>0</v>
      </c>
      <c r="AB50" s="6">
        <v>0</v>
      </c>
      <c r="AC50" s="6">
        <f>SUM(Y50:AB50)/Variables!$E$3</f>
        <v>0</v>
      </c>
      <c r="AD50" s="4">
        <v>0</v>
      </c>
      <c r="AE50" s="2">
        <v>0</v>
      </c>
      <c r="AF50" s="2">
        <v>0</v>
      </c>
      <c r="AG50" s="2">
        <v>0</v>
      </c>
      <c r="AH50" s="6">
        <f>SUM(AD50:AG50)/Variables!$E$3</f>
        <v>0</v>
      </c>
      <c r="AI50" s="4">
        <v>0</v>
      </c>
      <c r="AJ50" s="2">
        <v>0</v>
      </c>
      <c r="AK50" s="2">
        <v>0</v>
      </c>
      <c r="AL50" s="2">
        <v>0</v>
      </c>
      <c r="AM50" s="6">
        <f>SUM(AI50:AL50)/Variables!$E$3</f>
        <v>0</v>
      </c>
      <c r="AN50" s="4">
        <v>0</v>
      </c>
      <c r="AO50" s="2">
        <v>0</v>
      </c>
      <c r="AP50" s="2">
        <v>0</v>
      </c>
      <c r="AQ50" s="2">
        <v>0</v>
      </c>
      <c r="AR50" s="6">
        <f>SUM(AN50:AQ50)/Variables!$E$3</f>
        <v>0</v>
      </c>
      <c r="AS50" s="4">
        <v>0</v>
      </c>
      <c r="AT50" s="2">
        <v>0</v>
      </c>
      <c r="AU50" s="2">
        <v>0</v>
      </c>
      <c r="AV50" s="2">
        <v>0</v>
      </c>
      <c r="AW50" s="6">
        <f>SUM(AS50:AV50)/Variables!$E$3</f>
        <v>0</v>
      </c>
      <c r="AX50" s="4">
        <v>0</v>
      </c>
      <c r="AY50" s="2">
        <v>0</v>
      </c>
      <c r="AZ50" s="2">
        <v>0</v>
      </c>
      <c r="BA50" s="2">
        <v>0</v>
      </c>
      <c r="BB50" s="6">
        <f>SUM(AX50:BA50)/Variables!$E$3</f>
        <v>0</v>
      </c>
      <c r="BC50" s="12">
        <f t="shared" si="15"/>
        <v>0</v>
      </c>
      <c r="BD50" s="110">
        <f t="shared" si="15"/>
        <v>0</v>
      </c>
      <c r="BE50" s="110">
        <f t="shared" si="15"/>
        <v>0</v>
      </c>
      <c r="BF50" s="110">
        <f t="shared" si="15"/>
        <v>0</v>
      </c>
      <c r="BG50" s="6">
        <f>SUM(BC50:BF50)/Variables!$E$3</f>
        <v>0</v>
      </c>
      <c r="BH50" s="4">
        <v>0</v>
      </c>
      <c r="BI50">
        <v>0</v>
      </c>
      <c r="BJ50">
        <v>0</v>
      </c>
      <c r="BK50">
        <v>0</v>
      </c>
      <c r="BL50" s="6">
        <f>SUM(BH50:BK50)/Variables!$E$3</f>
        <v>0</v>
      </c>
      <c r="BM50" s="110">
        <v>0</v>
      </c>
      <c r="BN50" s="110">
        <v>0</v>
      </c>
      <c r="BO50" s="110">
        <v>0</v>
      </c>
      <c r="BP50" s="110">
        <v>0</v>
      </c>
      <c r="BQ50" s="6">
        <f>SUM(BM50:BP50)/Variables!$E$3</f>
        <v>0</v>
      </c>
      <c r="BS50" s="4">
        <v>48</v>
      </c>
      <c r="BT50" s="125">
        <f t="shared" si="1"/>
        <v>0</v>
      </c>
      <c r="BU50" s="125">
        <f t="shared" si="2"/>
        <v>0</v>
      </c>
      <c r="BV50" s="125">
        <f t="shared" si="3"/>
        <v>0</v>
      </c>
      <c r="BW50" s="125">
        <f t="shared" si="4"/>
        <v>0</v>
      </c>
      <c r="BX50" s="125">
        <f t="shared" si="5"/>
        <v>0</v>
      </c>
      <c r="BY50" s="125">
        <f t="shared" si="6"/>
        <v>0</v>
      </c>
      <c r="BZ50" s="125">
        <f t="shared" si="7"/>
        <v>0</v>
      </c>
      <c r="CA50" s="125">
        <f t="shared" si="8"/>
        <v>0</v>
      </c>
      <c r="CB50" s="125">
        <f t="shared" si="9"/>
        <v>0</v>
      </c>
      <c r="CC50" s="125">
        <f t="shared" si="10"/>
        <v>0</v>
      </c>
      <c r="CD50" s="125">
        <f t="shared" si="11"/>
        <v>0</v>
      </c>
      <c r="CE50" s="125">
        <f t="shared" si="13"/>
        <v>0</v>
      </c>
      <c r="CF50" s="126">
        <f t="shared" si="14"/>
        <v>0</v>
      </c>
      <c r="CH50" s="4">
        <v>48</v>
      </c>
      <c r="CI50" s="129">
        <v>0</v>
      </c>
      <c r="CJ50" s="125">
        <v>0</v>
      </c>
      <c r="CK50" s="125">
        <v>0</v>
      </c>
      <c r="CL50" s="125">
        <v>0</v>
      </c>
      <c r="CM50" s="125">
        <v>0</v>
      </c>
      <c r="CN50" s="125">
        <v>0</v>
      </c>
      <c r="CO50" s="125">
        <v>0</v>
      </c>
      <c r="CP50" s="125">
        <v>0</v>
      </c>
      <c r="CQ50" s="125">
        <v>0</v>
      </c>
      <c r="CR50" s="125">
        <v>0</v>
      </c>
      <c r="CS50" s="125">
        <v>0</v>
      </c>
      <c r="CT50" s="125">
        <v>0</v>
      </c>
      <c r="CU50" s="126">
        <v>0</v>
      </c>
    </row>
    <row r="51" spans="1:99" x14ac:dyDescent="0.25">
      <c r="A51" t="s">
        <v>196</v>
      </c>
      <c r="B51" s="2" t="s">
        <v>4</v>
      </c>
      <c r="C51" s="1">
        <v>5996</v>
      </c>
      <c r="D51" s="19">
        <v>56.6</v>
      </c>
      <c r="E51" s="18">
        <v>0</v>
      </c>
      <c r="F51" s="19">
        <v>0</v>
      </c>
      <c r="G51" s="19">
        <v>0</v>
      </c>
      <c r="H51" s="19">
        <v>0</v>
      </c>
      <c r="I51" s="19">
        <f>SUM(E51:H51)/Variables!$E$3</f>
        <v>0</v>
      </c>
      <c r="J51" s="4">
        <v>0</v>
      </c>
      <c r="K51">
        <v>0</v>
      </c>
      <c r="L51">
        <v>0</v>
      </c>
      <c r="M51">
        <v>0</v>
      </c>
      <c r="N51" s="6">
        <f>SUM(J51:M51)/Variables!$E$3</f>
        <v>0</v>
      </c>
      <c r="O51" s="4">
        <v>0</v>
      </c>
      <c r="P51">
        <v>0</v>
      </c>
      <c r="Q51">
        <v>0</v>
      </c>
      <c r="R51">
        <v>0</v>
      </c>
      <c r="S51" s="6">
        <f>SUM(O51:R51)/Variables!$E$3</f>
        <v>0</v>
      </c>
      <c r="T51" s="12">
        <v>0</v>
      </c>
      <c r="U51" s="6">
        <v>0</v>
      </c>
      <c r="V51" s="6">
        <v>0</v>
      </c>
      <c r="W51" s="6">
        <v>0</v>
      </c>
      <c r="X51" s="6">
        <f>SUM(T51:W51)/Variables!$E$3</f>
        <v>0</v>
      </c>
      <c r="Y51" s="12">
        <v>0</v>
      </c>
      <c r="Z51" s="6">
        <v>0</v>
      </c>
      <c r="AA51" s="6">
        <v>0</v>
      </c>
      <c r="AB51" s="6">
        <v>0</v>
      </c>
      <c r="AC51" s="6">
        <f>SUM(Y51:AB51)/Variables!$E$3</f>
        <v>0</v>
      </c>
      <c r="AD51" s="4">
        <v>0</v>
      </c>
      <c r="AE51" s="2">
        <v>0</v>
      </c>
      <c r="AF51" s="2">
        <v>0</v>
      </c>
      <c r="AG51" s="2">
        <v>0</v>
      </c>
      <c r="AH51" s="6">
        <f>SUM(AD51:AG51)/Variables!$E$3</f>
        <v>0</v>
      </c>
      <c r="AI51" s="4">
        <v>0</v>
      </c>
      <c r="AJ51" s="2">
        <v>0</v>
      </c>
      <c r="AK51" s="2">
        <v>0</v>
      </c>
      <c r="AL51" s="2">
        <v>0</v>
      </c>
      <c r="AM51" s="6">
        <f>SUM(AI51:AL51)/Variables!$E$3</f>
        <v>0</v>
      </c>
      <c r="AN51" s="4">
        <v>0</v>
      </c>
      <c r="AO51" s="2">
        <v>0</v>
      </c>
      <c r="AP51" s="2">
        <v>0</v>
      </c>
      <c r="AQ51" s="2">
        <v>0</v>
      </c>
      <c r="AR51" s="6">
        <f>SUM(AN51:AQ51)/Variables!$E$3</f>
        <v>0</v>
      </c>
      <c r="AS51" s="4">
        <v>0</v>
      </c>
      <c r="AT51" s="2">
        <v>0</v>
      </c>
      <c r="AU51" s="2">
        <v>0</v>
      </c>
      <c r="AV51" s="2">
        <v>0</v>
      </c>
      <c r="AW51" s="6">
        <f>SUM(AS51:AV51)/Variables!$E$3</f>
        <v>0</v>
      </c>
      <c r="AX51" s="4">
        <v>0</v>
      </c>
      <c r="AY51" s="2">
        <v>0</v>
      </c>
      <c r="AZ51" s="2">
        <v>0</v>
      </c>
      <c r="BA51" s="2">
        <v>0</v>
      </c>
      <c r="BB51" s="6">
        <f>SUM(AX51:BA51)/Variables!$E$3</f>
        <v>0</v>
      </c>
      <c r="BC51" s="12">
        <f t="shared" si="15"/>
        <v>0</v>
      </c>
      <c r="BD51" s="110">
        <f t="shared" si="15"/>
        <v>0</v>
      </c>
      <c r="BE51" s="110">
        <f t="shared" si="15"/>
        <v>0</v>
      </c>
      <c r="BF51" s="110">
        <f t="shared" si="15"/>
        <v>0</v>
      </c>
      <c r="BG51" s="6">
        <f>SUM(BC51:BF51)/Variables!$E$3</f>
        <v>0</v>
      </c>
      <c r="BH51" s="4">
        <v>0</v>
      </c>
      <c r="BI51">
        <v>0</v>
      </c>
      <c r="BJ51">
        <v>0</v>
      </c>
      <c r="BK51">
        <v>0</v>
      </c>
      <c r="BL51" s="6">
        <f>SUM(BH51:BK51)/Variables!$E$3</f>
        <v>0</v>
      </c>
      <c r="BM51" s="110">
        <v>0</v>
      </c>
      <c r="BN51" s="110">
        <v>0</v>
      </c>
      <c r="BO51" s="110">
        <v>0</v>
      </c>
      <c r="BP51" s="110">
        <v>0</v>
      </c>
      <c r="BQ51" s="6">
        <f>SUM(BM51:BP51)/Variables!$E$3</f>
        <v>0</v>
      </c>
      <c r="BS51" s="4">
        <v>49</v>
      </c>
      <c r="BT51" s="125">
        <f t="shared" si="1"/>
        <v>0</v>
      </c>
      <c r="BU51" s="125">
        <f t="shared" si="2"/>
        <v>4.9789784558864285E-2</v>
      </c>
      <c r="BV51" s="125">
        <f t="shared" si="3"/>
        <v>0</v>
      </c>
      <c r="BW51" s="125">
        <f t="shared" si="4"/>
        <v>2.6621746807179787E-3</v>
      </c>
      <c r="BX51" s="125">
        <f t="shared" si="5"/>
        <v>2.3864005257365458E-3</v>
      </c>
      <c r="BY51" s="125">
        <f t="shared" si="6"/>
        <v>0</v>
      </c>
      <c r="BZ51" s="125">
        <f t="shared" si="7"/>
        <v>1.5297033230666907E-4</v>
      </c>
      <c r="CA51" s="125">
        <f t="shared" si="8"/>
        <v>4.7142099304032576E-4</v>
      </c>
      <c r="CB51" s="125">
        <f t="shared" si="9"/>
        <v>2.7723101528911551E-3</v>
      </c>
      <c r="CC51" s="125">
        <f t="shared" si="10"/>
        <v>1.2676268220650996E-3</v>
      </c>
      <c r="CD51" s="125">
        <f t="shared" si="11"/>
        <v>2.3864005257365458E-3</v>
      </c>
      <c r="CE51" s="125">
        <f t="shared" si="13"/>
        <v>8.2447208608144159E-4</v>
      </c>
      <c r="CF51" s="126">
        <f t="shared" si="14"/>
        <v>1.1477525554438276E-3</v>
      </c>
      <c r="CH51" s="4">
        <v>49</v>
      </c>
      <c r="CI51" s="129">
        <v>0</v>
      </c>
      <c r="CJ51" s="125">
        <v>0</v>
      </c>
      <c r="CK51" s="125">
        <v>0</v>
      </c>
      <c r="CL51" s="125">
        <v>0</v>
      </c>
      <c r="CM51" s="125">
        <v>0</v>
      </c>
      <c r="CN51" s="125">
        <v>0</v>
      </c>
      <c r="CO51" s="125">
        <v>0</v>
      </c>
      <c r="CP51" s="125">
        <v>0</v>
      </c>
      <c r="CQ51" s="125">
        <v>0</v>
      </c>
      <c r="CR51" s="125">
        <v>0</v>
      </c>
      <c r="CS51" s="125">
        <v>0</v>
      </c>
      <c r="CT51" s="125">
        <v>0</v>
      </c>
      <c r="CU51" s="126">
        <v>0</v>
      </c>
    </row>
    <row r="52" spans="1:99" x14ac:dyDescent="0.25">
      <c r="A52" t="s">
        <v>196</v>
      </c>
      <c r="B52" s="2" t="s">
        <v>1</v>
      </c>
      <c r="C52" s="1">
        <v>6088</v>
      </c>
      <c r="D52" s="19">
        <v>149.82</v>
      </c>
      <c r="E52" s="18">
        <v>0</v>
      </c>
      <c r="F52" s="19">
        <v>0</v>
      </c>
      <c r="G52" s="19">
        <v>0</v>
      </c>
      <c r="H52" s="19">
        <v>0</v>
      </c>
      <c r="I52" s="19">
        <f>SUM(E52:H52)/Variables!$E$3</f>
        <v>0</v>
      </c>
      <c r="J52" s="4">
        <v>0</v>
      </c>
      <c r="K52">
        <v>0</v>
      </c>
      <c r="L52">
        <v>60632</v>
      </c>
      <c r="M52">
        <v>2252</v>
      </c>
      <c r="N52" s="6">
        <f>SUM(J52:M52)/Variables!$E$3</f>
        <v>4.9789784558864285E-2</v>
      </c>
      <c r="O52" s="4">
        <v>0</v>
      </c>
      <c r="P52">
        <v>0</v>
      </c>
      <c r="Q52">
        <v>0</v>
      </c>
      <c r="R52">
        <v>0</v>
      </c>
      <c r="S52" s="6">
        <f>SUM(O52:R52)/Variables!$E$3</f>
        <v>0</v>
      </c>
      <c r="T52" s="12">
        <v>0</v>
      </c>
      <c r="U52" s="6">
        <v>0</v>
      </c>
      <c r="V52" s="6">
        <v>3362.3</v>
      </c>
      <c r="W52" s="6">
        <v>0</v>
      </c>
      <c r="X52" s="6">
        <f>SUM(T52:W52)/Variables!$E$3</f>
        <v>2.6621746807179787E-3</v>
      </c>
      <c r="Y52" s="12">
        <v>0</v>
      </c>
      <c r="Z52" s="6">
        <v>0</v>
      </c>
      <c r="AA52" s="6">
        <v>3014</v>
      </c>
      <c r="AB52" s="6">
        <v>0</v>
      </c>
      <c r="AC52" s="6">
        <f>SUM(Y52:AB52)/Variables!$E$3</f>
        <v>2.3864005257365458E-3</v>
      </c>
      <c r="AD52" s="4">
        <v>0</v>
      </c>
      <c r="AE52" s="2">
        <v>0</v>
      </c>
      <c r="AF52" s="2">
        <v>0</v>
      </c>
      <c r="AG52" s="2">
        <v>0</v>
      </c>
      <c r="AH52" s="6">
        <f>SUM(AD52:AG52)/Variables!$E$3</f>
        <v>0</v>
      </c>
      <c r="AI52" s="4">
        <v>0</v>
      </c>
      <c r="AJ52" s="2">
        <v>0</v>
      </c>
      <c r="AK52" s="2">
        <v>193.2</v>
      </c>
      <c r="AL52" s="2">
        <v>0</v>
      </c>
      <c r="AM52" s="6">
        <f>SUM(AI52:AL52)/Variables!$E$3</f>
        <v>1.5297033230666907E-4</v>
      </c>
      <c r="AN52" s="4">
        <v>0</v>
      </c>
      <c r="AO52" s="2">
        <v>0</v>
      </c>
      <c r="AP52" s="2">
        <v>595.400000000001</v>
      </c>
      <c r="AQ52" s="2">
        <v>0</v>
      </c>
      <c r="AR52" s="6">
        <f>SUM(AN52:AQ52)/Variables!$E$3</f>
        <v>4.7142099304032576E-4</v>
      </c>
      <c r="AS52" s="4">
        <v>0</v>
      </c>
      <c r="AT52" s="2">
        <v>0</v>
      </c>
      <c r="AU52" s="2">
        <v>3501.4</v>
      </c>
      <c r="AV52" s="2">
        <v>0</v>
      </c>
      <c r="AW52" s="6">
        <f>SUM(AS52:AV52)/Variables!$E$3</f>
        <v>2.7723101528911551E-3</v>
      </c>
      <c r="AX52" s="4">
        <v>0</v>
      </c>
      <c r="AY52" s="2">
        <v>0</v>
      </c>
      <c r="AZ52" s="2">
        <v>1601</v>
      </c>
      <c r="BA52" s="2">
        <v>0</v>
      </c>
      <c r="BB52" s="6">
        <f>SUM(AX52:BA52)/Variables!$E$3</f>
        <v>1.2676268220650996E-3</v>
      </c>
      <c r="BC52" s="12">
        <f t="shared" si="15"/>
        <v>0</v>
      </c>
      <c r="BD52" s="110">
        <f t="shared" si="15"/>
        <v>0</v>
      </c>
      <c r="BE52" s="110">
        <f t="shared" si="15"/>
        <v>3014</v>
      </c>
      <c r="BF52" s="110">
        <f t="shared" si="15"/>
        <v>0</v>
      </c>
      <c r="BG52" s="6">
        <f>SUM(BC52:BF52)/Variables!$E$3</f>
        <v>2.3864005257365458E-3</v>
      </c>
      <c r="BH52" s="4">
        <v>0</v>
      </c>
      <c r="BI52">
        <v>0</v>
      </c>
      <c r="BJ52">
        <v>1041.3</v>
      </c>
      <c r="BK52">
        <v>0</v>
      </c>
      <c r="BL52" s="6">
        <f>SUM(BH52:BK52)/Variables!$E$3</f>
        <v>8.2447208608144159E-4</v>
      </c>
      <c r="BM52" s="110">
        <v>0</v>
      </c>
      <c r="BN52" s="110">
        <v>0</v>
      </c>
      <c r="BO52" s="110">
        <v>1449.6</v>
      </c>
      <c r="BP52" s="110">
        <v>0</v>
      </c>
      <c r="BQ52" s="6">
        <f>SUM(BM52:BP52)/Variables!$E$3</f>
        <v>1.1477525554438276E-3</v>
      </c>
      <c r="BS52" s="4">
        <v>50</v>
      </c>
      <c r="BT52" s="125">
        <f t="shared" si="1"/>
        <v>0</v>
      </c>
      <c r="BU52" s="125">
        <f t="shared" si="2"/>
        <v>6.1744748572831139E-2</v>
      </c>
      <c r="BV52" s="125">
        <f t="shared" si="3"/>
        <v>0</v>
      </c>
      <c r="BW52" s="125">
        <f t="shared" si="4"/>
        <v>5.2107300928748452E-3</v>
      </c>
      <c r="BX52" s="125">
        <f t="shared" si="5"/>
        <v>4.7355085946840427E-3</v>
      </c>
      <c r="BY52" s="125">
        <f t="shared" si="6"/>
        <v>0</v>
      </c>
      <c r="BZ52" s="125">
        <f t="shared" si="7"/>
        <v>5.9129525966159662E-4</v>
      </c>
      <c r="CA52" s="125">
        <f t="shared" si="8"/>
        <v>8.6604011116477562E-4</v>
      </c>
      <c r="CB52" s="125">
        <f t="shared" si="9"/>
        <v>5.09402291387897E-3</v>
      </c>
      <c r="CC52" s="125">
        <f t="shared" si="10"/>
        <v>2.5415086421903578E-3</v>
      </c>
      <c r="CD52" s="125">
        <f t="shared" si="11"/>
        <v>4.7355085946840427E-3</v>
      </c>
      <c r="CE52" s="125">
        <f t="shared" si="13"/>
        <v>1.6978756759752651E-3</v>
      </c>
      <c r="CF52" s="126">
        <f t="shared" si="14"/>
        <v>2.3086485245330528E-3</v>
      </c>
      <c r="CH52" s="4">
        <v>50</v>
      </c>
      <c r="CI52" s="129">
        <v>0</v>
      </c>
      <c r="CJ52" s="125">
        <v>0</v>
      </c>
      <c r="CK52" s="125">
        <v>0</v>
      </c>
      <c r="CL52" s="125">
        <v>0</v>
      </c>
      <c r="CM52" s="125">
        <v>0</v>
      </c>
      <c r="CN52" s="125">
        <v>0</v>
      </c>
      <c r="CO52" s="125">
        <v>0</v>
      </c>
      <c r="CP52" s="125">
        <v>0</v>
      </c>
      <c r="CQ52" s="125">
        <v>0</v>
      </c>
      <c r="CR52" s="125">
        <v>0</v>
      </c>
      <c r="CS52" s="125">
        <v>0</v>
      </c>
      <c r="CT52" s="125">
        <v>0</v>
      </c>
      <c r="CU52" s="126">
        <v>0</v>
      </c>
    </row>
    <row r="53" spans="1:99" x14ac:dyDescent="0.25">
      <c r="A53" t="s">
        <v>196</v>
      </c>
      <c r="B53" s="2" t="s">
        <v>2</v>
      </c>
      <c r="C53" s="1">
        <v>6179</v>
      </c>
      <c r="D53" s="19">
        <v>119.78</v>
      </c>
      <c r="E53" s="18">
        <v>0</v>
      </c>
      <c r="F53" s="19">
        <v>0</v>
      </c>
      <c r="G53" s="19">
        <v>0</v>
      </c>
      <c r="H53" s="19">
        <v>0</v>
      </c>
      <c r="I53" s="19">
        <f>SUM(E53:H53)/Variables!$E$3</f>
        <v>0</v>
      </c>
      <c r="J53" s="4">
        <v>0</v>
      </c>
      <c r="K53">
        <v>832</v>
      </c>
      <c r="L53">
        <v>73088</v>
      </c>
      <c r="M53">
        <v>4063</v>
      </c>
      <c r="N53" s="6">
        <f>SUM(J53:M53)/Variables!$E$3</f>
        <v>6.1744748572831139E-2</v>
      </c>
      <c r="O53" s="4">
        <v>0</v>
      </c>
      <c r="P53">
        <v>0</v>
      </c>
      <c r="Q53">
        <v>0</v>
      </c>
      <c r="R53">
        <v>0</v>
      </c>
      <c r="S53" s="6">
        <f>SUM(O53:R53)/Variables!$E$3</f>
        <v>0</v>
      </c>
      <c r="T53" s="12">
        <v>0</v>
      </c>
      <c r="U53" s="6">
        <v>0</v>
      </c>
      <c r="V53" s="6">
        <v>6581.1</v>
      </c>
      <c r="W53" s="6">
        <v>0</v>
      </c>
      <c r="X53" s="6">
        <f>SUM(T53:W53)/Variables!$E$3</f>
        <v>5.2107300928748452E-3</v>
      </c>
      <c r="Y53" s="12">
        <v>0</v>
      </c>
      <c r="Z53" s="6">
        <v>0</v>
      </c>
      <c r="AA53" s="6">
        <v>5980.9</v>
      </c>
      <c r="AB53" s="6">
        <v>0</v>
      </c>
      <c r="AC53" s="6">
        <f>SUM(Y53:AB53)/Variables!$E$3</f>
        <v>4.7355085946840427E-3</v>
      </c>
      <c r="AD53" s="4">
        <v>0</v>
      </c>
      <c r="AE53" s="2">
        <v>0</v>
      </c>
      <c r="AF53" s="2">
        <v>0</v>
      </c>
      <c r="AG53" s="2">
        <v>0</v>
      </c>
      <c r="AH53" s="6">
        <f>SUM(AD53:AG53)/Variables!$E$3</f>
        <v>0</v>
      </c>
      <c r="AI53" s="4">
        <v>0</v>
      </c>
      <c r="AJ53" s="2">
        <v>0</v>
      </c>
      <c r="AK53" s="2">
        <v>746.8</v>
      </c>
      <c r="AL53" s="2">
        <v>0</v>
      </c>
      <c r="AM53" s="6">
        <f>SUM(AI53:AL53)/Variables!$E$3</f>
        <v>5.9129525966159662E-4</v>
      </c>
      <c r="AN53" s="4">
        <v>0</v>
      </c>
      <c r="AO53" s="2">
        <v>0</v>
      </c>
      <c r="AP53" s="2">
        <v>1093.8</v>
      </c>
      <c r="AQ53" s="2">
        <v>0</v>
      </c>
      <c r="AR53" s="6">
        <f>SUM(AN53:AQ53)/Variables!$E$3</f>
        <v>8.6604011116477562E-4</v>
      </c>
      <c r="AS53" s="4">
        <v>0</v>
      </c>
      <c r="AT53" s="2">
        <v>0</v>
      </c>
      <c r="AU53" s="2">
        <v>6433.7</v>
      </c>
      <c r="AV53" s="2">
        <v>0</v>
      </c>
      <c r="AW53" s="6">
        <f>SUM(AS53:AV53)/Variables!$E$3</f>
        <v>5.09402291387897E-3</v>
      </c>
      <c r="AX53" s="4">
        <v>0</v>
      </c>
      <c r="AY53" s="2">
        <v>0</v>
      </c>
      <c r="AZ53" s="2">
        <v>3209.9</v>
      </c>
      <c r="BA53" s="2">
        <v>0</v>
      </c>
      <c r="BB53" s="6">
        <f>SUM(AX53:BA53)/Variables!$E$3</f>
        <v>2.5415086421903578E-3</v>
      </c>
      <c r="BC53" s="12">
        <f t="shared" si="15"/>
        <v>0</v>
      </c>
      <c r="BD53" s="110">
        <f t="shared" si="15"/>
        <v>0</v>
      </c>
      <c r="BE53" s="110">
        <f t="shared" si="15"/>
        <v>5980.9</v>
      </c>
      <c r="BF53" s="110">
        <f t="shared" si="15"/>
        <v>0</v>
      </c>
      <c r="BG53" s="6">
        <f>SUM(BC53:BF53)/Variables!$E$3</f>
        <v>4.7355085946840427E-3</v>
      </c>
      <c r="BH53" s="4">
        <v>0</v>
      </c>
      <c r="BI53">
        <v>0</v>
      </c>
      <c r="BJ53">
        <v>2144.4</v>
      </c>
      <c r="BK53">
        <v>0</v>
      </c>
      <c r="BL53" s="6">
        <f>SUM(BH53:BK53)/Variables!$E$3</f>
        <v>1.6978756759752651E-3</v>
      </c>
      <c r="BM53" s="110">
        <v>0</v>
      </c>
      <c r="BN53" s="110">
        <v>0</v>
      </c>
      <c r="BO53" s="110">
        <v>2915.8</v>
      </c>
      <c r="BP53" s="110">
        <v>0</v>
      </c>
      <c r="BQ53" s="6">
        <f>SUM(BM53:BP53)/Variables!$E$3</f>
        <v>2.3086485245330528E-3</v>
      </c>
      <c r="BS53" s="4">
        <v>51</v>
      </c>
      <c r="BT53" s="125">
        <f t="shared" si="1"/>
        <v>0</v>
      </c>
      <c r="BU53" s="125">
        <f t="shared" si="2"/>
        <v>0.24149043143651178</v>
      </c>
      <c r="BV53" s="125">
        <f t="shared" si="3"/>
        <v>5.0115202812373812E-2</v>
      </c>
      <c r="BW53" s="125">
        <f t="shared" si="4"/>
        <v>0.10633314594731551</v>
      </c>
      <c r="BX53" s="125">
        <f t="shared" si="5"/>
        <v>0.10523685856578438</v>
      </c>
      <c r="BY53" s="125">
        <f t="shared" si="6"/>
        <v>9.0095804400668264E-2</v>
      </c>
      <c r="BZ53" s="125">
        <f t="shared" si="7"/>
        <v>8.0165321974045717E-2</v>
      </c>
      <c r="CA53" s="125">
        <f t="shared" si="8"/>
        <v>8.6910189312662811E-2</v>
      </c>
      <c r="CB53" s="125">
        <f t="shared" si="9"/>
        <v>0.12329788834432577</v>
      </c>
      <c r="CC53" s="125">
        <f t="shared" si="10"/>
        <v>9.2113951812761774E-2</v>
      </c>
      <c r="CD53" s="125">
        <f t="shared" si="11"/>
        <v>0.10523685856578438</v>
      </c>
      <c r="CE53" s="125">
        <f t="shared" si="13"/>
        <v>9.6457850022565503E-2</v>
      </c>
      <c r="CF53" s="126">
        <f t="shared" si="14"/>
        <v>9.582166129581389E-2</v>
      </c>
      <c r="CH53" s="4">
        <v>51</v>
      </c>
      <c r="CI53" s="129">
        <v>0</v>
      </c>
      <c r="CJ53" s="125">
        <v>0.21977173215939952</v>
      </c>
      <c r="CK53" s="125">
        <v>0</v>
      </c>
      <c r="CL53" s="125">
        <v>7.6330928985977722E-2</v>
      </c>
      <c r="CM53" s="125">
        <v>7.574216739641644E-2</v>
      </c>
      <c r="CN53" s="125">
        <v>3.4740734289265947E-2</v>
      </c>
      <c r="CO53" s="125">
        <v>0</v>
      </c>
      <c r="CP53" s="125">
        <v>0</v>
      </c>
      <c r="CQ53" s="125">
        <v>7.88956365450241E-2</v>
      </c>
      <c r="CR53" s="125">
        <v>0</v>
      </c>
      <c r="CS53" s="125">
        <v>7.574216739641644E-2</v>
      </c>
      <c r="CT53" s="125">
        <v>3.4532498277896104E-2</v>
      </c>
      <c r="CU53" s="126">
        <v>3.4559893585855789E-2</v>
      </c>
    </row>
    <row r="54" spans="1:99" x14ac:dyDescent="0.25">
      <c r="A54" t="s">
        <v>197</v>
      </c>
      <c r="B54" s="2" t="s">
        <v>3</v>
      </c>
      <c r="C54" s="1">
        <v>6269</v>
      </c>
      <c r="D54" s="19">
        <v>205.255</v>
      </c>
      <c r="E54" s="18">
        <v>0</v>
      </c>
      <c r="F54" s="19">
        <v>0</v>
      </c>
      <c r="G54" s="19">
        <v>0</v>
      </c>
      <c r="H54" s="19">
        <v>0</v>
      </c>
      <c r="I54" s="19">
        <f>SUM(E54:H54)/Variables!$E$3</f>
        <v>0</v>
      </c>
      <c r="J54" s="4">
        <v>15827</v>
      </c>
      <c r="K54">
        <v>20589</v>
      </c>
      <c r="L54">
        <v>219810</v>
      </c>
      <c r="M54">
        <v>48774</v>
      </c>
      <c r="N54" s="6">
        <f>SUM(J54:M54)/Variables!$E$3</f>
        <v>0.24149043143651178</v>
      </c>
      <c r="O54" s="4">
        <v>0</v>
      </c>
      <c r="P54">
        <v>13</v>
      </c>
      <c r="Q54">
        <v>44839</v>
      </c>
      <c r="R54">
        <v>18443</v>
      </c>
      <c r="S54" s="6">
        <f>SUM(O54:R54)/Variables!$E$3</f>
        <v>5.0115202812373812E-2</v>
      </c>
      <c r="T54" s="12">
        <v>377.5</v>
      </c>
      <c r="U54" s="6">
        <v>2343.1</v>
      </c>
      <c r="V54" s="6">
        <v>103477.4</v>
      </c>
      <c r="W54" s="6">
        <v>28099.7</v>
      </c>
      <c r="X54" s="6">
        <f>SUM(T54:W54)/Variables!$E$3</f>
        <v>0.10633314594731551</v>
      </c>
      <c r="Y54" s="12">
        <v>401</v>
      </c>
      <c r="Z54" s="6">
        <v>2387.4</v>
      </c>
      <c r="AA54" s="6">
        <v>101871</v>
      </c>
      <c r="AB54" s="6">
        <v>28253.7</v>
      </c>
      <c r="AC54" s="6">
        <f>SUM(Y54:AB54)/Variables!$E$3</f>
        <v>0.10523685856578438</v>
      </c>
      <c r="AD54" s="4">
        <v>573.69999999999902</v>
      </c>
      <c r="AE54" s="2">
        <v>2749.4</v>
      </c>
      <c r="AF54" s="2">
        <v>86165.1</v>
      </c>
      <c r="AG54" s="2">
        <v>24301.9</v>
      </c>
      <c r="AH54" s="6">
        <f>SUM(AD54:AG54)/Variables!$E$3</f>
        <v>9.0095804400668264E-2</v>
      </c>
      <c r="AI54" s="4">
        <v>573.1</v>
      </c>
      <c r="AJ54" s="2">
        <v>2257.6999999999998</v>
      </c>
      <c r="AK54" s="2">
        <v>78291.5</v>
      </c>
      <c r="AL54" s="2">
        <v>20125.7</v>
      </c>
      <c r="AM54" s="6">
        <f>SUM(AI54:AL54)/Variables!$E$3</f>
        <v>8.0165321974045717E-2</v>
      </c>
      <c r="AN54" s="4">
        <v>652.70000000000095</v>
      </c>
      <c r="AO54" s="2">
        <v>2374.1</v>
      </c>
      <c r="AP54" s="2">
        <v>80070.600000000006</v>
      </c>
      <c r="AQ54" s="2">
        <v>26669.3</v>
      </c>
      <c r="AR54" s="6">
        <f>SUM(AN54:AQ54)/Variables!$E$3</f>
        <v>8.6910189312662811E-2</v>
      </c>
      <c r="AS54" s="4">
        <v>3559.4</v>
      </c>
      <c r="AT54" s="2">
        <v>6370.5</v>
      </c>
      <c r="AU54" s="2">
        <v>108301.4</v>
      </c>
      <c r="AV54" s="2">
        <v>37492.699999999997</v>
      </c>
      <c r="AW54" s="6">
        <f>SUM(AS54:AV54)/Variables!$E$3</f>
        <v>0.12329788834432577</v>
      </c>
      <c r="AX54" s="4">
        <v>799.5</v>
      </c>
      <c r="AY54" s="2">
        <v>2569.8000000000002</v>
      </c>
      <c r="AZ54" s="2">
        <v>85081.1</v>
      </c>
      <c r="BA54" s="2">
        <v>27888.6</v>
      </c>
      <c r="BB54" s="6">
        <f>SUM(AX54:BA54)/Variables!$E$3</f>
        <v>9.2113951812761774E-2</v>
      </c>
      <c r="BC54" s="12">
        <f t="shared" si="15"/>
        <v>401</v>
      </c>
      <c r="BD54" s="110">
        <f t="shared" si="15"/>
        <v>2387.4</v>
      </c>
      <c r="BE54" s="110">
        <f t="shared" si="15"/>
        <v>101871</v>
      </c>
      <c r="BF54" s="110">
        <f t="shared" si="15"/>
        <v>28253.7</v>
      </c>
      <c r="BG54" s="6">
        <f>SUM(BC54:BF54)/Variables!$E$3</f>
        <v>0.10523685856578438</v>
      </c>
      <c r="BH54" s="4">
        <v>1354.6</v>
      </c>
      <c r="BI54">
        <v>3439.7</v>
      </c>
      <c r="BJ54">
        <v>87028.800000000003</v>
      </c>
      <c r="BK54">
        <v>30002.2</v>
      </c>
      <c r="BL54" s="6">
        <f>SUM(BH54:BK54)/Variables!$E$3</f>
        <v>9.6457850022565503E-2</v>
      </c>
      <c r="BM54" s="110">
        <v>1318.8</v>
      </c>
      <c r="BN54" s="110">
        <v>3374.5</v>
      </c>
      <c r="BO54" s="110">
        <v>88468.4</v>
      </c>
      <c r="BP54" s="110">
        <v>27860.1</v>
      </c>
      <c r="BQ54" s="6">
        <f>SUM(BM54:BP54)/Variables!$E$3</f>
        <v>9.582166129581389E-2</v>
      </c>
      <c r="BS54" s="4">
        <v>52</v>
      </c>
      <c r="BT54" s="125">
        <f t="shared" si="1"/>
        <v>0</v>
      </c>
      <c r="BU54" s="125">
        <f t="shared" si="2"/>
        <v>3.7893411665967269E-2</v>
      </c>
      <c r="BV54" s="125">
        <f t="shared" si="3"/>
        <v>0</v>
      </c>
      <c r="BW54" s="125">
        <f t="shared" si="4"/>
        <v>6.6162044038353433E-3</v>
      </c>
      <c r="BX54" s="125">
        <f t="shared" si="5"/>
        <v>6.0279178774178734E-3</v>
      </c>
      <c r="BY54" s="125">
        <f t="shared" si="6"/>
        <v>1.4806134648730235E-5</v>
      </c>
      <c r="BZ54" s="125">
        <f t="shared" si="7"/>
        <v>8.7451207056271228E-4</v>
      </c>
      <c r="CA54" s="125">
        <f t="shared" si="8"/>
        <v>1.1573329955106534E-3</v>
      </c>
      <c r="CB54" s="125">
        <f t="shared" si="9"/>
        <v>6.4226161727329589E-3</v>
      </c>
      <c r="CC54" s="125">
        <f t="shared" si="10"/>
        <v>3.1753220532229078E-3</v>
      </c>
      <c r="CD54" s="125">
        <f t="shared" si="11"/>
        <v>6.0279178774178734E-3</v>
      </c>
      <c r="CE54" s="125">
        <f t="shared" si="13"/>
        <v>1.6551991702230423E-3</v>
      </c>
      <c r="CF54" s="126">
        <f t="shared" si="14"/>
        <v>2.9200547906159196E-3</v>
      </c>
      <c r="CH54" s="4">
        <v>52</v>
      </c>
      <c r="CI54" s="129">
        <v>0</v>
      </c>
      <c r="CJ54" s="125">
        <v>0</v>
      </c>
      <c r="CK54" s="125">
        <v>0</v>
      </c>
      <c r="CL54" s="125">
        <v>0</v>
      </c>
      <c r="CM54" s="125">
        <v>0</v>
      </c>
      <c r="CN54" s="125">
        <v>0</v>
      </c>
      <c r="CO54" s="125">
        <v>0</v>
      </c>
      <c r="CP54" s="125">
        <v>0</v>
      </c>
      <c r="CQ54" s="125">
        <v>0</v>
      </c>
      <c r="CR54" s="125">
        <v>0</v>
      </c>
      <c r="CS54" s="125">
        <v>0</v>
      </c>
      <c r="CT54" s="125">
        <v>0</v>
      </c>
      <c r="CU54" s="126">
        <v>0</v>
      </c>
    </row>
    <row r="55" spans="1:99" x14ac:dyDescent="0.25">
      <c r="A55" t="s">
        <v>197</v>
      </c>
      <c r="B55" s="2" t="s">
        <v>4</v>
      </c>
      <c r="C55" s="1">
        <v>6361</v>
      </c>
      <c r="D55" s="19">
        <v>23.6</v>
      </c>
      <c r="E55" s="18">
        <v>0</v>
      </c>
      <c r="F55" s="19">
        <v>0</v>
      </c>
      <c r="G55" s="19">
        <v>0</v>
      </c>
      <c r="H55" s="19">
        <v>0</v>
      </c>
      <c r="I55" s="19">
        <f>SUM(E55:H55)/Variables!$E$3</f>
        <v>0</v>
      </c>
      <c r="J55" s="4">
        <v>0</v>
      </c>
      <c r="K55">
        <v>0</v>
      </c>
      <c r="L55">
        <v>47859</v>
      </c>
      <c r="M55">
        <v>0</v>
      </c>
      <c r="N55" s="6">
        <f>SUM(J55:M55)/Variables!$E$3</f>
        <v>3.7893411665967269E-2</v>
      </c>
      <c r="O55" s="4">
        <v>0</v>
      </c>
      <c r="P55">
        <v>0</v>
      </c>
      <c r="Q55">
        <v>0</v>
      </c>
      <c r="R55">
        <v>0</v>
      </c>
      <c r="S55" s="6">
        <f>SUM(O55:R55)/Variables!$E$3</f>
        <v>0</v>
      </c>
      <c r="T55" s="12">
        <v>0</v>
      </c>
      <c r="U55" s="6">
        <v>0</v>
      </c>
      <c r="V55" s="6">
        <v>8356.2000000000007</v>
      </c>
      <c r="W55" s="6">
        <v>0</v>
      </c>
      <c r="X55" s="6">
        <f>SUM(T55:W55)/Variables!$E$3</f>
        <v>6.6162044038353433E-3</v>
      </c>
      <c r="Y55" s="12">
        <v>0</v>
      </c>
      <c r="Z55" s="6">
        <v>0</v>
      </c>
      <c r="AA55" s="6">
        <v>7613.2</v>
      </c>
      <c r="AB55" s="6">
        <v>0</v>
      </c>
      <c r="AC55" s="6">
        <f>SUM(Y55:AB55)/Variables!$E$3</f>
        <v>6.0279178774178734E-3</v>
      </c>
      <c r="AD55" s="4">
        <v>0</v>
      </c>
      <c r="AE55" s="2">
        <v>0</v>
      </c>
      <c r="AF55" s="2">
        <v>18.6999999999998</v>
      </c>
      <c r="AG55" s="2">
        <v>0</v>
      </c>
      <c r="AH55" s="6">
        <f>SUM(AD55:AG55)/Variables!$E$3</f>
        <v>1.4806134648730235E-5</v>
      </c>
      <c r="AI55" s="4">
        <v>0</v>
      </c>
      <c r="AJ55" s="2">
        <v>0</v>
      </c>
      <c r="AK55" s="2">
        <v>1104.5</v>
      </c>
      <c r="AL55" s="2">
        <v>0</v>
      </c>
      <c r="AM55" s="6">
        <f>SUM(AI55:AL55)/Variables!$E$3</f>
        <v>8.7451207056271228E-4</v>
      </c>
      <c r="AN55" s="4">
        <v>0</v>
      </c>
      <c r="AO55" s="2">
        <v>0</v>
      </c>
      <c r="AP55" s="2">
        <v>1461.7</v>
      </c>
      <c r="AQ55" s="2">
        <v>0</v>
      </c>
      <c r="AR55" s="6">
        <f>SUM(AN55:AQ55)/Variables!$E$3</f>
        <v>1.1573329955106534E-3</v>
      </c>
      <c r="AS55" s="4">
        <v>0</v>
      </c>
      <c r="AT55" s="2">
        <v>0</v>
      </c>
      <c r="AU55" s="2">
        <v>8111.7</v>
      </c>
      <c r="AV55" s="2">
        <v>0</v>
      </c>
      <c r="AW55" s="6">
        <f>SUM(AS55:AV55)/Variables!$E$3</f>
        <v>6.4226161727329589E-3</v>
      </c>
      <c r="AX55" s="4">
        <v>0</v>
      </c>
      <c r="AY55" s="2">
        <v>0</v>
      </c>
      <c r="AZ55" s="2">
        <v>4010.4</v>
      </c>
      <c r="BA55" s="2">
        <v>0</v>
      </c>
      <c r="BB55" s="6">
        <f>SUM(AX55:BA55)/Variables!$E$3</f>
        <v>3.1753220532229078E-3</v>
      </c>
      <c r="BC55" s="12">
        <f t="shared" si="15"/>
        <v>0</v>
      </c>
      <c r="BD55" s="110">
        <f t="shared" si="15"/>
        <v>0</v>
      </c>
      <c r="BE55" s="110">
        <f t="shared" si="15"/>
        <v>7613.2</v>
      </c>
      <c r="BF55" s="110">
        <f t="shared" si="15"/>
        <v>0</v>
      </c>
      <c r="BG55" s="6">
        <f>SUM(BC55:BF55)/Variables!$E$3</f>
        <v>6.0279178774178734E-3</v>
      </c>
      <c r="BH55" s="4">
        <v>0</v>
      </c>
      <c r="BI55">
        <v>0</v>
      </c>
      <c r="BJ55">
        <v>2090.5</v>
      </c>
      <c r="BK55">
        <v>0</v>
      </c>
      <c r="BL55" s="6">
        <f>SUM(BH55:BK55)/Variables!$E$3</f>
        <v>1.6551991702230423E-3</v>
      </c>
      <c r="BM55" s="110">
        <v>0</v>
      </c>
      <c r="BN55" s="110">
        <v>0</v>
      </c>
      <c r="BO55" s="110">
        <v>3688</v>
      </c>
      <c r="BP55" s="110">
        <v>0</v>
      </c>
      <c r="BQ55" s="6">
        <f>SUM(BM55:BP55)/Variables!$E$3</f>
        <v>2.9200547906159196E-3</v>
      </c>
      <c r="BS55" s="4">
        <v>53</v>
      </c>
      <c r="BT55" s="125">
        <f t="shared" si="1"/>
        <v>0</v>
      </c>
      <c r="BU55" s="125">
        <f t="shared" si="2"/>
        <v>0</v>
      </c>
      <c r="BV55" s="125">
        <f t="shared" si="3"/>
        <v>0</v>
      </c>
      <c r="BW55" s="125">
        <f t="shared" si="4"/>
        <v>0</v>
      </c>
      <c r="BX55" s="125">
        <f t="shared" si="5"/>
        <v>0</v>
      </c>
      <c r="BY55" s="125">
        <f t="shared" si="6"/>
        <v>0</v>
      </c>
      <c r="BZ55" s="125">
        <f t="shared" si="7"/>
        <v>0</v>
      </c>
      <c r="CA55" s="125">
        <f t="shared" si="8"/>
        <v>0</v>
      </c>
      <c r="CB55" s="125">
        <f t="shared" si="9"/>
        <v>0</v>
      </c>
      <c r="CC55" s="125">
        <f t="shared" si="10"/>
        <v>0</v>
      </c>
      <c r="CD55" s="125">
        <f t="shared" si="11"/>
        <v>0</v>
      </c>
      <c r="CE55" s="125">
        <f t="shared" si="13"/>
        <v>0</v>
      </c>
      <c r="CF55" s="126">
        <f t="shared" si="14"/>
        <v>0</v>
      </c>
      <c r="CH55" s="4">
        <v>53</v>
      </c>
      <c r="CI55" s="129">
        <v>0</v>
      </c>
      <c r="CJ55" s="125">
        <v>0</v>
      </c>
      <c r="CK55" s="125">
        <v>0</v>
      </c>
      <c r="CL55" s="125">
        <v>0</v>
      </c>
      <c r="CM55" s="125">
        <v>0</v>
      </c>
      <c r="CN55" s="125">
        <v>0</v>
      </c>
      <c r="CO55" s="125">
        <v>0</v>
      </c>
      <c r="CP55" s="125">
        <v>0</v>
      </c>
      <c r="CQ55" s="125">
        <v>0</v>
      </c>
      <c r="CR55" s="125">
        <v>0</v>
      </c>
      <c r="CS55" s="125">
        <v>0</v>
      </c>
      <c r="CT55" s="125">
        <v>0</v>
      </c>
      <c r="CU55" s="126">
        <v>0</v>
      </c>
    </row>
    <row r="56" spans="1:99" x14ac:dyDescent="0.25">
      <c r="A56" t="s">
        <v>197</v>
      </c>
      <c r="B56" s="2" t="s">
        <v>1</v>
      </c>
      <c r="C56" s="1">
        <v>6453</v>
      </c>
      <c r="D56" s="19">
        <v>53.125</v>
      </c>
      <c r="E56" s="18">
        <v>0</v>
      </c>
      <c r="F56" s="19">
        <v>0</v>
      </c>
      <c r="G56" s="19">
        <v>0</v>
      </c>
      <c r="H56" s="19">
        <v>0</v>
      </c>
      <c r="I56" s="19">
        <f>SUM(E56:H56)/Variables!$E$3</f>
        <v>0</v>
      </c>
      <c r="J56" s="4">
        <v>0</v>
      </c>
      <c r="K56">
        <v>0</v>
      </c>
      <c r="L56">
        <v>0</v>
      </c>
      <c r="M56">
        <v>0</v>
      </c>
      <c r="N56" s="6">
        <f>SUM(J56:M56)/Variables!$E$3</f>
        <v>0</v>
      </c>
      <c r="O56" s="4">
        <v>0</v>
      </c>
      <c r="P56">
        <v>0</v>
      </c>
      <c r="Q56">
        <v>0</v>
      </c>
      <c r="R56">
        <v>0</v>
      </c>
      <c r="S56" s="6">
        <f>SUM(O56:R56)/Variables!$E$3</f>
        <v>0</v>
      </c>
      <c r="T56" s="12">
        <v>0</v>
      </c>
      <c r="U56" s="6">
        <v>0</v>
      </c>
      <c r="V56" s="6">
        <v>0</v>
      </c>
      <c r="W56" s="6">
        <v>0</v>
      </c>
      <c r="X56" s="6">
        <f>SUM(T56:W56)/Variables!$E$3</f>
        <v>0</v>
      </c>
      <c r="Y56" s="12">
        <v>0</v>
      </c>
      <c r="Z56" s="6">
        <v>0</v>
      </c>
      <c r="AA56" s="6">
        <v>0</v>
      </c>
      <c r="AB56" s="6">
        <v>0</v>
      </c>
      <c r="AC56" s="6">
        <f>SUM(Y56:AB56)/Variables!$E$3</f>
        <v>0</v>
      </c>
      <c r="AD56" s="4">
        <v>0</v>
      </c>
      <c r="AE56" s="2">
        <v>0</v>
      </c>
      <c r="AF56" s="2">
        <v>0</v>
      </c>
      <c r="AG56" s="2">
        <v>0</v>
      </c>
      <c r="AH56" s="6">
        <f>SUM(AD56:AG56)/Variables!$E$3</f>
        <v>0</v>
      </c>
      <c r="AI56" s="4">
        <v>0</v>
      </c>
      <c r="AJ56" s="2">
        <v>0</v>
      </c>
      <c r="AK56" s="2">
        <v>0</v>
      </c>
      <c r="AL56" s="2">
        <v>0</v>
      </c>
      <c r="AM56" s="6">
        <f>SUM(AI56:AL56)/Variables!$E$3</f>
        <v>0</v>
      </c>
      <c r="AN56" s="4">
        <v>0</v>
      </c>
      <c r="AO56" s="2">
        <v>0</v>
      </c>
      <c r="AP56" s="2">
        <v>0</v>
      </c>
      <c r="AQ56" s="2">
        <v>0</v>
      </c>
      <c r="AR56" s="6">
        <f>SUM(AN56:AQ56)/Variables!$E$3</f>
        <v>0</v>
      </c>
      <c r="AS56" s="4">
        <v>0</v>
      </c>
      <c r="AT56" s="2">
        <v>0</v>
      </c>
      <c r="AU56" s="2">
        <v>0</v>
      </c>
      <c r="AV56" s="2">
        <v>0</v>
      </c>
      <c r="AW56" s="6">
        <f>SUM(AS56:AV56)/Variables!$E$3</f>
        <v>0</v>
      </c>
      <c r="AX56" s="4">
        <v>0</v>
      </c>
      <c r="AY56" s="2">
        <v>0</v>
      </c>
      <c r="AZ56" s="2">
        <v>0</v>
      </c>
      <c r="BA56" s="2">
        <v>0</v>
      </c>
      <c r="BB56" s="6">
        <f>SUM(AX56:BA56)/Variables!$E$3</f>
        <v>0</v>
      </c>
      <c r="BC56" s="12">
        <f t="shared" si="15"/>
        <v>0</v>
      </c>
      <c r="BD56" s="110">
        <f t="shared" si="15"/>
        <v>0</v>
      </c>
      <c r="BE56" s="110">
        <f t="shared" si="15"/>
        <v>0</v>
      </c>
      <c r="BF56" s="110">
        <f t="shared" si="15"/>
        <v>0</v>
      </c>
      <c r="BG56" s="6">
        <f>SUM(BC56:BF56)/Variables!$E$3</f>
        <v>0</v>
      </c>
      <c r="BH56" s="4">
        <v>0</v>
      </c>
      <c r="BI56">
        <v>0</v>
      </c>
      <c r="BJ56">
        <v>0</v>
      </c>
      <c r="BK56">
        <v>0</v>
      </c>
      <c r="BL56" s="6">
        <f>SUM(BH56:BK56)/Variables!$E$3</f>
        <v>0</v>
      </c>
      <c r="BM56" s="110">
        <v>0</v>
      </c>
      <c r="BN56" s="110">
        <v>0</v>
      </c>
      <c r="BO56" s="110">
        <v>0</v>
      </c>
      <c r="BP56" s="110">
        <v>0</v>
      </c>
      <c r="BQ56" s="6">
        <f>SUM(BM56:BP56)/Variables!$E$3</f>
        <v>0</v>
      </c>
      <c r="BS56" s="4">
        <v>54</v>
      </c>
      <c r="BT56" s="125">
        <f t="shared" si="1"/>
        <v>0</v>
      </c>
      <c r="BU56" s="125">
        <f t="shared" si="2"/>
        <v>0.20852500811566205</v>
      </c>
      <c r="BV56" s="125">
        <f t="shared" si="3"/>
        <v>1.1314420541730338E-2</v>
      </c>
      <c r="BW56" s="125">
        <f t="shared" si="4"/>
        <v>5.0621778478056045E-2</v>
      </c>
      <c r="BX56" s="125">
        <f t="shared" si="5"/>
        <v>4.9372599941408878E-2</v>
      </c>
      <c r="BY56" s="125">
        <f t="shared" si="6"/>
        <v>3.5805588326115009E-2</v>
      </c>
      <c r="BZ56" s="125">
        <f t="shared" si="7"/>
        <v>2.9466266557929992E-2</v>
      </c>
      <c r="CA56" s="125">
        <f t="shared" si="8"/>
        <v>3.4845723244047853E-2</v>
      </c>
      <c r="CB56" s="125">
        <f t="shared" si="9"/>
        <v>5.8245037569576955E-2</v>
      </c>
      <c r="CC56" s="125">
        <f t="shared" si="10"/>
        <v>4.1457097839254463E-2</v>
      </c>
      <c r="CD56" s="125">
        <f t="shared" si="11"/>
        <v>4.9372599941408878E-2</v>
      </c>
      <c r="CE56" s="125">
        <f t="shared" si="13"/>
        <v>3.5346677329195005E-2</v>
      </c>
      <c r="CF56" s="126">
        <f t="shared" si="14"/>
        <v>4.2421476021187815E-2</v>
      </c>
      <c r="CH56" s="4">
        <v>54</v>
      </c>
      <c r="CI56" s="129">
        <v>0</v>
      </c>
      <c r="CJ56" s="125">
        <v>0.19666386907259756</v>
      </c>
      <c r="CK56" s="125">
        <v>0</v>
      </c>
      <c r="CL56" s="125">
        <v>0</v>
      </c>
      <c r="CM56" s="125">
        <v>0</v>
      </c>
      <c r="CN56" s="125">
        <v>0</v>
      </c>
      <c r="CO56" s="125">
        <v>0</v>
      </c>
      <c r="CP56" s="125">
        <v>0</v>
      </c>
      <c r="CQ56" s="125">
        <v>0</v>
      </c>
      <c r="CR56" s="125">
        <v>0</v>
      </c>
      <c r="CS56" s="125">
        <v>0</v>
      </c>
      <c r="CT56" s="125">
        <v>0</v>
      </c>
      <c r="CU56" s="126">
        <v>0</v>
      </c>
    </row>
    <row r="57" spans="1:99" x14ac:dyDescent="0.25">
      <c r="A57" t="s">
        <v>197</v>
      </c>
      <c r="B57" s="2" t="s">
        <v>2</v>
      </c>
      <c r="C57" s="1">
        <v>6544</v>
      </c>
      <c r="D57" s="19">
        <v>132.55500000000001</v>
      </c>
      <c r="E57" s="18">
        <v>0</v>
      </c>
      <c r="F57" s="19">
        <v>0</v>
      </c>
      <c r="G57" s="19">
        <v>0</v>
      </c>
      <c r="H57" s="19">
        <v>0</v>
      </c>
      <c r="I57" s="19">
        <f>SUM(E57:H57)/Variables!$E$3</f>
        <v>0</v>
      </c>
      <c r="J57" s="4">
        <v>5479</v>
      </c>
      <c r="K57">
        <v>14560</v>
      </c>
      <c r="L57">
        <v>213104</v>
      </c>
      <c r="M57">
        <v>30222</v>
      </c>
      <c r="N57" s="6">
        <f>SUM(J57:M57)/Variables!$E$3</f>
        <v>0.20852500811566205</v>
      </c>
      <c r="O57" s="4">
        <v>0</v>
      </c>
      <c r="P57">
        <v>0</v>
      </c>
      <c r="Q57">
        <v>12152</v>
      </c>
      <c r="R57">
        <v>2138</v>
      </c>
      <c r="S57" s="6">
        <f>SUM(O57:R57)/Variables!$E$3</f>
        <v>1.1314420541730338E-2</v>
      </c>
      <c r="T57" s="12">
        <v>0</v>
      </c>
      <c r="U57" s="6">
        <v>0</v>
      </c>
      <c r="V57" s="6">
        <v>57804.5</v>
      </c>
      <c r="W57" s="6">
        <v>6130.3</v>
      </c>
      <c r="X57" s="6">
        <f>SUM(T57:W57)/Variables!$E$3</f>
        <v>5.0621778478056045E-2</v>
      </c>
      <c r="Y57" s="12">
        <v>0</v>
      </c>
      <c r="Z57" s="6">
        <v>0</v>
      </c>
      <c r="AA57" s="6">
        <v>56078.1</v>
      </c>
      <c r="AB57" s="6">
        <v>6279</v>
      </c>
      <c r="AC57" s="6">
        <f>SUM(Y57:AB57)/Variables!$E$3</f>
        <v>4.9372599941408878E-2</v>
      </c>
      <c r="AD57" s="4">
        <v>0</v>
      </c>
      <c r="AE57" s="2">
        <v>0</v>
      </c>
      <c r="AF57" s="2">
        <v>37793.599999999999</v>
      </c>
      <c r="AG57" s="2">
        <v>7428.5</v>
      </c>
      <c r="AH57" s="6">
        <f>SUM(AD57:AG57)/Variables!$E$3</f>
        <v>3.5805588326115009E-2</v>
      </c>
      <c r="AI57" s="4">
        <v>0</v>
      </c>
      <c r="AJ57" s="2">
        <v>0</v>
      </c>
      <c r="AK57" s="2">
        <v>34178.6</v>
      </c>
      <c r="AL57" s="2">
        <v>3037</v>
      </c>
      <c r="AM57" s="6">
        <f>SUM(AI57:AL57)/Variables!$E$3</f>
        <v>2.9466266557929992E-2</v>
      </c>
      <c r="AN57" s="4">
        <v>0</v>
      </c>
      <c r="AO57" s="2">
        <v>0</v>
      </c>
      <c r="AP57" s="2">
        <v>36304.199999999997</v>
      </c>
      <c r="AQ57" s="2">
        <v>7705.6</v>
      </c>
      <c r="AR57" s="6">
        <f>SUM(AN57:AQ57)/Variables!$E$3</f>
        <v>3.4845723244047853E-2</v>
      </c>
      <c r="AS57" s="4">
        <v>0</v>
      </c>
      <c r="AT57" s="2">
        <v>0</v>
      </c>
      <c r="AU57" s="2">
        <v>61542.400000000001</v>
      </c>
      <c r="AV57" s="2">
        <v>12020.5</v>
      </c>
      <c r="AW57" s="6">
        <f>SUM(AS57:AV57)/Variables!$E$3</f>
        <v>5.8245037569576955E-2</v>
      </c>
      <c r="AX57" s="4">
        <v>0</v>
      </c>
      <c r="AY57" s="2">
        <v>0</v>
      </c>
      <c r="AZ57" s="2">
        <v>43045.2</v>
      </c>
      <c r="BA57" s="2">
        <v>9314.7000000000007</v>
      </c>
      <c r="BB57" s="6">
        <f>SUM(AX57:BA57)/Variables!$E$3</f>
        <v>4.1457097839254463E-2</v>
      </c>
      <c r="BC57" s="12">
        <f t="shared" si="15"/>
        <v>0</v>
      </c>
      <c r="BD57" s="110">
        <f t="shared" si="15"/>
        <v>0</v>
      </c>
      <c r="BE57" s="110">
        <f t="shared" si="15"/>
        <v>56078.1</v>
      </c>
      <c r="BF57" s="110">
        <f t="shared" si="15"/>
        <v>6279</v>
      </c>
      <c r="BG57" s="6">
        <f>SUM(BC57:BF57)/Variables!$E$3</f>
        <v>4.9372599941408878E-2</v>
      </c>
      <c r="BH57" s="4">
        <v>0</v>
      </c>
      <c r="BI57">
        <v>0</v>
      </c>
      <c r="BJ57">
        <v>39554.1</v>
      </c>
      <c r="BK57">
        <v>5088.3999999999996</v>
      </c>
      <c r="BL57" s="6">
        <f>SUM(BH57:BK57)/Variables!$E$3</f>
        <v>3.5346677329195005E-2</v>
      </c>
      <c r="BM57" s="110">
        <v>0</v>
      </c>
      <c r="BN57" s="110">
        <v>0</v>
      </c>
      <c r="BO57" s="110">
        <v>44571.7</v>
      </c>
      <c r="BP57" s="110">
        <v>9006.2000000000007</v>
      </c>
      <c r="BQ57" s="6">
        <f>SUM(BM57:BP57)/Variables!$E$3</f>
        <v>4.2421476021187815E-2</v>
      </c>
      <c r="BS57" s="4">
        <v>55</v>
      </c>
      <c r="BT57" s="125">
        <f t="shared" si="1"/>
        <v>0</v>
      </c>
      <c r="BU57" s="125">
        <f t="shared" si="2"/>
        <v>3.0063579284079843E-2</v>
      </c>
      <c r="BV57" s="125">
        <f t="shared" si="3"/>
        <v>0</v>
      </c>
      <c r="BW57" s="125">
        <f t="shared" si="4"/>
        <v>2.1314499718920972E-4</v>
      </c>
      <c r="BX57" s="125">
        <f t="shared" si="5"/>
        <v>1.0989794060127159E-4</v>
      </c>
      <c r="BY57" s="125">
        <f t="shared" si="6"/>
        <v>0</v>
      </c>
      <c r="BZ57" s="125">
        <f t="shared" si="7"/>
        <v>0</v>
      </c>
      <c r="CA57" s="125">
        <f t="shared" si="8"/>
        <v>0</v>
      </c>
      <c r="CB57" s="125">
        <f t="shared" si="9"/>
        <v>1.5273280073476434E-4</v>
      </c>
      <c r="CC57" s="125">
        <f t="shared" si="10"/>
        <v>0</v>
      </c>
      <c r="CD57" s="125">
        <f t="shared" si="11"/>
        <v>1.0989794060127159E-4</v>
      </c>
      <c r="CE57" s="125">
        <f t="shared" si="13"/>
        <v>0</v>
      </c>
      <c r="CF57" s="126">
        <f t="shared" si="14"/>
        <v>0</v>
      </c>
      <c r="CH57" s="4">
        <v>55</v>
      </c>
      <c r="CI57" s="129">
        <v>0</v>
      </c>
      <c r="CJ57" s="125">
        <v>0</v>
      </c>
      <c r="CK57" s="125">
        <v>0</v>
      </c>
      <c r="CL57" s="125">
        <v>0</v>
      </c>
      <c r="CM57" s="125">
        <v>0</v>
      </c>
      <c r="CN57" s="125">
        <v>0</v>
      </c>
      <c r="CO57" s="125">
        <v>0</v>
      </c>
      <c r="CP57" s="125">
        <v>0</v>
      </c>
      <c r="CQ57" s="125">
        <v>0</v>
      </c>
      <c r="CR57" s="125">
        <v>0</v>
      </c>
      <c r="CS57" s="125">
        <v>0</v>
      </c>
      <c r="CT57" s="125">
        <v>0</v>
      </c>
      <c r="CU57" s="126">
        <v>0</v>
      </c>
    </row>
    <row r="58" spans="1:99" x14ac:dyDescent="0.25">
      <c r="A58" t="s">
        <v>198</v>
      </c>
      <c r="B58" s="2" t="s">
        <v>3</v>
      </c>
      <c r="C58" s="1">
        <v>6634</v>
      </c>
      <c r="D58" s="19">
        <v>117.72499999999999</v>
      </c>
      <c r="E58" s="18">
        <v>0</v>
      </c>
      <c r="F58" s="19">
        <v>0</v>
      </c>
      <c r="G58" s="19">
        <v>0</v>
      </c>
      <c r="H58" s="19">
        <v>0</v>
      </c>
      <c r="I58" s="19">
        <f>SUM(E58:H58)/Variables!$E$3</f>
        <v>0</v>
      </c>
      <c r="J58" s="4">
        <v>0</v>
      </c>
      <c r="K58">
        <v>0</v>
      </c>
      <c r="L58">
        <v>37970</v>
      </c>
      <c r="M58">
        <v>0</v>
      </c>
      <c r="N58" s="6">
        <f>SUM(J58:M58)/Variables!$E$3</f>
        <v>3.0063579284079843E-2</v>
      </c>
      <c r="O58" s="4">
        <v>0</v>
      </c>
      <c r="P58">
        <v>0</v>
      </c>
      <c r="Q58">
        <v>0</v>
      </c>
      <c r="R58">
        <v>0</v>
      </c>
      <c r="S58" s="6">
        <f>SUM(O58:R58)/Variables!$E$3</f>
        <v>0</v>
      </c>
      <c r="T58" s="12">
        <v>0</v>
      </c>
      <c r="U58" s="6">
        <v>0</v>
      </c>
      <c r="V58" s="6">
        <v>269.2</v>
      </c>
      <c r="W58" s="6">
        <v>0</v>
      </c>
      <c r="X58" s="6">
        <f>SUM(T58:W58)/Variables!$E$3</f>
        <v>2.1314499718920972E-4</v>
      </c>
      <c r="Y58" s="12">
        <v>0</v>
      </c>
      <c r="Z58" s="6">
        <v>0</v>
      </c>
      <c r="AA58" s="6">
        <v>138.80000000000001</v>
      </c>
      <c r="AB58" s="6">
        <v>0</v>
      </c>
      <c r="AC58" s="6">
        <f>SUM(Y58:AB58)/Variables!$E$3</f>
        <v>1.0989794060127159E-4</v>
      </c>
      <c r="AD58" s="4">
        <v>0</v>
      </c>
      <c r="AE58" s="2">
        <v>0</v>
      </c>
      <c r="AF58" s="2">
        <v>0</v>
      </c>
      <c r="AG58" s="2">
        <v>0</v>
      </c>
      <c r="AH58" s="6">
        <f>SUM(AD58:AG58)/Variables!$E$3</f>
        <v>0</v>
      </c>
      <c r="AI58" s="4">
        <v>0</v>
      </c>
      <c r="AJ58" s="2">
        <v>0</v>
      </c>
      <c r="AK58" s="2">
        <v>0</v>
      </c>
      <c r="AL58" s="2">
        <v>0</v>
      </c>
      <c r="AM58" s="6">
        <f>SUM(AI58:AL58)/Variables!$E$3</f>
        <v>0</v>
      </c>
      <c r="AN58" s="4">
        <v>0</v>
      </c>
      <c r="AO58" s="2">
        <v>0</v>
      </c>
      <c r="AP58" s="2">
        <v>0</v>
      </c>
      <c r="AQ58" s="2">
        <v>0</v>
      </c>
      <c r="AR58" s="6">
        <f>SUM(AN58:AQ58)/Variables!$E$3</f>
        <v>0</v>
      </c>
      <c r="AS58" s="4">
        <v>0</v>
      </c>
      <c r="AT58" s="2">
        <v>0</v>
      </c>
      <c r="AU58" s="2">
        <v>192.9</v>
      </c>
      <c r="AV58" s="2">
        <v>0</v>
      </c>
      <c r="AW58" s="6">
        <f>SUM(AS58:AV58)/Variables!$E$3</f>
        <v>1.5273280073476434E-4</v>
      </c>
      <c r="AX58" s="4">
        <v>0</v>
      </c>
      <c r="AY58" s="2">
        <v>0</v>
      </c>
      <c r="AZ58" s="2">
        <v>0</v>
      </c>
      <c r="BA58" s="2">
        <v>0</v>
      </c>
      <c r="BB58" s="6">
        <f>SUM(AX58:BA58)/Variables!$E$3</f>
        <v>0</v>
      </c>
      <c r="BC58" s="12">
        <f t="shared" si="15"/>
        <v>0</v>
      </c>
      <c r="BD58" s="110">
        <f t="shared" si="15"/>
        <v>0</v>
      </c>
      <c r="BE58" s="110">
        <f t="shared" si="15"/>
        <v>138.80000000000001</v>
      </c>
      <c r="BF58" s="110">
        <f t="shared" si="15"/>
        <v>0</v>
      </c>
      <c r="BG58" s="6">
        <f>SUM(BC58:BF58)/Variables!$E$3</f>
        <v>1.0989794060127159E-4</v>
      </c>
      <c r="BH58" s="4">
        <v>0</v>
      </c>
      <c r="BI58">
        <v>0</v>
      </c>
      <c r="BJ58">
        <v>0</v>
      </c>
      <c r="BK58">
        <v>0</v>
      </c>
      <c r="BL58" s="6">
        <f>SUM(BH58:BK58)/Variables!$E$3</f>
        <v>0</v>
      </c>
      <c r="BM58" s="110">
        <v>0</v>
      </c>
      <c r="BN58" s="110">
        <v>0</v>
      </c>
      <c r="BO58" s="110">
        <v>0</v>
      </c>
      <c r="BP58" s="110">
        <v>0</v>
      </c>
      <c r="BQ58" s="6">
        <f>SUM(BM58:BP58)/Variables!$E$3</f>
        <v>0</v>
      </c>
      <c r="BS58" s="4">
        <v>56</v>
      </c>
      <c r="BT58" s="125">
        <f t="shared" si="1"/>
        <v>0</v>
      </c>
      <c r="BU58" s="125">
        <f t="shared" si="2"/>
        <v>0</v>
      </c>
      <c r="BV58" s="125">
        <f t="shared" si="3"/>
        <v>0</v>
      </c>
      <c r="BW58" s="125">
        <f t="shared" si="4"/>
        <v>0</v>
      </c>
      <c r="BX58" s="125">
        <f t="shared" si="5"/>
        <v>0</v>
      </c>
      <c r="BY58" s="125">
        <f t="shared" si="6"/>
        <v>0</v>
      </c>
      <c r="BZ58" s="125">
        <f t="shared" si="7"/>
        <v>0</v>
      </c>
      <c r="CA58" s="125">
        <f t="shared" si="8"/>
        <v>0</v>
      </c>
      <c r="CB58" s="125">
        <f t="shared" si="9"/>
        <v>0</v>
      </c>
      <c r="CC58" s="125">
        <f t="shared" si="10"/>
        <v>0</v>
      </c>
      <c r="CD58" s="125">
        <f t="shared" si="11"/>
        <v>0</v>
      </c>
      <c r="CE58" s="125">
        <f t="shared" si="13"/>
        <v>0</v>
      </c>
      <c r="CF58" s="126">
        <f t="shared" si="14"/>
        <v>0</v>
      </c>
      <c r="CH58" s="4">
        <v>56</v>
      </c>
      <c r="CI58" s="129">
        <v>0</v>
      </c>
      <c r="CJ58" s="125">
        <v>0</v>
      </c>
      <c r="CK58" s="125">
        <v>0</v>
      </c>
      <c r="CL58" s="125">
        <v>0</v>
      </c>
      <c r="CM58" s="125">
        <v>0</v>
      </c>
      <c r="CN58" s="125">
        <v>0</v>
      </c>
      <c r="CO58" s="125">
        <v>0</v>
      </c>
      <c r="CP58" s="125">
        <v>0</v>
      </c>
      <c r="CQ58" s="125">
        <v>0</v>
      </c>
      <c r="CR58" s="125">
        <v>0</v>
      </c>
      <c r="CS58" s="125">
        <v>0</v>
      </c>
      <c r="CT58" s="125">
        <v>0</v>
      </c>
      <c r="CU58" s="126">
        <v>0</v>
      </c>
    </row>
    <row r="59" spans="1:99" x14ac:dyDescent="0.25">
      <c r="A59" t="s">
        <v>198</v>
      </c>
      <c r="B59" s="2" t="s">
        <v>4</v>
      </c>
      <c r="C59" s="1">
        <v>6726</v>
      </c>
      <c r="D59" s="19">
        <v>25.34</v>
      </c>
      <c r="E59" s="18">
        <v>0</v>
      </c>
      <c r="F59" s="19">
        <v>0</v>
      </c>
      <c r="G59" s="19">
        <v>0</v>
      </c>
      <c r="H59" s="19">
        <v>0</v>
      </c>
      <c r="I59" s="19">
        <f>SUM(E59:H59)/Variables!$E$3</f>
        <v>0</v>
      </c>
      <c r="J59" s="4">
        <v>0</v>
      </c>
      <c r="K59">
        <v>0</v>
      </c>
      <c r="L59">
        <v>0</v>
      </c>
      <c r="M59">
        <v>0</v>
      </c>
      <c r="N59" s="6">
        <f>SUM(J59:M59)/Variables!$E$3</f>
        <v>0</v>
      </c>
      <c r="O59" s="4">
        <v>0</v>
      </c>
      <c r="P59">
        <v>0</v>
      </c>
      <c r="Q59">
        <v>0</v>
      </c>
      <c r="R59">
        <v>0</v>
      </c>
      <c r="S59" s="6">
        <f>SUM(O59:R59)/Variables!$E$3</f>
        <v>0</v>
      </c>
      <c r="T59" s="12">
        <v>0</v>
      </c>
      <c r="U59" s="6">
        <v>0</v>
      </c>
      <c r="V59" s="6">
        <v>0</v>
      </c>
      <c r="W59" s="6">
        <v>0</v>
      </c>
      <c r="X59" s="6">
        <f>SUM(T59:W59)/Variables!$E$3</f>
        <v>0</v>
      </c>
      <c r="Y59" s="12">
        <v>0</v>
      </c>
      <c r="Z59" s="6">
        <v>0</v>
      </c>
      <c r="AA59" s="6">
        <v>0</v>
      </c>
      <c r="AB59" s="6">
        <v>0</v>
      </c>
      <c r="AC59" s="6">
        <f>SUM(Y59:AB59)/Variables!$E$3</f>
        <v>0</v>
      </c>
      <c r="AD59" s="4">
        <v>0</v>
      </c>
      <c r="AE59" s="2">
        <v>0</v>
      </c>
      <c r="AF59" s="2">
        <v>0</v>
      </c>
      <c r="AG59" s="2">
        <v>0</v>
      </c>
      <c r="AH59" s="6">
        <f>SUM(AD59:AG59)/Variables!$E$3</f>
        <v>0</v>
      </c>
      <c r="AI59" s="4">
        <v>0</v>
      </c>
      <c r="AJ59" s="2">
        <v>0</v>
      </c>
      <c r="AK59" s="2">
        <v>0</v>
      </c>
      <c r="AL59" s="2">
        <v>0</v>
      </c>
      <c r="AM59" s="6">
        <f>SUM(AI59:AL59)/Variables!$E$3</f>
        <v>0</v>
      </c>
      <c r="AN59" s="4">
        <v>0</v>
      </c>
      <c r="AO59" s="2">
        <v>0</v>
      </c>
      <c r="AP59" s="2">
        <v>0</v>
      </c>
      <c r="AQ59" s="2">
        <v>0</v>
      </c>
      <c r="AR59" s="6">
        <f>SUM(AN59:AQ59)/Variables!$E$3</f>
        <v>0</v>
      </c>
      <c r="AS59" s="4">
        <v>0</v>
      </c>
      <c r="AT59" s="2">
        <v>0</v>
      </c>
      <c r="AU59" s="2">
        <v>0</v>
      </c>
      <c r="AV59" s="2">
        <v>0</v>
      </c>
      <c r="AW59" s="6">
        <f>SUM(AS59:AV59)/Variables!$E$3</f>
        <v>0</v>
      </c>
      <c r="AX59" s="4">
        <v>0</v>
      </c>
      <c r="AY59" s="2">
        <v>0</v>
      </c>
      <c r="AZ59" s="2">
        <v>0</v>
      </c>
      <c r="BA59" s="2">
        <v>0</v>
      </c>
      <c r="BB59" s="6">
        <f>SUM(AX59:BA59)/Variables!$E$3</f>
        <v>0</v>
      </c>
      <c r="BC59" s="12">
        <f t="shared" si="15"/>
        <v>0</v>
      </c>
      <c r="BD59" s="110">
        <f t="shared" si="15"/>
        <v>0</v>
      </c>
      <c r="BE59" s="110">
        <f t="shared" si="15"/>
        <v>0</v>
      </c>
      <c r="BF59" s="110">
        <f t="shared" si="15"/>
        <v>0</v>
      </c>
      <c r="BG59" s="6">
        <f>SUM(BC59:BF59)/Variables!$E$3</f>
        <v>0</v>
      </c>
      <c r="BH59" s="4">
        <v>0</v>
      </c>
      <c r="BI59">
        <v>0</v>
      </c>
      <c r="BJ59">
        <v>0</v>
      </c>
      <c r="BK59">
        <v>0</v>
      </c>
      <c r="BL59" s="6">
        <f>SUM(BH59:BK59)/Variables!$E$3</f>
        <v>0</v>
      </c>
      <c r="BM59" s="110">
        <v>0</v>
      </c>
      <c r="BN59" s="110">
        <v>0</v>
      </c>
      <c r="BO59" s="110">
        <v>0</v>
      </c>
      <c r="BP59" s="110">
        <v>0</v>
      </c>
      <c r="BQ59" s="6">
        <f>SUM(BM59:BP59)/Variables!$E$3</f>
        <v>0</v>
      </c>
      <c r="BS59" s="4">
        <v>57</v>
      </c>
      <c r="BT59" s="125">
        <f t="shared" si="1"/>
        <v>0</v>
      </c>
      <c r="BU59" s="125">
        <f t="shared" si="2"/>
        <v>0</v>
      </c>
      <c r="BV59" s="125">
        <f t="shared" si="3"/>
        <v>0</v>
      </c>
      <c r="BW59" s="125">
        <f t="shared" si="4"/>
        <v>0</v>
      </c>
      <c r="BX59" s="125">
        <f t="shared" si="5"/>
        <v>0</v>
      </c>
      <c r="BY59" s="125">
        <f t="shared" si="6"/>
        <v>0</v>
      </c>
      <c r="BZ59" s="125">
        <f t="shared" si="7"/>
        <v>0</v>
      </c>
      <c r="CA59" s="125">
        <f t="shared" si="8"/>
        <v>0</v>
      </c>
      <c r="CB59" s="125">
        <f t="shared" si="9"/>
        <v>0</v>
      </c>
      <c r="CC59" s="125">
        <f t="shared" si="10"/>
        <v>0</v>
      </c>
      <c r="CD59" s="125">
        <f t="shared" si="11"/>
        <v>0</v>
      </c>
      <c r="CE59" s="125">
        <f t="shared" si="13"/>
        <v>0</v>
      </c>
      <c r="CF59" s="126">
        <f t="shared" si="14"/>
        <v>0</v>
      </c>
      <c r="CH59" s="4">
        <v>57</v>
      </c>
      <c r="CI59" s="129">
        <v>0</v>
      </c>
      <c r="CJ59" s="125">
        <v>0</v>
      </c>
      <c r="CK59" s="125">
        <v>0</v>
      </c>
      <c r="CL59" s="125">
        <v>0</v>
      </c>
      <c r="CM59" s="125">
        <v>0</v>
      </c>
      <c r="CN59" s="125">
        <v>0</v>
      </c>
      <c r="CO59" s="125">
        <v>0</v>
      </c>
      <c r="CP59" s="125">
        <v>0</v>
      </c>
      <c r="CQ59" s="125">
        <v>0</v>
      </c>
      <c r="CR59" s="125">
        <v>0</v>
      </c>
      <c r="CS59" s="125">
        <v>0</v>
      </c>
      <c r="CT59" s="125">
        <v>0</v>
      </c>
      <c r="CU59" s="126">
        <v>0</v>
      </c>
    </row>
    <row r="60" spans="1:99" x14ac:dyDescent="0.25">
      <c r="A60" t="s">
        <v>198</v>
      </c>
      <c r="B60" s="2" t="s">
        <v>1</v>
      </c>
      <c r="C60" s="1">
        <v>6818</v>
      </c>
      <c r="D60" s="19">
        <v>97.9</v>
      </c>
      <c r="E60" s="18">
        <v>0</v>
      </c>
      <c r="F60" s="19">
        <v>0</v>
      </c>
      <c r="G60" s="19">
        <v>0</v>
      </c>
      <c r="H60" s="19">
        <v>0</v>
      </c>
      <c r="I60" s="19">
        <f>SUM(E60:H60)/Variables!$E$3</f>
        <v>0</v>
      </c>
      <c r="J60" s="4">
        <v>0</v>
      </c>
      <c r="K60">
        <v>0</v>
      </c>
      <c r="L60">
        <v>0</v>
      </c>
      <c r="M60">
        <v>0</v>
      </c>
      <c r="N60" s="6">
        <f>SUM(J60:M60)/Variables!$E$3</f>
        <v>0</v>
      </c>
      <c r="O60" s="4">
        <v>0</v>
      </c>
      <c r="P60">
        <v>0</v>
      </c>
      <c r="Q60">
        <v>0</v>
      </c>
      <c r="R60">
        <v>0</v>
      </c>
      <c r="S60" s="6">
        <f>SUM(O60:R60)/Variables!$E$3</f>
        <v>0</v>
      </c>
      <c r="T60" s="12">
        <v>0</v>
      </c>
      <c r="U60" s="6">
        <v>0</v>
      </c>
      <c r="V60" s="6">
        <v>0</v>
      </c>
      <c r="W60" s="6">
        <v>0</v>
      </c>
      <c r="X60" s="6">
        <f>SUM(T60:W60)/Variables!$E$3</f>
        <v>0</v>
      </c>
      <c r="Y60" s="12">
        <v>0</v>
      </c>
      <c r="Z60" s="6">
        <v>0</v>
      </c>
      <c r="AA60" s="6">
        <v>0</v>
      </c>
      <c r="AB60" s="6">
        <v>0</v>
      </c>
      <c r="AC60" s="6">
        <f>SUM(Y60:AB60)/Variables!$E$3</f>
        <v>0</v>
      </c>
      <c r="AD60" s="4">
        <v>0</v>
      </c>
      <c r="AE60" s="2">
        <v>0</v>
      </c>
      <c r="AF60" s="2">
        <v>0</v>
      </c>
      <c r="AG60" s="2">
        <v>0</v>
      </c>
      <c r="AH60" s="6">
        <f>SUM(AD60:AG60)/Variables!$E$3</f>
        <v>0</v>
      </c>
      <c r="AI60" s="4">
        <v>0</v>
      </c>
      <c r="AJ60" s="2">
        <v>0</v>
      </c>
      <c r="AK60" s="2">
        <v>0</v>
      </c>
      <c r="AL60" s="2">
        <v>0</v>
      </c>
      <c r="AM60" s="6">
        <f>SUM(AI60:AL60)/Variables!$E$3</f>
        <v>0</v>
      </c>
      <c r="AN60" s="4">
        <v>0</v>
      </c>
      <c r="AO60" s="2">
        <v>0</v>
      </c>
      <c r="AP60" s="2">
        <v>0</v>
      </c>
      <c r="AQ60" s="2">
        <v>0</v>
      </c>
      <c r="AR60" s="6">
        <f>SUM(AN60:AQ60)/Variables!$E$3</f>
        <v>0</v>
      </c>
      <c r="AS60" s="4">
        <v>0</v>
      </c>
      <c r="AT60" s="2">
        <v>0</v>
      </c>
      <c r="AU60" s="2">
        <v>0</v>
      </c>
      <c r="AV60" s="2">
        <v>0</v>
      </c>
      <c r="AW60" s="6">
        <f>SUM(AS60:AV60)/Variables!$E$3</f>
        <v>0</v>
      </c>
      <c r="AX60" s="4">
        <v>0</v>
      </c>
      <c r="AY60" s="2">
        <v>0</v>
      </c>
      <c r="AZ60" s="2">
        <v>0</v>
      </c>
      <c r="BA60" s="2">
        <v>0</v>
      </c>
      <c r="BB60" s="6">
        <f>SUM(AX60:BA60)/Variables!$E$3</f>
        <v>0</v>
      </c>
      <c r="BC60" s="12">
        <f t="shared" si="15"/>
        <v>0</v>
      </c>
      <c r="BD60" s="110">
        <f t="shared" si="15"/>
        <v>0</v>
      </c>
      <c r="BE60" s="110">
        <f t="shared" si="15"/>
        <v>0</v>
      </c>
      <c r="BF60" s="110">
        <f t="shared" si="15"/>
        <v>0</v>
      </c>
      <c r="BG60" s="6">
        <f>SUM(BC60:BF60)/Variables!$E$3</f>
        <v>0</v>
      </c>
      <c r="BH60" s="4">
        <v>0</v>
      </c>
      <c r="BI60">
        <v>0</v>
      </c>
      <c r="BJ60">
        <v>0</v>
      </c>
      <c r="BK60">
        <v>0</v>
      </c>
      <c r="BL60" s="6">
        <f>SUM(BH60:BK60)/Variables!$E$3</f>
        <v>0</v>
      </c>
      <c r="BM60" s="110">
        <v>0</v>
      </c>
      <c r="BN60" s="110">
        <v>0</v>
      </c>
      <c r="BO60" s="110">
        <v>0</v>
      </c>
      <c r="BP60" s="110">
        <v>0</v>
      </c>
      <c r="BQ60" s="6">
        <f>SUM(BM60:BP60)/Variables!$E$3</f>
        <v>0</v>
      </c>
      <c r="BS60" s="4">
        <v>58</v>
      </c>
      <c r="BT60" s="125">
        <f t="shared" si="1"/>
        <v>0</v>
      </c>
      <c r="BU60" s="125">
        <f t="shared" si="2"/>
        <v>0</v>
      </c>
      <c r="BV60" s="125">
        <f t="shared" si="3"/>
        <v>0</v>
      </c>
      <c r="BW60" s="125">
        <f t="shared" si="4"/>
        <v>0</v>
      </c>
      <c r="BX60" s="125">
        <f t="shared" si="5"/>
        <v>0</v>
      </c>
      <c r="BY60" s="125">
        <f t="shared" si="6"/>
        <v>0</v>
      </c>
      <c r="BZ60" s="125">
        <f t="shared" si="7"/>
        <v>0</v>
      </c>
      <c r="CA60" s="125">
        <f t="shared" si="8"/>
        <v>0</v>
      </c>
      <c r="CB60" s="125">
        <f t="shared" si="9"/>
        <v>0</v>
      </c>
      <c r="CC60" s="125">
        <f t="shared" si="10"/>
        <v>0</v>
      </c>
      <c r="CD60" s="125">
        <f t="shared" si="11"/>
        <v>0</v>
      </c>
      <c r="CE60" s="125">
        <f t="shared" si="13"/>
        <v>0</v>
      </c>
      <c r="CF60" s="126">
        <f t="shared" si="14"/>
        <v>0</v>
      </c>
      <c r="CH60" s="4">
        <v>58</v>
      </c>
      <c r="CI60" s="129">
        <v>0</v>
      </c>
      <c r="CJ60" s="125">
        <v>0</v>
      </c>
      <c r="CK60" s="125">
        <v>0</v>
      </c>
      <c r="CL60" s="125">
        <v>0</v>
      </c>
      <c r="CM60" s="125">
        <v>0</v>
      </c>
      <c r="CN60" s="125">
        <v>0</v>
      </c>
      <c r="CO60" s="125">
        <v>0</v>
      </c>
      <c r="CP60" s="125">
        <v>0</v>
      </c>
      <c r="CQ60" s="125">
        <v>0</v>
      </c>
      <c r="CR60" s="125">
        <v>0</v>
      </c>
      <c r="CS60" s="125">
        <v>0</v>
      </c>
      <c r="CT60" s="125">
        <v>0</v>
      </c>
      <c r="CU60" s="126">
        <v>0</v>
      </c>
    </row>
    <row r="61" spans="1:99" x14ac:dyDescent="0.25">
      <c r="A61" t="s">
        <v>198</v>
      </c>
      <c r="B61" s="2" t="s">
        <v>2</v>
      </c>
      <c r="C61" s="1">
        <v>6909</v>
      </c>
      <c r="D61" s="19">
        <v>24.88</v>
      </c>
      <c r="E61" s="18">
        <v>0</v>
      </c>
      <c r="F61" s="19">
        <v>0</v>
      </c>
      <c r="G61" s="19">
        <v>0</v>
      </c>
      <c r="H61" s="19">
        <v>0</v>
      </c>
      <c r="I61" s="19">
        <f>SUM(E61:H61)/Variables!$E$3</f>
        <v>0</v>
      </c>
      <c r="J61" s="4">
        <v>0</v>
      </c>
      <c r="K61">
        <v>0</v>
      </c>
      <c r="L61">
        <v>0</v>
      </c>
      <c r="M61">
        <v>0</v>
      </c>
      <c r="N61" s="6">
        <f>SUM(J61:M61)/Variables!$E$3</f>
        <v>0</v>
      </c>
      <c r="O61" s="4">
        <v>0</v>
      </c>
      <c r="P61">
        <v>0</v>
      </c>
      <c r="Q61">
        <v>0</v>
      </c>
      <c r="R61">
        <v>0</v>
      </c>
      <c r="S61" s="6">
        <f>SUM(O61:R61)/Variables!$E$3</f>
        <v>0</v>
      </c>
      <c r="T61" s="12">
        <v>0</v>
      </c>
      <c r="U61" s="6">
        <v>0</v>
      </c>
      <c r="V61" s="6">
        <v>0</v>
      </c>
      <c r="W61" s="6">
        <v>0</v>
      </c>
      <c r="X61" s="6">
        <f>SUM(T61:W61)/Variables!$E$3</f>
        <v>0</v>
      </c>
      <c r="Y61" s="12">
        <v>0</v>
      </c>
      <c r="Z61" s="6">
        <v>0</v>
      </c>
      <c r="AA61" s="6">
        <v>0</v>
      </c>
      <c r="AB61" s="6">
        <v>0</v>
      </c>
      <c r="AC61" s="6">
        <f>SUM(Y61:AB61)/Variables!$E$3</f>
        <v>0</v>
      </c>
      <c r="AD61" s="4">
        <v>0</v>
      </c>
      <c r="AE61" s="2">
        <v>0</v>
      </c>
      <c r="AF61" s="2">
        <v>0</v>
      </c>
      <c r="AG61" s="2">
        <v>0</v>
      </c>
      <c r="AH61" s="6">
        <f>SUM(AD61:AG61)/Variables!$E$3</f>
        <v>0</v>
      </c>
      <c r="AI61" s="4">
        <v>0</v>
      </c>
      <c r="AJ61" s="2">
        <v>0</v>
      </c>
      <c r="AK61" s="2">
        <v>0</v>
      </c>
      <c r="AL61" s="2">
        <v>0</v>
      </c>
      <c r="AM61" s="6">
        <f>SUM(AI61:AL61)/Variables!$E$3</f>
        <v>0</v>
      </c>
      <c r="AN61" s="4">
        <v>0</v>
      </c>
      <c r="AO61" s="2">
        <v>0</v>
      </c>
      <c r="AP61" s="2">
        <v>0</v>
      </c>
      <c r="AQ61" s="2">
        <v>0</v>
      </c>
      <c r="AR61" s="6">
        <f>SUM(AN61:AQ61)/Variables!$E$3</f>
        <v>0</v>
      </c>
      <c r="AS61" s="4">
        <v>0</v>
      </c>
      <c r="AT61" s="2">
        <v>0</v>
      </c>
      <c r="AU61" s="2">
        <v>0</v>
      </c>
      <c r="AV61" s="2">
        <v>0</v>
      </c>
      <c r="AW61" s="6">
        <f>SUM(AS61:AV61)/Variables!$E$3</f>
        <v>0</v>
      </c>
      <c r="AX61" s="4">
        <v>0</v>
      </c>
      <c r="AY61" s="2">
        <v>0</v>
      </c>
      <c r="AZ61" s="2">
        <v>0</v>
      </c>
      <c r="BA61" s="2">
        <v>0</v>
      </c>
      <c r="BB61" s="6">
        <f>SUM(AX61:BA61)/Variables!$E$3</f>
        <v>0</v>
      </c>
      <c r="BC61" s="12">
        <f t="shared" si="15"/>
        <v>0</v>
      </c>
      <c r="BD61" s="110">
        <f t="shared" si="15"/>
        <v>0</v>
      </c>
      <c r="BE61" s="110">
        <f t="shared" si="15"/>
        <v>0</v>
      </c>
      <c r="BF61" s="110">
        <f t="shared" si="15"/>
        <v>0</v>
      </c>
      <c r="BG61" s="6">
        <f>SUM(BC61:BF61)/Variables!$E$3</f>
        <v>0</v>
      </c>
      <c r="BH61" s="4">
        <v>0</v>
      </c>
      <c r="BI61">
        <v>0</v>
      </c>
      <c r="BJ61">
        <v>0</v>
      </c>
      <c r="BK61">
        <v>0</v>
      </c>
      <c r="BL61" s="6">
        <f>SUM(BH61:BK61)/Variables!$E$3</f>
        <v>0</v>
      </c>
      <c r="BM61" s="110">
        <v>0</v>
      </c>
      <c r="BN61" s="110">
        <v>0</v>
      </c>
      <c r="BO61" s="110">
        <v>0</v>
      </c>
      <c r="BP61" s="110">
        <v>0</v>
      </c>
      <c r="BQ61" s="6">
        <f>SUM(BM61:BP61)/Variables!$E$3</f>
        <v>0</v>
      </c>
      <c r="BS61" s="4">
        <v>59</v>
      </c>
      <c r="BT61" s="125">
        <f t="shared" si="1"/>
        <v>0</v>
      </c>
      <c r="BU61" s="125">
        <f t="shared" si="2"/>
        <v>0</v>
      </c>
      <c r="BV61" s="125">
        <f t="shared" si="3"/>
        <v>0</v>
      </c>
      <c r="BW61" s="125">
        <f t="shared" si="4"/>
        <v>0</v>
      </c>
      <c r="BX61" s="125">
        <f t="shared" si="5"/>
        <v>0</v>
      </c>
      <c r="BY61" s="125">
        <f t="shared" si="6"/>
        <v>0</v>
      </c>
      <c r="BZ61" s="125">
        <f t="shared" si="7"/>
        <v>0</v>
      </c>
      <c r="CA61" s="125">
        <f t="shared" si="8"/>
        <v>0</v>
      </c>
      <c r="CB61" s="125">
        <f t="shared" si="9"/>
        <v>0</v>
      </c>
      <c r="CC61" s="125">
        <f t="shared" si="10"/>
        <v>0</v>
      </c>
      <c r="CD61" s="125">
        <f t="shared" si="11"/>
        <v>0</v>
      </c>
      <c r="CE61" s="125">
        <f t="shared" si="13"/>
        <v>0</v>
      </c>
      <c r="CF61" s="126">
        <f t="shared" si="14"/>
        <v>0</v>
      </c>
      <c r="CH61" s="4">
        <v>59</v>
      </c>
      <c r="CI61" s="129">
        <v>0</v>
      </c>
      <c r="CJ61" s="125">
        <v>0</v>
      </c>
      <c r="CK61" s="125">
        <v>0</v>
      </c>
      <c r="CL61" s="125">
        <v>0</v>
      </c>
      <c r="CM61" s="125">
        <v>0</v>
      </c>
      <c r="CN61" s="125">
        <v>0</v>
      </c>
      <c r="CO61" s="125">
        <v>0</v>
      </c>
      <c r="CP61" s="125">
        <v>0</v>
      </c>
      <c r="CQ61" s="125">
        <v>0</v>
      </c>
      <c r="CR61" s="125">
        <v>0</v>
      </c>
      <c r="CS61" s="125">
        <v>0</v>
      </c>
      <c r="CT61" s="125">
        <v>0</v>
      </c>
      <c r="CU61" s="126">
        <v>0</v>
      </c>
    </row>
    <row r="62" spans="1:99" x14ac:dyDescent="0.25">
      <c r="A62" t="s">
        <v>199</v>
      </c>
      <c r="B62" s="2" t="s">
        <v>3</v>
      </c>
      <c r="C62" s="1">
        <v>6999</v>
      </c>
      <c r="D62" s="19">
        <v>60.18</v>
      </c>
      <c r="E62" s="18">
        <v>0</v>
      </c>
      <c r="F62" s="19">
        <v>0</v>
      </c>
      <c r="G62" s="19">
        <v>0</v>
      </c>
      <c r="H62" s="19">
        <v>0</v>
      </c>
      <c r="I62" s="19">
        <f>SUM(E62:H62)/Variables!$E$3</f>
        <v>0</v>
      </c>
      <c r="J62" s="4">
        <v>0</v>
      </c>
      <c r="K62">
        <v>0</v>
      </c>
      <c r="L62">
        <v>0</v>
      </c>
      <c r="M62">
        <v>0</v>
      </c>
      <c r="N62" s="6">
        <f>SUM(J62:M62)/Variables!$E$3</f>
        <v>0</v>
      </c>
      <c r="O62" s="4">
        <v>0</v>
      </c>
      <c r="P62">
        <v>0</v>
      </c>
      <c r="Q62">
        <v>0</v>
      </c>
      <c r="R62">
        <v>0</v>
      </c>
      <c r="S62" s="6">
        <f>SUM(O62:R62)/Variables!$E$3</f>
        <v>0</v>
      </c>
      <c r="T62" s="12">
        <v>0</v>
      </c>
      <c r="U62" s="6">
        <v>0</v>
      </c>
      <c r="V62" s="6">
        <v>0</v>
      </c>
      <c r="W62" s="6">
        <v>0</v>
      </c>
      <c r="X62" s="6">
        <f>SUM(T62:W62)/Variables!$E$3</f>
        <v>0</v>
      </c>
      <c r="Y62" s="12">
        <v>0</v>
      </c>
      <c r="Z62" s="6">
        <v>0</v>
      </c>
      <c r="AA62" s="6">
        <v>0</v>
      </c>
      <c r="AB62" s="6">
        <v>0</v>
      </c>
      <c r="AC62" s="6">
        <f>SUM(Y62:AB62)/Variables!$E$3</f>
        <v>0</v>
      </c>
      <c r="AD62" s="4">
        <v>0</v>
      </c>
      <c r="AE62" s="2">
        <v>0</v>
      </c>
      <c r="AF62" s="2">
        <v>0</v>
      </c>
      <c r="AG62" s="2">
        <v>0</v>
      </c>
      <c r="AH62" s="6">
        <f>SUM(AD62:AG62)/Variables!$E$3</f>
        <v>0</v>
      </c>
      <c r="AI62" s="4">
        <v>0</v>
      </c>
      <c r="AJ62" s="2">
        <v>0</v>
      </c>
      <c r="AK62" s="2">
        <v>0</v>
      </c>
      <c r="AL62" s="2">
        <v>0</v>
      </c>
      <c r="AM62" s="6">
        <f>SUM(AI62:AL62)/Variables!$E$3</f>
        <v>0</v>
      </c>
      <c r="AN62" s="4">
        <v>0</v>
      </c>
      <c r="AO62" s="2">
        <v>0</v>
      </c>
      <c r="AP62" s="2">
        <v>0</v>
      </c>
      <c r="AQ62" s="2">
        <v>0</v>
      </c>
      <c r="AR62" s="6">
        <f>SUM(AN62:AQ62)/Variables!$E$3</f>
        <v>0</v>
      </c>
      <c r="AS62" s="4">
        <v>0</v>
      </c>
      <c r="AT62" s="2">
        <v>0</v>
      </c>
      <c r="AU62" s="2">
        <v>0</v>
      </c>
      <c r="AV62" s="2">
        <v>0</v>
      </c>
      <c r="AW62" s="6">
        <f>SUM(AS62:AV62)/Variables!$E$3</f>
        <v>0</v>
      </c>
      <c r="AX62" s="4">
        <v>0</v>
      </c>
      <c r="AY62" s="2">
        <v>0</v>
      </c>
      <c r="AZ62" s="2">
        <v>0</v>
      </c>
      <c r="BA62" s="2">
        <v>0</v>
      </c>
      <c r="BB62" s="6">
        <f>SUM(AX62:BA62)/Variables!$E$3</f>
        <v>0</v>
      </c>
      <c r="BC62" s="12">
        <f t="shared" si="15"/>
        <v>0</v>
      </c>
      <c r="BD62" s="110">
        <f t="shared" si="15"/>
        <v>0</v>
      </c>
      <c r="BE62" s="110">
        <f t="shared" si="15"/>
        <v>0</v>
      </c>
      <c r="BF62" s="110">
        <f t="shared" si="15"/>
        <v>0</v>
      </c>
      <c r="BG62" s="6">
        <f>SUM(BC62:BF62)/Variables!$E$3</f>
        <v>0</v>
      </c>
      <c r="BH62" s="4">
        <v>0</v>
      </c>
      <c r="BI62">
        <v>0</v>
      </c>
      <c r="BJ62">
        <v>0</v>
      </c>
      <c r="BK62">
        <v>0</v>
      </c>
      <c r="BL62" s="6">
        <f>SUM(BH62:BK62)/Variables!$E$3</f>
        <v>0</v>
      </c>
      <c r="BM62" s="110">
        <v>0</v>
      </c>
      <c r="BN62" s="110">
        <v>0</v>
      </c>
      <c r="BO62" s="110">
        <v>0</v>
      </c>
      <c r="BP62" s="110">
        <v>0</v>
      </c>
      <c r="BQ62" s="6">
        <f>SUM(BM62:BP62)/Variables!$E$3</f>
        <v>0</v>
      </c>
      <c r="BS62" s="4">
        <v>60</v>
      </c>
      <c r="BT62" s="125">
        <f t="shared" si="1"/>
        <v>0</v>
      </c>
      <c r="BU62" s="125">
        <f t="shared" si="2"/>
        <v>0</v>
      </c>
      <c r="BV62" s="125">
        <f t="shared" si="3"/>
        <v>0</v>
      </c>
      <c r="BW62" s="125">
        <f t="shared" si="4"/>
        <v>0</v>
      </c>
      <c r="BX62" s="125">
        <f t="shared" si="5"/>
        <v>0</v>
      </c>
      <c r="BY62" s="125">
        <f t="shared" si="6"/>
        <v>0</v>
      </c>
      <c r="BZ62" s="125">
        <f t="shared" si="7"/>
        <v>0</v>
      </c>
      <c r="CA62" s="125">
        <f t="shared" si="8"/>
        <v>0</v>
      </c>
      <c r="CB62" s="125">
        <f t="shared" si="9"/>
        <v>0</v>
      </c>
      <c r="CC62" s="125">
        <f t="shared" si="10"/>
        <v>0</v>
      </c>
      <c r="CD62" s="125">
        <f t="shared" si="11"/>
        <v>0</v>
      </c>
      <c r="CE62" s="125">
        <f t="shared" si="13"/>
        <v>0</v>
      </c>
      <c r="CF62" s="126">
        <f t="shared" si="14"/>
        <v>0</v>
      </c>
      <c r="CH62" s="4">
        <v>60</v>
      </c>
      <c r="CI62" s="129">
        <v>0</v>
      </c>
      <c r="CJ62" s="125">
        <v>0</v>
      </c>
      <c r="CK62" s="125">
        <v>0</v>
      </c>
      <c r="CL62" s="125">
        <v>0</v>
      </c>
      <c r="CM62" s="125">
        <v>0</v>
      </c>
      <c r="CN62" s="125">
        <v>0</v>
      </c>
      <c r="CO62" s="125">
        <v>0</v>
      </c>
      <c r="CP62" s="125">
        <v>0</v>
      </c>
      <c r="CQ62" s="125">
        <v>0</v>
      </c>
      <c r="CR62" s="125">
        <v>0</v>
      </c>
      <c r="CS62" s="125">
        <v>0</v>
      </c>
      <c r="CT62" s="125">
        <v>0</v>
      </c>
      <c r="CU62" s="126">
        <v>0</v>
      </c>
    </row>
    <row r="63" spans="1:99" x14ac:dyDescent="0.25">
      <c r="A63" t="s">
        <v>199</v>
      </c>
      <c r="B63" s="2" t="s">
        <v>4</v>
      </c>
      <c r="C63" s="1">
        <v>7091</v>
      </c>
      <c r="D63" s="19">
        <v>95.16</v>
      </c>
      <c r="E63" s="18">
        <v>0</v>
      </c>
      <c r="F63" s="19">
        <v>0</v>
      </c>
      <c r="G63" s="19">
        <v>0</v>
      </c>
      <c r="H63" s="19">
        <v>0</v>
      </c>
      <c r="I63" s="19">
        <f>SUM(E63:H63)/Variables!$E$3</f>
        <v>0</v>
      </c>
      <c r="J63" s="4">
        <v>0</v>
      </c>
      <c r="K63">
        <v>0</v>
      </c>
      <c r="L63">
        <v>0</v>
      </c>
      <c r="M63">
        <v>0</v>
      </c>
      <c r="N63" s="6">
        <f>SUM(J63:M63)/Variables!$E$3</f>
        <v>0</v>
      </c>
      <c r="O63" s="4">
        <v>0</v>
      </c>
      <c r="P63">
        <v>0</v>
      </c>
      <c r="Q63">
        <v>0</v>
      </c>
      <c r="R63">
        <v>0</v>
      </c>
      <c r="S63" s="6">
        <f>SUM(O63:R63)/Variables!$E$3</f>
        <v>0</v>
      </c>
      <c r="T63" s="12">
        <v>0</v>
      </c>
      <c r="U63" s="6">
        <v>0</v>
      </c>
      <c r="V63" s="6">
        <v>0</v>
      </c>
      <c r="W63" s="6">
        <v>0</v>
      </c>
      <c r="X63" s="6">
        <f>SUM(T63:W63)/Variables!$E$3</f>
        <v>0</v>
      </c>
      <c r="Y63" s="12">
        <v>0</v>
      </c>
      <c r="Z63" s="6">
        <v>0</v>
      </c>
      <c r="AA63" s="6">
        <v>0</v>
      </c>
      <c r="AB63" s="6">
        <v>0</v>
      </c>
      <c r="AC63" s="6">
        <f>SUM(Y63:AB63)/Variables!$E$3</f>
        <v>0</v>
      </c>
      <c r="AD63" s="4">
        <v>0</v>
      </c>
      <c r="AE63" s="2">
        <v>0</v>
      </c>
      <c r="AF63" s="2">
        <v>0</v>
      </c>
      <c r="AG63" s="2">
        <v>0</v>
      </c>
      <c r="AH63" s="6">
        <f>SUM(AD63:AG63)/Variables!$E$3</f>
        <v>0</v>
      </c>
      <c r="AI63" s="4">
        <v>0</v>
      </c>
      <c r="AJ63" s="2">
        <v>0</v>
      </c>
      <c r="AK63" s="2">
        <v>0</v>
      </c>
      <c r="AL63" s="2">
        <v>0</v>
      </c>
      <c r="AM63" s="6">
        <f>SUM(AI63:AL63)/Variables!$E$3</f>
        <v>0</v>
      </c>
      <c r="AN63" s="4">
        <v>0</v>
      </c>
      <c r="AO63" s="2">
        <v>0</v>
      </c>
      <c r="AP63" s="2">
        <v>0</v>
      </c>
      <c r="AQ63" s="2">
        <v>0</v>
      </c>
      <c r="AR63" s="6">
        <f>SUM(AN63:AQ63)/Variables!$E$3</f>
        <v>0</v>
      </c>
      <c r="AS63" s="4">
        <v>0</v>
      </c>
      <c r="AT63" s="2">
        <v>0</v>
      </c>
      <c r="AU63" s="2">
        <v>0</v>
      </c>
      <c r="AV63" s="2">
        <v>0</v>
      </c>
      <c r="AW63" s="6">
        <f>SUM(AS63:AV63)/Variables!$E$3</f>
        <v>0</v>
      </c>
      <c r="AX63" s="4">
        <v>0</v>
      </c>
      <c r="AY63" s="2">
        <v>0</v>
      </c>
      <c r="AZ63" s="2">
        <v>0</v>
      </c>
      <c r="BA63" s="2">
        <v>0</v>
      </c>
      <c r="BB63" s="6">
        <f>SUM(AX63:BA63)/Variables!$E$3</f>
        <v>0</v>
      </c>
      <c r="BC63" s="12">
        <f t="shared" si="15"/>
        <v>0</v>
      </c>
      <c r="BD63" s="110">
        <f t="shared" si="15"/>
        <v>0</v>
      </c>
      <c r="BE63" s="110">
        <f t="shared" si="15"/>
        <v>0</v>
      </c>
      <c r="BF63" s="110">
        <f t="shared" si="15"/>
        <v>0</v>
      </c>
      <c r="BG63" s="6">
        <f>SUM(BC63:BF63)/Variables!$E$3</f>
        <v>0</v>
      </c>
      <c r="BH63" s="4">
        <v>0</v>
      </c>
      <c r="BI63">
        <v>0</v>
      </c>
      <c r="BJ63">
        <v>0</v>
      </c>
      <c r="BK63">
        <v>0</v>
      </c>
      <c r="BL63" s="6">
        <f>SUM(BH63:BK63)/Variables!$E$3</f>
        <v>0</v>
      </c>
      <c r="BM63" s="110">
        <v>0</v>
      </c>
      <c r="BN63" s="110">
        <v>0</v>
      </c>
      <c r="BO63" s="110">
        <v>0</v>
      </c>
      <c r="BP63" s="110">
        <v>0</v>
      </c>
      <c r="BQ63" s="6">
        <f>SUM(BM63:BP63)/Variables!$E$3</f>
        <v>0</v>
      </c>
      <c r="BS63" s="4">
        <v>61</v>
      </c>
      <c r="BT63" s="125">
        <f t="shared" si="1"/>
        <v>0</v>
      </c>
      <c r="BU63" s="125">
        <f t="shared" si="2"/>
        <v>0</v>
      </c>
      <c r="BV63" s="125">
        <f t="shared" si="3"/>
        <v>0</v>
      </c>
      <c r="BW63" s="125">
        <f t="shared" si="4"/>
        <v>0</v>
      </c>
      <c r="BX63" s="125">
        <f t="shared" si="5"/>
        <v>0</v>
      </c>
      <c r="BY63" s="125">
        <f t="shared" si="6"/>
        <v>0</v>
      </c>
      <c r="BZ63" s="125">
        <f t="shared" si="7"/>
        <v>0</v>
      </c>
      <c r="CA63" s="125">
        <f t="shared" si="8"/>
        <v>0</v>
      </c>
      <c r="CB63" s="125">
        <f t="shared" si="9"/>
        <v>0</v>
      </c>
      <c r="CC63" s="125">
        <f t="shared" si="10"/>
        <v>0</v>
      </c>
      <c r="CD63" s="125">
        <f t="shared" si="11"/>
        <v>0</v>
      </c>
      <c r="CE63" s="125">
        <f t="shared" si="13"/>
        <v>0</v>
      </c>
      <c r="CF63" s="126">
        <f t="shared" si="14"/>
        <v>0</v>
      </c>
      <c r="CH63" s="4">
        <v>61</v>
      </c>
      <c r="CI63" s="129">
        <v>0</v>
      </c>
      <c r="CJ63" s="125">
        <v>0</v>
      </c>
      <c r="CK63" s="125">
        <v>0</v>
      </c>
      <c r="CL63" s="125">
        <v>0</v>
      </c>
      <c r="CM63" s="125">
        <v>0</v>
      </c>
      <c r="CN63" s="125">
        <v>0</v>
      </c>
      <c r="CO63" s="125">
        <v>0</v>
      </c>
      <c r="CP63" s="125">
        <v>0</v>
      </c>
      <c r="CQ63" s="125">
        <v>0</v>
      </c>
      <c r="CR63" s="125">
        <v>0</v>
      </c>
      <c r="CS63" s="125">
        <v>0</v>
      </c>
      <c r="CT63" s="125">
        <v>0</v>
      </c>
      <c r="CU63" s="126">
        <v>0</v>
      </c>
    </row>
    <row r="64" spans="1:99" x14ac:dyDescent="0.25">
      <c r="A64" t="s">
        <v>199</v>
      </c>
      <c r="B64" s="2" t="s">
        <v>1</v>
      </c>
      <c r="C64" s="1">
        <v>7183</v>
      </c>
      <c r="D64" s="19">
        <v>30.26</v>
      </c>
      <c r="E64" s="18">
        <v>0</v>
      </c>
      <c r="F64" s="19">
        <v>0</v>
      </c>
      <c r="G64" s="19">
        <v>0</v>
      </c>
      <c r="H64" s="19">
        <v>0</v>
      </c>
      <c r="I64" s="19">
        <f>SUM(E64:H64)/Variables!$E$3</f>
        <v>0</v>
      </c>
      <c r="J64" s="4">
        <v>0</v>
      </c>
      <c r="K64">
        <v>0</v>
      </c>
      <c r="L64">
        <v>0</v>
      </c>
      <c r="M64">
        <v>0</v>
      </c>
      <c r="N64" s="6">
        <f>SUM(J64:M64)/Variables!$E$3</f>
        <v>0</v>
      </c>
      <c r="O64" s="4">
        <v>0</v>
      </c>
      <c r="P64">
        <v>0</v>
      </c>
      <c r="Q64">
        <v>0</v>
      </c>
      <c r="R64">
        <v>0</v>
      </c>
      <c r="S64" s="6">
        <f>SUM(O64:R64)/Variables!$E$3</f>
        <v>0</v>
      </c>
      <c r="T64" s="12">
        <v>0</v>
      </c>
      <c r="U64" s="6">
        <v>0</v>
      </c>
      <c r="V64" s="6">
        <v>0</v>
      </c>
      <c r="W64" s="6">
        <v>0</v>
      </c>
      <c r="X64" s="6">
        <f>SUM(T64:W64)/Variables!$E$3</f>
        <v>0</v>
      </c>
      <c r="Y64" s="12">
        <v>0</v>
      </c>
      <c r="Z64" s="6">
        <v>0</v>
      </c>
      <c r="AA64" s="6">
        <v>0</v>
      </c>
      <c r="AB64" s="6">
        <v>0</v>
      </c>
      <c r="AC64" s="6">
        <f>SUM(Y64:AB64)/Variables!$E$3</f>
        <v>0</v>
      </c>
      <c r="AD64" s="4">
        <v>0</v>
      </c>
      <c r="AE64" s="2">
        <v>0</v>
      </c>
      <c r="AF64" s="2">
        <v>0</v>
      </c>
      <c r="AG64" s="2">
        <v>0</v>
      </c>
      <c r="AH64" s="6">
        <f>SUM(AD64:AG64)/Variables!$E$3</f>
        <v>0</v>
      </c>
      <c r="AI64" s="4">
        <v>0</v>
      </c>
      <c r="AJ64" s="2">
        <v>0</v>
      </c>
      <c r="AK64" s="2">
        <v>0</v>
      </c>
      <c r="AL64" s="2">
        <v>0</v>
      </c>
      <c r="AM64" s="6">
        <f>SUM(AI64:AL64)/Variables!$E$3</f>
        <v>0</v>
      </c>
      <c r="AN64" s="4">
        <v>0</v>
      </c>
      <c r="AO64" s="2">
        <v>0</v>
      </c>
      <c r="AP64" s="2">
        <v>0</v>
      </c>
      <c r="AQ64" s="2">
        <v>0</v>
      </c>
      <c r="AR64" s="6">
        <f>SUM(AN64:AQ64)/Variables!$E$3</f>
        <v>0</v>
      </c>
      <c r="AS64" s="4">
        <v>0</v>
      </c>
      <c r="AT64" s="2">
        <v>0</v>
      </c>
      <c r="AU64" s="2">
        <v>0</v>
      </c>
      <c r="AV64" s="2">
        <v>0</v>
      </c>
      <c r="AW64" s="6">
        <f>SUM(AS64:AV64)/Variables!$E$3</f>
        <v>0</v>
      </c>
      <c r="AX64" s="4">
        <v>0</v>
      </c>
      <c r="AY64" s="2">
        <v>0</v>
      </c>
      <c r="AZ64" s="2">
        <v>0</v>
      </c>
      <c r="BA64" s="2">
        <v>0</v>
      </c>
      <c r="BB64" s="6">
        <f>SUM(AX64:BA64)/Variables!$E$3</f>
        <v>0</v>
      </c>
      <c r="BC64" s="12">
        <f t="shared" si="15"/>
        <v>0</v>
      </c>
      <c r="BD64" s="110">
        <f t="shared" si="15"/>
        <v>0</v>
      </c>
      <c r="BE64" s="110">
        <f t="shared" si="15"/>
        <v>0</v>
      </c>
      <c r="BF64" s="110">
        <f t="shared" si="15"/>
        <v>0</v>
      </c>
      <c r="BG64" s="6">
        <f>SUM(BC64:BF64)/Variables!$E$3</f>
        <v>0</v>
      </c>
      <c r="BH64" s="4">
        <v>0</v>
      </c>
      <c r="BI64">
        <v>0</v>
      </c>
      <c r="BJ64">
        <v>0</v>
      </c>
      <c r="BK64">
        <v>0</v>
      </c>
      <c r="BL64" s="6">
        <f>SUM(BH64:BK64)/Variables!$E$3</f>
        <v>0</v>
      </c>
      <c r="BM64" s="110">
        <v>0</v>
      </c>
      <c r="BN64" s="110">
        <v>0</v>
      </c>
      <c r="BO64" s="110">
        <v>0</v>
      </c>
      <c r="BP64" s="110">
        <v>0</v>
      </c>
      <c r="BQ64" s="6">
        <f>SUM(BM64:BP64)/Variables!$E$3</f>
        <v>0</v>
      </c>
      <c r="BS64" s="4">
        <v>62</v>
      </c>
      <c r="BT64" s="125">
        <f t="shared" si="1"/>
        <v>0</v>
      </c>
      <c r="BU64" s="125">
        <f t="shared" si="2"/>
        <v>0</v>
      </c>
      <c r="BV64" s="125">
        <f t="shared" si="3"/>
        <v>0</v>
      </c>
      <c r="BW64" s="125">
        <f t="shared" si="4"/>
        <v>0</v>
      </c>
      <c r="BX64" s="125">
        <f t="shared" si="5"/>
        <v>0</v>
      </c>
      <c r="BY64" s="125">
        <f t="shared" si="6"/>
        <v>0</v>
      </c>
      <c r="BZ64" s="125">
        <f t="shared" si="7"/>
        <v>0</v>
      </c>
      <c r="CA64" s="125">
        <f t="shared" si="8"/>
        <v>0</v>
      </c>
      <c r="CB64" s="125">
        <f t="shared" si="9"/>
        <v>0</v>
      </c>
      <c r="CC64" s="125">
        <f t="shared" si="10"/>
        <v>0</v>
      </c>
      <c r="CD64" s="125">
        <f t="shared" si="11"/>
        <v>0</v>
      </c>
      <c r="CE64" s="125">
        <f t="shared" si="13"/>
        <v>0</v>
      </c>
      <c r="CF64" s="126">
        <f t="shared" si="14"/>
        <v>0</v>
      </c>
      <c r="CH64" s="4">
        <v>62</v>
      </c>
      <c r="CI64" s="129">
        <v>0</v>
      </c>
      <c r="CJ64" s="125">
        <v>0</v>
      </c>
      <c r="CK64" s="125">
        <v>0</v>
      </c>
      <c r="CL64" s="125">
        <v>0</v>
      </c>
      <c r="CM64" s="125">
        <v>0</v>
      </c>
      <c r="CN64" s="125">
        <v>0</v>
      </c>
      <c r="CO64" s="125">
        <v>0</v>
      </c>
      <c r="CP64" s="125">
        <v>0</v>
      </c>
      <c r="CQ64" s="125">
        <v>0</v>
      </c>
      <c r="CR64" s="125">
        <v>0</v>
      </c>
      <c r="CS64" s="125">
        <v>0</v>
      </c>
      <c r="CT64" s="125">
        <v>0</v>
      </c>
      <c r="CU64" s="126">
        <v>0</v>
      </c>
    </row>
    <row r="65" spans="1:99" x14ac:dyDescent="0.25">
      <c r="A65" t="s">
        <v>199</v>
      </c>
      <c r="B65" s="2" t="s">
        <v>2</v>
      </c>
      <c r="C65" s="1">
        <v>7274</v>
      </c>
      <c r="D65" s="19">
        <v>4.4400000000000004</v>
      </c>
      <c r="E65" s="18">
        <v>0</v>
      </c>
      <c r="F65" s="19">
        <v>0</v>
      </c>
      <c r="G65" s="19">
        <v>0</v>
      </c>
      <c r="H65" s="19">
        <v>0</v>
      </c>
      <c r="I65" s="19">
        <f>SUM(E65:H65)/Variables!$E$3</f>
        <v>0</v>
      </c>
      <c r="J65" s="4">
        <v>0</v>
      </c>
      <c r="K65">
        <v>0</v>
      </c>
      <c r="L65">
        <v>0</v>
      </c>
      <c r="M65">
        <v>0</v>
      </c>
      <c r="N65" s="6">
        <f>SUM(J65:M65)/Variables!$E$3</f>
        <v>0</v>
      </c>
      <c r="O65" s="4">
        <v>0</v>
      </c>
      <c r="P65">
        <v>0</v>
      </c>
      <c r="Q65">
        <v>0</v>
      </c>
      <c r="R65">
        <v>0</v>
      </c>
      <c r="S65" s="6">
        <f>SUM(O65:R65)/Variables!$E$3</f>
        <v>0</v>
      </c>
      <c r="T65" s="12">
        <v>0</v>
      </c>
      <c r="U65" s="6">
        <v>0</v>
      </c>
      <c r="V65" s="6">
        <v>0</v>
      </c>
      <c r="W65" s="6">
        <v>0</v>
      </c>
      <c r="X65" s="6">
        <f>SUM(T65:W65)/Variables!$E$3</f>
        <v>0</v>
      </c>
      <c r="Y65" s="12">
        <v>0</v>
      </c>
      <c r="Z65" s="6">
        <v>0</v>
      </c>
      <c r="AA65" s="6">
        <v>0</v>
      </c>
      <c r="AB65" s="6">
        <v>0</v>
      </c>
      <c r="AC65" s="6">
        <f>SUM(Y65:AB65)/Variables!$E$3</f>
        <v>0</v>
      </c>
      <c r="AD65" s="4">
        <v>0</v>
      </c>
      <c r="AE65" s="2">
        <v>0</v>
      </c>
      <c r="AF65" s="2">
        <v>0</v>
      </c>
      <c r="AG65" s="2">
        <v>0</v>
      </c>
      <c r="AH65" s="6">
        <f>SUM(AD65:AG65)/Variables!$E$3</f>
        <v>0</v>
      </c>
      <c r="AI65" s="4">
        <v>0</v>
      </c>
      <c r="AJ65" s="2">
        <v>0</v>
      </c>
      <c r="AK65" s="2">
        <v>0</v>
      </c>
      <c r="AL65" s="2">
        <v>0</v>
      </c>
      <c r="AM65" s="6">
        <f>SUM(AI65:AL65)/Variables!$E$3</f>
        <v>0</v>
      </c>
      <c r="AN65" s="4">
        <v>0</v>
      </c>
      <c r="AO65" s="2">
        <v>0</v>
      </c>
      <c r="AP65" s="2">
        <v>0</v>
      </c>
      <c r="AQ65" s="2">
        <v>0</v>
      </c>
      <c r="AR65" s="6">
        <f>SUM(AN65:AQ65)/Variables!$E$3</f>
        <v>0</v>
      </c>
      <c r="AS65" s="4">
        <v>0</v>
      </c>
      <c r="AT65" s="2">
        <v>0</v>
      </c>
      <c r="AU65" s="2">
        <v>0</v>
      </c>
      <c r="AV65" s="2">
        <v>0</v>
      </c>
      <c r="AW65" s="6">
        <f>SUM(AS65:AV65)/Variables!$E$3</f>
        <v>0</v>
      </c>
      <c r="AX65" s="4">
        <v>0</v>
      </c>
      <c r="AY65" s="2">
        <v>0</v>
      </c>
      <c r="AZ65" s="2">
        <v>0</v>
      </c>
      <c r="BA65" s="2">
        <v>0</v>
      </c>
      <c r="BB65" s="6">
        <f>SUM(AX65:BA65)/Variables!$E$3</f>
        <v>0</v>
      </c>
      <c r="BC65" s="12">
        <f t="shared" si="15"/>
        <v>0</v>
      </c>
      <c r="BD65" s="110">
        <f t="shared" si="15"/>
        <v>0</v>
      </c>
      <c r="BE65" s="110">
        <f t="shared" si="15"/>
        <v>0</v>
      </c>
      <c r="BF65" s="110">
        <f t="shared" si="15"/>
        <v>0</v>
      </c>
      <c r="BG65" s="6">
        <f>SUM(BC65:BF65)/Variables!$E$3</f>
        <v>0</v>
      </c>
      <c r="BH65" s="4">
        <v>0</v>
      </c>
      <c r="BI65">
        <v>0</v>
      </c>
      <c r="BJ65">
        <v>0</v>
      </c>
      <c r="BK65">
        <v>0</v>
      </c>
      <c r="BL65" s="6">
        <f>SUM(BH65:BK65)/Variables!$E$3</f>
        <v>0</v>
      </c>
      <c r="BM65" s="110">
        <v>0</v>
      </c>
      <c r="BN65" s="110">
        <v>0</v>
      </c>
      <c r="BO65" s="110">
        <v>0</v>
      </c>
      <c r="BP65" s="110">
        <v>0</v>
      </c>
      <c r="BQ65" s="6">
        <f>SUM(BM65:BP65)/Variables!$E$3</f>
        <v>0</v>
      </c>
      <c r="BS65" s="4">
        <v>63</v>
      </c>
      <c r="BT65" s="125">
        <f t="shared" si="1"/>
        <v>0</v>
      </c>
      <c r="BU65" s="125">
        <f t="shared" si="2"/>
        <v>3.1795184443265581E-2</v>
      </c>
      <c r="BV65" s="125">
        <f t="shared" si="3"/>
        <v>0</v>
      </c>
      <c r="BW65" s="125">
        <f t="shared" si="4"/>
        <v>0</v>
      </c>
      <c r="BX65" s="125">
        <f t="shared" si="5"/>
        <v>0</v>
      </c>
      <c r="BY65" s="125">
        <f t="shared" si="6"/>
        <v>0</v>
      </c>
      <c r="BZ65" s="125">
        <f t="shared" si="7"/>
        <v>0</v>
      </c>
      <c r="CA65" s="125">
        <f t="shared" si="8"/>
        <v>0</v>
      </c>
      <c r="CB65" s="125">
        <f t="shared" si="9"/>
        <v>0</v>
      </c>
      <c r="CC65" s="125">
        <f t="shared" si="10"/>
        <v>0</v>
      </c>
      <c r="CD65" s="125">
        <f t="shared" si="11"/>
        <v>0</v>
      </c>
      <c r="CE65" s="125">
        <f t="shared" si="13"/>
        <v>0</v>
      </c>
      <c r="CF65" s="126">
        <f t="shared" si="14"/>
        <v>0</v>
      </c>
      <c r="CH65" s="4">
        <v>63</v>
      </c>
      <c r="CI65" s="129">
        <v>0</v>
      </c>
      <c r="CJ65" s="125">
        <v>0</v>
      </c>
      <c r="CK65" s="125">
        <v>0</v>
      </c>
      <c r="CL65" s="125">
        <v>0</v>
      </c>
      <c r="CM65" s="125">
        <v>0</v>
      </c>
      <c r="CN65" s="125">
        <v>0</v>
      </c>
      <c r="CO65" s="125">
        <v>0</v>
      </c>
      <c r="CP65" s="125">
        <v>0</v>
      </c>
      <c r="CQ65" s="125">
        <v>0</v>
      </c>
      <c r="CR65" s="125">
        <v>0</v>
      </c>
      <c r="CS65" s="125">
        <v>0</v>
      </c>
      <c r="CT65" s="125">
        <v>0</v>
      </c>
      <c r="CU65" s="126">
        <v>0</v>
      </c>
    </row>
    <row r="66" spans="1:99" x14ac:dyDescent="0.25">
      <c r="A66" t="s">
        <v>200</v>
      </c>
      <c r="B66" s="2" t="s">
        <v>3</v>
      </c>
      <c r="C66" s="1">
        <v>7364</v>
      </c>
      <c r="D66" s="19">
        <v>73.8</v>
      </c>
      <c r="E66" s="18">
        <v>0</v>
      </c>
      <c r="F66" s="19">
        <v>0</v>
      </c>
      <c r="G66" s="19">
        <v>0</v>
      </c>
      <c r="H66" s="19">
        <v>0</v>
      </c>
      <c r="I66" s="19">
        <f>SUM(E66:H66)/Variables!$E$3</f>
        <v>0</v>
      </c>
      <c r="J66" s="4">
        <v>0</v>
      </c>
      <c r="K66">
        <v>0</v>
      </c>
      <c r="L66">
        <v>38362</v>
      </c>
      <c r="M66">
        <v>1795</v>
      </c>
      <c r="N66" s="6">
        <f>SUM(J66:M66)/Variables!$E$3</f>
        <v>3.1795184443265581E-2</v>
      </c>
      <c r="O66" s="4">
        <v>0</v>
      </c>
      <c r="P66">
        <v>0</v>
      </c>
      <c r="Q66">
        <v>0</v>
      </c>
      <c r="R66">
        <v>0</v>
      </c>
      <c r="S66" s="6">
        <f>SUM(O66:R66)/Variables!$E$3</f>
        <v>0</v>
      </c>
      <c r="T66" s="12">
        <v>0</v>
      </c>
      <c r="U66" s="6">
        <v>0</v>
      </c>
      <c r="V66" s="6">
        <v>0</v>
      </c>
      <c r="W66" s="6">
        <v>0</v>
      </c>
      <c r="X66" s="6">
        <f>SUM(T66:W66)/Variables!$E$3</f>
        <v>0</v>
      </c>
      <c r="Y66" s="12">
        <v>0</v>
      </c>
      <c r="Z66" s="6">
        <v>0</v>
      </c>
      <c r="AA66" s="6">
        <v>0</v>
      </c>
      <c r="AB66" s="6">
        <v>0</v>
      </c>
      <c r="AC66" s="6">
        <f>SUM(Y66:AB66)/Variables!$E$3</f>
        <v>0</v>
      </c>
      <c r="AD66" s="4">
        <v>0</v>
      </c>
      <c r="AE66" s="2">
        <v>0</v>
      </c>
      <c r="AF66" s="2">
        <v>0</v>
      </c>
      <c r="AG66" s="2">
        <v>0</v>
      </c>
      <c r="AH66" s="6">
        <f>SUM(AD66:AG66)/Variables!$E$3</f>
        <v>0</v>
      </c>
      <c r="AI66" s="4">
        <v>0</v>
      </c>
      <c r="AJ66" s="2">
        <v>0</v>
      </c>
      <c r="AK66" s="2">
        <v>0</v>
      </c>
      <c r="AL66" s="2">
        <v>0</v>
      </c>
      <c r="AM66" s="6">
        <f>SUM(AI66:AL66)/Variables!$E$3</f>
        <v>0</v>
      </c>
      <c r="AN66" s="4">
        <v>0</v>
      </c>
      <c r="AO66" s="2">
        <v>0</v>
      </c>
      <c r="AP66" s="2">
        <v>0</v>
      </c>
      <c r="AQ66" s="2">
        <v>0</v>
      </c>
      <c r="AR66" s="6">
        <f>SUM(AN66:AQ66)/Variables!$E$3</f>
        <v>0</v>
      </c>
      <c r="AS66" s="4">
        <v>0</v>
      </c>
      <c r="AT66" s="2">
        <v>0</v>
      </c>
      <c r="AU66" s="2">
        <v>0</v>
      </c>
      <c r="AV66" s="2">
        <v>0</v>
      </c>
      <c r="AW66" s="6">
        <f>SUM(AS66:AV66)/Variables!$E$3</f>
        <v>0</v>
      </c>
      <c r="AX66" s="4">
        <v>0</v>
      </c>
      <c r="AY66" s="2">
        <v>0</v>
      </c>
      <c r="AZ66" s="2">
        <v>0</v>
      </c>
      <c r="BA66" s="2">
        <v>0</v>
      </c>
      <c r="BB66" s="6">
        <f>SUM(AX66:BA66)/Variables!$E$3</f>
        <v>0</v>
      </c>
      <c r="BC66" s="12">
        <f t="shared" si="15"/>
        <v>0</v>
      </c>
      <c r="BD66" s="110">
        <f t="shared" si="15"/>
        <v>0</v>
      </c>
      <c r="BE66" s="110">
        <f t="shared" si="15"/>
        <v>0</v>
      </c>
      <c r="BF66" s="110">
        <f t="shared" si="15"/>
        <v>0</v>
      </c>
      <c r="BG66" s="6">
        <f>SUM(BC66:BF66)/Variables!$E$3</f>
        <v>0</v>
      </c>
      <c r="BH66" s="4">
        <v>0</v>
      </c>
      <c r="BI66">
        <v>0</v>
      </c>
      <c r="BJ66">
        <v>0</v>
      </c>
      <c r="BK66">
        <v>0</v>
      </c>
      <c r="BL66" s="6">
        <f>SUM(BH66:BK66)/Variables!$E$3</f>
        <v>0</v>
      </c>
      <c r="BM66" s="110">
        <v>0</v>
      </c>
      <c r="BN66" s="110">
        <v>0</v>
      </c>
      <c r="BO66" s="110">
        <v>0</v>
      </c>
      <c r="BP66" s="110">
        <v>0</v>
      </c>
      <c r="BQ66" s="6">
        <f>SUM(BM66:BP66)/Variables!$E$3</f>
        <v>0</v>
      </c>
      <c r="BS66" s="4">
        <v>64</v>
      </c>
      <c r="BT66" s="125">
        <f t="shared" si="1"/>
        <v>0</v>
      </c>
      <c r="BU66" s="125">
        <f t="shared" si="2"/>
        <v>0</v>
      </c>
      <c r="BV66" s="125">
        <f t="shared" si="3"/>
        <v>0</v>
      </c>
      <c r="BW66" s="125">
        <f t="shared" si="4"/>
        <v>0</v>
      </c>
      <c r="BX66" s="125">
        <f t="shared" si="5"/>
        <v>0</v>
      </c>
      <c r="BY66" s="125">
        <f t="shared" si="6"/>
        <v>0</v>
      </c>
      <c r="BZ66" s="125">
        <f t="shared" si="7"/>
        <v>0</v>
      </c>
      <c r="CA66" s="125">
        <f t="shared" si="8"/>
        <v>0</v>
      </c>
      <c r="CB66" s="125">
        <f t="shared" si="9"/>
        <v>0</v>
      </c>
      <c r="CC66" s="125">
        <f t="shared" si="10"/>
        <v>0</v>
      </c>
      <c r="CD66" s="125">
        <f t="shared" si="11"/>
        <v>0</v>
      </c>
      <c r="CE66" s="125">
        <f t="shared" si="13"/>
        <v>0</v>
      </c>
      <c r="CF66" s="126">
        <f t="shared" si="14"/>
        <v>0</v>
      </c>
      <c r="CH66" s="4">
        <v>64</v>
      </c>
      <c r="CI66" s="129">
        <v>0</v>
      </c>
      <c r="CJ66" s="125">
        <v>0</v>
      </c>
      <c r="CK66" s="125">
        <v>0</v>
      </c>
      <c r="CL66" s="125">
        <v>0</v>
      </c>
      <c r="CM66" s="125">
        <v>0</v>
      </c>
      <c r="CN66" s="125">
        <v>0</v>
      </c>
      <c r="CO66" s="125">
        <v>0</v>
      </c>
      <c r="CP66" s="125">
        <v>0</v>
      </c>
      <c r="CQ66" s="125">
        <v>0</v>
      </c>
      <c r="CR66" s="125">
        <v>0</v>
      </c>
      <c r="CS66" s="125">
        <v>0</v>
      </c>
      <c r="CT66" s="125">
        <v>0</v>
      </c>
      <c r="CU66" s="126">
        <v>0</v>
      </c>
    </row>
    <row r="67" spans="1:99" x14ac:dyDescent="0.25">
      <c r="A67" t="s">
        <v>200</v>
      </c>
      <c r="B67" s="2" t="s">
        <v>4</v>
      </c>
      <c r="C67" s="1">
        <v>7457</v>
      </c>
      <c r="D67" s="19">
        <v>25.68</v>
      </c>
      <c r="E67" s="18">
        <v>0</v>
      </c>
      <c r="F67" s="19">
        <v>0</v>
      </c>
      <c r="G67" s="19">
        <v>0</v>
      </c>
      <c r="H67" s="19">
        <v>0</v>
      </c>
      <c r="I67" s="19">
        <f>SUM(E67:H67)/Variables!$E$3</f>
        <v>0</v>
      </c>
      <c r="J67" s="4">
        <v>0</v>
      </c>
      <c r="K67">
        <v>0</v>
      </c>
      <c r="L67">
        <v>0</v>
      </c>
      <c r="M67">
        <v>0</v>
      </c>
      <c r="N67" s="6">
        <f>SUM(J67:M67)/Variables!$E$3</f>
        <v>0</v>
      </c>
      <c r="O67" s="4">
        <v>0</v>
      </c>
      <c r="P67">
        <v>0</v>
      </c>
      <c r="Q67">
        <v>0</v>
      </c>
      <c r="R67">
        <v>0</v>
      </c>
      <c r="S67" s="6">
        <f>SUM(O67:R67)/Variables!$E$3</f>
        <v>0</v>
      </c>
      <c r="T67" s="12">
        <v>0</v>
      </c>
      <c r="U67" s="6">
        <v>0</v>
      </c>
      <c r="V67" s="6">
        <v>0</v>
      </c>
      <c r="W67" s="6">
        <v>0</v>
      </c>
      <c r="X67" s="6">
        <f>SUM(T67:W67)/Variables!$E$3</f>
        <v>0</v>
      </c>
      <c r="Y67" s="12">
        <v>0</v>
      </c>
      <c r="Z67" s="6">
        <v>0</v>
      </c>
      <c r="AA67" s="6">
        <v>0</v>
      </c>
      <c r="AB67" s="6">
        <v>0</v>
      </c>
      <c r="AC67" s="6">
        <f>SUM(Y67:AB67)/Variables!$E$3</f>
        <v>0</v>
      </c>
      <c r="AD67" s="4">
        <v>0</v>
      </c>
      <c r="AE67" s="2">
        <v>0</v>
      </c>
      <c r="AF67" s="2">
        <v>0</v>
      </c>
      <c r="AG67" s="2">
        <v>0</v>
      </c>
      <c r="AH67" s="6">
        <f>SUM(AD67:AG67)/Variables!$E$3</f>
        <v>0</v>
      </c>
      <c r="AI67" s="4">
        <v>0</v>
      </c>
      <c r="AJ67" s="2">
        <v>0</v>
      </c>
      <c r="AK67" s="2">
        <v>0</v>
      </c>
      <c r="AL67" s="2">
        <v>0</v>
      </c>
      <c r="AM67" s="6">
        <f>SUM(AI67:AL67)/Variables!$E$3</f>
        <v>0</v>
      </c>
      <c r="AN67" s="4">
        <v>0</v>
      </c>
      <c r="AO67" s="2">
        <v>0</v>
      </c>
      <c r="AP67" s="2">
        <v>0</v>
      </c>
      <c r="AQ67" s="2">
        <v>0</v>
      </c>
      <c r="AR67" s="6">
        <f>SUM(AN67:AQ67)/Variables!$E$3</f>
        <v>0</v>
      </c>
      <c r="AS67" s="4">
        <v>0</v>
      </c>
      <c r="AT67" s="2">
        <v>0</v>
      </c>
      <c r="AU67" s="2">
        <v>0</v>
      </c>
      <c r="AV67" s="2">
        <v>0</v>
      </c>
      <c r="AW67" s="6">
        <f>SUM(AS67:AV67)/Variables!$E$3</f>
        <v>0</v>
      </c>
      <c r="AX67" s="4">
        <v>0</v>
      </c>
      <c r="AY67" s="2">
        <v>0</v>
      </c>
      <c r="AZ67" s="2">
        <v>0</v>
      </c>
      <c r="BA67" s="2">
        <v>0</v>
      </c>
      <c r="BB67" s="6">
        <f>SUM(AX67:BA67)/Variables!$E$3</f>
        <v>0</v>
      </c>
      <c r="BC67" s="12">
        <f t="shared" si="15"/>
        <v>0</v>
      </c>
      <c r="BD67" s="110">
        <f t="shared" si="15"/>
        <v>0</v>
      </c>
      <c r="BE67" s="110">
        <f t="shared" si="15"/>
        <v>0</v>
      </c>
      <c r="BF67" s="110">
        <f t="shared" si="15"/>
        <v>0</v>
      </c>
      <c r="BG67" s="6">
        <f>SUM(BC67:BF67)/Variables!$E$3</f>
        <v>0</v>
      </c>
      <c r="BH67" s="4">
        <v>0</v>
      </c>
      <c r="BI67">
        <v>0</v>
      </c>
      <c r="BJ67">
        <v>0</v>
      </c>
      <c r="BK67">
        <v>0</v>
      </c>
      <c r="BL67" s="6">
        <f>SUM(BH67:BK67)/Variables!$E$3</f>
        <v>0</v>
      </c>
      <c r="BM67" s="110">
        <v>0</v>
      </c>
      <c r="BN67" s="110">
        <v>0</v>
      </c>
      <c r="BO67" s="110">
        <v>0</v>
      </c>
      <c r="BP67" s="110">
        <v>0</v>
      </c>
      <c r="BQ67" s="6">
        <f>SUM(BM67:BP67)/Variables!$E$3</f>
        <v>0</v>
      </c>
      <c r="BS67" s="4">
        <v>65</v>
      </c>
      <c r="BT67" s="125">
        <f t="shared" ref="BT67:BT130" si="16">I68</f>
        <v>0</v>
      </c>
      <c r="BU67" s="125">
        <f t="shared" ref="BU67:BU130" si="17">N68</f>
        <v>0.16007806870996602</v>
      </c>
      <c r="BV67" s="125">
        <f t="shared" ref="BV67:BV130" si="18">S68</f>
        <v>6.1283145551429543E-4</v>
      </c>
      <c r="BW67" s="125">
        <f t="shared" ref="BW67:BW130" si="19">X68</f>
        <v>2.7312488618278841E-2</v>
      </c>
      <c r="BX67" s="125">
        <f t="shared" ref="BX67:BX130" si="20">AC68</f>
        <v>2.6298703869389307E-2</v>
      </c>
      <c r="BY67" s="125">
        <f t="shared" ref="BY67:BY130" si="21">AH68</f>
        <v>1.4133999477430544E-2</v>
      </c>
      <c r="BZ67" s="125">
        <f t="shared" ref="BZ67:BZ130" si="22">AM68</f>
        <v>1.266122455443036E-2</v>
      </c>
      <c r="CA67" s="125">
        <f t="shared" ref="CA67:CA130" si="23">AR68</f>
        <v>1.4517217080103565E-2</v>
      </c>
      <c r="CB67" s="125">
        <f t="shared" ref="CB67:CB130" si="24">AW68</f>
        <v>3.0027553662340951E-2</v>
      </c>
      <c r="CC67" s="125">
        <f t="shared" ref="CC67:CC130" si="25">BB68</f>
        <v>1.9038868082882684E-2</v>
      </c>
      <c r="CD67" s="125">
        <f t="shared" ref="CD67:CD130" si="26">BG68</f>
        <v>2.6298703869389307E-2</v>
      </c>
      <c r="CE67" s="125">
        <f t="shared" si="13"/>
        <v>1.6496726023167246E-2</v>
      </c>
      <c r="CF67" s="126">
        <f t="shared" si="14"/>
        <v>1.9622483155052692E-2</v>
      </c>
      <c r="CH67" s="4">
        <v>65</v>
      </c>
      <c r="CI67" s="129">
        <v>0</v>
      </c>
      <c r="CJ67" s="125">
        <v>7.9151853933918714E-2</v>
      </c>
      <c r="CK67" s="125">
        <v>0</v>
      </c>
      <c r="CL67" s="125">
        <v>0</v>
      </c>
      <c r="CM67" s="125">
        <v>0</v>
      </c>
      <c r="CN67" s="125">
        <v>0</v>
      </c>
      <c r="CO67" s="125">
        <v>0</v>
      </c>
      <c r="CP67" s="125">
        <v>0</v>
      </c>
      <c r="CQ67" s="125">
        <v>0</v>
      </c>
      <c r="CR67" s="125">
        <v>0</v>
      </c>
      <c r="CS67" s="125">
        <v>0</v>
      </c>
      <c r="CT67" s="125">
        <v>0</v>
      </c>
      <c r="CU67" s="126">
        <v>0</v>
      </c>
    </row>
    <row r="68" spans="1:99" x14ac:dyDescent="0.25">
      <c r="A68" t="s">
        <v>200</v>
      </c>
      <c r="B68" s="2" t="s">
        <v>1</v>
      </c>
      <c r="C68" s="1">
        <v>7549</v>
      </c>
      <c r="D68" s="19">
        <v>237.995</v>
      </c>
      <c r="E68" s="18">
        <v>0</v>
      </c>
      <c r="F68" s="19">
        <v>0</v>
      </c>
      <c r="G68" s="19">
        <v>0</v>
      </c>
      <c r="H68" s="19">
        <v>0</v>
      </c>
      <c r="I68" s="19">
        <f>SUM(E68:H68)/Variables!$E$3</f>
        <v>0</v>
      </c>
      <c r="J68" s="4">
        <v>0</v>
      </c>
      <c r="K68">
        <v>4981</v>
      </c>
      <c r="L68">
        <v>184761</v>
      </c>
      <c r="M68">
        <v>12435</v>
      </c>
      <c r="N68" s="6">
        <f>SUM(J68:M68)/Variables!$E$3</f>
        <v>0.16007806870996602</v>
      </c>
      <c r="O68" s="4">
        <v>0</v>
      </c>
      <c r="P68">
        <v>0</v>
      </c>
      <c r="Q68">
        <v>774</v>
      </c>
      <c r="R68">
        <v>0</v>
      </c>
      <c r="S68" s="6">
        <f>SUM(O68:R68)/Variables!$E$3</f>
        <v>6.1283145551429543E-4</v>
      </c>
      <c r="T68" s="12">
        <v>0</v>
      </c>
      <c r="U68" s="6">
        <v>0</v>
      </c>
      <c r="V68" s="6">
        <v>34495.199999999997</v>
      </c>
      <c r="W68" s="6">
        <v>0.19999999999981799</v>
      </c>
      <c r="X68" s="6">
        <f>SUM(T68:W68)/Variables!$E$3</f>
        <v>2.7312488618278841E-2</v>
      </c>
      <c r="Y68" s="12">
        <v>0</v>
      </c>
      <c r="Z68" s="6">
        <v>0</v>
      </c>
      <c r="AA68" s="6">
        <v>33198.300000000003</v>
      </c>
      <c r="AB68" s="6">
        <v>16.6999999999998</v>
      </c>
      <c r="AC68" s="6">
        <f>SUM(Y68:AB68)/Variables!$E$3</f>
        <v>2.6298703869389307E-2</v>
      </c>
      <c r="AD68" s="4">
        <v>0</v>
      </c>
      <c r="AE68" s="2">
        <v>0</v>
      </c>
      <c r="AF68" s="2">
        <v>17491.400000000001</v>
      </c>
      <c r="AG68" s="2">
        <v>359.7</v>
      </c>
      <c r="AH68" s="6">
        <f>SUM(AD68:AG68)/Variables!$E$3</f>
        <v>1.4133999477430544E-2</v>
      </c>
      <c r="AI68" s="4">
        <v>0</v>
      </c>
      <c r="AJ68" s="2">
        <v>0</v>
      </c>
      <c r="AK68" s="2">
        <v>15991</v>
      </c>
      <c r="AL68" s="2">
        <v>0</v>
      </c>
      <c r="AM68" s="6">
        <f>SUM(AI68:AL68)/Variables!$E$3</f>
        <v>1.266122455443036E-2</v>
      </c>
      <c r="AN68" s="4">
        <v>0</v>
      </c>
      <c r="AO68" s="2">
        <v>0</v>
      </c>
      <c r="AP68" s="2">
        <v>18076.7</v>
      </c>
      <c r="AQ68" s="2">
        <v>258.400000000001</v>
      </c>
      <c r="AR68" s="6">
        <f>SUM(AN68:AQ68)/Variables!$E$3</f>
        <v>1.4517217080103565E-2</v>
      </c>
      <c r="AS68" s="4">
        <v>0</v>
      </c>
      <c r="AT68" s="2">
        <v>0</v>
      </c>
      <c r="AU68" s="2">
        <v>36252.5</v>
      </c>
      <c r="AV68" s="2">
        <v>1672</v>
      </c>
      <c r="AW68" s="6">
        <f>SUM(AS68:AV68)/Variables!$E$3</f>
        <v>3.0027553662340951E-2</v>
      </c>
      <c r="AX68" s="4">
        <v>0</v>
      </c>
      <c r="AY68" s="2">
        <v>0</v>
      </c>
      <c r="AZ68" s="2">
        <v>23366.2</v>
      </c>
      <c r="BA68" s="2">
        <v>679.7</v>
      </c>
      <c r="BB68" s="6">
        <f>SUM(AX68:BA68)/Variables!$E$3</f>
        <v>1.9038868082882684E-2</v>
      </c>
      <c r="BC68" s="12">
        <f t="shared" si="15"/>
        <v>0</v>
      </c>
      <c r="BD68" s="110">
        <f t="shared" si="15"/>
        <v>0</v>
      </c>
      <c r="BE68" s="110">
        <f t="shared" si="15"/>
        <v>33198.300000000003</v>
      </c>
      <c r="BF68" s="110">
        <f t="shared" si="15"/>
        <v>16.6999999999998</v>
      </c>
      <c r="BG68" s="6">
        <f>SUM(BC68:BF68)/Variables!$E$3</f>
        <v>2.6298703869389307E-2</v>
      </c>
      <c r="BH68" s="4">
        <v>0</v>
      </c>
      <c r="BI68">
        <v>0</v>
      </c>
      <c r="BJ68">
        <v>20835.2</v>
      </c>
      <c r="BK68">
        <v>0</v>
      </c>
      <c r="BL68" s="6">
        <f>SUM(BH68:BK68)/Variables!$E$3</f>
        <v>1.6496726023167246E-2</v>
      </c>
      <c r="BM68" s="110">
        <v>0</v>
      </c>
      <c r="BN68" s="110">
        <v>0</v>
      </c>
      <c r="BO68" s="110">
        <v>24113.200000000001</v>
      </c>
      <c r="BP68" s="110">
        <v>669.79999999999905</v>
      </c>
      <c r="BQ68" s="6">
        <f>SUM(BM68:BP68)/Variables!$E$3</f>
        <v>1.9622483155052692E-2</v>
      </c>
      <c r="BS68" s="4">
        <v>66</v>
      </c>
      <c r="BT68" s="125">
        <f t="shared" si="16"/>
        <v>0</v>
      </c>
      <c r="BU68" s="125">
        <f t="shared" si="17"/>
        <v>0</v>
      </c>
      <c r="BV68" s="125">
        <f t="shared" si="18"/>
        <v>0</v>
      </c>
      <c r="BW68" s="125">
        <f t="shared" si="19"/>
        <v>0</v>
      </c>
      <c r="BX68" s="125">
        <f t="shared" si="20"/>
        <v>0</v>
      </c>
      <c r="BY68" s="125">
        <f t="shared" si="21"/>
        <v>0</v>
      </c>
      <c r="BZ68" s="125">
        <f t="shared" si="22"/>
        <v>0</v>
      </c>
      <c r="CA68" s="125">
        <f t="shared" si="23"/>
        <v>0</v>
      </c>
      <c r="CB68" s="125">
        <f t="shared" si="24"/>
        <v>0</v>
      </c>
      <c r="CC68" s="125">
        <f t="shared" si="25"/>
        <v>0</v>
      </c>
      <c r="CD68" s="125">
        <f t="shared" si="26"/>
        <v>0</v>
      </c>
      <c r="CE68" s="125">
        <f t="shared" ref="CE68:CE131" si="27">BL69</f>
        <v>0</v>
      </c>
      <c r="CF68" s="126">
        <f t="shared" ref="CF68:CF131" si="28">BQ69</f>
        <v>0</v>
      </c>
      <c r="CH68" s="4">
        <v>66</v>
      </c>
      <c r="CI68" s="129">
        <v>0</v>
      </c>
      <c r="CJ68" s="125">
        <v>0</v>
      </c>
      <c r="CK68" s="125">
        <v>0</v>
      </c>
      <c r="CL68" s="125">
        <v>0</v>
      </c>
      <c r="CM68" s="125">
        <v>0</v>
      </c>
      <c r="CN68" s="125">
        <v>0</v>
      </c>
      <c r="CO68" s="125">
        <v>0</v>
      </c>
      <c r="CP68" s="125">
        <v>0</v>
      </c>
      <c r="CQ68" s="125">
        <v>0</v>
      </c>
      <c r="CR68" s="125">
        <v>0</v>
      </c>
      <c r="CS68" s="125">
        <v>0</v>
      </c>
      <c r="CT68" s="125">
        <v>0</v>
      </c>
      <c r="CU68" s="126">
        <v>0</v>
      </c>
    </row>
    <row r="69" spans="1:99" x14ac:dyDescent="0.25">
      <c r="A69" t="s">
        <v>200</v>
      </c>
      <c r="B69" s="2" t="s">
        <v>2</v>
      </c>
      <c r="C69" s="1">
        <v>7640</v>
      </c>
      <c r="D69" s="19">
        <v>70.3</v>
      </c>
      <c r="E69" s="18">
        <v>0</v>
      </c>
      <c r="F69" s="19">
        <v>0</v>
      </c>
      <c r="G69" s="19">
        <v>0</v>
      </c>
      <c r="H69" s="19">
        <v>0</v>
      </c>
      <c r="I69" s="19">
        <f>SUM(E69:H69)/Variables!$E$3</f>
        <v>0</v>
      </c>
      <c r="J69" s="4">
        <v>0</v>
      </c>
      <c r="K69">
        <v>0</v>
      </c>
      <c r="L69">
        <v>0</v>
      </c>
      <c r="M69">
        <v>0</v>
      </c>
      <c r="N69" s="6">
        <f>SUM(J69:M69)/Variables!$E$3</f>
        <v>0</v>
      </c>
      <c r="O69" s="4">
        <v>0</v>
      </c>
      <c r="P69">
        <v>0</v>
      </c>
      <c r="Q69">
        <v>0</v>
      </c>
      <c r="R69">
        <v>0</v>
      </c>
      <c r="S69" s="6">
        <f>SUM(O69:R69)/Variables!$E$3</f>
        <v>0</v>
      </c>
      <c r="T69" s="12">
        <v>0</v>
      </c>
      <c r="U69" s="6">
        <v>0</v>
      </c>
      <c r="V69" s="6">
        <v>0</v>
      </c>
      <c r="W69" s="6">
        <v>0</v>
      </c>
      <c r="X69" s="6">
        <f>SUM(T69:W69)/Variables!$E$3</f>
        <v>0</v>
      </c>
      <c r="Y69" s="12">
        <v>0</v>
      </c>
      <c r="Z69" s="6">
        <v>0</v>
      </c>
      <c r="AA69" s="6">
        <v>0</v>
      </c>
      <c r="AB69" s="6">
        <v>0</v>
      </c>
      <c r="AC69" s="6">
        <f>SUM(Y69:AB69)/Variables!$E$3</f>
        <v>0</v>
      </c>
      <c r="AD69" s="4">
        <v>0</v>
      </c>
      <c r="AE69" s="2">
        <v>0</v>
      </c>
      <c r="AF69" s="2">
        <v>0</v>
      </c>
      <c r="AG69" s="2">
        <v>0</v>
      </c>
      <c r="AH69" s="6">
        <f>SUM(AD69:AG69)/Variables!$E$3</f>
        <v>0</v>
      </c>
      <c r="AI69" s="4">
        <v>0</v>
      </c>
      <c r="AJ69" s="2">
        <v>0</v>
      </c>
      <c r="AK69" s="2">
        <v>0</v>
      </c>
      <c r="AL69" s="2">
        <v>0</v>
      </c>
      <c r="AM69" s="6">
        <f>SUM(AI69:AL69)/Variables!$E$3</f>
        <v>0</v>
      </c>
      <c r="AN69" s="4">
        <v>0</v>
      </c>
      <c r="AO69" s="2">
        <v>0</v>
      </c>
      <c r="AP69" s="2">
        <v>0</v>
      </c>
      <c r="AQ69" s="2">
        <v>0</v>
      </c>
      <c r="AR69" s="6">
        <f>SUM(AN69:AQ69)/Variables!$E$3</f>
        <v>0</v>
      </c>
      <c r="AS69" s="4">
        <v>0</v>
      </c>
      <c r="AT69" s="2">
        <v>0</v>
      </c>
      <c r="AU69" s="2">
        <v>0</v>
      </c>
      <c r="AV69" s="2">
        <v>0</v>
      </c>
      <c r="AW69" s="6">
        <f>SUM(AS69:AV69)/Variables!$E$3</f>
        <v>0</v>
      </c>
      <c r="AX69" s="4">
        <v>0</v>
      </c>
      <c r="AY69" s="2">
        <v>0</v>
      </c>
      <c r="AZ69" s="2">
        <v>0</v>
      </c>
      <c r="BA69" s="2">
        <v>0</v>
      </c>
      <c r="BB69" s="6">
        <f>SUM(AX69:BA69)/Variables!$E$3</f>
        <v>0</v>
      </c>
      <c r="BC69" s="12">
        <f t="shared" ref="BC69:BF132" si="29">Y69</f>
        <v>0</v>
      </c>
      <c r="BD69" s="110">
        <f t="shared" si="29"/>
        <v>0</v>
      </c>
      <c r="BE69" s="110">
        <f t="shared" si="29"/>
        <v>0</v>
      </c>
      <c r="BF69" s="110">
        <f t="shared" si="29"/>
        <v>0</v>
      </c>
      <c r="BG69" s="6">
        <f>SUM(BC69:BF69)/Variables!$E$3</f>
        <v>0</v>
      </c>
      <c r="BH69" s="4">
        <v>0</v>
      </c>
      <c r="BI69">
        <v>0</v>
      </c>
      <c r="BJ69">
        <v>0</v>
      </c>
      <c r="BK69">
        <v>0</v>
      </c>
      <c r="BL69" s="6">
        <f>SUM(BH69:BK69)/Variables!$E$3</f>
        <v>0</v>
      </c>
      <c r="BM69" s="110">
        <v>0</v>
      </c>
      <c r="BN69" s="110">
        <v>0</v>
      </c>
      <c r="BO69" s="110">
        <v>0</v>
      </c>
      <c r="BP69" s="110">
        <v>0</v>
      </c>
      <c r="BQ69" s="6">
        <f>SUM(BM69:BP69)/Variables!$E$3</f>
        <v>0</v>
      </c>
      <c r="BS69" s="4">
        <v>67</v>
      </c>
      <c r="BT69" s="125">
        <f t="shared" si="16"/>
        <v>0</v>
      </c>
      <c r="BU69" s="125">
        <f t="shared" si="17"/>
        <v>0</v>
      </c>
      <c r="BV69" s="125">
        <f t="shared" si="18"/>
        <v>0</v>
      </c>
      <c r="BW69" s="125">
        <f t="shared" si="19"/>
        <v>0</v>
      </c>
      <c r="BX69" s="125">
        <f t="shared" si="20"/>
        <v>0</v>
      </c>
      <c r="BY69" s="125">
        <f t="shared" si="21"/>
        <v>0</v>
      </c>
      <c r="BZ69" s="125">
        <f t="shared" si="22"/>
        <v>0</v>
      </c>
      <c r="CA69" s="125">
        <f t="shared" si="23"/>
        <v>0</v>
      </c>
      <c r="CB69" s="125">
        <f t="shared" si="24"/>
        <v>0</v>
      </c>
      <c r="CC69" s="125">
        <f t="shared" si="25"/>
        <v>0</v>
      </c>
      <c r="CD69" s="125">
        <f t="shared" si="26"/>
        <v>0</v>
      </c>
      <c r="CE69" s="125">
        <f t="shared" si="27"/>
        <v>0</v>
      </c>
      <c r="CF69" s="126">
        <f t="shared" si="28"/>
        <v>0</v>
      </c>
      <c r="CH69" s="4">
        <v>67</v>
      </c>
      <c r="CI69" s="129">
        <v>0</v>
      </c>
      <c r="CJ69" s="125">
        <v>0</v>
      </c>
      <c r="CK69" s="125">
        <v>0</v>
      </c>
      <c r="CL69" s="125">
        <v>0</v>
      </c>
      <c r="CM69" s="125">
        <v>0</v>
      </c>
      <c r="CN69" s="125">
        <v>0</v>
      </c>
      <c r="CO69" s="125">
        <v>0</v>
      </c>
      <c r="CP69" s="125">
        <v>0</v>
      </c>
      <c r="CQ69" s="125">
        <v>0</v>
      </c>
      <c r="CR69" s="125">
        <v>0</v>
      </c>
      <c r="CS69" s="125">
        <v>0</v>
      </c>
      <c r="CT69" s="125">
        <v>0</v>
      </c>
      <c r="CU69" s="126">
        <v>0</v>
      </c>
    </row>
    <row r="70" spans="1:99" x14ac:dyDescent="0.25">
      <c r="A70" t="s">
        <v>201</v>
      </c>
      <c r="B70" s="2" t="s">
        <v>3</v>
      </c>
      <c r="C70" s="1">
        <v>7730</v>
      </c>
      <c r="D70" s="19">
        <v>136.54</v>
      </c>
      <c r="E70" s="18">
        <v>0</v>
      </c>
      <c r="F70" s="19">
        <v>0</v>
      </c>
      <c r="G70" s="19">
        <v>0</v>
      </c>
      <c r="H70" s="19">
        <v>0</v>
      </c>
      <c r="I70" s="19">
        <f>SUM(E70:H70)/Variables!$E$3</f>
        <v>0</v>
      </c>
      <c r="J70" s="4">
        <v>0</v>
      </c>
      <c r="K70">
        <v>0</v>
      </c>
      <c r="L70">
        <v>0</v>
      </c>
      <c r="M70">
        <v>0</v>
      </c>
      <c r="N70" s="6">
        <f>SUM(J70:M70)/Variables!$E$3</f>
        <v>0</v>
      </c>
      <c r="O70" s="4">
        <v>0</v>
      </c>
      <c r="P70">
        <v>0</v>
      </c>
      <c r="Q70">
        <v>0</v>
      </c>
      <c r="R70">
        <v>0</v>
      </c>
      <c r="S70" s="6">
        <f>SUM(O70:R70)/Variables!$E$3</f>
        <v>0</v>
      </c>
      <c r="T70" s="12">
        <v>0</v>
      </c>
      <c r="U70" s="6">
        <v>0</v>
      </c>
      <c r="V70" s="6">
        <v>0</v>
      </c>
      <c r="W70" s="6">
        <v>0</v>
      </c>
      <c r="X70" s="6">
        <f>SUM(T70:W70)/Variables!$E$3</f>
        <v>0</v>
      </c>
      <c r="Y70" s="12">
        <v>0</v>
      </c>
      <c r="Z70" s="6">
        <v>0</v>
      </c>
      <c r="AA70" s="6">
        <v>0</v>
      </c>
      <c r="AB70" s="6">
        <v>0</v>
      </c>
      <c r="AC70" s="6">
        <f>SUM(Y70:AB70)/Variables!$E$3</f>
        <v>0</v>
      </c>
      <c r="AD70" s="4">
        <v>0</v>
      </c>
      <c r="AE70" s="2">
        <v>0</v>
      </c>
      <c r="AF70" s="2">
        <v>0</v>
      </c>
      <c r="AG70" s="2">
        <v>0</v>
      </c>
      <c r="AH70" s="6">
        <f>SUM(AD70:AG70)/Variables!$E$3</f>
        <v>0</v>
      </c>
      <c r="AI70" s="4">
        <v>0</v>
      </c>
      <c r="AJ70" s="2">
        <v>0</v>
      </c>
      <c r="AK70" s="2">
        <v>0</v>
      </c>
      <c r="AL70" s="2">
        <v>0</v>
      </c>
      <c r="AM70" s="6">
        <f>SUM(AI70:AL70)/Variables!$E$3</f>
        <v>0</v>
      </c>
      <c r="AN70" s="4">
        <v>0</v>
      </c>
      <c r="AO70" s="2">
        <v>0</v>
      </c>
      <c r="AP70" s="2">
        <v>0</v>
      </c>
      <c r="AQ70" s="2">
        <v>0</v>
      </c>
      <c r="AR70" s="6">
        <f>SUM(AN70:AQ70)/Variables!$E$3</f>
        <v>0</v>
      </c>
      <c r="AS70" s="4">
        <v>0</v>
      </c>
      <c r="AT70" s="2">
        <v>0</v>
      </c>
      <c r="AU70" s="2">
        <v>0</v>
      </c>
      <c r="AV70" s="2">
        <v>0</v>
      </c>
      <c r="AW70" s="6">
        <f>SUM(AS70:AV70)/Variables!$E$3</f>
        <v>0</v>
      </c>
      <c r="AX70" s="4">
        <v>0</v>
      </c>
      <c r="AY70" s="2">
        <v>0</v>
      </c>
      <c r="AZ70" s="2">
        <v>0</v>
      </c>
      <c r="BA70" s="2">
        <v>0</v>
      </c>
      <c r="BB70" s="6">
        <f>SUM(AX70:BA70)/Variables!$E$3</f>
        <v>0</v>
      </c>
      <c r="BC70" s="12">
        <f t="shared" si="29"/>
        <v>0</v>
      </c>
      <c r="BD70" s="110">
        <f t="shared" si="29"/>
        <v>0</v>
      </c>
      <c r="BE70" s="110">
        <f t="shared" si="29"/>
        <v>0</v>
      </c>
      <c r="BF70" s="110">
        <f t="shared" si="29"/>
        <v>0</v>
      </c>
      <c r="BG70" s="6">
        <f>SUM(BC70:BF70)/Variables!$E$3</f>
        <v>0</v>
      </c>
      <c r="BH70" s="4">
        <v>0</v>
      </c>
      <c r="BI70">
        <v>0</v>
      </c>
      <c r="BJ70">
        <v>0</v>
      </c>
      <c r="BK70">
        <v>0</v>
      </c>
      <c r="BL70" s="6">
        <f>SUM(BH70:BK70)/Variables!$E$3</f>
        <v>0</v>
      </c>
      <c r="BM70" s="110">
        <v>0</v>
      </c>
      <c r="BN70" s="110">
        <v>0</v>
      </c>
      <c r="BO70" s="110">
        <v>0</v>
      </c>
      <c r="BP70" s="110">
        <v>0</v>
      </c>
      <c r="BQ70" s="6">
        <f>SUM(BM70:BP70)/Variables!$E$3</f>
        <v>0</v>
      </c>
      <c r="BS70" s="4">
        <v>68</v>
      </c>
      <c r="BT70" s="125">
        <f t="shared" si="16"/>
        <v>0</v>
      </c>
      <c r="BU70" s="125">
        <f t="shared" si="17"/>
        <v>0</v>
      </c>
      <c r="BV70" s="125">
        <f t="shared" si="18"/>
        <v>0</v>
      </c>
      <c r="BW70" s="125">
        <f t="shared" si="19"/>
        <v>0</v>
      </c>
      <c r="BX70" s="125">
        <f t="shared" si="20"/>
        <v>0</v>
      </c>
      <c r="BY70" s="125">
        <f t="shared" si="21"/>
        <v>0</v>
      </c>
      <c r="BZ70" s="125">
        <f t="shared" si="22"/>
        <v>0</v>
      </c>
      <c r="CA70" s="125">
        <f t="shared" si="23"/>
        <v>0</v>
      </c>
      <c r="CB70" s="125">
        <f t="shared" si="24"/>
        <v>0</v>
      </c>
      <c r="CC70" s="125">
        <f t="shared" si="25"/>
        <v>0</v>
      </c>
      <c r="CD70" s="125">
        <f t="shared" si="26"/>
        <v>0</v>
      </c>
      <c r="CE70" s="125">
        <f t="shared" si="27"/>
        <v>0</v>
      </c>
      <c r="CF70" s="126">
        <f t="shared" si="28"/>
        <v>0</v>
      </c>
      <c r="CH70" s="4">
        <v>68</v>
      </c>
      <c r="CI70" s="129">
        <v>0</v>
      </c>
      <c r="CJ70" s="125">
        <v>0</v>
      </c>
      <c r="CK70" s="125">
        <v>0</v>
      </c>
      <c r="CL70" s="125">
        <v>0</v>
      </c>
      <c r="CM70" s="125">
        <v>0</v>
      </c>
      <c r="CN70" s="125">
        <v>0</v>
      </c>
      <c r="CO70" s="125">
        <v>0</v>
      </c>
      <c r="CP70" s="125">
        <v>0</v>
      </c>
      <c r="CQ70" s="125">
        <v>0</v>
      </c>
      <c r="CR70" s="125">
        <v>0</v>
      </c>
      <c r="CS70" s="125">
        <v>0</v>
      </c>
      <c r="CT70" s="125">
        <v>0</v>
      </c>
      <c r="CU70" s="126">
        <v>0</v>
      </c>
    </row>
    <row r="71" spans="1:99" x14ac:dyDescent="0.25">
      <c r="A71" t="s">
        <v>201</v>
      </c>
      <c r="B71" s="2" t="s">
        <v>4</v>
      </c>
      <c r="C71" s="1">
        <v>7822</v>
      </c>
      <c r="D71" s="19">
        <v>179.24</v>
      </c>
      <c r="E71" s="18">
        <v>0</v>
      </c>
      <c r="F71" s="19">
        <v>0</v>
      </c>
      <c r="G71" s="19">
        <v>0</v>
      </c>
      <c r="H71" s="19">
        <v>0</v>
      </c>
      <c r="I71" s="19">
        <f>SUM(E71:H71)/Variables!$E$3</f>
        <v>0</v>
      </c>
      <c r="J71" s="4">
        <v>0</v>
      </c>
      <c r="K71">
        <v>0</v>
      </c>
      <c r="L71">
        <v>0</v>
      </c>
      <c r="M71">
        <v>0</v>
      </c>
      <c r="N71" s="6">
        <f>SUM(J71:M71)/Variables!$E$3</f>
        <v>0</v>
      </c>
      <c r="O71" s="4">
        <v>0</v>
      </c>
      <c r="P71">
        <v>0</v>
      </c>
      <c r="Q71">
        <v>0</v>
      </c>
      <c r="R71">
        <v>0</v>
      </c>
      <c r="S71" s="6">
        <f>SUM(O71:R71)/Variables!$E$3</f>
        <v>0</v>
      </c>
      <c r="T71" s="12">
        <v>0</v>
      </c>
      <c r="U71" s="6">
        <v>0</v>
      </c>
      <c r="V71" s="6">
        <v>0</v>
      </c>
      <c r="W71" s="6">
        <v>0</v>
      </c>
      <c r="X71" s="6">
        <f>SUM(T71:W71)/Variables!$E$3</f>
        <v>0</v>
      </c>
      <c r="Y71" s="12">
        <v>0</v>
      </c>
      <c r="Z71" s="6">
        <v>0</v>
      </c>
      <c r="AA71" s="6">
        <v>0</v>
      </c>
      <c r="AB71" s="6">
        <v>0</v>
      </c>
      <c r="AC71" s="6">
        <f>SUM(Y71:AB71)/Variables!$E$3</f>
        <v>0</v>
      </c>
      <c r="AD71" s="4">
        <v>0</v>
      </c>
      <c r="AE71" s="2">
        <v>0</v>
      </c>
      <c r="AF71" s="2">
        <v>0</v>
      </c>
      <c r="AG71" s="2">
        <v>0</v>
      </c>
      <c r="AH71" s="6">
        <f>SUM(AD71:AG71)/Variables!$E$3</f>
        <v>0</v>
      </c>
      <c r="AI71" s="4">
        <v>0</v>
      </c>
      <c r="AJ71" s="2">
        <v>0</v>
      </c>
      <c r="AK71" s="2">
        <v>0</v>
      </c>
      <c r="AL71" s="2">
        <v>0</v>
      </c>
      <c r="AM71" s="6">
        <f>SUM(AI71:AL71)/Variables!$E$3</f>
        <v>0</v>
      </c>
      <c r="AN71" s="4">
        <v>0</v>
      </c>
      <c r="AO71" s="2">
        <v>0</v>
      </c>
      <c r="AP71" s="2">
        <v>0</v>
      </c>
      <c r="AQ71" s="2">
        <v>0</v>
      </c>
      <c r="AR71" s="6">
        <f>SUM(AN71:AQ71)/Variables!$E$3</f>
        <v>0</v>
      </c>
      <c r="AS71" s="4">
        <v>0</v>
      </c>
      <c r="AT71" s="2">
        <v>0</v>
      </c>
      <c r="AU71" s="2">
        <v>0</v>
      </c>
      <c r="AV71" s="2">
        <v>0</v>
      </c>
      <c r="AW71" s="6">
        <f>SUM(AS71:AV71)/Variables!$E$3</f>
        <v>0</v>
      </c>
      <c r="AX71" s="4">
        <v>0</v>
      </c>
      <c r="AY71" s="2">
        <v>0</v>
      </c>
      <c r="AZ71" s="2">
        <v>0</v>
      </c>
      <c r="BA71" s="2">
        <v>0</v>
      </c>
      <c r="BB71" s="6">
        <f>SUM(AX71:BA71)/Variables!$E$3</f>
        <v>0</v>
      </c>
      <c r="BC71" s="12">
        <f t="shared" si="29"/>
        <v>0</v>
      </c>
      <c r="BD71" s="110">
        <f t="shared" si="29"/>
        <v>0</v>
      </c>
      <c r="BE71" s="110">
        <f t="shared" si="29"/>
        <v>0</v>
      </c>
      <c r="BF71" s="110">
        <f t="shared" si="29"/>
        <v>0</v>
      </c>
      <c r="BG71" s="6">
        <f>SUM(BC71:BF71)/Variables!$E$3</f>
        <v>0</v>
      </c>
      <c r="BH71" s="4">
        <v>0</v>
      </c>
      <c r="BI71">
        <v>0</v>
      </c>
      <c r="BJ71">
        <v>0</v>
      </c>
      <c r="BK71">
        <v>0</v>
      </c>
      <c r="BL71" s="6">
        <f>SUM(BH71:BK71)/Variables!$E$3</f>
        <v>0</v>
      </c>
      <c r="BM71" s="110">
        <v>0</v>
      </c>
      <c r="BN71" s="110">
        <v>0</v>
      </c>
      <c r="BO71" s="110">
        <v>0</v>
      </c>
      <c r="BP71" s="110">
        <v>0</v>
      </c>
      <c r="BQ71" s="6">
        <f>SUM(BM71:BP71)/Variables!$E$3</f>
        <v>0</v>
      </c>
      <c r="BS71" s="4">
        <v>69</v>
      </c>
      <c r="BT71" s="125">
        <f t="shared" si="16"/>
        <v>0</v>
      </c>
      <c r="BU71" s="125">
        <f t="shared" si="17"/>
        <v>0.5214871059945051</v>
      </c>
      <c r="BV71" s="125">
        <f t="shared" si="18"/>
        <v>7.8044956808842506E-2</v>
      </c>
      <c r="BW71" s="125">
        <f t="shared" si="19"/>
        <v>0.18363835026405592</v>
      </c>
      <c r="BX71" s="125">
        <f t="shared" si="20"/>
        <v>0.18084355378902447</v>
      </c>
      <c r="BY71" s="125">
        <f t="shared" si="21"/>
        <v>0.14747005122764234</v>
      </c>
      <c r="BZ71" s="125">
        <f t="shared" si="22"/>
        <v>0.12804559022636761</v>
      </c>
      <c r="CA71" s="125">
        <f t="shared" si="23"/>
        <v>0.14102289012581257</v>
      </c>
      <c r="CB71" s="125">
        <f t="shared" si="24"/>
        <v>0.20535119042906119</v>
      </c>
      <c r="CC71" s="125">
        <f t="shared" si="25"/>
        <v>0.15624098369741643</v>
      </c>
      <c r="CD71" s="125">
        <f t="shared" si="26"/>
        <v>0.18084355378902447</v>
      </c>
      <c r="CE71" s="125">
        <f t="shared" si="27"/>
        <v>0.147973934868843</v>
      </c>
      <c r="CF71" s="126">
        <f t="shared" si="28"/>
        <v>0.16171157332995514</v>
      </c>
      <c r="CH71" s="4">
        <v>69</v>
      </c>
      <c r="CI71" s="129">
        <v>0</v>
      </c>
      <c r="CJ71" s="125">
        <v>1.5590087807504414</v>
      </c>
      <c r="CK71" s="125">
        <v>0</v>
      </c>
      <c r="CL71" s="125">
        <v>0</v>
      </c>
      <c r="CM71" s="125">
        <v>0</v>
      </c>
      <c r="CN71" s="125">
        <v>0</v>
      </c>
      <c r="CO71" s="125">
        <v>0</v>
      </c>
      <c r="CP71" s="125">
        <v>0</v>
      </c>
      <c r="CQ71" s="125">
        <v>0</v>
      </c>
      <c r="CR71" s="125">
        <v>0</v>
      </c>
      <c r="CS71" s="125">
        <v>0</v>
      </c>
      <c r="CT71" s="125">
        <v>0</v>
      </c>
      <c r="CU71" s="126">
        <v>0</v>
      </c>
    </row>
    <row r="72" spans="1:99" x14ac:dyDescent="0.25">
      <c r="A72" t="s">
        <v>201</v>
      </c>
      <c r="B72" s="2" t="s">
        <v>1</v>
      </c>
      <c r="C72" s="1">
        <v>7914</v>
      </c>
      <c r="D72" s="19">
        <v>193.56</v>
      </c>
      <c r="E72" s="18">
        <v>0</v>
      </c>
      <c r="F72" s="19">
        <v>0</v>
      </c>
      <c r="G72" s="19">
        <v>0</v>
      </c>
      <c r="H72" s="19">
        <v>0</v>
      </c>
      <c r="I72" s="19">
        <f>SUM(E72:H72)/Variables!$E$3</f>
        <v>0</v>
      </c>
      <c r="J72" s="4">
        <v>15842</v>
      </c>
      <c r="K72">
        <v>38832</v>
      </c>
      <c r="L72">
        <v>526267</v>
      </c>
      <c r="M72">
        <v>77692</v>
      </c>
      <c r="N72" s="6">
        <f>SUM(J72:M72)/Variables!$E$3</f>
        <v>0.5214871059945051</v>
      </c>
      <c r="O72" s="4">
        <v>0</v>
      </c>
      <c r="P72">
        <v>0</v>
      </c>
      <c r="Q72">
        <v>80901</v>
      </c>
      <c r="R72">
        <v>17669</v>
      </c>
      <c r="S72" s="6">
        <f>SUM(O72:R72)/Variables!$E$3</f>
        <v>7.8044956808842506E-2</v>
      </c>
      <c r="T72" s="12">
        <v>0</v>
      </c>
      <c r="U72" s="6">
        <v>1116.5999999999999</v>
      </c>
      <c r="V72" s="6">
        <v>200962.8</v>
      </c>
      <c r="W72" s="6">
        <v>29854</v>
      </c>
      <c r="X72" s="6">
        <f>SUM(T72:W72)/Variables!$E$3</f>
        <v>0.18363835026405592</v>
      </c>
      <c r="Y72" s="12">
        <v>0</v>
      </c>
      <c r="Z72" s="6">
        <v>1164.5999999999999</v>
      </c>
      <c r="AA72" s="6">
        <v>197013.3</v>
      </c>
      <c r="AB72" s="6">
        <v>30225.7</v>
      </c>
      <c r="AC72" s="6">
        <f>SUM(Y72:AB72)/Variables!$E$3</f>
        <v>0.18084355378902447</v>
      </c>
      <c r="AD72" s="4">
        <v>2.6000000000003598</v>
      </c>
      <c r="AE72" s="2">
        <v>1821.7</v>
      </c>
      <c r="AF72" s="2">
        <v>155437.5</v>
      </c>
      <c r="AG72" s="2">
        <v>28991.4</v>
      </c>
      <c r="AH72" s="6">
        <f>SUM(AD72:AG72)/Variables!$E$3</f>
        <v>0.14747005122764234</v>
      </c>
      <c r="AI72" s="4">
        <v>0</v>
      </c>
      <c r="AJ72" s="2">
        <v>908.2</v>
      </c>
      <c r="AK72" s="2">
        <v>141715.9</v>
      </c>
      <c r="AL72" s="2">
        <v>19096.2</v>
      </c>
      <c r="AM72" s="6">
        <f>SUM(AI72:AL72)/Variables!$E$3</f>
        <v>0.12804559022636761</v>
      </c>
      <c r="AN72" s="4">
        <v>0</v>
      </c>
      <c r="AO72" s="2">
        <v>1000.1</v>
      </c>
      <c r="AP72" s="2">
        <v>146282</v>
      </c>
      <c r="AQ72" s="2">
        <v>30828.400000000001</v>
      </c>
      <c r="AR72" s="6">
        <f>SUM(AN72:AQ72)/Variables!$E$3</f>
        <v>0.14102289012581257</v>
      </c>
      <c r="AS72" s="4">
        <v>1179.8</v>
      </c>
      <c r="AT72" s="2">
        <v>4667.3999999999996</v>
      </c>
      <c r="AU72" s="2">
        <v>207567.6</v>
      </c>
      <c r="AV72" s="2">
        <v>45941.7</v>
      </c>
      <c r="AW72" s="6">
        <f>SUM(AS72:AV72)/Variables!$E$3</f>
        <v>0.20535119042906119</v>
      </c>
      <c r="AX72" s="4">
        <v>0</v>
      </c>
      <c r="AY72" s="2">
        <v>1260.9000000000001</v>
      </c>
      <c r="AZ72" s="2">
        <v>161672.20000000001</v>
      </c>
      <c r="BA72" s="2">
        <v>34397.699999999997</v>
      </c>
      <c r="BB72" s="6">
        <f>SUM(AX72:BA72)/Variables!$E$3</f>
        <v>0.15624098369741643</v>
      </c>
      <c r="BC72" s="12">
        <f t="shared" si="29"/>
        <v>0</v>
      </c>
      <c r="BD72" s="110">
        <f t="shared" si="29"/>
        <v>1164.5999999999999</v>
      </c>
      <c r="BE72" s="110">
        <f t="shared" si="29"/>
        <v>197013.3</v>
      </c>
      <c r="BF72" s="110">
        <f t="shared" si="29"/>
        <v>30225.7</v>
      </c>
      <c r="BG72" s="6">
        <f>SUM(BC72:BF72)/Variables!$E$3</f>
        <v>0.18084355378902447</v>
      </c>
      <c r="BH72" s="4">
        <v>0</v>
      </c>
      <c r="BI72">
        <v>1433.1</v>
      </c>
      <c r="BJ72">
        <v>157173.70000000001</v>
      </c>
      <c r="BK72">
        <v>28282.799999999999</v>
      </c>
      <c r="BL72" s="6">
        <f>SUM(BH72:BK72)/Variables!$E$3</f>
        <v>0.147973934868843</v>
      </c>
      <c r="BM72" s="110">
        <v>69.5</v>
      </c>
      <c r="BN72" s="110">
        <v>2007.2</v>
      </c>
      <c r="BO72" s="110">
        <v>168145.1</v>
      </c>
      <c r="BP72" s="110">
        <v>34018.300000000003</v>
      </c>
      <c r="BQ72" s="6">
        <f>SUM(BM72:BP72)/Variables!$E$3</f>
        <v>0.16171157332995514</v>
      </c>
      <c r="BS72" s="4">
        <v>70</v>
      </c>
      <c r="BT72" s="125">
        <f t="shared" si="16"/>
        <v>0</v>
      </c>
      <c r="BU72" s="125">
        <f t="shared" si="17"/>
        <v>0</v>
      </c>
      <c r="BV72" s="125">
        <f t="shared" si="18"/>
        <v>0</v>
      </c>
      <c r="BW72" s="125">
        <f t="shared" si="19"/>
        <v>0</v>
      </c>
      <c r="BX72" s="125">
        <f t="shared" si="20"/>
        <v>0</v>
      </c>
      <c r="BY72" s="125">
        <f t="shared" si="21"/>
        <v>0</v>
      </c>
      <c r="BZ72" s="125">
        <f t="shared" si="22"/>
        <v>0</v>
      </c>
      <c r="CA72" s="125">
        <f t="shared" si="23"/>
        <v>0</v>
      </c>
      <c r="CB72" s="125">
        <f t="shared" si="24"/>
        <v>0</v>
      </c>
      <c r="CC72" s="125">
        <f t="shared" si="25"/>
        <v>0</v>
      </c>
      <c r="CD72" s="125">
        <f t="shared" si="26"/>
        <v>0</v>
      </c>
      <c r="CE72" s="125">
        <f t="shared" si="27"/>
        <v>0</v>
      </c>
      <c r="CF72" s="126">
        <f t="shared" si="28"/>
        <v>0</v>
      </c>
      <c r="CH72" s="4">
        <v>70</v>
      </c>
      <c r="CI72" s="129">
        <v>0</v>
      </c>
      <c r="CJ72" s="125">
        <v>0</v>
      </c>
      <c r="CK72" s="125">
        <v>0</v>
      </c>
      <c r="CL72" s="125">
        <v>0</v>
      </c>
      <c r="CM72" s="125">
        <v>0</v>
      </c>
      <c r="CN72" s="125">
        <v>0</v>
      </c>
      <c r="CO72" s="125">
        <v>0</v>
      </c>
      <c r="CP72" s="125">
        <v>0</v>
      </c>
      <c r="CQ72" s="125">
        <v>0</v>
      </c>
      <c r="CR72" s="125">
        <v>0</v>
      </c>
      <c r="CS72" s="125">
        <v>0</v>
      </c>
      <c r="CT72" s="125">
        <v>0</v>
      </c>
      <c r="CU72" s="126">
        <v>0</v>
      </c>
    </row>
    <row r="73" spans="1:99" x14ac:dyDescent="0.25">
      <c r="A73" t="s">
        <v>201</v>
      </c>
      <c r="B73" s="2" t="s">
        <v>2</v>
      </c>
      <c r="C73" s="1">
        <v>8005</v>
      </c>
      <c r="D73" s="19">
        <v>102.88</v>
      </c>
      <c r="E73" s="18">
        <v>0</v>
      </c>
      <c r="F73" s="19">
        <v>0</v>
      </c>
      <c r="G73" s="19">
        <v>0</v>
      </c>
      <c r="H73" s="19">
        <v>0</v>
      </c>
      <c r="I73" s="19">
        <f>SUM(E73:H73)/Variables!$E$3</f>
        <v>0</v>
      </c>
      <c r="J73" s="4">
        <v>0</v>
      </c>
      <c r="K73">
        <v>0</v>
      </c>
      <c r="L73">
        <v>0</v>
      </c>
      <c r="M73">
        <v>0</v>
      </c>
      <c r="N73" s="6">
        <f>SUM(J73:M73)/Variables!$E$3</f>
        <v>0</v>
      </c>
      <c r="O73" s="4">
        <v>0</v>
      </c>
      <c r="P73">
        <v>0</v>
      </c>
      <c r="Q73">
        <v>0</v>
      </c>
      <c r="R73">
        <v>0</v>
      </c>
      <c r="S73" s="6">
        <f>SUM(O73:R73)/Variables!$E$3</f>
        <v>0</v>
      </c>
      <c r="T73" s="12">
        <v>0</v>
      </c>
      <c r="U73" s="6">
        <v>0</v>
      </c>
      <c r="V73" s="6">
        <v>0</v>
      </c>
      <c r="W73" s="6">
        <v>0</v>
      </c>
      <c r="X73" s="6">
        <f>SUM(T73:W73)/Variables!$E$3</f>
        <v>0</v>
      </c>
      <c r="Y73" s="12">
        <v>0</v>
      </c>
      <c r="Z73" s="6">
        <v>0</v>
      </c>
      <c r="AA73" s="6">
        <v>0</v>
      </c>
      <c r="AB73" s="6">
        <v>0</v>
      </c>
      <c r="AC73" s="6">
        <f>SUM(Y73:AB73)/Variables!$E$3</f>
        <v>0</v>
      </c>
      <c r="AD73" s="4">
        <v>0</v>
      </c>
      <c r="AE73" s="2">
        <v>0</v>
      </c>
      <c r="AF73" s="2">
        <v>0</v>
      </c>
      <c r="AG73" s="2">
        <v>0</v>
      </c>
      <c r="AH73" s="6">
        <f>SUM(AD73:AG73)/Variables!$E$3</f>
        <v>0</v>
      </c>
      <c r="AI73" s="4">
        <v>0</v>
      </c>
      <c r="AJ73" s="2">
        <v>0</v>
      </c>
      <c r="AK73" s="2">
        <v>0</v>
      </c>
      <c r="AL73" s="2">
        <v>0</v>
      </c>
      <c r="AM73" s="6">
        <f>SUM(AI73:AL73)/Variables!$E$3</f>
        <v>0</v>
      </c>
      <c r="AN73" s="4">
        <v>0</v>
      </c>
      <c r="AO73" s="2">
        <v>0</v>
      </c>
      <c r="AP73" s="2">
        <v>0</v>
      </c>
      <c r="AQ73" s="2">
        <v>0</v>
      </c>
      <c r="AR73" s="6">
        <f>SUM(AN73:AQ73)/Variables!$E$3</f>
        <v>0</v>
      </c>
      <c r="AS73" s="4">
        <v>0</v>
      </c>
      <c r="AT73" s="2">
        <v>0</v>
      </c>
      <c r="AU73" s="2">
        <v>0</v>
      </c>
      <c r="AV73" s="2">
        <v>0</v>
      </c>
      <c r="AW73" s="6">
        <f>SUM(AS73:AV73)/Variables!$E$3</f>
        <v>0</v>
      </c>
      <c r="AX73" s="4">
        <v>0</v>
      </c>
      <c r="AY73" s="2">
        <v>0</v>
      </c>
      <c r="AZ73" s="2">
        <v>0</v>
      </c>
      <c r="BA73" s="2">
        <v>0</v>
      </c>
      <c r="BB73" s="6">
        <f>SUM(AX73:BA73)/Variables!$E$3</f>
        <v>0</v>
      </c>
      <c r="BC73" s="12">
        <f t="shared" si="29"/>
        <v>0</v>
      </c>
      <c r="BD73" s="110">
        <f t="shared" si="29"/>
        <v>0</v>
      </c>
      <c r="BE73" s="110">
        <f t="shared" si="29"/>
        <v>0</v>
      </c>
      <c r="BF73" s="110">
        <f t="shared" si="29"/>
        <v>0</v>
      </c>
      <c r="BG73" s="6">
        <f>SUM(BC73:BF73)/Variables!$E$3</f>
        <v>0</v>
      </c>
      <c r="BH73" s="4">
        <v>0</v>
      </c>
      <c r="BI73">
        <v>0</v>
      </c>
      <c r="BJ73">
        <v>0</v>
      </c>
      <c r="BK73">
        <v>0</v>
      </c>
      <c r="BL73" s="6">
        <f>SUM(BH73:BK73)/Variables!$E$3</f>
        <v>0</v>
      </c>
      <c r="BM73" s="110">
        <v>0</v>
      </c>
      <c r="BN73" s="110">
        <v>0</v>
      </c>
      <c r="BO73" s="110">
        <v>0</v>
      </c>
      <c r="BP73" s="110">
        <v>0</v>
      </c>
      <c r="BQ73" s="6">
        <f>SUM(BM73:BP73)/Variables!$E$3</f>
        <v>0</v>
      </c>
      <c r="BS73" s="4">
        <v>71</v>
      </c>
      <c r="BT73" s="125">
        <f t="shared" si="16"/>
        <v>0</v>
      </c>
      <c r="BU73" s="125">
        <f t="shared" si="17"/>
        <v>0.60098417247959213</v>
      </c>
      <c r="BV73" s="125">
        <f t="shared" si="18"/>
        <v>0.13874456646529268</v>
      </c>
      <c r="BW73" s="125">
        <f t="shared" si="19"/>
        <v>0.26818937600456061</v>
      </c>
      <c r="BX73" s="125">
        <f t="shared" si="20"/>
        <v>0.26486892216090385</v>
      </c>
      <c r="BY73" s="125">
        <f t="shared" si="21"/>
        <v>0.23301807615262196</v>
      </c>
      <c r="BZ73" s="125">
        <f t="shared" si="22"/>
        <v>0.19015756260936351</v>
      </c>
      <c r="CA73" s="125">
        <f t="shared" si="23"/>
        <v>0.20482751249020181</v>
      </c>
      <c r="CB73" s="125">
        <f t="shared" si="24"/>
        <v>0.28687590558911791</v>
      </c>
      <c r="CC73" s="125">
        <f t="shared" si="25"/>
        <v>0.21935351823846586</v>
      </c>
      <c r="CD73" s="125">
        <f t="shared" si="26"/>
        <v>0.26486892216090385</v>
      </c>
      <c r="CE73" s="125">
        <f t="shared" si="27"/>
        <v>0.21031148306795783</v>
      </c>
      <c r="CF73" s="126">
        <f t="shared" si="28"/>
        <v>0.22774297500376095</v>
      </c>
      <c r="CH73" s="4">
        <v>71</v>
      </c>
      <c r="CI73" s="129">
        <v>0</v>
      </c>
      <c r="CJ73" s="125">
        <v>0.53890212907465618</v>
      </c>
      <c r="CK73" s="125">
        <v>0</v>
      </c>
      <c r="CL73" s="125">
        <v>0.16827116604248646</v>
      </c>
      <c r="CM73" s="125">
        <v>0.16660274428142741</v>
      </c>
      <c r="CN73" s="125">
        <v>0.14791328514081664</v>
      </c>
      <c r="CO73" s="125">
        <v>0.11449251379662546</v>
      </c>
      <c r="CP73" s="125">
        <v>0.11620681873965746</v>
      </c>
      <c r="CQ73" s="125">
        <v>0.17373122510867067</v>
      </c>
      <c r="CR73" s="125">
        <v>0.12102190041092963</v>
      </c>
      <c r="CS73" s="125">
        <v>0.16660274428142741</v>
      </c>
      <c r="CT73" s="125">
        <v>0.11877493091790116</v>
      </c>
      <c r="CU73" s="126">
        <v>0.13444096944552214</v>
      </c>
    </row>
    <row r="74" spans="1:99" x14ac:dyDescent="0.25">
      <c r="A74" t="s">
        <v>202</v>
      </c>
      <c r="B74" s="2" t="s">
        <v>3</v>
      </c>
      <c r="C74" s="1">
        <v>8095</v>
      </c>
      <c r="D74" s="19">
        <v>144.9</v>
      </c>
      <c r="E74" s="18">
        <v>0</v>
      </c>
      <c r="F74" s="19">
        <v>0</v>
      </c>
      <c r="G74" s="19">
        <v>0</v>
      </c>
      <c r="H74" s="19">
        <v>0</v>
      </c>
      <c r="I74" s="19">
        <f>SUM(E74:H74)/Variables!$E$3</f>
        <v>0</v>
      </c>
      <c r="J74" s="4">
        <v>54127</v>
      </c>
      <c r="K74">
        <v>60808</v>
      </c>
      <c r="L74">
        <v>518680</v>
      </c>
      <c r="M74">
        <v>125422</v>
      </c>
      <c r="N74" s="6">
        <f>SUM(J74:M74)/Variables!$E$3</f>
        <v>0.60098417247959213</v>
      </c>
      <c r="O74" s="4">
        <v>0</v>
      </c>
      <c r="P74">
        <v>1175</v>
      </c>
      <c r="Q74">
        <v>135577</v>
      </c>
      <c r="R74">
        <v>38481</v>
      </c>
      <c r="S74" s="6">
        <f>SUM(O74:R74)/Variables!$E$3</f>
        <v>0.13874456646529268</v>
      </c>
      <c r="T74" s="12">
        <v>4752.6000000000004</v>
      </c>
      <c r="U74" s="6">
        <v>12744.2</v>
      </c>
      <c r="V74" s="6">
        <v>257658</v>
      </c>
      <c r="W74" s="6">
        <v>63565.7</v>
      </c>
      <c r="X74" s="6">
        <f>SUM(T74:W74)/Variables!$E$3</f>
        <v>0.26818937600456061</v>
      </c>
      <c r="Y74" s="12">
        <v>4725.8999999999996</v>
      </c>
      <c r="Z74" s="6">
        <v>12704.3</v>
      </c>
      <c r="AA74" s="6">
        <v>253678.1</v>
      </c>
      <c r="AB74" s="6">
        <v>63418.5</v>
      </c>
      <c r="AC74" s="6">
        <f>SUM(Y74:AB74)/Variables!$E$3</f>
        <v>0.26486892216090385</v>
      </c>
      <c r="AD74" s="4">
        <v>6982</v>
      </c>
      <c r="AE74" s="2">
        <v>15379.6</v>
      </c>
      <c r="AF74" s="2">
        <v>220555.3</v>
      </c>
      <c r="AG74" s="2">
        <v>51382.6</v>
      </c>
      <c r="AH74" s="6">
        <f>SUM(AD74:AG74)/Variables!$E$3</f>
        <v>0.23301807615262196</v>
      </c>
      <c r="AI74" s="4">
        <v>1298.2</v>
      </c>
      <c r="AJ74" s="2">
        <v>6606</v>
      </c>
      <c r="AK74" s="2">
        <v>189307.9</v>
      </c>
      <c r="AL74" s="2">
        <v>42955</v>
      </c>
      <c r="AM74" s="6">
        <f>SUM(AI74:AL74)/Variables!$E$3</f>
        <v>0.19015756260936351</v>
      </c>
      <c r="AN74" s="4">
        <v>1652.9</v>
      </c>
      <c r="AO74" s="2">
        <v>7519</v>
      </c>
      <c r="AP74" s="2">
        <v>194268.3</v>
      </c>
      <c r="AQ74" s="2">
        <v>55254.9</v>
      </c>
      <c r="AR74" s="6">
        <f>SUM(AN74:AQ74)/Variables!$E$3</f>
        <v>0.20482751249020181</v>
      </c>
      <c r="AS74" s="4">
        <v>7722.2</v>
      </c>
      <c r="AT74" s="2">
        <v>16247.9</v>
      </c>
      <c r="AU74" s="2">
        <v>260625.9</v>
      </c>
      <c r="AV74" s="2">
        <v>77725.399999999994</v>
      </c>
      <c r="AW74" s="6">
        <f>SUM(AS74:AV74)/Variables!$E$3</f>
        <v>0.28687590558911791</v>
      </c>
      <c r="AX74" s="4">
        <v>2037.6</v>
      </c>
      <c r="AY74" s="2">
        <v>8440.2999999999993</v>
      </c>
      <c r="AZ74" s="2">
        <v>207670.7</v>
      </c>
      <c r="BA74" s="2">
        <v>58892.7</v>
      </c>
      <c r="BB74" s="6">
        <f>SUM(AX74:BA74)/Variables!$E$3</f>
        <v>0.21935351823846586</v>
      </c>
      <c r="BC74" s="12">
        <f t="shared" si="29"/>
        <v>4725.8999999999996</v>
      </c>
      <c r="BD74" s="110">
        <f t="shared" si="29"/>
        <v>12704.3</v>
      </c>
      <c r="BE74" s="110">
        <f t="shared" si="29"/>
        <v>253678.1</v>
      </c>
      <c r="BF74" s="110">
        <f t="shared" si="29"/>
        <v>63418.5</v>
      </c>
      <c r="BG74" s="6">
        <f>SUM(BC74:BF74)/Variables!$E$3</f>
        <v>0.26486892216090385</v>
      </c>
      <c r="BH74" s="4">
        <v>1815.9</v>
      </c>
      <c r="BI74">
        <v>7783.3</v>
      </c>
      <c r="BJ74">
        <v>203468.7</v>
      </c>
      <c r="BK74">
        <v>52553.4</v>
      </c>
      <c r="BL74" s="6">
        <f>SUM(BH74:BK74)/Variables!$E$3</f>
        <v>0.21031148306795783</v>
      </c>
      <c r="BM74" s="110">
        <v>3344.9</v>
      </c>
      <c r="BN74" s="110">
        <v>10527.7</v>
      </c>
      <c r="BO74" s="110">
        <v>215797.2</v>
      </c>
      <c r="BP74" s="110">
        <v>57967.3</v>
      </c>
      <c r="BQ74" s="6">
        <f>SUM(BM74:BP74)/Variables!$E$3</f>
        <v>0.22774297500376095</v>
      </c>
      <c r="BS74" s="4">
        <v>72</v>
      </c>
      <c r="BT74" s="125">
        <f t="shared" si="16"/>
        <v>0</v>
      </c>
      <c r="BU74" s="125">
        <f t="shared" si="17"/>
        <v>0</v>
      </c>
      <c r="BV74" s="125">
        <f t="shared" si="18"/>
        <v>0</v>
      </c>
      <c r="BW74" s="125">
        <f t="shared" si="19"/>
        <v>0</v>
      </c>
      <c r="BX74" s="125">
        <f t="shared" si="20"/>
        <v>0</v>
      </c>
      <c r="BY74" s="125">
        <f t="shared" si="21"/>
        <v>0</v>
      </c>
      <c r="BZ74" s="125">
        <f t="shared" si="22"/>
        <v>0</v>
      </c>
      <c r="CA74" s="125">
        <f t="shared" si="23"/>
        <v>0</v>
      </c>
      <c r="CB74" s="125">
        <f t="shared" si="24"/>
        <v>0</v>
      </c>
      <c r="CC74" s="125">
        <f t="shared" si="25"/>
        <v>0</v>
      </c>
      <c r="CD74" s="125">
        <f t="shared" si="26"/>
        <v>0</v>
      </c>
      <c r="CE74" s="125">
        <f t="shared" si="27"/>
        <v>0</v>
      </c>
      <c r="CF74" s="126">
        <f t="shared" si="28"/>
        <v>0</v>
      </c>
      <c r="CH74" s="4">
        <v>72</v>
      </c>
      <c r="CI74" s="129">
        <v>0</v>
      </c>
      <c r="CJ74" s="125">
        <v>0</v>
      </c>
      <c r="CK74" s="125">
        <v>0</v>
      </c>
      <c r="CL74" s="125">
        <v>0</v>
      </c>
      <c r="CM74" s="125">
        <v>0</v>
      </c>
      <c r="CN74" s="125">
        <v>0</v>
      </c>
      <c r="CO74" s="125">
        <v>0</v>
      </c>
      <c r="CP74" s="125">
        <v>0</v>
      </c>
      <c r="CQ74" s="125">
        <v>0</v>
      </c>
      <c r="CR74" s="125">
        <v>0</v>
      </c>
      <c r="CS74" s="125">
        <v>0</v>
      </c>
      <c r="CT74" s="125">
        <v>0</v>
      </c>
      <c r="CU74" s="126">
        <v>0</v>
      </c>
    </row>
    <row r="75" spans="1:99" x14ac:dyDescent="0.25">
      <c r="A75" t="s">
        <v>202</v>
      </c>
      <c r="B75" s="2" t="s">
        <v>4</v>
      </c>
      <c r="C75" s="1">
        <v>8187</v>
      </c>
      <c r="D75" s="19">
        <v>0.56000000000000005</v>
      </c>
      <c r="E75" s="18">
        <v>0</v>
      </c>
      <c r="F75" s="19">
        <v>0</v>
      </c>
      <c r="G75" s="19">
        <v>0</v>
      </c>
      <c r="H75" s="19">
        <v>0</v>
      </c>
      <c r="I75" s="19">
        <f>SUM(E75:H75)/Variables!$E$3</f>
        <v>0</v>
      </c>
      <c r="J75" s="4">
        <v>0</v>
      </c>
      <c r="K75">
        <v>0</v>
      </c>
      <c r="L75">
        <v>0</v>
      </c>
      <c r="M75">
        <v>0</v>
      </c>
      <c r="N75" s="6">
        <f>SUM(J75:M75)/Variables!$E$3</f>
        <v>0</v>
      </c>
      <c r="O75" s="4">
        <v>0</v>
      </c>
      <c r="P75">
        <v>0</v>
      </c>
      <c r="Q75">
        <v>0</v>
      </c>
      <c r="R75">
        <v>0</v>
      </c>
      <c r="S75" s="6">
        <f>SUM(O75:R75)/Variables!$E$3</f>
        <v>0</v>
      </c>
      <c r="T75" s="12">
        <v>0</v>
      </c>
      <c r="U75" s="6">
        <v>0</v>
      </c>
      <c r="V75" s="6">
        <v>0</v>
      </c>
      <c r="W75" s="6">
        <v>0</v>
      </c>
      <c r="X75" s="6">
        <f>SUM(T75:W75)/Variables!$E$3</f>
        <v>0</v>
      </c>
      <c r="Y75" s="12">
        <v>0</v>
      </c>
      <c r="Z75" s="6">
        <v>0</v>
      </c>
      <c r="AA75" s="6">
        <v>0</v>
      </c>
      <c r="AB75" s="6">
        <v>0</v>
      </c>
      <c r="AC75" s="6">
        <f>SUM(Y75:AB75)/Variables!$E$3</f>
        <v>0</v>
      </c>
      <c r="AD75" s="4">
        <v>0</v>
      </c>
      <c r="AE75" s="2">
        <v>0</v>
      </c>
      <c r="AF75" s="2">
        <v>0</v>
      </c>
      <c r="AG75" s="2">
        <v>0</v>
      </c>
      <c r="AH75" s="6">
        <f>SUM(AD75:AG75)/Variables!$E$3</f>
        <v>0</v>
      </c>
      <c r="AI75" s="4">
        <v>0</v>
      </c>
      <c r="AJ75" s="2">
        <v>0</v>
      </c>
      <c r="AK75" s="2">
        <v>0</v>
      </c>
      <c r="AL75" s="2">
        <v>0</v>
      </c>
      <c r="AM75" s="6">
        <f>SUM(AI75:AL75)/Variables!$E$3</f>
        <v>0</v>
      </c>
      <c r="AN75" s="4">
        <v>0</v>
      </c>
      <c r="AO75" s="2">
        <v>0</v>
      </c>
      <c r="AP75" s="2">
        <v>0</v>
      </c>
      <c r="AQ75" s="2">
        <v>0</v>
      </c>
      <c r="AR75" s="6">
        <f>SUM(AN75:AQ75)/Variables!$E$3</f>
        <v>0</v>
      </c>
      <c r="AS75" s="4">
        <v>0</v>
      </c>
      <c r="AT75" s="2">
        <v>0</v>
      </c>
      <c r="AU75" s="2">
        <v>0</v>
      </c>
      <c r="AV75" s="2">
        <v>0</v>
      </c>
      <c r="AW75" s="6">
        <f>SUM(AS75:AV75)/Variables!$E$3</f>
        <v>0</v>
      </c>
      <c r="AX75" s="4">
        <v>0</v>
      </c>
      <c r="AY75" s="2">
        <v>0</v>
      </c>
      <c r="AZ75" s="2">
        <v>0</v>
      </c>
      <c r="BA75" s="2">
        <v>0</v>
      </c>
      <c r="BB75" s="6">
        <f>SUM(AX75:BA75)/Variables!$E$3</f>
        <v>0</v>
      </c>
      <c r="BC75" s="12">
        <f t="shared" si="29"/>
        <v>0</v>
      </c>
      <c r="BD75" s="110">
        <f t="shared" si="29"/>
        <v>0</v>
      </c>
      <c r="BE75" s="110">
        <f t="shared" si="29"/>
        <v>0</v>
      </c>
      <c r="BF75" s="110">
        <f t="shared" si="29"/>
        <v>0</v>
      </c>
      <c r="BG75" s="6">
        <f>SUM(BC75:BF75)/Variables!$E$3</f>
        <v>0</v>
      </c>
      <c r="BH75" s="4">
        <v>0</v>
      </c>
      <c r="BI75">
        <v>0</v>
      </c>
      <c r="BJ75">
        <v>0</v>
      </c>
      <c r="BK75">
        <v>0</v>
      </c>
      <c r="BL75" s="6">
        <f>SUM(BH75:BK75)/Variables!$E$3</f>
        <v>0</v>
      </c>
      <c r="BM75" s="110">
        <v>0</v>
      </c>
      <c r="BN75" s="110">
        <v>0</v>
      </c>
      <c r="BO75" s="110">
        <v>0</v>
      </c>
      <c r="BP75" s="110">
        <v>0</v>
      </c>
      <c r="BQ75" s="6">
        <f>SUM(BM75:BP75)/Variables!$E$3</f>
        <v>0</v>
      </c>
      <c r="BS75" s="4">
        <v>73</v>
      </c>
      <c r="BT75" s="125">
        <f t="shared" si="16"/>
        <v>0</v>
      </c>
      <c r="BU75" s="125">
        <f t="shared" si="17"/>
        <v>0</v>
      </c>
      <c r="BV75" s="125">
        <f t="shared" si="18"/>
        <v>0</v>
      </c>
      <c r="BW75" s="125">
        <f t="shared" si="19"/>
        <v>0</v>
      </c>
      <c r="BX75" s="125">
        <f t="shared" si="20"/>
        <v>0</v>
      </c>
      <c r="BY75" s="125">
        <f t="shared" si="21"/>
        <v>0</v>
      </c>
      <c r="BZ75" s="125">
        <f t="shared" si="22"/>
        <v>0</v>
      </c>
      <c r="CA75" s="125">
        <f t="shared" si="23"/>
        <v>0</v>
      </c>
      <c r="CB75" s="125">
        <f t="shared" si="24"/>
        <v>0</v>
      </c>
      <c r="CC75" s="125">
        <f t="shared" si="25"/>
        <v>0</v>
      </c>
      <c r="CD75" s="125">
        <f t="shared" si="26"/>
        <v>0</v>
      </c>
      <c r="CE75" s="125">
        <f t="shared" si="27"/>
        <v>0</v>
      </c>
      <c r="CF75" s="126">
        <f t="shared" si="28"/>
        <v>0</v>
      </c>
      <c r="CH75" s="4">
        <v>73</v>
      </c>
      <c r="CI75" s="129">
        <v>0</v>
      </c>
      <c r="CJ75" s="125">
        <v>0</v>
      </c>
      <c r="CK75" s="125">
        <v>0</v>
      </c>
      <c r="CL75" s="125">
        <v>0</v>
      </c>
      <c r="CM75" s="125">
        <v>0</v>
      </c>
      <c r="CN75" s="125">
        <v>0</v>
      </c>
      <c r="CO75" s="125">
        <v>0</v>
      </c>
      <c r="CP75" s="125">
        <v>0</v>
      </c>
      <c r="CQ75" s="125">
        <v>0</v>
      </c>
      <c r="CR75" s="125">
        <v>0</v>
      </c>
      <c r="CS75" s="125">
        <v>0</v>
      </c>
      <c r="CT75" s="125">
        <v>0</v>
      </c>
      <c r="CU75" s="126">
        <v>0</v>
      </c>
    </row>
    <row r="76" spans="1:99" x14ac:dyDescent="0.25">
      <c r="A76" t="s">
        <v>202</v>
      </c>
      <c r="B76" s="2" t="s">
        <v>1</v>
      </c>
      <c r="C76" s="1">
        <v>8279</v>
      </c>
      <c r="D76" s="19">
        <v>18.82</v>
      </c>
      <c r="E76" s="18">
        <v>0</v>
      </c>
      <c r="F76" s="19">
        <v>0</v>
      </c>
      <c r="G76" s="19">
        <v>0</v>
      </c>
      <c r="H76" s="19">
        <v>0</v>
      </c>
      <c r="I76" s="19">
        <f>SUM(E76:H76)/Variables!$E$3</f>
        <v>0</v>
      </c>
      <c r="J76" s="4">
        <v>0</v>
      </c>
      <c r="K76">
        <v>0</v>
      </c>
      <c r="L76">
        <v>0</v>
      </c>
      <c r="M76">
        <v>0</v>
      </c>
      <c r="N76" s="6">
        <f>SUM(J76:M76)/Variables!$E$3</f>
        <v>0</v>
      </c>
      <c r="O76" s="4">
        <v>0</v>
      </c>
      <c r="P76">
        <v>0</v>
      </c>
      <c r="Q76">
        <v>0</v>
      </c>
      <c r="R76">
        <v>0</v>
      </c>
      <c r="S76" s="6">
        <f>SUM(O76:R76)/Variables!$E$3</f>
        <v>0</v>
      </c>
      <c r="T76" s="12">
        <v>0</v>
      </c>
      <c r="U76" s="6">
        <v>0</v>
      </c>
      <c r="V76" s="6">
        <v>0</v>
      </c>
      <c r="W76" s="6">
        <v>0</v>
      </c>
      <c r="X76" s="6">
        <f>SUM(T76:W76)/Variables!$E$3</f>
        <v>0</v>
      </c>
      <c r="Y76" s="12">
        <v>0</v>
      </c>
      <c r="Z76" s="6">
        <v>0</v>
      </c>
      <c r="AA76" s="6">
        <v>0</v>
      </c>
      <c r="AB76" s="6">
        <v>0</v>
      </c>
      <c r="AC76" s="6">
        <f>SUM(Y76:AB76)/Variables!$E$3</f>
        <v>0</v>
      </c>
      <c r="AD76" s="4">
        <v>0</v>
      </c>
      <c r="AE76" s="2">
        <v>0</v>
      </c>
      <c r="AF76" s="2">
        <v>0</v>
      </c>
      <c r="AG76" s="2">
        <v>0</v>
      </c>
      <c r="AH76" s="6">
        <f>SUM(AD76:AG76)/Variables!$E$3</f>
        <v>0</v>
      </c>
      <c r="AI76" s="4">
        <v>0</v>
      </c>
      <c r="AJ76" s="2">
        <v>0</v>
      </c>
      <c r="AK76" s="2">
        <v>0</v>
      </c>
      <c r="AL76" s="2">
        <v>0</v>
      </c>
      <c r="AM76" s="6">
        <f>SUM(AI76:AL76)/Variables!$E$3</f>
        <v>0</v>
      </c>
      <c r="AN76" s="4">
        <v>0</v>
      </c>
      <c r="AO76" s="2">
        <v>0</v>
      </c>
      <c r="AP76" s="2">
        <v>0</v>
      </c>
      <c r="AQ76" s="2">
        <v>0</v>
      </c>
      <c r="AR76" s="6">
        <f>SUM(AN76:AQ76)/Variables!$E$3</f>
        <v>0</v>
      </c>
      <c r="AS76" s="4">
        <v>0</v>
      </c>
      <c r="AT76" s="2">
        <v>0</v>
      </c>
      <c r="AU76" s="2">
        <v>0</v>
      </c>
      <c r="AV76" s="2">
        <v>0</v>
      </c>
      <c r="AW76" s="6">
        <f>SUM(AS76:AV76)/Variables!$E$3</f>
        <v>0</v>
      </c>
      <c r="AX76" s="4">
        <v>0</v>
      </c>
      <c r="AY76" s="2">
        <v>0</v>
      </c>
      <c r="AZ76" s="2">
        <v>0</v>
      </c>
      <c r="BA76" s="2">
        <v>0</v>
      </c>
      <c r="BB76" s="6">
        <f>SUM(AX76:BA76)/Variables!$E$3</f>
        <v>0</v>
      </c>
      <c r="BC76" s="12">
        <f t="shared" si="29"/>
        <v>0</v>
      </c>
      <c r="BD76" s="110">
        <f t="shared" si="29"/>
        <v>0</v>
      </c>
      <c r="BE76" s="110">
        <f t="shared" si="29"/>
        <v>0</v>
      </c>
      <c r="BF76" s="110">
        <f t="shared" si="29"/>
        <v>0</v>
      </c>
      <c r="BG76" s="6">
        <f>SUM(BC76:BF76)/Variables!$E$3</f>
        <v>0</v>
      </c>
      <c r="BH76" s="4">
        <v>0</v>
      </c>
      <c r="BI76">
        <v>0</v>
      </c>
      <c r="BJ76">
        <v>0</v>
      </c>
      <c r="BK76">
        <v>0</v>
      </c>
      <c r="BL76" s="6">
        <f>SUM(BH76:BK76)/Variables!$E$3</f>
        <v>0</v>
      </c>
      <c r="BM76" s="110">
        <v>0</v>
      </c>
      <c r="BN76" s="110">
        <v>0</v>
      </c>
      <c r="BO76" s="110">
        <v>0</v>
      </c>
      <c r="BP76" s="110">
        <v>0</v>
      </c>
      <c r="BQ76" s="6">
        <f>SUM(BM76:BP76)/Variables!$E$3</f>
        <v>0</v>
      </c>
      <c r="BS76" s="4">
        <v>74</v>
      </c>
      <c r="BT76" s="125">
        <f t="shared" si="16"/>
        <v>0</v>
      </c>
      <c r="BU76" s="125">
        <f t="shared" si="17"/>
        <v>0</v>
      </c>
      <c r="BV76" s="125">
        <f t="shared" si="18"/>
        <v>0</v>
      </c>
      <c r="BW76" s="125">
        <f t="shared" si="19"/>
        <v>0</v>
      </c>
      <c r="BX76" s="125">
        <f t="shared" si="20"/>
        <v>0</v>
      </c>
      <c r="BY76" s="125">
        <f t="shared" si="21"/>
        <v>0</v>
      </c>
      <c r="BZ76" s="125">
        <f t="shared" si="22"/>
        <v>0</v>
      </c>
      <c r="CA76" s="125">
        <f t="shared" si="23"/>
        <v>0</v>
      </c>
      <c r="CB76" s="125">
        <f t="shared" si="24"/>
        <v>0</v>
      </c>
      <c r="CC76" s="125">
        <f t="shared" si="25"/>
        <v>0</v>
      </c>
      <c r="CD76" s="125">
        <f t="shared" si="26"/>
        <v>0</v>
      </c>
      <c r="CE76" s="125">
        <f t="shared" si="27"/>
        <v>0</v>
      </c>
      <c r="CF76" s="126">
        <f t="shared" si="28"/>
        <v>0</v>
      </c>
      <c r="CH76" s="4">
        <v>74</v>
      </c>
      <c r="CI76" s="129">
        <v>0</v>
      </c>
      <c r="CJ76" s="125">
        <v>0</v>
      </c>
      <c r="CK76" s="125">
        <v>0</v>
      </c>
      <c r="CL76" s="125">
        <v>0</v>
      </c>
      <c r="CM76" s="125">
        <v>0</v>
      </c>
      <c r="CN76" s="125">
        <v>0</v>
      </c>
      <c r="CO76" s="125">
        <v>0</v>
      </c>
      <c r="CP76" s="125">
        <v>0</v>
      </c>
      <c r="CQ76" s="125">
        <v>0</v>
      </c>
      <c r="CR76" s="125">
        <v>0</v>
      </c>
      <c r="CS76" s="125">
        <v>0</v>
      </c>
      <c r="CT76" s="125">
        <v>0</v>
      </c>
      <c r="CU76" s="126">
        <v>0</v>
      </c>
    </row>
    <row r="77" spans="1:99" x14ac:dyDescent="0.25">
      <c r="A77" t="s">
        <v>202</v>
      </c>
      <c r="B77" s="2" t="s">
        <v>2</v>
      </c>
      <c r="C77" s="1">
        <v>8370</v>
      </c>
      <c r="D77" s="19">
        <v>45.44</v>
      </c>
      <c r="E77" s="18">
        <v>0</v>
      </c>
      <c r="F77" s="19">
        <v>0</v>
      </c>
      <c r="G77" s="19">
        <v>0</v>
      </c>
      <c r="H77" s="19">
        <v>0</v>
      </c>
      <c r="I77" s="19">
        <f>SUM(E77:H77)/Variables!$E$3</f>
        <v>0</v>
      </c>
      <c r="J77" s="4">
        <v>0</v>
      </c>
      <c r="K77">
        <v>0</v>
      </c>
      <c r="L77">
        <v>0</v>
      </c>
      <c r="M77">
        <v>0</v>
      </c>
      <c r="N77" s="6">
        <f>SUM(J77:M77)/Variables!$E$3</f>
        <v>0</v>
      </c>
      <c r="O77" s="4">
        <v>0</v>
      </c>
      <c r="P77">
        <v>0</v>
      </c>
      <c r="Q77">
        <v>0</v>
      </c>
      <c r="R77">
        <v>0</v>
      </c>
      <c r="S77" s="6">
        <f>SUM(O77:R77)/Variables!$E$3</f>
        <v>0</v>
      </c>
      <c r="T77" s="12">
        <v>0</v>
      </c>
      <c r="U77" s="6">
        <v>0</v>
      </c>
      <c r="V77" s="6">
        <v>0</v>
      </c>
      <c r="W77" s="6">
        <v>0</v>
      </c>
      <c r="X77" s="6">
        <f>SUM(T77:W77)/Variables!$E$3</f>
        <v>0</v>
      </c>
      <c r="Y77" s="12">
        <v>0</v>
      </c>
      <c r="Z77" s="6">
        <v>0</v>
      </c>
      <c r="AA77" s="6">
        <v>0</v>
      </c>
      <c r="AB77" s="6">
        <v>0</v>
      </c>
      <c r="AC77" s="6">
        <f>SUM(Y77:AB77)/Variables!$E$3</f>
        <v>0</v>
      </c>
      <c r="AD77" s="4">
        <v>0</v>
      </c>
      <c r="AE77" s="2">
        <v>0</v>
      </c>
      <c r="AF77" s="2">
        <v>0</v>
      </c>
      <c r="AG77" s="2">
        <v>0</v>
      </c>
      <c r="AH77" s="6">
        <f>SUM(AD77:AG77)/Variables!$E$3</f>
        <v>0</v>
      </c>
      <c r="AI77" s="4">
        <v>0</v>
      </c>
      <c r="AJ77" s="2">
        <v>0</v>
      </c>
      <c r="AK77" s="2">
        <v>0</v>
      </c>
      <c r="AL77" s="2">
        <v>0</v>
      </c>
      <c r="AM77" s="6">
        <f>SUM(AI77:AL77)/Variables!$E$3</f>
        <v>0</v>
      </c>
      <c r="AN77" s="4">
        <v>0</v>
      </c>
      <c r="AO77" s="2">
        <v>0</v>
      </c>
      <c r="AP77" s="2">
        <v>0</v>
      </c>
      <c r="AQ77" s="2">
        <v>0</v>
      </c>
      <c r="AR77" s="6">
        <f>SUM(AN77:AQ77)/Variables!$E$3</f>
        <v>0</v>
      </c>
      <c r="AS77" s="4">
        <v>0</v>
      </c>
      <c r="AT77" s="2">
        <v>0</v>
      </c>
      <c r="AU77" s="2">
        <v>0</v>
      </c>
      <c r="AV77" s="2">
        <v>0</v>
      </c>
      <c r="AW77" s="6">
        <f>SUM(AS77:AV77)/Variables!$E$3</f>
        <v>0</v>
      </c>
      <c r="AX77" s="4">
        <v>0</v>
      </c>
      <c r="AY77" s="2">
        <v>0</v>
      </c>
      <c r="AZ77" s="2">
        <v>0</v>
      </c>
      <c r="BA77" s="2">
        <v>0</v>
      </c>
      <c r="BB77" s="6">
        <f>SUM(AX77:BA77)/Variables!$E$3</f>
        <v>0</v>
      </c>
      <c r="BC77" s="12">
        <f t="shared" si="29"/>
        <v>0</v>
      </c>
      <c r="BD77" s="110">
        <f t="shared" si="29"/>
        <v>0</v>
      </c>
      <c r="BE77" s="110">
        <f t="shared" si="29"/>
        <v>0</v>
      </c>
      <c r="BF77" s="110">
        <f t="shared" si="29"/>
        <v>0</v>
      </c>
      <c r="BG77" s="6">
        <f>SUM(BC77:BF77)/Variables!$E$3</f>
        <v>0</v>
      </c>
      <c r="BH77" s="4">
        <v>0</v>
      </c>
      <c r="BI77">
        <v>0</v>
      </c>
      <c r="BJ77">
        <v>0</v>
      </c>
      <c r="BK77">
        <v>0</v>
      </c>
      <c r="BL77" s="6">
        <f>SUM(BH77:BK77)/Variables!$E$3</f>
        <v>0</v>
      </c>
      <c r="BM77" s="110">
        <v>0</v>
      </c>
      <c r="BN77" s="110">
        <v>0</v>
      </c>
      <c r="BO77" s="110">
        <v>0</v>
      </c>
      <c r="BP77" s="110">
        <v>0</v>
      </c>
      <c r="BQ77" s="6">
        <f>SUM(BM77:BP77)/Variables!$E$3</f>
        <v>0</v>
      </c>
      <c r="BS77" s="4">
        <v>75</v>
      </c>
      <c r="BT77" s="125">
        <f t="shared" si="16"/>
        <v>0</v>
      </c>
      <c r="BU77" s="125">
        <f t="shared" si="17"/>
        <v>4.0958360715445093E-3</v>
      </c>
      <c r="BV77" s="125">
        <f t="shared" si="18"/>
        <v>0</v>
      </c>
      <c r="BW77" s="125">
        <f t="shared" si="19"/>
        <v>0</v>
      </c>
      <c r="BX77" s="125">
        <f t="shared" si="20"/>
        <v>0</v>
      </c>
      <c r="BY77" s="125">
        <f t="shared" si="21"/>
        <v>0</v>
      </c>
      <c r="BZ77" s="125">
        <f t="shared" si="22"/>
        <v>0</v>
      </c>
      <c r="CA77" s="125">
        <f t="shared" si="23"/>
        <v>0</v>
      </c>
      <c r="CB77" s="125">
        <f t="shared" si="24"/>
        <v>0</v>
      </c>
      <c r="CC77" s="125">
        <f t="shared" si="25"/>
        <v>0</v>
      </c>
      <c r="CD77" s="125">
        <f t="shared" si="26"/>
        <v>0</v>
      </c>
      <c r="CE77" s="125">
        <f t="shared" si="27"/>
        <v>0</v>
      </c>
      <c r="CF77" s="126">
        <f t="shared" si="28"/>
        <v>0</v>
      </c>
      <c r="CH77" s="4">
        <v>75</v>
      </c>
      <c r="CI77" s="129">
        <v>0</v>
      </c>
      <c r="CJ77" s="125">
        <v>0</v>
      </c>
      <c r="CK77" s="125">
        <v>0</v>
      </c>
      <c r="CL77" s="125">
        <v>0</v>
      </c>
      <c r="CM77" s="125">
        <v>0</v>
      </c>
      <c r="CN77" s="125">
        <v>0</v>
      </c>
      <c r="CO77" s="125">
        <v>0</v>
      </c>
      <c r="CP77" s="125">
        <v>0</v>
      </c>
      <c r="CQ77" s="125">
        <v>0</v>
      </c>
      <c r="CR77" s="125">
        <v>0</v>
      </c>
      <c r="CS77" s="125">
        <v>0</v>
      </c>
      <c r="CT77" s="125">
        <v>0</v>
      </c>
      <c r="CU77" s="126">
        <v>0</v>
      </c>
    </row>
    <row r="78" spans="1:99" x14ac:dyDescent="0.25">
      <c r="A78" t="s">
        <v>203</v>
      </c>
      <c r="B78" s="2" t="s">
        <v>3</v>
      </c>
      <c r="C78" s="1">
        <v>8460</v>
      </c>
      <c r="D78" s="19">
        <v>86.72</v>
      </c>
      <c r="E78" s="18">
        <v>0</v>
      </c>
      <c r="F78" s="19">
        <v>0</v>
      </c>
      <c r="G78" s="19">
        <v>0</v>
      </c>
      <c r="H78" s="19">
        <v>0</v>
      </c>
      <c r="I78" s="19">
        <f>SUM(E78:H78)/Variables!$E$3</f>
        <v>0</v>
      </c>
      <c r="J78" s="4">
        <v>0</v>
      </c>
      <c r="K78">
        <v>0</v>
      </c>
      <c r="L78">
        <v>5173</v>
      </c>
      <c r="M78">
        <v>0</v>
      </c>
      <c r="N78" s="6">
        <f>SUM(J78:M78)/Variables!$E$3</f>
        <v>4.0958360715445093E-3</v>
      </c>
      <c r="O78" s="4">
        <v>0</v>
      </c>
      <c r="P78">
        <v>0</v>
      </c>
      <c r="Q78">
        <v>0</v>
      </c>
      <c r="R78">
        <v>0</v>
      </c>
      <c r="S78" s="6">
        <f>SUM(O78:R78)/Variables!$E$3</f>
        <v>0</v>
      </c>
      <c r="T78" s="12">
        <v>0</v>
      </c>
      <c r="U78" s="6">
        <v>0</v>
      </c>
      <c r="V78" s="6">
        <v>0</v>
      </c>
      <c r="W78" s="6">
        <v>0</v>
      </c>
      <c r="X78" s="6">
        <f>SUM(T78:W78)/Variables!$E$3</f>
        <v>0</v>
      </c>
      <c r="Y78" s="12">
        <v>0</v>
      </c>
      <c r="Z78" s="6">
        <v>0</v>
      </c>
      <c r="AA78" s="6">
        <v>0</v>
      </c>
      <c r="AB78" s="6">
        <v>0</v>
      </c>
      <c r="AC78" s="6">
        <f>SUM(Y78:AB78)/Variables!$E$3</f>
        <v>0</v>
      </c>
      <c r="AD78" s="4">
        <v>0</v>
      </c>
      <c r="AE78" s="2">
        <v>0</v>
      </c>
      <c r="AF78" s="2">
        <v>0</v>
      </c>
      <c r="AG78" s="2">
        <v>0</v>
      </c>
      <c r="AH78" s="6">
        <f>SUM(AD78:AG78)/Variables!$E$3</f>
        <v>0</v>
      </c>
      <c r="AI78" s="4">
        <v>0</v>
      </c>
      <c r="AJ78" s="2">
        <v>0</v>
      </c>
      <c r="AK78" s="2">
        <v>0</v>
      </c>
      <c r="AL78" s="2">
        <v>0</v>
      </c>
      <c r="AM78" s="6">
        <f>SUM(AI78:AL78)/Variables!$E$3</f>
        <v>0</v>
      </c>
      <c r="AN78" s="4">
        <v>0</v>
      </c>
      <c r="AO78" s="2">
        <v>0</v>
      </c>
      <c r="AP78" s="2">
        <v>0</v>
      </c>
      <c r="AQ78" s="2">
        <v>0</v>
      </c>
      <c r="AR78" s="6">
        <f>SUM(AN78:AQ78)/Variables!$E$3</f>
        <v>0</v>
      </c>
      <c r="AS78" s="4">
        <v>0</v>
      </c>
      <c r="AT78" s="2">
        <v>0</v>
      </c>
      <c r="AU78" s="2">
        <v>0</v>
      </c>
      <c r="AV78" s="2">
        <v>0</v>
      </c>
      <c r="AW78" s="6">
        <f>SUM(AS78:AV78)/Variables!$E$3</f>
        <v>0</v>
      </c>
      <c r="AX78" s="4">
        <v>0</v>
      </c>
      <c r="AY78" s="2">
        <v>0</v>
      </c>
      <c r="AZ78" s="2">
        <v>0</v>
      </c>
      <c r="BA78" s="2">
        <v>0</v>
      </c>
      <c r="BB78" s="6">
        <f>SUM(AX78:BA78)/Variables!$E$3</f>
        <v>0</v>
      </c>
      <c r="BC78" s="12">
        <f t="shared" si="29"/>
        <v>0</v>
      </c>
      <c r="BD78" s="110">
        <f t="shared" si="29"/>
        <v>0</v>
      </c>
      <c r="BE78" s="110">
        <f t="shared" si="29"/>
        <v>0</v>
      </c>
      <c r="BF78" s="110">
        <f t="shared" si="29"/>
        <v>0</v>
      </c>
      <c r="BG78" s="6">
        <f>SUM(BC78:BF78)/Variables!$E$3</f>
        <v>0</v>
      </c>
      <c r="BH78" s="4">
        <v>0</v>
      </c>
      <c r="BI78">
        <v>0</v>
      </c>
      <c r="BJ78">
        <v>0</v>
      </c>
      <c r="BK78">
        <v>0</v>
      </c>
      <c r="BL78" s="6">
        <f>SUM(BH78:BK78)/Variables!$E$3</f>
        <v>0</v>
      </c>
      <c r="BM78" s="110">
        <v>0</v>
      </c>
      <c r="BN78" s="110">
        <v>0</v>
      </c>
      <c r="BO78" s="110">
        <v>0</v>
      </c>
      <c r="BP78" s="110">
        <v>0</v>
      </c>
      <c r="BQ78" s="6">
        <f>SUM(BM78:BP78)/Variables!$E$3</f>
        <v>0</v>
      </c>
      <c r="BS78" s="4">
        <v>76</v>
      </c>
      <c r="BT78" s="125">
        <f t="shared" si="16"/>
        <v>0</v>
      </c>
      <c r="BU78" s="125">
        <f t="shared" si="17"/>
        <v>0</v>
      </c>
      <c r="BV78" s="125">
        <f t="shared" si="18"/>
        <v>0</v>
      </c>
      <c r="BW78" s="125">
        <f t="shared" si="19"/>
        <v>0</v>
      </c>
      <c r="BX78" s="125">
        <f t="shared" si="20"/>
        <v>0</v>
      </c>
      <c r="BY78" s="125">
        <f t="shared" si="21"/>
        <v>0</v>
      </c>
      <c r="BZ78" s="125">
        <f t="shared" si="22"/>
        <v>0</v>
      </c>
      <c r="CA78" s="125">
        <f t="shared" si="23"/>
        <v>0</v>
      </c>
      <c r="CB78" s="125">
        <f t="shared" si="24"/>
        <v>0</v>
      </c>
      <c r="CC78" s="125">
        <f t="shared" si="25"/>
        <v>0</v>
      </c>
      <c r="CD78" s="125">
        <f t="shared" si="26"/>
        <v>0</v>
      </c>
      <c r="CE78" s="125">
        <f t="shared" si="27"/>
        <v>0</v>
      </c>
      <c r="CF78" s="126">
        <f t="shared" si="28"/>
        <v>0</v>
      </c>
      <c r="CH78" s="4">
        <v>76</v>
      </c>
      <c r="CI78" s="129">
        <v>0</v>
      </c>
      <c r="CJ78" s="125">
        <v>0</v>
      </c>
      <c r="CK78" s="125">
        <v>0</v>
      </c>
      <c r="CL78" s="125">
        <v>0</v>
      </c>
      <c r="CM78" s="125">
        <v>0</v>
      </c>
      <c r="CN78" s="125">
        <v>0</v>
      </c>
      <c r="CO78" s="125">
        <v>0</v>
      </c>
      <c r="CP78" s="125">
        <v>0</v>
      </c>
      <c r="CQ78" s="125">
        <v>0</v>
      </c>
      <c r="CR78" s="125">
        <v>0</v>
      </c>
      <c r="CS78" s="125">
        <v>0</v>
      </c>
      <c r="CT78" s="125">
        <v>0</v>
      </c>
      <c r="CU78" s="126">
        <v>0</v>
      </c>
    </row>
    <row r="79" spans="1:99" x14ac:dyDescent="0.25">
      <c r="A79" t="s">
        <v>203</v>
      </c>
      <c r="B79" s="2" t="s">
        <v>4</v>
      </c>
      <c r="C79" s="1">
        <v>8552</v>
      </c>
      <c r="D79" s="19">
        <v>0</v>
      </c>
      <c r="E79" s="18">
        <v>0</v>
      </c>
      <c r="F79" s="19">
        <v>0</v>
      </c>
      <c r="G79" s="19">
        <v>0</v>
      </c>
      <c r="H79" s="19">
        <v>0</v>
      </c>
      <c r="I79" s="19">
        <f>SUM(E79:H79)/Variables!$E$3</f>
        <v>0</v>
      </c>
      <c r="J79" s="4">
        <v>0</v>
      </c>
      <c r="K79">
        <v>0</v>
      </c>
      <c r="L79">
        <v>0</v>
      </c>
      <c r="M79">
        <v>0</v>
      </c>
      <c r="N79" s="6">
        <f>SUM(J79:M79)/Variables!$E$3</f>
        <v>0</v>
      </c>
      <c r="O79" s="4">
        <v>0</v>
      </c>
      <c r="P79">
        <v>0</v>
      </c>
      <c r="Q79">
        <v>0</v>
      </c>
      <c r="R79">
        <v>0</v>
      </c>
      <c r="S79" s="6">
        <f>SUM(O79:R79)/Variables!$E$3</f>
        <v>0</v>
      </c>
      <c r="T79" s="12">
        <v>0</v>
      </c>
      <c r="U79" s="6">
        <v>0</v>
      </c>
      <c r="V79" s="6">
        <v>0</v>
      </c>
      <c r="W79" s="6">
        <v>0</v>
      </c>
      <c r="X79" s="6">
        <f>SUM(T79:W79)/Variables!$E$3</f>
        <v>0</v>
      </c>
      <c r="Y79" s="12">
        <v>0</v>
      </c>
      <c r="Z79" s="6">
        <v>0</v>
      </c>
      <c r="AA79" s="6">
        <v>0</v>
      </c>
      <c r="AB79" s="6">
        <v>0</v>
      </c>
      <c r="AC79" s="6">
        <f>SUM(Y79:AB79)/Variables!$E$3</f>
        <v>0</v>
      </c>
      <c r="AD79" s="4">
        <v>0</v>
      </c>
      <c r="AE79" s="2">
        <v>0</v>
      </c>
      <c r="AF79" s="2">
        <v>0</v>
      </c>
      <c r="AG79" s="2">
        <v>0</v>
      </c>
      <c r="AH79" s="6">
        <f>SUM(AD79:AG79)/Variables!$E$3</f>
        <v>0</v>
      </c>
      <c r="AI79" s="4">
        <v>0</v>
      </c>
      <c r="AJ79" s="2">
        <v>0</v>
      </c>
      <c r="AK79" s="2">
        <v>0</v>
      </c>
      <c r="AL79" s="2">
        <v>0</v>
      </c>
      <c r="AM79" s="6">
        <f>SUM(AI79:AL79)/Variables!$E$3</f>
        <v>0</v>
      </c>
      <c r="AN79" s="4">
        <v>0</v>
      </c>
      <c r="AO79" s="2">
        <v>0</v>
      </c>
      <c r="AP79" s="2">
        <v>0</v>
      </c>
      <c r="AQ79" s="2">
        <v>0</v>
      </c>
      <c r="AR79" s="6">
        <f>SUM(AN79:AQ79)/Variables!$E$3</f>
        <v>0</v>
      </c>
      <c r="AS79" s="4">
        <v>0</v>
      </c>
      <c r="AT79" s="2">
        <v>0</v>
      </c>
      <c r="AU79" s="2">
        <v>0</v>
      </c>
      <c r="AV79" s="2">
        <v>0</v>
      </c>
      <c r="AW79" s="6">
        <f>SUM(AS79:AV79)/Variables!$E$3</f>
        <v>0</v>
      </c>
      <c r="AX79" s="4">
        <v>0</v>
      </c>
      <c r="AY79" s="2">
        <v>0</v>
      </c>
      <c r="AZ79" s="2">
        <v>0</v>
      </c>
      <c r="BA79" s="2">
        <v>0</v>
      </c>
      <c r="BB79" s="6">
        <f>SUM(AX79:BA79)/Variables!$E$3</f>
        <v>0</v>
      </c>
      <c r="BC79" s="12">
        <f t="shared" si="29"/>
        <v>0</v>
      </c>
      <c r="BD79" s="110">
        <f t="shared" si="29"/>
        <v>0</v>
      </c>
      <c r="BE79" s="110">
        <f t="shared" si="29"/>
        <v>0</v>
      </c>
      <c r="BF79" s="110">
        <f t="shared" si="29"/>
        <v>0</v>
      </c>
      <c r="BG79" s="6">
        <f>SUM(BC79:BF79)/Variables!$E$3</f>
        <v>0</v>
      </c>
      <c r="BH79" s="4">
        <v>0</v>
      </c>
      <c r="BI79">
        <v>0</v>
      </c>
      <c r="BJ79">
        <v>0</v>
      </c>
      <c r="BK79">
        <v>0</v>
      </c>
      <c r="BL79" s="6">
        <f>SUM(BH79:BK79)/Variables!$E$3</f>
        <v>0</v>
      </c>
      <c r="BM79" s="110">
        <v>0</v>
      </c>
      <c r="BN79" s="110">
        <v>0</v>
      </c>
      <c r="BO79" s="110">
        <v>0</v>
      </c>
      <c r="BP79" s="110">
        <v>0</v>
      </c>
      <c r="BQ79" s="6">
        <f>SUM(BM79:BP79)/Variables!$E$3</f>
        <v>0</v>
      </c>
      <c r="BS79" s="4">
        <v>77</v>
      </c>
      <c r="BT79" s="125">
        <f t="shared" si="16"/>
        <v>0</v>
      </c>
      <c r="BU79" s="125">
        <f t="shared" si="17"/>
        <v>0</v>
      </c>
      <c r="BV79" s="125">
        <f t="shared" si="18"/>
        <v>0</v>
      </c>
      <c r="BW79" s="125">
        <f t="shared" si="19"/>
        <v>0</v>
      </c>
      <c r="BX79" s="125">
        <f t="shared" si="20"/>
        <v>0</v>
      </c>
      <c r="BY79" s="125">
        <f t="shared" si="21"/>
        <v>0</v>
      </c>
      <c r="BZ79" s="125">
        <f t="shared" si="22"/>
        <v>0</v>
      </c>
      <c r="CA79" s="125">
        <f t="shared" si="23"/>
        <v>0</v>
      </c>
      <c r="CB79" s="125">
        <f t="shared" si="24"/>
        <v>0</v>
      </c>
      <c r="CC79" s="125">
        <f t="shared" si="25"/>
        <v>0</v>
      </c>
      <c r="CD79" s="125">
        <f t="shared" si="26"/>
        <v>0</v>
      </c>
      <c r="CE79" s="125">
        <f t="shared" si="27"/>
        <v>0</v>
      </c>
      <c r="CF79" s="126">
        <f t="shared" si="28"/>
        <v>0</v>
      </c>
      <c r="CH79" s="4">
        <v>77</v>
      </c>
      <c r="CI79" s="129">
        <v>0</v>
      </c>
      <c r="CJ79" s="125">
        <v>0</v>
      </c>
      <c r="CK79" s="125">
        <v>0</v>
      </c>
      <c r="CL79" s="125">
        <v>0</v>
      </c>
      <c r="CM79" s="125">
        <v>0</v>
      </c>
      <c r="CN79" s="125">
        <v>0</v>
      </c>
      <c r="CO79" s="125">
        <v>0</v>
      </c>
      <c r="CP79" s="125">
        <v>0</v>
      </c>
      <c r="CQ79" s="125">
        <v>0</v>
      </c>
      <c r="CR79" s="125">
        <v>0</v>
      </c>
      <c r="CS79" s="125">
        <v>0</v>
      </c>
      <c r="CT79" s="125">
        <v>0</v>
      </c>
      <c r="CU79" s="126">
        <v>0</v>
      </c>
    </row>
    <row r="80" spans="1:99" x14ac:dyDescent="0.25">
      <c r="A80" t="s">
        <v>203</v>
      </c>
      <c r="B80" s="2" t="s">
        <v>1</v>
      </c>
      <c r="C80" s="1">
        <v>8644</v>
      </c>
      <c r="D80" s="19">
        <v>50.7</v>
      </c>
      <c r="E80" s="18">
        <v>0</v>
      </c>
      <c r="F80" s="19">
        <v>0</v>
      </c>
      <c r="G80" s="19">
        <v>0</v>
      </c>
      <c r="H80" s="19">
        <v>0</v>
      </c>
      <c r="I80" s="19">
        <f>SUM(E80:H80)/Variables!$E$3</f>
        <v>0</v>
      </c>
      <c r="J80" s="4">
        <v>0</v>
      </c>
      <c r="K80">
        <v>0</v>
      </c>
      <c r="L80">
        <v>0</v>
      </c>
      <c r="M80">
        <v>0</v>
      </c>
      <c r="N80" s="6">
        <f>SUM(J80:M80)/Variables!$E$3</f>
        <v>0</v>
      </c>
      <c r="O80" s="4">
        <v>0</v>
      </c>
      <c r="P80">
        <v>0</v>
      </c>
      <c r="Q80">
        <v>0</v>
      </c>
      <c r="R80">
        <v>0</v>
      </c>
      <c r="S80" s="6">
        <f>SUM(O80:R80)/Variables!$E$3</f>
        <v>0</v>
      </c>
      <c r="T80" s="12">
        <v>0</v>
      </c>
      <c r="U80" s="6">
        <v>0</v>
      </c>
      <c r="V80" s="6">
        <v>0</v>
      </c>
      <c r="W80" s="6">
        <v>0</v>
      </c>
      <c r="X80" s="6">
        <f>SUM(T80:W80)/Variables!$E$3</f>
        <v>0</v>
      </c>
      <c r="Y80" s="12">
        <v>0</v>
      </c>
      <c r="Z80" s="6">
        <v>0</v>
      </c>
      <c r="AA80" s="6">
        <v>0</v>
      </c>
      <c r="AB80" s="6">
        <v>0</v>
      </c>
      <c r="AC80" s="6">
        <f>SUM(Y80:AB80)/Variables!$E$3</f>
        <v>0</v>
      </c>
      <c r="AD80" s="4">
        <v>0</v>
      </c>
      <c r="AE80" s="2">
        <v>0</v>
      </c>
      <c r="AF80" s="2">
        <v>0</v>
      </c>
      <c r="AG80" s="2">
        <v>0</v>
      </c>
      <c r="AH80" s="6">
        <f>SUM(AD80:AG80)/Variables!$E$3</f>
        <v>0</v>
      </c>
      <c r="AI80" s="4">
        <v>0</v>
      </c>
      <c r="AJ80" s="2">
        <v>0</v>
      </c>
      <c r="AK80" s="2">
        <v>0</v>
      </c>
      <c r="AL80" s="2">
        <v>0</v>
      </c>
      <c r="AM80" s="6">
        <f>SUM(AI80:AL80)/Variables!$E$3</f>
        <v>0</v>
      </c>
      <c r="AN80" s="4">
        <v>0</v>
      </c>
      <c r="AO80" s="2">
        <v>0</v>
      </c>
      <c r="AP80" s="2">
        <v>0</v>
      </c>
      <c r="AQ80" s="2">
        <v>0</v>
      </c>
      <c r="AR80" s="6">
        <f>SUM(AN80:AQ80)/Variables!$E$3</f>
        <v>0</v>
      </c>
      <c r="AS80" s="4">
        <v>0</v>
      </c>
      <c r="AT80" s="2">
        <v>0</v>
      </c>
      <c r="AU80" s="2">
        <v>0</v>
      </c>
      <c r="AV80" s="2">
        <v>0</v>
      </c>
      <c r="AW80" s="6">
        <f>SUM(AS80:AV80)/Variables!$E$3</f>
        <v>0</v>
      </c>
      <c r="AX80" s="4">
        <v>0</v>
      </c>
      <c r="AY80" s="2">
        <v>0</v>
      </c>
      <c r="AZ80" s="2">
        <v>0</v>
      </c>
      <c r="BA80" s="2">
        <v>0</v>
      </c>
      <c r="BB80" s="6">
        <f>SUM(AX80:BA80)/Variables!$E$3</f>
        <v>0</v>
      </c>
      <c r="BC80" s="12">
        <f t="shared" si="29"/>
        <v>0</v>
      </c>
      <c r="BD80" s="110">
        <f t="shared" si="29"/>
        <v>0</v>
      </c>
      <c r="BE80" s="110">
        <f t="shared" si="29"/>
        <v>0</v>
      </c>
      <c r="BF80" s="110">
        <f t="shared" si="29"/>
        <v>0</v>
      </c>
      <c r="BG80" s="6">
        <f>SUM(BC80:BF80)/Variables!$E$3</f>
        <v>0</v>
      </c>
      <c r="BH80" s="4">
        <v>0</v>
      </c>
      <c r="BI80">
        <v>0</v>
      </c>
      <c r="BJ80">
        <v>0</v>
      </c>
      <c r="BK80">
        <v>0</v>
      </c>
      <c r="BL80" s="6">
        <f>SUM(BH80:BK80)/Variables!$E$3</f>
        <v>0</v>
      </c>
      <c r="BM80" s="110">
        <v>0</v>
      </c>
      <c r="BN80" s="110">
        <v>0</v>
      </c>
      <c r="BO80" s="110">
        <v>0</v>
      </c>
      <c r="BP80" s="110">
        <v>0</v>
      </c>
      <c r="BQ80" s="6">
        <f>SUM(BM80:BP80)/Variables!$E$3</f>
        <v>0</v>
      </c>
      <c r="BS80" s="4">
        <v>78</v>
      </c>
      <c r="BT80" s="125">
        <f t="shared" si="16"/>
        <v>0</v>
      </c>
      <c r="BU80" s="125">
        <f t="shared" si="17"/>
        <v>0</v>
      </c>
      <c r="BV80" s="125">
        <f t="shared" si="18"/>
        <v>0</v>
      </c>
      <c r="BW80" s="125">
        <f t="shared" si="19"/>
        <v>0</v>
      </c>
      <c r="BX80" s="125">
        <f t="shared" si="20"/>
        <v>0</v>
      </c>
      <c r="BY80" s="125">
        <f t="shared" si="21"/>
        <v>0</v>
      </c>
      <c r="BZ80" s="125">
        <f t="shared" si="22"/>
        <v>0</v>
      </c>
      <c r="CA80" s="125">
        <f t="shared" si="23"/>
        <v>0</v>
      </c>
      <c r="CB80" s="125">
        <f t="shared" si="24"/>
        <v>0</v>
      </c>
      <c r="CC80" s="125">
        <f t="shared" si="25"/>
        <v>0</v>
      </c>
      <c r="CD80" s="125">
        <f t="shared" si="26"/>
        <v>0</v>
      </c>
      <c r="CE80" s="125">
        <f t="shared" si="27"/>
        <v>0</v>
      </c>
      <c r="CF80" s="126">
        <f t="shared" si="28"/>
        <v>0</v>
      </c>
      <c r="CH80" s="4">
        <v>78</v>
      </c>
      <c r="CI80" s="129">
        <v>0</v>
      </c>
      <c r="CJ80" s="125">
        <v>0</v>
      </c>
      <c r="CK80" s="125">
        <v>0</v>
      </c>
      <c r="CL80" s="125">
        <v>0</v>
      </c>
      <c r="CM80" s="125">
        <v>0</v>
      </c>
      <c r="CN80" s="125">
        <v>0</v>
      </c>
      <c r="CO80" s="125">
        <v>0</v>
      </c>
      <c r="CP80" s="125">
        <v>0</v>
      </c>
      <c r="CQ80" s="125">
        <v>0</v>
      </c>
      <c r="CR80" s="125">
        <v>0</v>
      </c>
      <c r="CS80" s="125">
        <v>0</v>
      </c>
      <c r="CT80" s="125">
        <v>0</v>
      </c>
      <c r="CU80" s="126">
        <v>0</v>
      </c>
    </row>
    <row r="81" spans="1:99" x14ac:dyDescent="0.25">
      <c r="A81" t="s">
        <v>203</v>
      </c>
      <c r="B81" s="2" t="s">
        <v>2</v>
      </c>
      <c r="C81" s="1">
        <v>8735</v>
      </c>
      <c r="D81" s="19">
        <v>59.22</v>
      </c>
      <c r="E81" s="18">
        <v>0</v>
      </c>
      <c r="F81" s="19">
        <v>0</v>
      </c>
      <c r="G81" s="19">
        <v>0</v>
      </c>
      <c r="H81" s="19">
        <v>0</v>
      </c>
      <c r="I81" s="19">
        <f>SUM(E81:H81)/Variables!$E$3</f>
        <v>0</v>
      </c>
      <c r="J81" s="4">
        <v>0</v>
      </c>
      <c r="K81">
        <v>0</v>
      </c>
      <c r="L81">
        <v>0</v>
      </c>
      <c r="M81">
        <v>0</v>
      </c>
      <c r="N81" s="6">
        <f>SUM(J81:M81)/Variables!$E$3</f>
        <v>0</v>
      </c>
      <c r="O81" s="4">
        <v>0</v>
      </c>
      <c r="P81">
        <v>0</v>
      </c>
      <c r="Q81">
        <v>0</v>
      </c>
      <c r="R81">
        <v>0</v>
      </c>
      <c r="S81" s="6">
        <f>SUM(O81:R81)/Variables!$E$3</f>
        <v>0</v>
      </c>
      <c r="T81" s="12">
        <v>0</v>
      </c>
      <c r="U81" s="6">
        <v>0</v>
      </c>
      <c r="V81" s="6">
        <v>0</v>
      </c>
      <c r="W81" s="6">
        <v>0</v>
      </c>
      <c r="X81" s="6">
        <f>SUM(T81:W81)/Variables!$E$3</f>
        <v>0</v>
      </c>
      <c r="Y81" s="12">
        <v>0</v>
      </c>
      <c r="Z81" s="6">
        <v>0</v>
      </c>
      <c r="AA81" s="6">
        <v>0</v>
      </c>
      <c r="AB81" s="6">
        <v>0</v>
      </c>
      <c r="AC81" s="6">
        <f>SUM(Y81:AB81)/Variables!$E$3</f>
        <v>0</v>
      </c>
      <c r="AD81" s="4">
        <v>0</v>
      </c>
      <c r="AE81" s="2">
        <v>0</v>
      </c>
      <c r="AF81" s="2">
        <v>0</v>
      </c>
      <c r="AG81" s="2">
        <v>0</v>
      </c>
      <c r="AH81" s="6">
        <f>SUM(AD81:AG81)/Variables!$E$3</f>
        <v>0</v>
      </c>
      <c r="AI81" s="4">
        <v>0</v>
      </c>
      <c r="AJ81" s="2">
        <v>0</v>
      </c>
      <c r="AK81" s="2">
        <v>0</v>
      </c>
      <c r="AL81" s="2">
        <v>0</v>
      </c>
      <c r="AM81" s="6">
        <f>SUM(AI81:AL81)/Variables!$E$3</f>
        <v>0</v>
      </c>
      <c r="AN81" s="4">
        <v>0</v>
      </c>
      <c r="AO81" s="2">
        <v>0</v>
      </c>
      <c r="AP81" s="2">
        <v>0</v>
      </c>
      <c r="AQ81" s="2">
        <v>0</v>
      </c>
      <c r="AR81" s="6">
        <f>SUM(AN81:AQ81)/Variables!$E$3</f>
        <v>0</v>
      </c>
      <c r="AS81" s="4">
        <v>0</v>
      </c>
      <c r="AT81" s="2">
        <v>0</v>
      </c>
      <c r="AU81" s="2">
        <v>0</v>
      </c>
      <c r="AV81" s="2">
        <v>0</v>
      </c>
      <c r="AW81" s="6">
        <f>SUM(AS81:AV81)/Variables!$E$3</f>
        <v>0</v>
      </c>
      <c r="AX81" s="4">
        <v>0</v>
      </c>
      <c r="AY81" s="2">
        <v>0</v>
      </c>
      <c r="AZ81" s="2">
        <v>0</v>
      </c>
      <c r="BA81" s="2">
        <v>0</v>
      </c>
      <c r="BB81" s="6">
        <f>SUM(AX81:BA81)/Variables!$E$3</f>
        <v>0</v>
      </c>
      <c r="BC81" s="12">
        <f t="shared" si="29"/>
        <v>0</v>
      </c>
      <c r="BD81" s="110">
        <f t="shared" si="29"/>
        <v>0</v>
      </c>
      <c r="BE81" s="110">
        <f t="shared" si="29"/>
        <v>0</v>
      </c>
      <c r="BF81" s="110">
        <f t="shared" si="29"/>
        <v>0</v>
      </c>
      <c r="BG81" s="6">
        <f>SUM(BC81:BF81)/Variables!$E$3</f>
        <v>0</v>
      </c>
      <c r="BH81" s="4">
        <v>0</v>
      </c>
      <c r="BI81">
        <v>0</v>
      </c>
      <c r="BJ81">
        <v>0</v>
      </c>
      <c r="BK81">
        <v>0</v>
      </c>
      <c r="BL81" s="6">
        <f>SUM(BH81:BK81)/Variables!$E$3</f>
        <v>0</v>
      </c>
      <c r="BM81" s="110">
        <v>0</v>
      </c>
      <c r="BN81" s="110">
        <v>0</v>
      </c>
      <c r="BO81" s="110">
        <v>0</v>
      </c>
      <c r="BP81" s="110">
        <v>0</v>
      </c>
      <c r="BQ81" s="6">
        <f>SUM(BM81:BP81)/Variables!$E$3</f>
        <v>0</v>
      </c>
      <c r="BS81" s="4">
        <v>79</v>
      </c>
      <c r="BT81" s="125">
        <f t="shared" si="16"/>
        <v>0</v>
      </c>
      <c r="BU81" s="125">
        <f t="shared" si="17"/>
        <v>4.7065297429116623E-2</v>
      </c>
      <c r="BV81" s="125">
        <f t="shared" si="18"/>
        <v>0</v>
      </c>
      <c r="BW81" s="125">
        <f t="shared" si="19"/>
        <v>3.4602807623179918E-3</v>
      </c>
      <c r="BX81" s="125">
        <f t="shared" si="20"/>
        <v>3.1447596576378279E-3</v>
      </c>
      <c r="BY81" s="125">
        <f t="shared" si="21"/>
        <v>5.4315552775556737E-5</v>
      </c>
      <c r="BZ81" s="125">
        <f t="shared" si="22"/>
        <v>5.70946721668421E-4</v>
      </c>
      <c r="CA81" s="125">
        <f t="shared" si="23"/>
        <v>7.0150990902540791E-4</v>
      </c>
      <c r="CB81" s="125">
        <f t="shared" si="24"/>
        <v>3.4362900735556102E-3</v>
      </c>
      <c r="CC81" s="125">
        <f t="shared" si="25"/>
        <v>1.6163231696212955E-3</v>
      </c>
      <c r="CD81" s="125">
        <f t="shared" si="26"/>
        <v>3.1447596576378279E-3</v>
      </c>
      <c r="CE81" s="125">
        <f t="shared" si="27"/>
        <v>1.2376978440050989E-3</v>
      </c>
      <c r="CF81" s="126">
        <f t="shared" si="28"/>
        <v>1.6080095646046288E-3</v>
      </c>
      <c r="CH81" s="4">
        <v>79</v>
      </c>
      <c r="CI81" s="129">
        <v>0</v>
      </c>
      <c r="CJ81" s="125">
        <v>0</v>
      </c>
      <c r="CK81" s="125">
        <v>0</v>
      </c>
      <c r="CL81" s="125">
        <v>0</v>
      </c>
      <c r="CM81" s="125">
        <v>0</v>
      </c>
      <c r="CN81" s="125">
        <v>0</v>
      </c>
      <c r="CO81" s="125">
        <v>0</v>
      </c>
      <c r="CP81" s="125">
        <v>0</v>
      </c>
      <c r="CQ81" s="125">
        <v>0</v>
      </c>
      <c r="CR81" s="125">
        <v>0</v>
      </c>
      <c r="CS81" s="125">
        <v>0</v>
      </c>
      <c r="CT81" s="125">
        <v>0</v>
      </c>
      <c r="CU81" s="126">
        <v>0</v>
      </c>
    </row>
    <row r="82" spans="1:99" x14ac:dyDescent="0.25">
      <c r="A82" t="s">
        <v>204</v>
      </c>
      <c r="B82" s="2" t="s">
        <v>3</v>
      </c>
      <c r="C82" s="1">
        <v>8825</v>
      </c>
      <c r="D82" s="19">
        <v>158.69999999999999</v>
      </c>
      <c r="E82" s="18">
        <v>0</v>
      </c>
      <c r="F82" s="19">
        <v>0</v>
      </c>
      <c r="G82" s="19">
        <v>0</v>
      </c>
      <c r="H82" s="19">
        <v>0</v>
      </c>
      <c r="I82" s="19">
        <f>SUM(E82:H82)/Variables!$E$3</f>
        <v>0</v>
      </c>
      <c r="J82" s="4">
        <v>0</v>
      </c>
      <c r="K82">
        <v>0</v>
      </c>
      <c r="L82">
        <v>57486</v>
      </c>
      <c r="M82">
        <v>1957</v>
      </c>
      <c r="N82" s="6">
        <f>SUM(J82:M82)/Variables!$E$3</f>
        <v>4.7065297429116623E-2</v>
      </c>
      <c r="O82" s="4">
        <v>0</v>
      </c>
      <c r="P82">
        <v>0</v>
      </c>
      <c r="Q82">
        <v>0</v>
      </c>
      <c r="R82">
        <v>0</v>
      </c>
      <c r="S82" s="6">
        <f>SUM(O82:R82)/Variables!$E$3</f>
        <v>0</v>
      </c>
      <c r="T82" s="12">
        <v>0</v>
      </c>
      <c r="U82" s="6">
        <v>0</v>
      </c>
      <c r="V82" s="6">
        <v>4370.3</v>
      </c>
      <c r="W82" s="6">
        <v>0</v>
      </c>
      <c r="X82" s="6">
        <f>SUM(T82:W82)/Variables!$E$3</f>
        <v>3.4602807623179918E-3</v>
      </c>
      <c r="Y82" s="12">
        <v>0</v>
      </c>
      <c r="Z82" s="6">
        <v>0</v>
      </c>
      <c r="AA82" s="6">
        <v>3971.8</v>
      </c>
      <c r="AB82" s="6">
        <v>0</v>
      </c>
      <c r="AC82" s="6">
        <f>SUM(Y82:AB82)/Variables!$E$3</f>
        <v>3.1447596576378279E-3</v>
      </c>
      <c r="AD82" s="4">
        <v>0</v>
      </c>
      <c r="AE82" s="2">
        <v>0</v>
      </c>
      <c r="AF82" s="2">
        <v>68.600000000000406</v>
      </c>
      <c r="AG82" s="2">
        <v>0</v>
      </c>
      <c r="AH82" s="6">
        <f>SUM(AD82:AG82)/Variables!$E$3</f>
        <v>5.4315552775556737E-5</v>
      </c>
      <c r="AI82" s="4">
        <v>0</v>
      </c>
      <c r="AJ82" s="2">
        <v>0</v>
      </c>
      <c r="AK82" s="2">
        <v>721.099999999999</v>
      </c>
      <c r="AL82" s="2">
        <v>0</v>
      </c>
      <c r="AM82" s="6">
        <f>SUM(AI82:AL82)/Variables!$E$3</f>
        <v>5.70946721668421E-4</v>
      </c>
      <c r="AN82" s="4">
        <v>0</v>
      </c>
      <c r="AO82" s="2">
        <v>0</v>
      </c>
      <c r="AP82" s="2">
        <v>886</v>
      </c>
      <c r="AQ82" s="2">
        <v>0</v>
      </c>
      <c r="AR82" s="6">
        <f>SUM(AN82:AQ82)/Variables!$E$3</f>
        <v>7.0150990902540791E-4</v>
      </c>
      <c r="AS82" s="4">
        <v>0</v>
      </c>
      <c r="AT82" s="2">
        <v>0</v>
      </c>
      <c r="AU82" s="2">
        <v>4340</v>
      </c>
      <c r="AV82" s="2">
        <v>0</v>
      </c>
      <c r="AW82" s="6">
        <f>SUM(AS82:AV82)/Variables!$E$3</f>
        <v>3.4362900735556102E-3</v>
      </c>
      <c r="AX82" s="4">
        <v>0</v>
      </c>
      <c r="AY82" s="2">
        <v>0</v>
      </c>
      <c r="AZ82" s="2">
        <v>2041.4</v>
      </c>
      <c r="BA82" s="2">
        <v>0</v>
      </c>
      <c r="BB82" s="6">
        <f>SUM(AX82:BA82)/Variables!$E$3</f>
        <v>1.6163231696212955E-3</v>
      </c>
      <c r="BC82" s="12">
        <f t="shared" si="29"/>
        <v>0</v>
      </c>
      <c r="BD82" s="110">
        <f t="shared" si="29"/>
        <v>0</v>
      </c>
      <c r="BE82" s="110">
        <f t="shared" si="29"/>
        <v>3971.8</v>
      </c>
      <c r="BF82" s="110">
        <f t="shared" si="29"/>
        <v>0</v>
      </c>
      <c r="BG82" s="6">
        <f>SUM(BC82:BF82)/Variables!$E$3</f>
        <v>3.1447596576378279E-3</v>
      </c>
      <c r="BH82" s="4">
        <v>0</v>
      </c>
      <c r="BI82">
        <v>0</v>
      </c>
      <c r="BJ82">
        <v>1563.2</v>
      </c>
      <c r="BK82">
        <v>0</v>
      </c>
      <c r="BL82" s="6">
        <f>SUM(BH82:BK82)/Variables!$E$3</f>
        <v>1.2376978440050989E-3</v>
      </c>
      <c r="BM82" s="110">
        <v>0</v>
      </c>
      <c r="BN82" s="110">
        <v>0</v>
      </c>
      <c r="BO82" s="110">
        <v>2030.9</v>
      </c>
      <c r="BP82" s="110">
        <v>0</v>
      </c>
      <c r="BQ82" s="6">
        <f>SUM(BM82:BP82)/Variables!$E$3</f>
        <v>1.6080095646046288E-3</v>
      </c>
      <c r="BS82" s="4">
        <v>80</v>
      </c>
      <c r="BT82" s="125">
        <f t="shared" si="16"/>
        <v>0</v>
      </c>
      <c r="BU82" s="125">
        <f t="shared" si="17"/>
        <v>0.10353763687756831</v>
      </c>
      <c r="BV82" s="125">
        <f t="shared" si="18"/>
        <v>0</v>
      </c>
      <c r="BW82" s="125">
        <f t="shared" si="19"/>
        <v>1.2784899326202108E-2</v>
      </c>
      <c r="BX82" s="125">
        <f t="shared" si="20"/>
        <v>1.1494707004806056E-2</v>
      </c>
      <c r="BY82" s="125">
        <f t="shared" si="21"/>
        <v>1.7202828209249479E-3</v>
      </c>
      <c r="BZ82" s="125">
        <f t="shared" si="22"/>
        <v>1.305552696379227E-3</v>
      </c>
      <c r="CA82" s="125">
        <f t="shared" si="23"/>
        <v>1.9110206731644747E-3</v>
      </c>
      <c r="CB82" s="125">
        <f t="shared" si="24"/>
        <v>1.4404785469401974E-2</v>
      </c>
      <c r="CC82" s="125">
        <f t="shared" si="25"/>
        <v>4.8297294515396005E-3</v>
      </c>
      <c r="CD82" s="125">
        <f t="shared" si="26"/>
        <v>1.1494707004806056E-2</v>
      </c>
      <c r="CE82" s="125">
        <f t="shared" si="27"/>
        <v>3.5909231268656128E-3</v>
      </c>
      <c r="CF82" s="126">
        <f t="shared" si="28"/>
        <v>5.4382853387596099E-3</v>
      </c>
      <c r="CH82" s="4">
        <v>80</v>
      </c>
      <c r="CI82" s="129">
        <v>0</v>
      </c>
      <c r="CJ82" s="125">
        <v>0</v>
      </c>
      <c r="CK82" s="125">
        <v>0</v>
      </c>
      <c r="CL82" s="125">
        <v>0</v>
      </c>
      <c r="CM82" s="125">
        <v>0</v>
      </c>
      <c r="CN82" s="125">
        <v>0</v>
      </c>
      <c r="CO82" s="125">
        <v>0</v>
      </c>
      <c r="CP82" s="125">
        <v>0</v>
      </c>
      <c r="CQ82" s="125">
        <v>0</v>
      </c>
      <c r="CR82" s="125">
        <v>0</v>
      </c>
      <c r="CS82" s="125">
        <v>0</v>
      </c>
      <c r="CT82" s="125">
        <v>0</v>
      </c>
      <c r="CU82" s="126">
        <v>0</v>
      </c>
    </row>
    <row r="83" spans="1:99" x14ac:dyDescent="0.25">
      <c r="A83" t="s">
        <v>204</v>
      </c>
      <c r="B83" s="2" t="s">
        <v>4</v>
      </c>
      <c r="C83" s="1">
        <v>8918</v>
      </c>
      <c r="D83" s="19">
        <v>62.74</v>
      </c>
      <c r="E83" s="18">
        <v>0</v>
      </c>
      <c r="F83" s="19">
        <v>0</v>
      </c>
      <c r="G83" s="19">
        <v>0</v>
      </c>
      <c r="H83" s="19">
        <v>0</v>
      </c>
      <c r="I83" s="19">
        <f>SUM(E83:H83)/Variables!$E$3</f>
        <v>0</v>
      </c>
      <c r="J83" s="4">
        <v>0</v>
      </c>
      <c r="K83">
        <v>729</v>
      </c>
      <c r="L83">
        <v>127579</v>
      </c>
      <c r="M83">
        <v>2459</v>
      </c>
      <c r="N83" s="6">
        <f>SUM(J83:M83)/Variables!$E$3</f>
        <v>0.10353763687756831</v>
      </c>
      <c r="O83" s="4">
        <v>0</v>
      </c>
      <c r="P83">
        <v>0</v>
      </c>
      <c r="Q83">
        <v>0</v>
      </c>
      <c r="R83">
        <v>0</v>
      </c>
      <c r="S83" s="6">
        <f>SUM(O83:R83)/Variables!$E$3</f>
        <v>0</v>
      </c>
      <c r="T83" s="12">
        <v>0</v>
      </c>
      <c r="U83" s="6">
        <v>0</v>
      </c>
      <c r="V83" s="6">
        <v>16147.2</v>
      </c>
      <c r="W83" s="6">
        <v>0</v>
      </c>
      <c r="X83" s="6">
        <f>SUM(T83:W83)/Variables!$E$3</f>
        <v>1.2784899326202108E-2</v>
      </c>
      <c r="Y83" s="12">
        <v>0</v>
      </c>
      <c r="Z83" s="6">
        <v>0</v>
      </c>
      <c r="AA83" s="6">
        <v>14517.7</v>
      </c>
      <c r="AB83" s="6">
        <v>0</v>
      </c>
      <c r="AC83" s="6">
        <f>SUM(Y83:AB83)/Variables!$E$3</f>
        <v>1.1494707004806056E-2</v>
      </c>
      <c r="AD83" s="4">
        <v>0</v>
      </c>
      <c r="AE83" s="2">
        <v>0</v>
      </c>
      <c r="AF83" s="2">
        <v>2172.6999999999998</v>
      </c>
      <c r="AG83" s="2">
        <v>0</v>
      </c>
      <c r="AH83" s="6">
        <f>SUM(AD83:AG83)/Variables!$E$3</f>
        <v>1.7202828209249479E-3</v>
      </c>
      <c r="AI83" s="4">
        <v>0</v>
      </c>
      <c r="AJ83" s="2">
        <v>0</v>
      </c>
      <c r="AK83" s="2">
        <v>1648.9</v>
      </c>
      <c r="AL83" s="2">
        <v>0</v>
      </c>
      <c r="AM83" s="6">
        <f>SUM(AI83:AL83)/Variables!$E$3</f>
        <v>1.305552696379227E-3</v>
      </c>
      <c r="AN83" s="4">
        <v>0</v>
      </c>
      <c r="AO83" s="2">
        <v>0</v>
      </c>
      <c r="AP83" s="2">
        <v>2413.6</v>
      </c>
      <c r="AQ83" s="2">
        <v>0</v>
      </c>
      <c r="AR83" s="6">
        <f>SUM(AN83:AQ83)/Variables!$E$3</f>
        <v>1.9110206731644747E-3</v>
      </c>
      <c r="AS83" s="4">
        <v>0</v>
      </c>
      <c r="AT83" s="2">
        <v>0</v>
      </c>
      <c r="AU83" s="2">
        <v>18031.3</v>
      </c>
      <c r="AV83" s="2">
        <v>161.80000000000001</v>
      </c>
      <c r="AW83" s="6">
        <f>SUM(AS83:AV83)/Variables!$E$3</f>
        <v>1.4404785469401974E-2</v>
      </c>
      <c r="AX83" s="4">
        <v>0</v>
      </c>
      <c r="AY83" s="2">
        <v>0</v>
      </c>
      <c r="AZ83" s="2">
        <v>6099.9</v>
      </c>
      <c r="BA83" s="2">
        <v>0</v>
      </c>
      <c r="BB83" s="6">
        <f>SUM(AX83:BA83)/Variables!$E$3</f>
        <v>4.8297294515396005E-3</v>
      </c>
      <c r="BC83" s="12">
        <f t="shared" si="29"/>
        <v>0</v>
      </c>
      <c r="BD83" s="110">
        <f t="shared" si="29"/>
        <v>0</v>
      </c>
      <c r="BE83" s="110">
        <f t="shared" si="29"/>
        <v>14517.7</v>
      </c>
      <c r="BF83" s="110">
        <f t="shared" si="29"/>
        <v>0</v>
      </c>
      <c r="BG83" s="6">
        <f>SUM(BC83:BF83)/Variables!$E$3</f>
        <v>1.1494707004806056E-2</v>
      </c>
      <c r="BH83" s="4">
        <v>0</v>
      </c>
      <c r="BI83">
        <v>0</v>
      </c>
      <c r="BJ83">
        <v>4535.3</v>
      </c>
      <c r="BK83">
        <v>0</v>
      </c>
      <c r="BL83" s="6">
        <f>SUM(BH83:BK83)/Variables!$E$3</f>
        <v>3.5909231268656128E-3</v>
      </c>
      <c r="BM83" s="110">
        <v>0</v>
      </c>
      <c r="BN83" s="110">
        <v>0</v>
      </c>
      <c r="BO83" s="110">
        <v>6868.5</v>
      </c>
      <c r="BP83" s="110">
        <v>0</v>
      </c>
      <c r="BQ83" s="6">
        <f>SUM(BM83:BP83)/Variables!$E$3</f>
        <v>5.4382853387596099E-3</v>
      </c>
      <c r="BS83" s="4">
        <v>81</v>
      </c>
      <c r="BT83" s="125">
        <f t="shared" si="16"/>
        <v>0</v>
      </c>
      <c r="BU83" s="125">
        <f t="shared" si="17"/>
        <v>0</v>
      </c>
      <c r="BV83" s="125">
        <f t="shared" si="18"/>
        <v>0</v>
      </c>
      <c r="BW83" s="125">
        <f t="shared" si="19"/>
        <v>0</v>
      </c>
      <c r="BX83" s="125">
        <f t="shared" si="20"/>
        <v>0</v>
      </c>
      <c r="BY83" s="125">
        <f t="shared" si="21"/>
        <v>0</v>
      </c>
      <c r="BZ83" s="125">
        <f t="shared" si="22"/>
        <v>0</v>
      </c>
      <c r="CA83" s="125">
        <f t="shared" si="23"/>
        <v>0</v>
      </c>
      <c r="CB83" s="125">
        <f t="shared" si="24"/>
        <v>0</v>
      </c>
      <c r="CC83" s="125">
        <f t="shared" si="25"/>
        <v>0</v>
      </c>
      <c r="CD83" s="125">
        <f t="shared" si="26"/>
        <v>0</v>
      </c>
      <c r="CE83" s="125">
        <f t="shared" si="27"/>
        <v>0</v>
      </c>
      <c r="CF83" s="126">
        <f t="shared" si="28"/>
        <v>0</v>
      </c>
      <c r="CH83" s="4">
        <v>81</v>
      </c>
      <c r="CI83" s="129">
        <v>0</v>
      </c>
      <c r="CJ83" s="125">
        <v>0</v>
      </c>
      <c r="CK83" s="125">
        <v>0</v>
      </c>
      <c r="CL83" s="125">
        <v>0</v>
      </c>
      <c r="CM83" s="125">
        <v>0</v>
      </c>
      <c r="CN83" s="125">
        <v>0</v>
      </c>
      <c r="CO83" s="125">
        <v>0</v>
      </c>
      <c r="CP83" s="125">
        <v>0</v>
      </c>
      <c r="CQ83" s="125">
        <v>0</v>
      </c>
      <c r="CR83" s="125">
        <v>0</v>
      </c>
      <c r="CS83" s="125">
        <v>0</v>
      </c>
      <c r="CT83" s="125">
        <v>0</v>
      </c>
      <c r="CU83" s="126">
        <v>0</v>
      </c>
    </row>
    <row r="84" spans="1:99" x14ac:dyDescent="0.25">
      <c r="A84" t="s">
        <v>204</v>
      </c>
      <c r="B84" s="2" t="s">
        <v>1</v>
      </c>
      <c r="C84" s="1">
        <v>9010</v>
      </c>
      <c r="D84" s="19">
        <v>54.68</v>
      </c>
      <c r="E84" s="18">
        <v>0</v>
      </c>
      <c r="F84" s="19">
        <v>0</v>
      </c>
      <c r="G84" s="19">
        <v>0</v>
      </c>
      <c r="H84" s="19">
        <v>0</v>
      </c>
      <c r="I84" s="19">
        <f>SUM(E84:H84)/Variables!$E$3</f>
        <v>0</v>
      </c>
      <c r="J84" s="4">
        <v>0</v>
      </c>
      <c r="K84">
        <v>0</v>
      </c>
      <c r="L84">
        <v>0</v>
      </c>
      <c r="M84">
        <v>0</v>
      </c>
      <c r="N84" s="6">
        <f>SUM(J84:M84)/Variables!$E$3</f>
        <v>0</v>
      </c>
      <c r="O84" s="4">
        <v>0</v>
      </c>
      <c r="P84">
        <v>0</v>
      </c>
      <c r="Q84">
        <v>0</v>
      </c>
      <c r="R84">
        <v>0</v>
      </c>
      <c r="S84" s="6">
        <f>SUM(O84:R84)/Variables!$E$3</f>
        <v>0</v>
      </c>
      <c r="T84" s="12">
        <v>0</v>
      </c>
      <c r="U84" s="6">
        <v>0</v>
      </c>
      <c r="V84" s="6">
        <v>0</v>
      </c>
      <c r="W84" s="6">
        <v>0</v>
      </c>
      <c r="X84" s="6">
        <f>SUM(T84:W84)/Variables!$E$3</f>
        <v>0</v>
      </c>
      <c r="Y84" s="12">
        <v>0</v>
      </c>
      <c r="Z84" s="6">
        <v>0</v>
      </c>
      <c r="AA84" s="6">
        <v>0</v>
      </c>
      <c r="AB84" s="6">
        <v>0</v>
      </c>
      <c r="AC84" s="6">
        <f>SUM(Y84:AB84)/Variables!$E$3</f>
        <v>0</v>
      </c>
      <c r="AD84" s="4">
        <v>0</v>
      </c>
      <c r="AE84" s="2">
        <v>0</v>
      </c>
      <c r="AF84" s="2">
        <v>0</v>
      </c>
      <c r="AG84" s="2">
        <v>0</v>
      </c>
      <c r="AH84" s="6">
        <f>SUM(AD84:AG84)/Variables!$E$3</f>
        <v>0</v>
      </c>
      <c r="AI84" s="4">
        <v>0</v>
      </c>
      <c r="AJ84" s="2">
        <v>0</v>
      </c>
      <c r="AK84" s="2">
        <v>0</v>
      </c>
      <c r="AL84" s="2">
        <v>0</v>
      </c>
      <c r="AM84" s="6">
        <f>SUM(AI84:AL84)/Variables!$E$3</f>
        <v>0</v>
      </c>
      <c r="AN84" s="4">
        <v>0</v>
      </c>
      <c r="AO84" s="2">
        <v>0</v>
      </c>
      <c r="AP84" s="2">
        <v>0</v>
      </c>
      <c r="AQ84" s="2">
        <v>0</v>
      </c>
      <c r="AR84" s="6">
        <f>SUM(AN84:AQ84)/Variables!$E$3</f>
        <v>0</v>
      </c>
      <c r="AS84" s="4">
        <v>0</v>
      </c>
      <c r="AT84" s="2">
        <v>0</v>
      </c>
      <c r="AU84" s="2">
        <v>0</v>
      </c>
      <c r="AV84" s="2">
        <v>0</v>
      </c>
      <c r="AW84" s="6">
        <f>SUM(AS84:AV84)/Variables!$E$3</f>
        <v>0</v>
      </c>
      <c r="AX84" s="4">
        <v>0</v>
      </c>
      <c r="AY84" s="2">
        <v>0</v>
      </c>
      <c r="AZ84" s="2">
        <v>0</v>
      </c>
      <c r="BA84" s="2">
        <v>0</v>
      </c>
      <c r="BB84" s="6">
        <f>SUM(AX84:BA84)/Variables!$E$3</f>
        <v>0</v>
      </c>
      <c r="BC84" s="12">
        <f t="shared" si="29"/>
        <v>0</v>
      </c>
      <c r="BD84" s="110">
        <f t="shared" si="29"/>
        <v>0</v>
      </c>
      <c r="BE84" s="110">
        <f t="shared" si="29"/>
        <v>0</v>
      </c>
      <c r="BF84" s="110">
        <f t="shared" si="29"/>
        <v>0</v>
      </c>
      <c r="BG84" s="6">
        <f>SUM(BC84:BF84)/Variables!$E$3</f>
        <v>0</v>
      </c>
      <c r="BH84" s="4">
        <v>0</v>
      </c>
      <c r="BI84">
        <v>0</v>
      </c>
      <c r="BJ84">
        <v>0</v>
      </c>
      <c r="BK84">
        <v>0</v>
      </c>
      <c r="BL84" s="6">
        <f>SUM(BH84:BK84)/Variables!$E$3</f>
        <v>0</v>
      </c>
      <c r="BM84" s="110">
        <v>0</v>
      </c>
      <c r="BN84" s="110">
        <v>0</v>
      </c>
      <c r="BO84" s="110">
        <v>0</v>
      </c>
      <c r="BP84" s="110">
        <v>0</v>
      </c>
      <c r="BQ84" s="6">
        <f>SUM(BM84:BP84)/Variables!$E$3</f>
        <v>0</v>
      </c>
      <c r="BS84" s="4">
        <v>82</v>
      </c>
      <c r="BT84" s="125">
        <f t="shared" si="16"/>
        <v>0</v>
      </c>
      <c r="BU84" s="125">
        <f t="shared" si="17"/>
        <v>7.1456622776110659E-2</v>
      </c>
      <c r="BV84" s="125">
        <f t="shared" si="18"/>
        <v>0</v>
      </c>
      <c r="BW84" s="125">
        <f t="shared" si="19"/>
        <v>1.4755461246724043E-2</v>
      </c>
      <c r="BX84" s="125">
        <f t="shared" si="20"/>
        <v>1.3752682127332758E-2</v>
      </c>
      <c r="BY84" s="125">
        <f t="shared" si="21"/>
        <v>3.7567993412457742E-3</v>
      </c>
      <c r="BZ84" s="125">
        <f t="shared" si="22"/>
        <v>3.3906048345592604E-3</v>
      </c>
      <c r="CA84" s="125">
        <f t="shared" si="23"/>
        <v>4.1314658073302252E-3</v>
      </c>
      <c r="CB84" s="125">
        <f t="shared" si="24"/>
        <v>1.6301237539489623E-2</v>
      </c>
      <c r="CC84" s="125">
        <f t="shared" si="25"/>
        <v>7.614787132122978E-3</v>
      </c>
      <c r="CD84" s="125">
        <f t="shared" si="26"/>
        <v>1.3752682127332758E-2</v>
      </c>
      <c r="CE84" s="125">
        <f t="shared" si="27"/>
        <v>5.8774020380208871E-3</v>
      </c>
      <c r="CF84" s="126">
        <f t="shared" si="28"/>
        <v>8.4249281466994997E-3</v>
      </c>
      <c r="CH84" s="4">
        <v>82</v>
      </c>
      <c r="CI84" s="129">
        <v>0</v>
      </c>
      <c r="CJ84" s="125">
        <v>0</v>
      </c>
      <c r="CK84" s="125">
        <v>0</v>
      </c>
      <c r="CL84" s="125">
        <v>0</v>
      </c>
      <c r="CM84" s="125">
        <v>0</v>
      </c>
      <c r="CN84" s="125">
        <v>0</v>
      </c>
      <c r="CO84" s="125">
        <v>0</v>
      </c>
      <c r="CP84" s="125">
        <v>0</v>
      </c>
      <c r="CQ84" s="125">
        <v>0</v>
      </c>
      <c r="CR84" s="125">
        <v>0</v>
      </c>
      <c r="CS84" s="125">
        <v>0</v>
      </c>
      <c r="CT84" s="125">
        <v>0</v>
      </c>
      <c r="CU84" s="126">
        <v>0</v>
      </c>
    </row>
    <row r="85" spans="1:99" x14ac:dyDescent="0.25">
      <c r="A85" t="s">
        <v>204</v>
      </c>
      <c r="B85" s="2" t="s">
        <v>2</v>
      </c>
      <c r="C85" s="1">
        <v>9101</v>
      </c>
      <c r="D85" s="19">
        <v>179.96</v>
      </c>
      <c r="E85" s="18">
        <v>0</v>
      </c>
      <c r="F85" s="19">
        <v>0</v>
      </c>
      <c r="G85" s="19">
        <v>0</v>
      </c>
      <c r="H85" s="19">
        <v>0</v>
      </c>
      <c r="I85" s="19">
        <f>SUM(E85:H85)/Variables!$E$3</f>
        <v>0</v>
      </c>
      <c r="J85" s="4">
        <v>0</v>
      </c>
      <c r="K85">
        <v>1342</v>
      </c>
      <c r="L85">
        <v>84434</v>
      </c>
      <c r="M85">
        <v>4473</v>
      </c>
      <c r="N85" s="6">
        <f>SUM(J85:M85)/Variables!$E$3</f>
        <v>7.1456622776110659E-2</v>
      </c>
      <c r="O85" s="4">
        <v>0</v>
      </c>
      <c r="P85">
        <v>0</v>
      </c>
      <c r="Q85">
        <v>0</v>
      </c>
      <c r="R85">
        <v>0</v>
      </c>
      <c r="S85" s="6">
        <f>SUM(O85:R85)/Variables!$E$3</f>
        <v>0</v>
      </c>
      <c r="T85" s="12">
        <v>0</v>
      </c>
      <c r="U85" s="6">
        <v>0</v>
      </c>
      <c r="V85" s="6">
        <v>18636</v>
      </c>
      <c r="W85" s="6">
        <v>0</v>
      </c>
      <c r="X85" s="6">
        <f>SUM(T85:W85)/Variables!$E$3</f>
        <v>1.4755461246724043E-2</v>
      </c>
      <c r="Y85" s="12">
        <v>0</v>
      </c>
      <c r="Z85" s="6">
        <v>0</v>
      </c>
      <c r="AA85" s="6">
        <v>17369.5</v>
      </c>
      <c r="AB85" s="6">
        <v>0</v>
      </c>
      <c r="AC85" s="6">
        <f>SUM(Y85:AB85)/Variables!$E$3</f>
        <v>1.3752682127332758E-2</v>
      </c>
      <c r="AD85" s="4">
        <v>0</v>
      </c>
      <c r="AE85" s="2">
        <v>0</v>
      </c>
      <c r="AF85" s="2">
        <v>4640.6000000000004</v>
      </c>
      <c r="AG85" s="2">
        <v>104.2</v>
      </c>
      <c r="AH85" s="6">
        <f>SUM(AD85:AG85)/Variables!$E$3</f>
        <v>3.7567993412457742E-3</v>
      </c>
      <c r="AI85" s="4">
        <v>0</v>
      </c>
      <c r="AJ85" s="2">
        <v>0</v>
      </c>
      <c r="AK85" s="2">
        <v>4282.3</v>
      </c>
      <c r="AL85" s="2">
        <v>0</v>
      </c>
      <c r="AM85" s="6">
        <f>SUM(AI85:AL85)/Variables!$E$3</f>
        <v>3.3906048345592604E-3</v>
      </c>
      <c r="AN85" s="4">
        <v>0</v>
      </c>
      <c r="AO85" s="2">
        <v>0</v>
      </c>
      <c r="AP85" s="2">
        <v>5136.6000000000004</v>
      </c>
      <c r="AQ85" s="2">
        <v>81.400000000000503</v>
      </c>
      <c r="AR85" s="6">
        <f>SUM(AN85:AQ85)/Variables!$E$3</f>
        <v>4.1314658073302252E-3</v>
      </c>
      <c r="AS85" s="4">
        <v>0</v>
      </c>
      <c r="AT85" s="2">
        <v>0</v>
      </c>
      <c r="AU85" s="2">
        <v>19932.2</v>
      </c>
      <c r="AV85" s="2">
        <v>656.1</v>
      </c>
      <c r="AW85" s="6">
        <f>SUM(AS85:AV85)/Variables!$E$3</f>
        <v>1.6301237539489623E-2</v>
      </c>
      <c r="AX85" s="4">
        <v>0</v>
      </c>
      <c r="AY85" s="2">
        <v>0</v>
      </c>
      <c r="AZ85" s="2">
        <v>9220.2999999999993</v>
      </c>
      <c r="BA85" s="2">
        <v>397.1</v>
      </c>
      <c r="BB85" s="6">
        <f>SUM(AX85:BA85)/Variables!$E$3</f>
        <v>7.614787132122978E-3</v>
      </c>
      <c r="BC85" s="12">
        <f t="shared" si="29"/>
        <v>0</v>
      </c>
      <c r="BD85" s="110">
        <f t="shared" si="29"/>
        <v>0</v>
      </c>
      <c r="BE85" s="110">
        <f t="shared" si="29"/>
        <v>17369.5</v>
      </c>
      <c r="BF85" s="110">
        <f t="shared" si="29"/>
        <v>0</v>
      </c>
      <c r="BG85" s="6">
        <f>SUM(BC85:BF85)/Variables!$E$3</f>
        <v>1.3752682127332758E-2</v>
      </c>
      <c r="BH85" s="4">
        <v>0</v>
      </c>
      <c r="BI85">
        <v>0</v>
      </c>
      <c r="BJ85">
        <v>7423.1</v>
      </c>
      <c r="BK85">
        <v>0</v>
      </c>
      <c r="BL85" s="6">
        <f>SUM(BH85:BK85)/Variables!$E$3</f>
        <v>5.8774020380208871E-3</v>
      </c>
      <c r="BM85" s="110">
        <v>0</v>
      </c>
      <c r="BN85" s="110">
        <v>0</v>
      </c>
      <c r="BO85" s="110">
        <v>10228.5</v>
      </c>
      <c r="BP85" s="110">
        <v>412.1</v>
      </c>
      <c r="BQ85" s="6">
        <f>SUM(BM85:BP85)/Variables!$E$3</f>
        <v>8.4249281466994997E-3</v>
      </c>
      <c r="BS85" s="4">
        <v>83</v>
      </c>
      <c r="BT85" s="125">
        <f t="shared" si="16"/>
        <v>0</v>
      </c>
      <c r="BU85" s="125">
        <f t="shared" si="17"/>
        <v>5.1469132772230974E-2</v>
      </c>
      <c r="BV85" s="125">
        <f t="shared" si="18"/>
        <v>0</v>
      </c>
      <c r="BW85" s="125">
        <f t="shared" si="19"/>
        <v>1.0952105717384935E-2</v>
      </c>
      <c r="BX85" s="125">
        <f t="shared" si="20"/>
        <v>1.0414096707020641E-2</v>
      </c>
      <c r="BY85" s="125">
        <f t="shared" si="21"/>
        <v>4.9644890300002374E-3</v>
      </c>
      <c r="BZ85" s="125">
        <f t="shared" si="22"/>
        <v>3.8223580550914896E-3</v>
      </c>
      <c r="CA85" s="125">
        <f t="shared" si="23"/>
        <v>4.5586267508056283E-3</v>
      </c>
      <c r="CB85" s="125">
        <f t="shared" si="24"/>
        <v>1.238228331182353E-2</v>
      </c>
      <c r="CC85" s="125">
        <f t="shared" si="25"/>
        <v>6.9769356843680484E-3</v>
      </c>
      <c r="CD85" s="125">
        <f t="shared" si="26"/>
        <v>1.0414096707020641E-2</v>
      </c>
      <c r="CE85" s="125">
        <f t="shared" si="27"/>
        <v>5.8784313414991405E-3</v>
      </c>
      <c r="CF85" s="126">
        <f t="shared" si="28"/>
        <v>7.8781304681747287E-3</v>
      </c>
      <c r="CH85" s="4">
        <v>83</v>
      </c>
      <c r="CI85" s="129">
        <v>0</v>
      </c>
      <c r="CJ85" s="125">
        <v>0.10101742689965874</v>
      </c>
      <c r="CK85" s="125">
        <v>0</v>
      </c>
      <c r="CL85" s="125">
        <v>0</v>
      </c>
      <c r="CM85" s="125">
        <v>0</v>
      </c>
      <c r="CN85" s="125">
        <v>0</v>
      </c>
      <c r="CO85" s="125">
        <v>0</v>
      </c>
      <c r="CP85" s="125">
        <v>0</v>
      </c>
      <c r="CQ85" s="125">
        <v>0</v>
      </c>
      <c r="CR85" s="125">
        <v>0</v>
      </c>
      <c r="CS85" s="125">
        <v>0</v>
      </c>
      <c r="CT85" s="125">
        <v>0</v>
      </c>
      <c r="CU85" s="126">
        <v>0</v>
      </c>
    </row>
    <row r="86" spans="1:99" x14ac:dyDescent="0.25">
      <c r="A86" t="s">
        <v>205</v>
      </c>
      <c r="B86" s="2" t="s">
        <v>3</v>
      </c>
      <c r="C86" s="1">
        <v>9191</v>
      </c>
      <c r="D86" s="19">
        <v>107.16</v>
      </c>
      <c r="E86" s="18">
        <v>0</v>
      </c>
      <c r="F86" s="19">
        <v>0</v>
      </c>
      <c r="G86" s="19">
        <v>0</v>
      </c>
      <c r="H86" s="19">
        <v>0</v>
      </c>
      <c r="I86" s="19">
        <f>SUM(E86:H86)/Variables!$E$3</f>
        <v>0</v>
      </c>
      <c r="J86" s="4">
        <v>0</v>
      </c>
      <c r="K86">
        <v>671</v>
      </c>
      <c r="L86">
        <v>62064</v>
      </c>
      <c r="M86">
        <v>2270</v>
      </c>
      <c r="N86" s="6">
        <f>SUM(J86:M86)/Variables!$E$3</f>
        <v>5.1469132772230974E-2</v>
      </c>
      <c r="O86" s="4">
        <v>0</v>
      </c>
      <c r="P86">
        <v>0</v>
      </c>
      <c r="Q86">
        <v>0</v>
      </c>
      <c r="R86">
        <v>0</v>
      </c>
      <c r="S86" s="6">
        <f>SUM(O86:R86)/Variables!$E$3</f>
        <v>0</v>
      </c>
      <c r="T86" s="12">
        <v>0</v>
      </c>
      <c r="U86" s="6">
        <v>0</v>
      </c>
      <c r="V86" s="6">
        <v>13832.4</v>
      </c>
      <c r="W86" s="6">
        <v>0</v>
      </c>
      <c r="X86" s="6">
        <f>SUM(T86:W86)/Variables!$E$3</f>
        <v>1.0952105717384935E-2</v>
      </c>
      <c r="Y86" s="12">
        <v>0</v>
      </c>
      <c r="Z86" s="6">
        <v>0</v>
      </c>
      <c r="AA86" s="6">
        <v>13152.9</v>
      </c>
      <c r="AB86" s="6">
        <v>0</v>
      </c>
      <c r="AC86" s="6">
        <f>SUM(Y86:AB86)/Variables!$E$3</f>
        <v>1.0414096707020641E-2</v>
      </c>
      <c r="AD86" s="4">
        <v>0</v>
      </c>
      <c r="AE86" s="2">
        <v>0</v>
      </c>
      <c r="AF86" s="2">
        <v>6270.1</v>
      </c>
      <c r="AG86" s="2">
        <v>0</v>
      </c>
      <c r="AH86" s="6">
        <f>SUM(AD86:AG86)/Variables!$E$3</f>
        <v>4.9644890300002374E-3</v>
      </c>
      <c r="AI86" s="4">
        <v>0</v>
      </c>
      <c r="AJ86" s="2">
        <v>0</v>
      </c>
      <c r="AK86" s="2">
        <v>4827.6000000000004</v>
      </c>
      <c r="AL86" s="2">
        <v>0</v>
      </c>
      <c r="AM86" s="6">
        <f>SUM(AI86:AL86)/Variables!$E$3</f>
        <v>3.8223580550914896E-3</v>
      </c>
      <c r="AN86" s="4">
        <v>0</v>
      </c>
      <c r="AO86" s="2">
        <v>0</v>
      </c>
      <c r="AP86" s="2">
        <v>5757.5</v>
      </c>
      <c r="AQ86" s="2">
        <v>0</v>
      </c>
      <c r="AR86" s="6">
        <f>SUM(AN86:AQ86)/Variables!$E$3</f>
        <v>4.5586267508056283E-3</v>
      </c>
      <c r="AS86" s="4">
        <v>0</v>
      </c>
      <c r="AT86" s="2">
        <v>0</v>
      </c>
      <c r="AU86" s="2">
        <v>15335.2</v>
      </c>
      <c r="AV86" s="2">
        <v>303.5</v>
      </c>
      <c r="AW86" s="6">
        <f>SUM(AS86:AV86)/Variables!$E$3</f>
        <v>1.238228331182353E-2</v>
      </c>
      <c r="AX86" s="4">
        <v>0</v>
      </c>
      <c r="AY86" s="2">
        <v>0</v>
      </c>
      <c r="AZ86" s="2">
        <v>8641.6</v>
      </c>
      <c r="BA86" s="2">
        <v>170.2</v>
      </c>
      <c r="BB86" s="6">
        <f>SUM(AX86:BA86)/Variables!$E$3</f>
        <v>6.9769356843680484E-3</v>
      </c>
      <c r="BC86" s="12">
        <f t="shared" si="29"/>
        <v>0</v>
      </c>
      <c r="BD86" s="110">
        <f t="shared" si="29"/>
        <v>0</v>
      </c>
      <c r="BE86" s="110">
        <f t="shared" si="29"/>
        <v>13152.9</v>
      </c>
      <c r="BF86" s="110">
        <f t="shared" si="29"/>
        <v>0</v>
      </c>
      <c r="BG86" s="6">
        <f>SUM(BC86:BF86)/Variables!$E$3</f>
        <v>1.0414096707020641E-2</v>
      </c>
      <c r="BH86" s="4">
        <v>0</v>
      </c>
      <c r="BI86">
        <v>0</v>
      </c>
      <c r="BJ86">
        <v>7424.4</v>
      </c>
      <c r="BK86">
        <v>0</v>
      </c>
      <c r="BL86" s="6">
        <f>SUM(BH86:BK86)/Variables!$E$3</f>
        <v>5.8784313414991405E-3</v>
      </c>
      <c r="BM86" s="110">
        <v>0</v>
      </c>
      <c r="BN86" s="110">
        <v>0</v>
      </c>
      <c r="BO86" s="110">
        <v>9778.2999999999993</v>
      </c>
      <c r="BP86" s="110">
        <v>171.7</v>
      </c>
      <c r="BQ86" s="6">
        <f>SUM(BM86:BP86)/Variables!$E$3</f>
        <v>7.8781304681747287E-3</v>
      </c>
      <c r="BS86" s="4">
        <v>84</v>
      </c>
      <c r="BT86" s="125">
        <f t="shared" si="16"/>
        <v>0</v>
      </c>
      <c r="BU86" s="125">
        <f t="shared" si="17"/>
        <v>0</v>
      </c>
      <c r="BV86" s="125">
        <f t="shared" si="18"/>
        <v>0</v>
      </c>
      <c r="BW86" s="125">
        <f t="shared" si="19"/>
        <v>0</v>
      </c>
      <c r="BX86" s="125">
        <f t="shared" si="20"/>
        <v>0</v>
      </c>
      <c r="BY86" s="125">
        <f t="shared" si="21"/>
        <v>0</v>
      </c>
      <c r="BZ86" s="125">
        <f t="shared" si="22"/>
        <v>0</v>
      </c>
      <c r="CA86" s="125">
        <f t="shared" si="23"/>
        <v>0</v>
      </c>
      <c r="CB86" s="125">
        <f t="shared" si="24"/>
        <v>0</v>
      </c>
      <c r="CC86" s="125">
        <f t="shared" si="25"/>
        <v>0</v>
      </c>
      <c r="CD86" s="125">
        <f t="shared" si="26"/>
        <v>0</v>
      </c>
      <c r="CE86" s="125">
        <f t="shared" si="27"/>
        <v>0</v>
      </c>
      <c r="CF86" s="126">
        <f t="shared" si="28"/>
        <v>0</v>
      </c>
      <c r="CH86" s="4">
        <v>84</v>
      </c>
      <c r="CI86" s="129">
        <v>0</v>
      </c>
      <c r="CJ86" s="125">
        <v>0</v>
      </c>
      <c r="CK86" s="125">
        <v>0</v>
      </c>
      <c r="CL86" s="125">
        <v>0</v>
      </c>
      <c r="CM86" s="125">
        <v>0</v>
      </c>
      <c r="CN86" s="125">
        <v>0</v>
      </c>
      <c r="CO86" s="125">
        <v>0</v>
      </c>
      <c r="CP86" s="125">
        <v>0</v>
      </c>
      <c r="CQ86" s="125">
        <v>0</v>
      </c>
      <c r="CR86" s="125">
        <v>0</v>
      </c>
      <c r="CS86" s="125">
        <v>0</v>
      </c>
      <c r="CT86" s="125">
        <v>0</v>
      </c>
      <c r="CU86" s="126">
        <v>0</v>
      </c>
    </row>
    <row r="87" spans="1:99" x14ac:dyDescent="0.25">
      <c r="A87" t="s">
        <v>205</v>
      </c>
      <c r="B87" s="2" t="s">
        <v>4</v>
      </c>
      <c r="C87" s="1">
        <v>9283</v>
      </c>
      <c r="D87" s="19">
        <v>19.46</v>
      </c>
      <c r="E87" s="18">
        <v>0</v>
      </c>
      <c r="F87" s="19">
        <v>0</v>
      </c>
      <c r="G87" s="19">
        <v>0</v>
      </c>
      <c r="H87" s="19">
        <v>0</v>
      </c>
      <c r="I87" s="19">
        <f>SUM(E87:H87)/Variables!$E$3</f>
        <v>0</v>
      </c>
      <c r="J87" s="4">
        <v>0</v>
      </c>
      <c r="K87">
        <v>0</v>
      </c>
      <c r="L87">
        <v>0</v>
      </c>
      <c r="M87">
        <v>0</v>
      </c>
      <c r="N87" s="6">
        <f>SUM(J87:M87)/Variables!$E$3</f>
        <v>0</v>
      </c>
      <c r="O87" s="4">
        <v>0</v>
      </c>
      <c r="P87">
        <v>0</v>
      </c>
      <c r="Q87">
        <v>0</v>
      </c>
      <c r="R87">
        <v>0</v>
      </c>
      <c r="S87" s="6">
        <f>SUM(O87:R87)/Variables!$E$3</f>
        <v>0</v>
      </c>
      <c r="T87" s="12">
        <v>0</v>
      </c>
      <c r="U87" s="6">
        <v>0</v>
      </c>
      <c r="V87" s="6">
        <v>0</v>
      </c>
      <c r="W87" s="6">
        <v>0</v>
      </c>
      <c r="X87" s="6">
        <f>SUM(T87:W87)/Variables!$E$3</f>
        <v>0</v>
      </c>
      <c r="Y87" s="12">
        <v>0</v>
      </c>
      <c r="Z87" s="6">
        <v>0</v>
      </c>
      <c r="AA87" s="6">
        <v>0</v>
      </c>
      <c r="AB87" s="6">
        <v>0</v>
      </c>
      <c r="AC87" s="6">
        <f>SUM(Y87:AB87)/Variables!$E$3</f>
        <v>0</v>
      </c>
      <c r="AD87" s="4">
        <v>0</v>
      </c>
      <c r="AE87" s="2">
        <v>0</v>
      </c>
      <c r="AF87" s="2">
        <v>0</v>
      </c>
      <c r="AG87" s="2">
        <v>0</v>
      </c>
      <c r="AH87" s="6">
        <f>SUM(AD87:AG87)/Variables!$E$3</f>
        <v>0</v>
      </c>
      <c r="AI87" s="4">
        <v>0</v>
      </c>
      <c r="AJ87" s="2">
        <v>0</v>
      </c>
      <c r="AK87" s="2">
        <v>0</v>
      </c>
      <c r="AL87" s="2">
        <v>0</v>
      </c>
      <c r="AM87" s="6">
        <f>SUM(AI87:AL87)/Variables!$E$3</f>
        <v>0</v>
      </c>
      <c r="AN87" s="4">
        <v>0</v>
      </c>
      <c r="AO87" s="2">
        <v>0</v>
      </c>
      <c r="AP87" s="2">
        <v>0</v>
      </c>
      <c r="AQ87" s="2">
        <v>0</v>
      </c>
      <c r="AR87" s="6">
        <f>SUM(AN87:AQ87)/Variables!$E$3</f>
        <v>0</v>
      </c>
      <c r="AS87" s="4">
        <v>0</v>
      </c>
      <c r="AT87" s="2">
        <v>0</v>
      </c>
      <c r="AU87" s="2">
        <v>0</v>
      </c>
      <c r="AV87" s="2">
        <v>0</v>
      </c>
      <c r="AW87" s="6">
        <f>SUM(AS87:AV87)/Variables!$E$3</f>
        <v>0</v>
      </c>
      <c r="AX87" s="4">
        <v>0</v>
      </c>
      <c r="AY87" s="2">
        <v>0</v>
      </c>
      <c r="AZ87" s="2">
        <v>0</v>
      </c>
      <c r="BA87" s="2">
        <v>0</v>
      </c>
      <c r="BB87" s="6">
        <f>SUM(AX87:BA87)/Variables!$E$3</f>
        <v>0</v>
      </c>
      <c r="BC87" s="12">
        <f t="shared" si="29"/>
        <v>0</v>
      </c>
      <c r="BD87" s="110">
        <f t="shared" si="29"/>
        <v>0</v>
      </c>
      <c r="BE87" s="110">
        <f t="shared" si="29"/>
        <v>0</v>
      </c>
      <c r="BF87" s="110">
        <f t="shared" si="29"/>
        <v>0</v>
      </c>
      <c r="BG87" s="6">
        <f>SUM(BC87:BF87)/Variables!$E$3</f>
        <v>0</v>
      </c>
      <c r="BH87" s="4">
        <v>0</v>
      </c>
      <c r="BI87">
        <v>0</v>
      </c>
      <c r="BJ87">
        <v>0</v>
      </c>
      <c r="BK87">
        <v>0</v>
      </c>
      <c r="BL87" s="6">
        <f>SUM(BH87:BK87)/Variables!$E$3</f>
        <v>0</v>
      </c>
      <c r="BM87" s="110">
        <v>0</v>
      </c>
      <c r="BN87" s="110">
        <v>0</v>
      </c>
      <c r="BO87" s="110">
        <v>0</v>
      </c>
      <c r="BP87" s="110">
        <v>0</v>
      </c>
      <c r="BQ87" s="6">
        <f>SUM(BM87:BP87)/Variables!$E$3</f>
        <v>0</v>
      </c>
      <c r="BS87" s="4">
        <v>85</v>
      </c>
      <c r="BT87" s="125">
        <f t="shared" si="16"/>
        <v>0</v>
      </c>
      <c r="BU87" s="125">
        <f t="shared" si="17"/>
        <v>0</v>
      </c>
      <c r="BV87" s="125">
        <f t="shared" si="18"/>
        <v>0</v>
      </c>
      <c r="BW87" s="125">
        <f t="shared" si="19"/>
        <v>0</v>
      </c>
      <c r="BX87" s="125">
        <f t="shared" si="20"/>
        <v>0</v>
      </c>
      <c r="BY87" s="125">
        <f t="shared" si="21"/>
        <v>0</v>
      </c>
      <c r="BZ87" s="125">
        <f t="shared" si="22"/>
        <v>0</v>
      </c>
      <c r="CA87" s="125">
        <f t="shared" si="23"/>
        <v>0</v>
      </c>
      <c r="CB87" s="125">
        <f t="shared" si="24"/>
        <v>0</v>
      </c>
      <c r="CC87" s="125">
        <f t="shared" si="25"/>
        <v>0</v>
      </c>
      <c r="CD87" s="125">
        <f t="shared" si="26"/>
        <v>0</v>
      </c>
      <c r="CE87" s="125">
        <f t="shared" si="27"/>
        <v>0</v>
      </c>
      <c r="CF87" s="126">
        <f t="shared" si="28"/>
        <v>0</v>
      </c>
      <c r="CH87" s="4">
        <v>85</v>
      </c>
      <c r="CI87" s="129">
        <v>0</v>
      </c>
      <c r="CJ87" s="125">
        <v>0</v>
      </c>
      <c r="CK87" s="125">
        <v>0</v>
      </c>
      <c r="CL87" s="125">
        <v>0</v>
      </c>
      <c r="CM87" s="125">
        <v>0</v>
      </c>
      <c r="CN87" s="125">
        <v>0</v>
      </c>
      <c r="CO87" s="125">
        <v>0</v>
      </c>
      <c r="CP87" s="125">
        <v>0</v>
      </c>
      <c r="CQ87" s="125">
        <v>0</v>
      </c>
      <c r="CR87" s="125">
        <v>0</v>
      </c>
      <c r="CS87" s="125">
        <v>0</v>
      </c>
      <c r="CT87" s="125">
        <v>0</v>
      </c>
      <c r="CU87" s="126">
        <v>0</v>
      </c>
    </row>
    <row r="88" spans="1:99" x14ac:dyDescent="0.25">
      <c r="A88" t="s">
        <v>205</v>
      </c>
      <c r="B88" s="2" t="s">
        <v>1</v>
      </c>
      <c r="C88" s="1">
        <v>9375</v>
      </c>
      <c r="D88" s="19">
        <v>54.96</v>
      </c>
      <c r="E88" s="18">
        <v>0</v>
      </c>
      <c r="F88" s="19">
        <v>0</v>
      </c>
      <c r="G88" s="19">
        <v>0</v>
      </c>
      <c r="H88" s="19">
        <v>0</v>
      </c>
      <c r="I88" s="19">
        <f>SUM(E88:H88)/Variables!$E$3</f>
        <v>0</v>
      </c>
      <c r="J88" s="4">
        <v>0</v>
      </c>
      <c r="K88">
        <v>0</v>
      </c>
      <c r="L88">
        <v>0</v>
      </c>
      <c r="M88">
        <v>0</v>
      </c>
      <c r="N88" s="6">
        <f>SUM(J88:M88)/Variables!$E$3</f>
        <v>0</v>
      </c>
      <c r="O88" s="4">
        <v>0</v>
      </c>
      <c r="P88">
        <v>0</v>
      </c>
      <c r="Q88">
        <v>0</v>
      </c>
      <c r="R88">
        <v>0</v>
      </c>
      <c r="S88" s="6">
        <f>SUM(O88:R88)/Variables!$E$3</f>
        <v>0</v>
      </c>
      <c r="T88" s="12">
        <v>0</v>
      </c>
      <c r="U88" s="6">
        <v>0</v>
      </c>
      <c r="V88" s="6">
        <v>0</v>
      </c>
      <c r="W88" s="6">
        <v>0</v>
      </c>
      <c r="X88" s="6">
        <f>SUM(T88:W88)/Variables!$E$3</f>
        <v>0</v>
      </c>
      <c r="Y88" s="12">
        <v>0</v>
      </c>
      <c r="Z88" s="6">
        <v>0</v>
      </c>
      <c r="AA88" s="6">
        <v>0</v>
      </c>
      <c r="AB88" s="6">
        <v>0</v>
      </c>
      <c r="AC88" s="6">
        <f>SUM(Y88:AB88)/Variables!$E$3</f>
        <v>0</v>
      </c>
      <c r="AD88" s="4">
        <v>0</v>
      </c>
      <c r="AE88" s="2">
        <v>0</v>
      </c>
      <c r="AF88" s="2">
        <v>0</v>
      </c>
      <c r="AG88" s="2">
        <v>0</v>
      </c>
      <c r="AH88" s="6">
        <f>SUM(AD88:AG88)/Variables!$E$3</f>
        <v>0</v>
      </c>
      <c r="AI88" s="4">
        <v>0</v>
      </c>
      <c r="AJ88" s="2">
        <v>0</v>
      </c>
      <c r="AK88" s="2">
        <v>0</v>
      </c>
      <c r="AL88" s="2">
        <v>0</v>
      </c>
      <c r="AM88" s="6">
        <f>SUM(AI88:AL88)/Variables!$E$3</f>
        <v>0</v>
      </c>
      <c r="AN88" s="4">
        <v>0</v>
      </c>
      <c r="AO88" s="2">
        <v>0</v>
      </c>
      <c r="AP88" s="2">
        <v>0</v>
      </c>
      <c r="AQ88" s="2">
        <v>0</v>
      </c>
      <c r="AR88" s="6">
        <f>SUM(AN88:AQ88)/Variables!$E$3</f>
        <v>0</v>
      </c>
      <c r="AS88" s="4">
        <v>0</v>
      </c>
      <c r="AT88" s="2">
        <v>0</v>
      </c>
      <c r="AU88" s="2">
        <v>0</v>
      </c>
      <c r="AV88" s="2">
        <v>0</v>
      </c>
      <c r="AW88" s="6">
        <f>SUM(AS88:AV88)/Variables!$E$3</f>
        <v>0</v>
      </c>
      <c r="AX88" s="4">
        <v>0</v>
      </c>
      <c r="AY88" s="2">
        <v>0</v>
      </c>
      <c r="AZ88" s="2">
        <v>0</v>
      </c>
      <c r="BA88" s="2">
        <v>0</v>
      </c>
      <c r="BB88" s="6">
        <f>SUM(AX88:BA88)/Variables!$E$3</f>
        <v>0</v>
      </c>
      <c r="BC88" s="12">
        <f t="shared" si="29"/>
        <v>0</v>
      </c>
      <c r="BD88" s="110">
        <f t="shared" si="29"/>
        <v>0</v>
      </c>
      <c r="BE88" s="110">
        <f t="shared" si="29"/>
        <v>0</v>
      </c>
      <c r="BF88" s="110">
        <f t="shared" si="29"/>
        <v>0</v>
      </c>
      <c r="BG88" s="6">
        <f>SUM(BC88:BF88)/Variables!$E$3</f>
        <v>0</v>
      </c>
      <c r="BH88" s="4">
        <v>0</v>
      </c>
      <c r="BI88">
        <v>0</v>
      </c>
      <c r="BJ88">
        <v>0</v>
      </c>
      <c r="BK88">
        <v>0</v>
      </c>
      <c r="BL88" s="6">
        <f>SUM(BH88:BK88)/Variables!$E$3</f>
        <v>0</v>
      </c>
      <c r="BM88" s="110">
        <v>0</v>
      </c>
      <c r="BN88" s="110">
        <v>0</v>
      </c>
      <c r="BO88" s="110">
        <v>0</v>
      </c>
      <c r="BP88" s="110">
        <v>0</v>
      </c>
      <c r="BQ88" s="6">
        <f>SUM(BM88:BP88)/Variables!$E$3</f>
        <v>0</v>
      </c>
      <c r="BS88" s="4">
        <v>86</v>
      </c>
      <c r="BT88" s="125">
        <f t="shared" si="16"/>
        <v>0</v>
      </c>
      <c r="BU88" s="125">
        <f t="shared" si="17"/>
        <v>0</v>
      </c>
      <c r="BV88" s="125">
        <f t="shared" si="18"/>
        <v>0</v>
      </c>
      <c r="BW88" s="125">
        <f t="shared" si="19"/>
        <v>0</v>
      </c>
      <c r="BX88" s="125">
        <f t="shared" si="20"/>
        <v>0</v>
      </c>
      <c r="BY88" s="125">
        <f t="shared" si="21"/>
        <v>0</v>
      </c>
      <c r="BZ88" s="125">
        <f t="shared" si="22"/>
        <v>0</v>
      </c>
      <c r="CA88" s="125">
        <f t="shared" si="23"/>
        <v>0</v>
      </c>
      <c r="CB88" s="125">
        <f t="shared" si="24"/>
        <v>0</v>
      </c>
      <c r="CC88" s="125">
        <f t="shared" si="25"/>
        <v>0</v>
      </c>
      <c r="CD88" s="125">
        <f t="shared" si="26"/>
        <v>0</v>
      </c>
      <c r="CE88" s="125">
        <f t="shared" si="27"/>
        <v>0</v>
      </c>
      <c r="CF88" s="126">
        <f t="shared" si="28"/>
        <v>0</v>
      </c>
      <c r="CH88" s="4">
        <v>86</v>
      </c>
      <c r="CI88" s="129">
        <v>0</v>
      </c>
      <c r="CJ88" s="125">
        <v>0</v>
      </c>
      <c r="CK88" s="125">
        <v>0</v>
      </c>
      <c r="CL88" s="125">
        <v>0</v>
      </c>
      <c r="CM88" s="125">
        <v>0</v>
      </c>
      <c r="CN88" s="125">
        <v>0</v>
      </c>
      <c r="CO88" s="125">
        <v>0</v>
      </c>
      <c r="CP88" s="125">
        <v>0</v>
      </c>
      <c r="CQ88" s="125">
        <v>0</v>
      </c>
      <c r="CR88" s="125">
        <v>0</v>
      </c>
      <c r="CS88" s="125">
        <v>0</v>
      </c>
      <c r="CT88" s="125">
        <v>0</v>
      </c>
      <c r="CU88" s="126">
        <v>0</v>
      </c>
    </row>
    <row r="89" spans="1:99" x14ac:dyDescent="0.25">
      <c r="A89" t="s">
        <v>205</v>
      </c>
      <c r="B89" s="2" t="s">
        <v>2</v>
      </c>
      <c r="C89" s="1">
        <v>9466</v>
      </c>
      <c r="D89" s="19">
        <v>96.82</v>
      </c>
      <c r="E89" s="18">
        <v>0</v>
      </c>
      <c r="F89" s="19">
        <v>0</v>
      </c>
      <c r="G89" s="19">
        <v>0</v>
      </c>
      <c r="H89" s="19">
        <v>0</v>
      </c>
      <c r="I89" s="19">
        <f>SUM(E89:H89)/Variables!$E$3</f>
        <v>0</v>
      </c>
      <c r="J89" s="4">
        <v>0</v>
      </c>
      <c r="K89">
        <v>0</v>
      </c>
      <c r="L89">
        <v>0</v>
      </c>
      <c r="M89">
        <v>0</v>
      </c>
      <c r="N89" s="6">
        <f>SUM(J89:M89)/Variables!$E$3</f>
        <v>0</v>
      </c>
      <c r="O89" s="4">
        <v>0</v>
      </c>
      <c r="P89">
        <v>0</v>
      </c>
      <c r="Q89">
        <v>0</v>
      </c>
      <c r="R89">
        <v>0</v>
      </c>
      <c r="S89" s="6">
        <f>SUM(O89:R89)/Variables!$E$3</f>
        <v>0</v>
      </c>
      <c r="T89" s="12">
        <v>0</v>
      </c>
      <c r="U89" s="6">
        <v>0</v>
      </c>
      <c r="V89" s="6">
        <v>0</v>
      </c>
      <c r="W89" s="6">
        <v>0</v>
      </c>
      <c r="X89" s="6">
        <f>SUM(T89:W89)/Variables!$E$3</f>
        <v>0</v>
      </c>
      <c r="Y89" s="12">
        <v>0</v>
      </c>
      <c r="Z89" s="6">
        <v>0</v>
      </c>
      <c r="AA89" s="6">
        <v>0</v>
      </c>
      <c r="AB89" s="6">
        <v>0</v>
      </c>
      <c r="AC89" s="6">
        <f>SUM(Y89:AB89)/Variables!$E$3</f>
        <v>0</v>
      </c>
      <c r="AD89" s="4">
        <v>0</v>
      </c>
      <c r="AE89" s="2">
        <v>0</v>
      </c>
      <c r="AF89" s="2">
        <v>0</v>
      </c>
      <c r="AG89" s="2">
        <v>0</v>
      </c>
      <c r="AH89" s="6">
        <f>SUM(AD89:AG89)/Variables!$E$3</f>
        <v>0</v>
      </c>
      <c r="AI89" s="4">
        <v>0</v>
      </c>
      <c r="AJ89" s="2">
        <v>0</v>
      </c>
      <c r="AK89" s="2">
        <v>0</v>
      </c>
      <c r="AL89" s="2">
        <v>0</v>
      </c>
      <c r="AM89" s="6">
        <f>SUM(AI89:AL89)/Variables!$E$3</f>
        <v>0</v>
      </c>
      <c r="AN89" s="4">
        <v>0</v>
      </c>
      <c r="AO89" s="2">
        <v>0</v>
      </c>
      <c r="AP89" s="2">
        <v>0</v>
      </c>
      <c r="AQ89" s="2">
        <v>0</v>
      </c>
      <c r="AR89" s="6">
        <f>SUM(AN89:AQ89)/Variables!$E$3</f>
        <v>0</v>
      </c>
      <c r="AS89" s="4">
        <v>0</v>
      </c>
      <c r="AT89" s="2">
        <v>0</v>
      </c>
      <c r="AU89" s="2">
        <v>0</v>
      </c>
      <c r="AV89" s="2">
        <v>0</v>
      </c>
      <c r="AW89" s="6">
        <f>SUM(AS89:AV89)/Variables!$E$3</f>
        <v>0</v>
      </c>
      <c r="AX89" s="4">
        <v>0</v>
      </c>
      <c r="AY89" s="2">
        <v>0</v>
      </c>
      <c r="AZ89" s="2">
        <v>0</v>
      </c>
      <c r="BA89" s="2">
        <v>0</v>
      </c>
      <c r="BB89" s="6">
        <f>SUM(AX89:BA89)/Variables!$E$3</f>
        <v>0</v>
      </c>
      <c r="BC89" s="12">
        <f t="shared" si="29"/>
        <v>0</v>
      </c>
      <c r="BD89" s="110">
        <f t="shared" si="29"/>
        <v>0</v>
      </c>
      <c r="BE89" s="110">
        <f t="shared" si="29"/>
        <v>0</v>
      </c>
      <c r="BF89" s="110">
        <f t="shared" si="29"/>
        <v>0</v>
      </c>
      <c r="BG89" s="6">
        <f>SUM(BC89:BF89)/Variables!$E$3</f>
        <v>0</v>
      </c>
      <c r="BH89" s="4">
        <v>0</v>
      </c>
      <c r="BI89">
        <v>0</v>
      </c>
      <c r="BJ89">
        <v>0</v>
      </c>
      <c r="BK89">
        <v>0</v>
      </c>
      <c r="BL89" s="6">
        <f>SUM(BH89:BK89)/Variables!$E$3</f>
        <v>0</v>
      </c>
      <c r="BM89" s="110">
        <v>0</v>
      </c>
      <c r="BN89" s="110">
        <v>0</v>
      </c>
      <c r="BO89" s="110">
        <v>0</v>
      </c>
      <c r="BP89" s="110">
        <v>0</v>
      </c>
      <c r="BQ89" s="6">
        <f>SUM(BM89:BP89)/Variables!$E$3</f>
        <v>0</v>
      </c>
      <c r="BS89" s="4">
        <v>87</v>
      </c>
      <c r="BT89" s="125">
        <f t="shared" si="16"/>
        <v>0</v>
      </c>
      <c r="BU89" s="125">
        <f t="shared" si="17"/>
        <v>4.8303628690646798E-2</v>
      </c>
      <c r="BV89" s="125">
        <f t="shared" si="18"/>
        <v>0</v>
      </c>
      <c r="BW89" s="125">
        <f t="shared" si="19"/>
        <v>2.4544929096825788E-3</v>
      </c>
      <c r="BX89" s="125">
        <f t="shared" si="20"/>
        <v>2.2364389266740035E-3</v>
      </c>
      <c r="BY89" s="125">
        <f t="shared" si="21"/>
        <v>0</v>
      </c>
      <c r="BZ89" s="125">
        <f t="shared" si="22"/>
        <v>1.6072969698889143E-4</v>
      </c>
      <c r="CA89" s="125">
        <f t="shared" si="23"/>
        <v>4.3365347310746796E-4</v>
      </c>
      <c r="CB89" s="125">
        <f t="shared" si="24"/>
        <v>2.4517217080103565E-3</v>
      </c>
      <c r="CC89" s="125">
        <f t="shared" si="25"/>
        <v>1.2893213722990681E-3</v>
      </c>
      <c r="CD89" s="125">
        <f t="shared" si="26"/>
        <v>2.2364389266740035E-3</v>
      </c>
      <c r="CE89" s="125">
        <f t="shared" si="27"/>
        <v>6.945423162495356E-4</v>
      </c>
      <c r="CF89" s="126">
        <f t="shared" si="28"/>
        <v>1.002462410628746E-3</v>
      </c>
      <c r="CH89" s="4">
        <v>87</v>
      </c>
      <c r="CI89" s="129">
        <v>0</v>
      </c>
      <c r="CJ89" s="125">
        <v>0</v>
      </c>
      <c r="CK89" s="125">
        <v>0</v>
      </c>
      <c r="CL89" s="125">
        <v>0</v>
      </c>
      <c r="CM89" s="125">
        <v>0</v>
      </c>
      <c r="CN89" s="125">
        <v>0</v>
      </c>
      <c r="CO89" s="125">
        <v>0</v>
      </c>
      <c r="CP89" s="125">
        <v>0</v>
      </c>
      <c r="CQ89" s="125">
        <v>0</v>
      </c>
      <c r="CR89" s="125">
        <v>0</v>
      </c>
      <c r="CS89" s="125">
        <v>0</v>
      </c>
      <c r="CT89" s="125">
        <v>0</v>
      </c>
      <c r="CU89" s="126">
        <v>0</v>
      </c>
    </row>
    <row r="90" spans="1:99" x14ac:dyDescent="0.25">
      <c r="A90" t="s">
        <v>206</v>
      </c>
      <c r="B90" s="2" t="s">
        <v>3</v>
      </c>
      <c r="C90" s="1">
        <v>9556</v>
      </c>
      <c r="D90" s="19">
        <v>178.42</v>
      </c>
      <c r="E90" s="18">
        <v>0</v>
      </c>
      <c r="F90" s="19">
        <v>0</v>
      </c>
      <c r="G90" s="19">
        <v>0</v>
      </c>
      <c r="H90" s="19">
        <v>0</v>
      </c>
      <c r="I90" s="19">
        <f>SUM(E90:H90)/Variables!$E$3</f>
        <v>0</v>
      </c>
      <c r="J90" s="4">
        <v>0</v>
      </c>
      <c r="K90">
        <v>0</v>
      </c>
      <c r="L90">
        <v>59653</v>
      </c>
      <c r="M90">
        <v>1354</v>
      </c>
      <c r="N90" s="6">
        <f>SUM(J90:M90)/Variables!$E$3</f>
        <v>4.8303628690646798E-2</v>
      </c>
      <c r="O90" s="4">
        <v>0</v>
      </c>
      <c r="P90">
        <v>0</v>
      </c>
      <c r="Q90">
        <v>0</v>
      </c>
      <c r="R90">
        <v>0</v>
      </c>
      <c r="S90" s="6">
        <f>SUM(O90:R90)/Variables!$E$3</f>
        <v>0</v>
      </c>
      <c r="T90" s="12">
        <v>0</v>
      </c>
      <c r="U90" s="6">
        <v>0</v>
      </c>
      <c r="V90" s="6">
        <v>3100</v>
      </c>
      <c r="W90" s="6">
        <v>0</v>
      </c>
      <c r="X90" s="6">
        <f>SUM(T90:W90)/Variables!$E$3</f>
        <v>2.4544929096825788E-3</v>
      </c>
      <c r="Y90" s="12">
        <v>0</v>
      </c>
      <c r="Z90" s="6">
        <v>0</v>
      </c>
      <c r="AA90" s="6">
        <v>2824.6</v>
      </c>
      <c r="AB90" s="6">
        <v>0</v>
      </c>
      <c r="AC90" s="6">
        <f>SUM(Y90:AB90)/Variables!$E$3</f>
        <v>2.2364389266740035E-3</v>
      </c>
      <c r="AD90" s="4">
        <v>0</v>
      </c>
      <c r="AE90" s="2">
        <v>0</v>
      </c>
      <c r="AF90" s="2">
        <v>0</v>
      </c>
      <c r="AG90" s="2">
        <v>0</v>
      </c>
      <c r="AH90" s="6">
        <f>SUM(AD90:AG90)/Variables!$E$3</f>
        <v>0</v>
      </c>
      <c r="AI90" s="4">
        <v>0</v>
      </c>
      <c r="AJ90" s="2">
        <v>0</v>
      </c>
      <c r="AK90" s="2">
        <v>203</v>
      </c>
      <c r="AL90" s="2">
        <v>0</v>
      </c>
      <c r="AM90" s="6">
        <f>SUM(AI90:AL90)/Variables!$E$3</f>
        <v>1.6072969698889143E-4</v>
      </c>
      <c r="AN90" s="4">
        <v>0</v>
      </c>
      <c r="AO90" s="2">
        <v>0</v>
      </c>
      <c r="AP90" s="2">
        <v>547.70000000000095</v>
      </c>
      <c r="AQ90" s="2">
        <v>0</v>
      </c>
      <c r="AR90" s="6">
        <f>SUM(AN90:AQ90)/Variables!$E$3</f>
        <v>4.3365347310746796E-4</v>
      </c>
      <c r="AS90" s="4">
        <v>0</v>
      </c>
      <c r="AT90" s="2">
        <v>0</v>
      </c>
      <c r="AU90" s="2">
        <v>3096.5</v>
      </c>
      <c r="AV90" s="2">
        <v>0</v>
      </c>
      <c r="AW90" s="6">
        <f>SUM(AS90:AV90)/Variables!$E$3</f>
        <v>2.4517217080103565E-3</v>
      </c>
      <c r="AX90" s="4">
        <v>0</v>
      </c>
      <c r="AY90" s="2">
        <v>0</v>
      </c>
      <c r="AZ90" s="2">
        <v>1628.4</v>
      </c>
      <c r="BA90" s="2">
        <v>0</v>
      </c>
      <c r="BB90" s="6">
        <f>SUM(AX90:BA90)/Variables!$E$3</f>
        <v>1.2893213722990681E-3</v>
      </c>
      <c r="BC90" s="12">
        <f t="shared" si="29"/>
        <v>0</v>
      </c>
      <c r="BD90" s="110">
        <f t="shared" si="29"/>
        <v>0</v>
      </c>
      <c r="BE90" s="110">
        <f t="shared" si="29"/>
        <v>2824.6</v>
      </c>
      <c r="BF90" s="110">
        <f t="shared" si="29"/>
        <v>0</v>
      </c>
      <c r="BG90" s="6">
        <f>SUM(BC90:BF90)/Variables!$E$3</f>
        <v>2.2364389266740035E-3</v>
      </c>
      <c r="BH90" s="4">
        <v>0</v>
      </c>
      <c r="BI90">
        <v>0</v>
      </c>
      <c r="BJ90">
        <v>877.20000000000095</v>
      </c>
      <c r="BK90">
        <v>0</v>
      </c>
      <c r="BL90" s="6">
        <f>SUM(BH90:BK90)/Variables!$E$3</f>
        <v>6.945423162495356E-4</v>
      </c>
      <c r="BM90" s="110">
        <v>0</v>
      </c>
      <c r="BN90" s="110">
        <v>0</v>
      </c>
      <c r="BO90" s="110">
        <v>1266.0999999999999</v>
      </c>
      <c r="BP90" s="110">
        <v>0</v>
      </c>
      <c r="BQ90" s="6">
        <f>SUM(BM90:BP90)/Variables!$E$3</f>
        <v>1.002462410628746E-3</v>
      </c>
      <c r="BS90" s="4">
        <v>88</v>
      </c>
      <c r="BT90" s="125">
        <f t="shared" si="16"/>
        <v>0</v>
      </c>
      <c r="BU90" s="125">
        <f t="shared" si="17"/>
        <v>7.9177190634921891E-3</v>
      </c>
      <c r="BV90" s="125">
        <f t="shared" si="18"/>
        <v>0</v>
      </c>
      <c r="BW90" s="125">
        <f t="shared" si="19"/>
        <v>2.0103088702206668E-4</v>
      </c>
      <c r="BX90" s="125">
        <f t="shared" si="20"/>
        <v>1.6278830394539939E-4</v>
      </c>
      <c r="BY90" s="125">
        <f t="shared" si="21"/>
        <v>0</v>
      </c>
      <c r="BZ90" s="125">
        <f t="shared" si="22"/>
        <v>0</v>
      </c>
      <c r="CA90" s="125">
        <f t="shared" si="23"/>
        <v>0</v>
      </c>
      <c r="CB90" s="125">
        <f t="shared" si="24"/>
        <v>2.3571049652016247E-4</v>
      </c>
      <c r="CC90" s="125">
        <f t="shared" si="25"/>
        <v>0</v>
      </c>
      <c r="CD90" s="125">
        <f t="shared" si="26"/>
        <v>1.6278830394539939E-4</v>
      </c>
      <c r="CE90" s="125">
        <f t="shared" si="27"/>
        <v>0</v>
      </c>
      <c r="CF90" s="126">
        <f t="shared" si="28"/>
        <v>4.196391103651003E-6</v>
      </c>
      <c r="CH90" s="4">
        <v>88</v>
      </c>
      <c r="CI90" s="129">
        <v>0</v>
      </c>
      <c r="CJ90" s="125">
        <v>0</v>
      </c>
      <c r="CK90" s="125">
        <v>0</v>
      </c>
      <c r="CL90" s="125">
        <v>0</v>
      </c>
      <c r="CM90" s="125">
        <v>0</v>
      </c>
      <c r="CN90" s="125">
        <v>0</v>
      </c>
      <c r="CO90" s="125">
        <v>0</v>
      </c>
      <c r="CP90" s="125">
        <v>0</v>
      </c>
      <c r="CQ90" s="125">
        <v>0</v>
      </c>
      <c r="CR90" s="125">
        <v>0</v>
      </c>
      <c r="CS90" s="125">
        <v>0</v>
      </c>
      <c r="CT90" s="125">
        <v>0</v>
      </c>
      <c r="CU90" s="126">
        <v>0</v>
      </c>
    </row>
    <row r="91" spans="1:99" x14ac:dyDescent="0.25">
      <c r="A91" t="s">
        <v>206</v>
      </c>
      <c r="B91" s="2" t="s">
        <v>4</v>
      </c>
      <c r="C91" s="1">
        <v>9648</v>
      </c>
      <c r="D91" s="19">
        <v>213.48</v>
      </c>
      <c r="E91" s="18">
        <v>0</v>
      </c>
      <c r="F91" s="19">
        <v>0</v>
      </c>
      <c r="G91" s="19">
        <v>0</v>
      </c>
      <c r="H91" s="19">
        <v>0</v>
      </c>
      <c r="I91" s="19">
        <f>SUM(E91:H91)/Variables!$E$3</f>
        <v>0</v>
      </c>
      <c r="J91" s="4">
        <v>0</v>
      </c>
      <c r="K91">
        <v>0</v>
      </c>
      <c r="L91">
        <v>10000</v>
      </c>
      <c r="M91">
        <v>0</v>
      </c>
      <c r="N91" s="6">
        <f>SUM(J91:M91)/Variables!$E$3</f>
        <v>7.9177190634921891E-3</v>
      </c>
      <c r="O91" s="4">
        <v>0</v>
      </c>
      <c r="P91">
        <v>0</v>
      </c>
      <c r="Q91">
        <v>0</v>
      </c>
      <c r="R91">
        <v>0</v>
      </c>
      <c r="S91" s="6">
        <f>SUM(O91:R91)/Variables!$E$3</f>
        <v>0</v>
      </c>
      <c r="T91" s="12">
        <v>0</v>
      </c>
      <c r="U91" s="6">
        <v>0</v>
      </c>
      <c r="V91" s="6">
        <v>253.9</v>
      </c>
      <c r="W91" s="6">
        <v>0</v>
      </c>
      <c r="X91" s="6">
        <f>SUM(T91:W91)/Variables!$E$3</f>
        <v>2.0103088702206668E-4</v>
      </c>
      <c r="Y91" s="12">
        <v>0</v>
      </c>
      <c r="Z91" s="6">
        <v>0</v>
      </c>
      <c r="AA91" s="6">
        <v>205.6</v>
      </c>
      <c r="AB91" s="6">
        <v>0</v>
      </c>
      <c r="AC91" s="6">
        <f>SUM(Y91:AB91)/Variables!$E$3</f>
        <v>1.6278830394539939E-4</v>
      </c>
      <c r="AD91" s="4">
        <v>0</v>
      </c>
      <c r="AE91" s="2">
        <v>0</v>
      </c>
      <c r="AF91" s="2">
        <v>0</v>
      </c>
      <c r="AG91" s="2">
        <v>0</v>
      </c>
      <c r="AH91" s="6">
        <f>SUM(AD91:AG91)/Variables!$E$3</f>
        <v>0</v>
      </c>
      <c r="AI91" s="4">
        <v>0</v>
      </c>
      <c r="AJ91" s="2">
        <v>0</v>
      </c>
      <c r="AK91" s="2">
        <v>0</v>
      </c>
      <c r="AL91" s="2">
        <v>0</v>
      </c>
      <c r="AM91" s="6">
        <f>SUM(AI91:AL91)/Variables!$E$3</f>
        <v>0</v>
      </c>
      <c r="AN91" s="4">
        <v>0</v>
      </c>
      <c r="AO91" s="2">
        <v>0</v>
      </c>
      <c r="AP91" s="2">
        <v>0</v>
      </c>
      <c r="AQ91" s="2">
        <v>0</v>
      </c>
      <c r="AR91" s="6">
        <f>SUM(AN91:AQ91)/Variables!$E$3</f>
        <v>0</v>
      </c>
      <c r="AS91" s="4">
        <v>0</v>
      </c>
      <c r="AT91" s="2">
        <v>0</v>
      </c>
      <c r="AU91" s="2">
        <v>297.7</v>
      </c>
      <c r="AV91" s="2">
        <v>0</v>
      </c>
      <c r="AW91" s="6">
        <f>SUM(AS91:AV91)/Variables!$E$3</f>
        <v>2.3571049652016247E-4</v>
      </c>
      <c r="AX91" s="4">
        <v>0</v>
      </c>
      <c r="AY91" s="2">
        <v>0</v>
      </c>
      <c r="AZ91" s="2">
        <v>0</v>
      </c>
      <c r="BA91" s="2">
        <v>0</v>
      </c>
      <c r="BB91" s="6">
        <f>SUM(AX91:BA91)/Variables!$E$3</f>
        <v>0</v>
      </c>
      <c r="BC91" s="12">
        <f t="shared" si="29"/>
        <v>0</v>
      </c>
      <c r="BD91" s="110">
        <f t="shared" si="29"/>
        <v>0</v>
      </c>
      <c r="BE91" s="110">
        <f t="shared" si="29"/>
        <v>205.6</v>
      </c>
      <c r="BF91" s="110">
        <f t="shared" si="29"/>
        <v>0</v>
      </c>
      <c r="BG91" s="6">
        <f>SUM(BC91:BF91)/Variables!$E$3</f>
        <v>1.6278830394539939E-4</v>
      </c>
      <c r="BH91" s="4">
        <v>0</v>
      </c>
      <c r="BI91">
        <v>0</v>
      </c>
      <c r="BJ91">
        <v>0</v>
      </c>
      <c r="BK91">
        <v>0</v>
      </c>
      <c r="BL91" s="6">
        <f>SUM(BH91:BK91)/Variables!$E$3</f>
        <v>0</v>
      </c>
      <c r="BM91" s="110">
        <v>0</v>
      </c>
      <c r="BN91" s="110">
        <v>0</v>
      </c>
      <c r="BO91" s="110">
        <v>5.3000000000001801</v>
      </c>
      <c r="BP91" s="110">
        <v>0</v>
      </c>
      <c r="BQ91" s="6">
        <f>SUM(BM91:BP91)/Variables!$E$3</f>
        <v>4.196391103651003E-6</v>
      </c>
      <c r="BS91" s="4">
        <v>89</v>
      </c>
      <c r="BT91" s="125">
        <f t="shared" si="16"/>
        <v>0</v>
      </c>
      <c r="BU91" s="125">
        <f t="shared" si="17"/>
        <v>1.9366740829301894E-3</v>
      </c>
      <c r="BV91" s="125">
        <f t="shared" si="18"/>
        <v>0</v>
      </c>
      <c r="BW91" s="125">
        <f t="shared" si="19"/>
        <v>0</v>
      </c>
      <c r="BX91" s="125">
        <f t="shared" si="20"/>
        <v>0</v>
      </c>
      <c r="BY91" s="125">
        <f t="shared" si="21"/>
        <v>0</v>
      </c>
      <c r="BZ91" s="125">
        <f t="shared" si="22"/>
        <v>0</v>
      </c>
      <c r="CA91" s="125">
        <f t="shared" si="23"/>
        <v>0</v>
      </c>
      <c r="CB91" s="125">
        <f t="shared" si="24"/>
        <v>0</v>
      </c>
      <c r="CC91" s="125">
        <f t="shared" si="25"/>
        <v>0</v>
      </c>
      <c r="CD91" s="125">
        <f t="shared" si="26"/>
        <v>0</v>
      </c>
      <c r="CE91" s="125">
        <f t="shared" si="27"/>
        <v>0</v>
      </c>
      <c r="CF91" s="126">
        <f t="shared" si="28"/>
        <v>0</v>
      </c>
      <c r="CH91" s="4">
        <v>89</v>
      </c>
      <c r="CI91" s="129">
        <v>0</v>
      </c>
      <c r="CJ91" s="125">
        <v>0</v>
      </c>
      <c r="CK91" s="125">
        <v>0</v>
      </c>
      <c r="CL91" s="125">
        <v>0</v>
      </c>
      <c r="CM91" s="125">
        <v>0</v>
      </c>
      <c r="CN91" s="125">
        <v>0</v>
      </c>
      <c r="CO91" s="125">
        <v>0</v>
      </c>
      <c r="CP91" s="125">
        <v>0</v>
      </c>
      <c r="CQ91" s="125">
        <v>0</v>
      </c>
      <c r="CR91" s="125">
        <v>0</v>
      </c>
      <c r="CS91" s="125">
        <v>0</v>
      </c>
      <c r="CT91" s="125">
        <v>0</v>
      </c>
      <c r="CU91" s="126">
        <v>0</v>
      </c>
    </row>
    <row r="92" spans="1:99" x14ac:dyDescent="0.25">
      <c r="A92" t="s">
        <v>206</v>
      </c>
      <c r="B92" s="2" t="s">
        <v>1</v>
      </c>
      <c r="C92" s="1">
        <v>9740</v>
      </c>
      <c r="D92" s="19">
        <v>18.64</v>
      </c>
      <c r="E92" s="18">
        <v>0</v>
      </c>
      <c r="F92" s="19">
        <v>0</v>
      </c>
      <c r="G92" s="19">
        <v>0</v>
      </c>
      <c r="H92" s="19">
        <v>0</v>
      </c>
      <c r="I92" s="19">
        <f>SUM(E92:H92)/Variables!$E$3</f>
        <v>0</v>
      </c>
      <c r="J92" s="4">
        <v>0</v>
      </c>
      <c r="K92">
        <v>0</v>
      </c>
      <c r="L92">
        <v>2446</v>
      </c>
      <c r="M92">
        <v>0</v>
      </c>
      <c r="N92" s="6">
        <f>SUM(J92:M92)/Variables!$E$3</f>
        <v>1.9366740829301894E-3</v>
      </c>
      <c r="O92" s="4">
        <v>0</v>
      </c>
      <c r="P92">
        <v>0</v>
      </c>
      <c r="Q92">
        <v>0</v>
      </c>
      <c r="R92">
        <v>0</v>
      </c>
      <c r="S92" s="6">
        <f>SUM(O92:R92)/Variables!$E$3</f>
        <v>0</v>
      </c>
      <c r="T92" s="12">
        <v>0</v>
      </c>
      <c r="U92" s="6">
        <v>0</v>
      </c>
      <c r="V92" s="6">
        <v>0</v>
      </c>
      <c r="W92" s="6">
        <v>0</v>
      </c>
      <c r="X92" s="6">
        <f>SUM(T92:W92)/Variables!$E$3</f>
        <v>0</v>
      </c>
      <c r="Y92" s="12">
        <v>0</v>
      </c>
      <c r="Z92" s="6">
        <v>0</v>
      </c>
      <c r="AA92" s="6">
        <v>0</v>
      </c>
      <c r="AB92" s="6">
        <v>0</v>
      </c>
      <c r="AC92" s="6">
        <f>SUM(Y92:AB92)/Variables!$E$3</f>
        <v>0</v>
      </c>
      <c r="AD92" s="4">
        <v>0</v>
      </c>
      <c r="AE92" s="2">
        <v>0</v>
      </c>
      <c r="AF92" s="2">
        <v>0</v>
      </c>
      <c r="AG92" s="2">
        <v>0</v>
      </c>
      <c r="AH92" s="6">
        <f>SUM(AD92:AG92)/Variables!$E$3</f>
        <v>0</v>
      </c>
      <c r="AI92" s="4">
        <v>0</v>
      </c>
      <c r="AJ92" s="2">
        <v>0</v>
      </c>
      <c r="AK92" s="2">
        <v>0</v>
      </c>
      <c r="AL92" s="2">
        <v>0</v>
      </c>
      <c r="AM92" s="6">
        <f>SUM(AI92:AL92)/Variables!$E$3</f>
        <v>0</v>
      </c>
      <c r="AN92" s="4">
        <v>0</v>
      </c>
      <c r="AO92" s="2">
        <v>0</v>
      </c>
      <c r="AP92" s="2">
        <v>0</v>
      </c>
      <c r="AQ92" s="2">
        <v>0</v>
      </c>
      <c r="AR92" s="6">
        <f>SUM(AN92:AQ92)/Variables!$E$3</f>
        <v>0</v>
      </c>
      <c r="AS92" s="4">
        <v>0</v>
      </c>
      <c r="AT92" s="2">
        <v>0</v>
      </c>
      <c r="AU92" s="2">
        <v>0</v>
      </c>
      <c r="AV92" s="2">
        <v>0</v>
      </c>
      <c r="AW92" s="6">
        <f>SUM(AS92:AV92)/Variables!$E$3</f>
        <v>0</v>
      </c>
      <c r="AX92" s="4">
        <v>0</v>
      </c>
      <c r="AY92" s="2">
        <v>0</v>
      </c>
      <c r="AZ92" s="2">
        <v>0</v>
      </c>
      <c r="BA92" s="2">
        <v>0</v>
      </c>
      <c r="BB92" s="6">
        <f>SUM(AX92:BA92)/Variables!$E$3</f>
        <v>0</v>
      </c>
      <c r="BC92" s="12">
        <f t="shared" si="29"/>
        <v>0</v>
      </c>
      <c r="BD92" s="110">
        <f t="shared" si="29"/>
        <v>0</v>
      </c>
      <c r="BE92" s="110">
        <f t="shared" si="29"/>
        <v>0</v>
      </c>
      <c r="BF92" s="110">
        <f t="shared" si="29"/>
        <v>0</v>
      </c>
      <c r="BG92" s="6">
        <f>SUM(BC92:BF92)/Variables!$E$3</f>
        <v>0</v>
      </c>
      <c r="BH92" s="4">
        <v>0</v>
      </c>
      <c r="BI92">
        <v>0</v>
      </c>
      <c r="BJ92">
        <v>0</v>
      </c>
      <c r="BK92">
        <v>0</v>
      </c>
      <c r="BL92" s="6">
        <f>SUM(BH92:BK92)/Variables!$E$3</f>
        <v>0</v>
      </c>
      <c r="BM92" s="110">
        <v>0</v>
      </c>
      <c r="BN92" s="110">
        <v>0</v>
      </c>
      <c r="BO92" s="110">
        <v>0</v>
      </c>
      <c r="BP92" s="110">
        <v>0</v>
      </c>
      <c r="BQ92" s="6">
        <f>SUM(BM92:BP92)/Variables!$E$3</f>
        <v>0</v>
      </c>
      <c r="BS92" s="4">
        <v>90</v>
      </c>
      <c r="BT92" s="125">
        <f t="shared" si="16"/>
        <v>0</v>
      </c>
      <c r="BU92" s="125">
        <f t="shared" si="17"/>
        <v>0</v>
      </c>
      <c r="BV92" s="125">
        <f t="shared" si="18"/>
        <v>0</v>
      </c>
      <c r="BW92" s="125">
        <f t="shared" si="19"/>
        <v>0</v>
      </c>
      <c r="BX92" s="125">
        <f t="shared" si="20"/>
        <v>0</v>
      </c>
      <c r="BY92" s="125">
        <f t="shared" si="21"/>
        <v>0</v>
      </c>
      <c r="BZ92" s="125">
        <f t="shared" si="22"/>
        <v>0</v>
      </c>
      <c r="CA92" s="125">
        <f t="shared" si="23"/>
        <v>0</v>
      </c>
      <c r="CB92" s="125">
        <f t="shared" si="24"/>
        <v>0</v>
      </c>
      <c r="CC92" s="125">
        <f t="shared" si="25"/>
        <v>0</v>
      </c>
      <c r="CD92" s="125">
        <f t="shared" si="26"/>
        <v>0</v>
      </c>
      <c r="CE92" s="125">
        <f t="shared" si="27"/>
        <v>0</v>
      </c>
      <c r="CF92" s="126">
        <f t="shared" si="28"/>
        <v>0</v>
      </c>
      <c r="CH92" s="4">
        <v>90</v>
      </c>
      <c r="CI92" s="129">
        <v>0</v>
      </c>
      <c r="CJ92" s="125">
        <v>0</v>
      </c>
      <c r="CK92" s="125">
        <v>0</v>
      </c>
      <c r="CL92" s="125">
        <v>0</v>
      </c>
      <c r="CM92" s="125">
        <v>0</v>
      </c>
      <c r="CN92" s="125">
        <v>0</v>
      </c>
      <c r="CO92" s="125">
        <v>0</v>
      </c>
      <c r="CP92" s="125">
        <v>0</v>
      </c>
      <c r="CQ92" s="125">
        <v>0</v>
      </c>
      <c r="CR92" s="125">
        <v>0</v>
      </c>
      <c r="CS92" s="125">
        <v>0</v>
      </c>
      <c r="CT92" s="125">
        <v>0</v>
      </c>
      <c r="CU92" s="126">
        <v>0</v>
      </c>
    </row>
    <row r="93" spans="1:99" x14ac:dyDescent="0.25">
      <c r="A93" t="s">
        <v>206</v>
      </c>
      <c r="B93" s="2" t="s">
        <v>2</v>
      </c>
      <c r="C93" s="1">
        <v>9831</v>
      </c>
      <c r="D93" s="19">
        <v>22.825714285714302</v>
      </c>
      <c r="E93" s="18">
        <v>0</v>
      </c>
      <c r="F93" s="19">
        <v>0</v>
      </c>
      <c r="G93" s="19">
        <v>0</v>
      </c>
      <c r="H93" s="19">
        <v>0</v>
      </c>
      <c r="I93" s="19">
        <f>SUM(E93:H93)/Variables!$E$3</f>
        <v>0</v>
      </c>
      <c r="J93" s="4">
        <v>0</v>
      </c>
      <c r="K93">
        <v>0</v>
      </c>
      <c r="L93">
        <v>0</v>
      </c>
      <c r="M93">
        <v>0</v>
      </c>
      <c r="N93" s="6">
        <f>SUM(J93:M93)/Variables!$E$3</f>
        <v>0</v>
      </c>
      <c r="O93" s="4">
        <v>0</v>
      </c>
      <c r="P93">
        <v>0</v>
      </c>
      <c r="Q93">
        <v>0</v>
      </c>
      <c r="R93">
        <v>0</v>
      </c>
      <c r="S93" s="6">
        <f>SUM(O93:R93)/Variables!$E$3</f>
        <v>0</v>
      </c>
      <c r="T93" s="12">
        <v>0</v>
      </c>
      <c r="U93" s="6">
        <v>0</v>
      </c>
      <c r="V93" s="6">
        <v>0</v>
      </c>
      <c r="W93" s="6">
        <v>0</v>
      </c>
      <c r="X93" s="6">
        <f>SUM(T93:W93)/Variables!$E$3</f>
        <v>0</v>
      </c>
      <c r="Y93" s="12">
        <v>0</v>
      </c>
      <c r="Z93" s="6">
        <v>0</v>
      </c>
      <c r="AA93" s="6">
        <v>0</v>
      </c>
      <c r="AB93" s="6">
        <v>0</v>
      </c>
      <c r="AC93" s="6">
        <f>SUM(Y93:AB93)/Variables!$E$3</f>
        <v>0</v>
      </c>
      <c r="AD93" s="4">
        <v>0</v>
      </c>
      <c r="AE93" s="2">
        <v>0</v>
      </c>
      <c r="AF93" s="2">
        <v>0</v>
      </c>
      <c r="AG93" s="2">
        <v>0</v>
      </c>
      <c r="AH93" s="6">
        <f>SUM(AD93:AG93)/Variables!$E$3</f>
        <v>0</v>
      </c>
      <c r="AI93" s="4">
        <v>0</v>
      </c>
      <c r="AJ93" s="2">
        <v>0</v>
      </c>
      <c r="AK93" s="2">
        <v>0</v>
      </c>
      <c r="AL93" s="2">
        <v>0</v>
      </c>
      <c r="AM93" s="6">
        <f>SUM(AI93:AL93)/Variables!$E$3</f>
        <v>0</v>
      </c>
      <c r="AN93" s="4">
        <v>0</v>
      </c>
      <c r="AO93" s="2">
        <v>0</v>
      </c>
      <c r="AP93" s="2">
        <v>0</v>
      </c>
      <c r="AQ93" s="2">
        <v>0</v>
      </c>
      <c r="AR93" s="6">
        <f>SUM(AN93:AQ93)/Variables!$E$3</f>
        <v>0</v>
      </c>
      <c r="AS93" s="4">
        <v>0</v>
      </c>
      <c r="AT93" s="2">
        <v>0</v>
      </c>
      <c r="AU93" s="2">
        <v>0</v>
      </c>
      <c r="AV93" s="2">
        <v>0</v>
      </c>
      <c r="AW93" s="6">
        <f>SUM(AS93:AV93)/Variables!$E$3</f>
        <v>0</v>
      </c>
      <c r="AX93" s="4">
        <v>0</v>
      </c>
      <c r="AY93" s="2">
        <v>0</v>
      </c>
      <c r="AZ93" s="2">
        <v>0</v>
      </c>
      <c r="BA93" s="2">
        <v>0</v>
      </c>
      <c r="BB93" s="6">
        <f>SUM(AX93:BA93)/Variables!$E$3</f>
        <v>0</v>
      </c>
      <c r="BC93" s="12">
        <f t="shared" si="29"/>
        <v>0</v>
      </c>
      <c r="BD93" s="110">
        <f t="shared" si="29"/>
        <v>0</v>
      </c>
      <c r="BE93" s="110">
        <f t="shared" si="29"/>
        <v>0</v>
      </c>
      <c r="BF93" s="110">
        <f t="shared" si="29"/>
        <v>0</v>
      </c>
      <c r="BG93" s="6">
        <f>SUM(BC93:BF93)/Variables!$E$3</f>
        <v>0</v>
      </c>
      <c r="BH93" s="4">
        <v>0</v>
      </c>
      <c r="BI93">
        <v>0</v>
      </c>
      <c r="BJ93">
        <v>0</v>
      </c>
      <c r="BK93">
        <v>0</v>
      </c>
      <c r="BL93" s="6">
        <f>SUM(BH93:BK93)/Variables!$E$3</f>
        <v>0</v>
      </c>
      <c r="BM93" s="110">
        <v>0</v>
      </c>
      <c r="BN93" s="110">
        <v>0</v>
      </c>
      <c r="BO93" s="110">
        <v>0</v>
      </c>
      <c r="BP93" s="110">
        <v>0</v>
      </c>
      <c r="BQ93" s="6">
        <f>SUM(BM93:BP93)/Variables!$E$3</f>
        <v>0</v>
      </c>
      <c r="BS93" s="4">
        <v>91</v>
      </c>
      <c r="BT93" s="125">
        <f t="shared" si="16"/>
        <v>0</v>
      </c>
      <c r="BU93" s="125">
        <f t="shared" si="17"/>
        <v>0.17510194063294246</v>
      </c>
      <c r="BV93" s="125">
        <f t="shared" si="18"/>
        <v>2.430739752492102E-4</v>
      </c>
      <c r="BW93" s="125">
        <f t="shared" si="19"/>
        <v>2.6154205496480575E-2</v>
      </c>
      <c r="BX93" s="125">
        <f t="shared" si="20"/>
        <v>2.5068290326922621E-2</v>
      </c>
      <c r="BY93" s="125">
        <f t="shared" si="21"/>
        <v>1.2260112906673845E-2</v>
      </c>
      <c r="BZ93" s="125">
        <f t="shared" si="22"/>
        <v>9.6805200357880893E-3</v>
      </c>
      <c r="CA93" s="125">
        <f t="shared" si="23"/>
        <v>1.3092977774962588E-2</v>
      </c>
      <c r="CB93" s="125">
        <f t="shared" si="24"/>
        <v>3.0281395735516511E-2</v>
      </c>
      <c r="CC93" s="125">
        <f t="shared" si="25"/>
        <v>1.8715983499473472E-2</v>
      </c>
      <c r="CD93" s="125">
        <f t="shared" si="26"/>
        <v>2.5068290326922621E-2</v>
      </c>
      <c r="CE93" s="125">
        <f t="shared" si="27"/>
        <v>1.3958067759839746E-2</v>
      </c>
      <c r="CF93" s="126">
        <f t="shared" si="28"/>
        <v>1.8323502165496164E-2</v>
      </c>
      <c r="CH93" s="4">
        <v>91</v>
      </c>
      <c r="CI93" s="129">
        <v>0</v>
      </c>
      <c r="CJ93" s="125">
        <v>0.1641248149233169</v>
      </c>
      <c r="CK93" s="125">
        <v>0</v>
      </c>
      <c r="CL93" s="125">
        <v>0</v>
      </c>
      <c r="CM93" s="125">
        <v>0</v>
      </c>
      <c r="CN93" s="125">
        <v>0</v>
      </c>
      <c r="CO93" s="125">
        <v>0</v>
      </c>
      <c r="CP93" s="125">
        <v>0</v>
      </c>
      <c r="CQ93" s="125">
        <v>0</v>
      </c>
      <c r="CR93" s="125">
        <v>0</v>
      </c>
      <c r="CS93" s="125">
        <v>0</v>
      </c>
      <c r="CT93" s="125">
        <v>0</v>
      </c>
      <c r="CU93" s="126">
        <v>0</v>
      </c>
    </row>
    <row r="94" spans="1:99" x14ac:dyDescent="0.25">
      <c r="A94" t="s">
        <v>207</v>
      </c>
      <c r="B94" s="2" t="s">
        <v>3</v>
      </c>
      <c r="C94" s="1">
        <v>9921</v>
      </c>
      <c r="D94" s="19">
        <v>103.814285714286</v>
      </c>
      <c r="E94" s="18">
        <v>0</v>
      </c>
      <c r="F94" s="19">
        <v>0</v>
      </c>
      <c r="G94" s="19">
        <v>0</v>
      </c>
      <c r="H94" s="19">
        <v>0</v>
      </c>
      <c r="I94" s="19">
        <f>SUM(E94:H94)/Variables!$E$3</f>
        <v>0</v>
      </c>
      <c r="J94" s="4">
        <v>1189</v>
      </c>
      <c r="K94">
        <v>8991</v>
      </c>
      <c r="L94">
        <v>190069</v>
      </c>
      <c r="M94">
        <v>20903</v>
      </c>
      <c r="N94" s="6">
        <f>SUM(J94:M94)/Variables!$E$3</f>
        <v>0.17510194063294246</v>
      </c>
      <c r="O94" s="4">
        <v>0</v>
      </c>
      <c r="P94">
        <v>0</v>
      </c>
      <c r="Q94">
        <v>307</v>
      </c>
      <c r="R94">
        <v>0</v>
      </c>
      <c r="S94" s="6">
        <f>SUM(O94:R94)/Variables!$E$3</f>
        <v>2.430739752492102E-4</v>
      </c>
      <c r="T94" s="12">
        <v>0</v>
      </c>
      <c r="U94" s="6">
        <v>0</v>
      </c>
      <c r="V94" s="6">
        <v>31642.2</v>
      </c>
      <c r="W94" s="6">
        <v>1390.3</v>
      </c>
      <c r="X94" s="6">
        <f>SUM(T94:W94)/Variables!$E$3</f>
        <v>2.6154205496480575E-2</v>
      </c>
      <c r="Y94" s="12">
        <v>0</v>
      </c>
      <c r="Z94" s="6">
        <v>0</v>
      </c>
      <c r="AA94" s="6">
        <v>30211.599999999999</v>
      </c>
      <c r="AB94" s="6">
        <v>1449.4</v>
      </c>
      <c r="AC94" s="6">
        <f>SUM(Y94:AB94)/Variables!$E$3</f>
        <v>2.5068290326922621E-2</v>
      </c>
      <c r="AD94" s="4">
        <v>0</v>
      </c>
      <c r="AE94" s="2">
        <v>0</v>
      </c>
      <c r="AF94" s="2">
        <v>13140.8</v>
      </c>
      <c r="AG94" s="2">
        <v>2343.6</v>
      </c>
      <c r="AH94" s="6">
        <f>SUM(AD94:AG94)/Variables!$E$3</f>
        <v>1.2260112906673845E-2</v>
      </c>
      <c r="AI94" s="4">
        <v>0</v>
      </c>
      <c r="AJ94" s="2">
        <v>0</v>
      </c>
      <c r="AK94" s="2">
        <v>11874.3</v>
      </c>
      <c r="AL94" s="2">
        <v>352.1</v>
      </c>
      <c r="AM94" s="6">
        <f>SUM(AI94:AL94)/Variables!$E$3</f>
        <v>9.6805200357880893E-3</v>
      </c>
      <c r="AN94" s="4">
        <v>0</v>
      </c>
      <c r="AO94" s="2">
        <v>0</v>
      </c>
      <c r="AP94" s="2">
        <v>14096.3</v>
      </c>
      <c r="AQ94" s="2">
        <v>2440</v>
      </c>
      <c r="AR94" s="6">
        <f>SUM(AN94:AQ94)/Variables!$E$3</f>
        <v>1.3092977774962588E-2</v>
      </c>
      <c r="AS94" s="4">
        <v>0</v>
      </c>
      <c r="AT94" s="2">
        <v>0</v>
      </c>
      <c r="AU94" s="2">
        <v>33909.9</v>
      </c>
      <c r="AV94" s="2">
        <v>4335.2</v>
      </c>
      <c r="AW94" s="6">
        <f>SUM(AS94:AV94)/Variables!$E$3</f>
        <v>3.0281395735516511E-2</v>
      </c>
      <c r="AX94" s="4">
        <v>0</v>
      </c>
      <c r="AY94" s="2">
        <v>0</v>
      </c>
      <c r="AZ94" s="2">
        <v>20308</v>
      </c>
      <c r="BA94" s="2">
        <v>3330.1</v>
      </c>
      <c r="BB94" s="6">
        <f>SUM(AX94:BA94)/Variables!$E$3</f>
        <v>1.8715983499473472E-2</v>
      </c>
      <c r="BC94" s="12">
        <f t="shared" si="29"/>
        <v>0</v>
      </c>
      <c r="BD94" s="110">
        <f t="shared" si="29"/>
        <v>0</v>
      </c>
      <c r="BE94" s="110">
        <f t="shared" si="29"/>
        <v>30211.599999999999</v>
      </c>
      <c r="BF94" s="110">
        <f t="shared" si="29"/>
        <v>1449.4</v>
      </c>
      <c r="BG94" s="6">
        <f>SUM(BC94:BF94)/Variables!$E$3</f>
        <v>2.5068290326922621E-2</v>
      </c>
      <c r="BH94" s="4">
        <v>0</v>
      </c>
      <c r="BI94">
        <v>0</v>
      </c>
      <c r="BJ94">
        <v>16677.2</v>
      </c>
      <c r="BK94">
        <v>951.70000000000095</v>
      </c>
      <c r="BL94" s="6">
        <f>SUM(BH94:BK94)/Variables!$E$3</f>
        <v>1.3958067759839746E-2</v>
      </c>
      <c r="BM94" s="110">
        <v>0</v>
      </c>
      <c r="BN94" s="110">
        <v>0</v>
      </c>
      <c r="BO94" s="110">
        <v>20053.5</v>
      </c>
      <c r="BP94" s="110">
        <v>3088.9</v>
      </c>
      <c r="BQ94" s="6">
        <f>SUM(BM94:BP94)/Variables!$E$3</f>
        <v>1.8323502165496164E-2</v>
      </c>
      <c r="BS94" s="4">
        <v>92</v>
      </c>
      <c r="BT94" s="125">
        <f t="shared" si="16"/>
        <v>0</v>
      </c>
      <c r="BU94" s="125">
        <f t="shared" si="17"/>
        <v>4.2470645056572106E-3</v>
      </c>
      <c r="BV94" s="125">
        <f t="shared" si="18"/>
        <v>0</v>
      </c>
      <c r="BW94" s="125">
        <f t="shared" si="19"/>
        <v>0</v>
      </c>
      <c r="BX94" s="125">
        <f t="shared" si="20"/>
        <v>0</v>
      </c>
      <c r="BY94" s="125">
        <f t="shared" si="21"/>
        <v>0</v>
      </c>
      <c r="BZ94" s="125">
        <f t="shared" si="22"/>
        <v>0</v>
      </c>
      <c r="CA94" s="125">
        <f t="shared" si="23"/>
        <v>0</v>
      </c>
      <c r="CB94" s="125">
        <f t="shared" si="24"/>
        <v>0</v>
      </c>
      <c r="CC94" s="125">
        <f t="shared" si="25"/>
        <v>0</v>
      </c>
      <c r="CD94" s="125">
        <f t="shared" si="26"/>
        <v>0</v>
      </c>
      <c r="CE94" s="125">
        <f t="shared" si="27"/>
        <v>0</v>
      </c>
      <c r="CF94" s="126">
        <f t="shared" si="28"/>
        <v>0</v>
      </c>
      <c r="CH94" s="4">
        <v>92</v>
      </c>
      <c r="CI94" s="129">
        <v>0</v>
      </c>
      <c r="CJ94" s="125">
        <v>0</v>
      </c>
      <c r="CK94" s="125">
        <v>0</v>
      </c>
      <c r="CL94" s="125">
        <v>0</v>
      </c>
      <c r="CM94" s="125">
        <v>0</v>
      </c>
      <c r="CN94" s="125">
        <v>0</v>
      </c>
      <c r="CO94" s="125">
        <v>0</v>
      </c>
      <c r="CP94" s="125">
        <v>0</v>
      </c>
      <c r="CQ94" s="125">
        <v>0</v>
      </c>
      <c r="CR94" s="125">
        <v>0</v>
      </c>
      <c r="CS94" s="125">
        <v>0</v>
      </c>
      <c r="CT94" s="125">
        <v>0</v>
      </c>
      <c r="CU94" s="126">
        <v>0</v>
      </c>
    </row>
    <row r="95" spans="1:99" x14ac:dyDescent="0.25">
      <c r="A95" t="s">
        <v>207</v>
      </c>
      <c r="B95" s="2" t="s">
        <v>4</v>
      </c>
      <c r="C95" s="1">
        <v>10013</v>
      </c>
      <c r="D95" s="19">
        <v>36.159999999999997</v>
      </c>
      <c r="E95" s="18">
        <v>0</v>
      </c>
      <c r="F95" s="19">
        <v>0</v>
      </c>
      <c r="G95" s="19">
        <v>0</v>
      </c>
      <c r="H95" s="19">
        <v>0</v>
      </c>
      <c r="I95" s="19">
        <f>SUM(E95:H95)/Variables!$E$3</f>
        <v>0</v>
      </c>
      <c r="J95" s="4">
        <v>0</v>
      </c>
      <c r="K95">
        <v>2039</v>
      </c>
      <c r="L95">
        <v>3325</v>
      </c>
      <c r="M95">
        <v>0</v>
      </c>
      <c r="N95" s="6">
        <f>SUM(J95:M95)/Variables!$E$3</f>
        <v>4.2470645056572106E-3</v>
      </c>
      <c r="O95" s="4">
        <v>0</v>
      </c>
      <c r="P95">
        <v>0</v>
      </c>
      <c r="Q95">
        <v>0</v>
      </c>
      <c r="R95">
        <v>0</v>
      </c>
      <c r="S95" s="6">
        <f>SUM(O95:R95)/Variables!$E$3</f>
        <v>0</v>
      </c>
      <c r="T95" s="12">
        <v>0</v>
      </c>
      <c r="U95" s="6">
        <v>0</v>
      </c>
      <c r="V95" s="6">
        <v>0</v>
      </c>
      <c r="W95" s="6">
        <v>0</v>
      </c>
      <c r="X95" s="6">
        <f>SUM(T95:W95)/Variables!$E$3</f>
        <v>0</v>
      </c>
      <c r="Y95" s="12">
        <v>0</v>
      </c>
      <c r="Z95" s="6">
        <v>0</v>
      </c>
      <c r="AA95" s="6">
        <v>0</v>
      </c>
      <c r="AB95" s="6">
        <v>0</v>
      </c>
      <c r="AC95" s="6">
        <f>SUM(Y95:AB95)/Variables!$E$3</f>
        <v>0</v>
      </c>
      <c r="AD95" s="4">
        <v>0</v>
      </c>
      <c r="AE95" s="2">
        <v>0</v>
      </c>
      <c r="AF95" s="2">
        <v>0</v>
      </c>
      <c r="AG95" s="2">
        <v>0</v>
      </c>
      <c r="AH95" s="6">
        <f>SUM(AD95:AG95)/Variables!$E$3</f>
        <v>0</v>
      </c>
      <c r="AI95" s="4">
        <v>0</v>
      </c>
      <c r="AJ95" s="2">
        <v>0</v>
      </c>
      <c r="AK95" s="2">
        <v>0</v>
      </c>
      <c r="AL95" s="2">
        <v>0</v>
      </c>
      <c r="AM95" s="6">
        <f>SUM(AI95:AL95)/Variables!$E$3</f>
        <v>0</v>
      </c>
      <c r="AN95" s="4">
        <v>0</v>
      </c>
      <c r="AO95" s="2">
        <v>0</v>
      </c>
      <c r="AP95" s="2">
        <v>0</v>
      </c>
      <c r="AQ95" s="2">
        <v>0</v>
      </c>
      <c r="AR95" s="6">
        <f>SUM(AN95:AQ95)/Variables!$E$3</f>
        <v>0</v>
      </c>
      <c r="AS95" s="4">
        <v>0</v>
      </c>
      <c r="AT95" s="2">
        <v>0</v>
      </c>
      <c r="AU95" s="2">
        <v>0</v>
      </c>
      <c r="AV95" s="2">
        <v>0</v>
      </c>
      <c r="AW95" s="6">
        <f>SUM(AS95:AV95)/Variables!$E$3</f>
        <v>0</v>
      </c>
      <c r="AX95" s="4">
        <v>0</v>
      </c>
      <c r="AY95" s="2">
        <v>0</v>
      </c>
      <c r="AZ95" s="2">
        <v>0</v>
      </c>
      <c r="BA95" s="2">
        <v>0</v>
      </c>
      <c r="BB95" s="6">
        <f>SUM(AX95:BA95)/Variables!$E$3</f>
        <v>0</v>
      </c>
      <c r="BC95" s="12">
        <f t="shared" si="29"/>
        <v>0</v>
      </c>
      <c r="BD95" s="110">
        <f t="shared" si="29"/>
        <v>0</v>
      </c>
      <c r="BE95" s="110">
        <f t="shared" si="29"/>
        <v>0</v>
      </c>
      <c r="BF95" s="110">
        <f t="shared" si="29"/>
        <v>0</v>
      </c>
      <c r="BG95" s="6">
        <f>SUM(BC95:BF95)/Variables!$E$3</f>
        <v>0</v>
      </c>
      <c r="BH95" s="4">
        <v>0</v>
      </c>
      <c r="BI95">
        <v>0</v>
      </c>
      <c r="BJ95">
        <v>0</v>
      </c>
      <c r="BK95">
        <v>0</v>
      </c>
      <c r="BL95" s="6">
        <f>SUM(BH95:BK95)/Variables!$E$3</f>
        <v>0</v>
      </c>
      <c r="BM95" s="110">
        <v>0</v>
      </c>
      <c r="BN95" s="110">
        <v>0</v>
      </c>
      <c r="BO95" s="110">
        <v>0</v>
      </c>
      <c r="BP95" s="110">
        <v>0</v>
      </c>
      <c r="BQ95" s="6">
        <f>SUM(BM95:BP95)/Variables!$E$3</f>
        <v>0</v>
      </c>
      <c r="BS95" s="4">
        <v>93</v>
      </c>
      <c r="BT95" s="125">
        <f t="shared" si="16"/>
        <v>0</v>
      </c>
      <c r="BU95" s="125">
        <f t="shared" si="17"/>
        <v>0</v>
      </c>
      <c r="BV95" s="125">
        <f t="shared" si="18"/>
        <v>0</v>
      </c>
      <c r="BW95" s="125">
        <f t="shared" si="19"/>
        <v>0</v>
      </c>
      <c r="BX95" s="125">
        <f t="shared" si="20"/>
        <v>0</v>
      </c>
      <c r="BY95" s="125">
        <f t="shared" si="21"/>
        <v>0</v>
      </c>
      <c r="BZ95" s="125">
        <f t="shared" si="22"/>
        <v>0</v>
      </c>
      <c r="CA95" s="125">
        <f t="shared" si="23"/>
        <v>0</v>
      </c>
      <c r="CB95" s="125">
        <f t="shared" si="24"/>
        <v>0</v>
      </c>
      <c r="CC95" s="125">
        <f t="shared" si="25"/>
        <v>0</v>
      </c>
      <c r="CD95" s="125">
        <f t="shared" si="26"/>
        <v>0</v>
      </c>
      <c r="CE95" s="125">
        <f t="shared" si="27"/>
        <v>0</v>
      </c>
      <c r="CF95" s="126">
        <f t="shared" si="28"/>
        <v>0</v>
      </c>
      <c r="CH95" s="4">
        <v>93</v>
      </c>
      <c r="CI95" s="129">
        <v>0</v>
      </c>
      <c r="CJ95" s="125">
        <v>0</v>
      </c>
      <c r="CK95" s="125">
        <v>0</v>
      </c>
      <c r="CL95" s="125">
        <v>0</v>
      </c>
      <c r="CM95" s="125">
        <v>0</v>
      </c>
      <c r="CN95" s="125">
        <v>0</v>
      </c>
      <c r="CO95" s="125">
        <v>0</v>
      </c>
      <c r="CP95" s="125">
        <v>0</v>
      </c>
      <c r="CQ95" s="125">
        <v>0</v>
      </c>
      <c r="CR95" s="125">
        <v>0</v>
      </c>
      <c r="CS95" s="125">
        <v>0</v>
      </c>
      <c r="CT95" s="125">
        <v>0</v>
      </c>
      <c r="CU95" s="126">
        <v>0</v>
      </c>
    </row>
    <row r="96" spans="1:99" x14ac:dyDescent="0.25">
      <c r="A96" t="s">
        <v>207</v>
      </c>
      <c r="B96" s="2" t="s">
        <v>1</v>
      </c>
      <c r="C96" s="1">
        <v>10105</v>
      </c>
      <c r="D96" s="19">
        <v>0</v>
      </c>
      <c r="E96" s="18">
        <v>0</v>
      </c>
      <c r="F96" s="19">
        <v>0</v>
      </c>
      <c r="G96" s="19">
        <v>0</v>
      </c>
      <c r="H96" s="19">
        <v>0</v>
      </c>
      <c r="I96" s="19">
        <f>SUM(E96:H96)/Variables!$E$3</f>
        <v>0</v>
      </c>
      <c r="J96" s="4">
        <v>0</v>
      </c>
      <c r="K96">
        <v>0</v>
      </c>
      <c r="L96">
        <v>0</v>
      </c>
      <c r="M96">
        <v>0</v>
      </c>
      <c r="N96" s="6">
        <f>SUM(J96:M96)/Variables!$E$3</f>
        <v>0</v>
      </c>
      <c r="O96" s="4">
        <v>0</v>
      </c>
      <c r="P96">
        <v>0</v>
      </c>
      <c r="Q96">
        <v>0</v>
      </c>
      <c r="R96">
        <v>0</v>
      </c>
      <c r="S96" s="6">
        <f>SUM(O96:R96)/Variables!$E$3</f>
        <v>0</v>
      </c>
      <c r="T96" s="12">
        <v>0</v>
      </c>
      <c r="U96" s="6">
        <v>0</v>
      </c>
      <c r="V96" s="6">
        <v>0</v>
      </c>
      <c r="W96" s="6">
        <v>0</v>
      </c>
      <c r="X96" s="6">
        <f>SUM(T96:W96)/Variables!$E$3</f>
        <v>0</v>
      </c>
      <c r="Y96" s="12">
        <v>0</v>
      </c>
      <c r="Z96" s="6">
        <v>0</v>
      </c>
      <c r="AA96" s="6">
        <v>0</v>
      </c>
      <c r="AB96" s="6">
        <v>0</v>
      </c>
      <c r="AC96" s="6">
        <f>SUM(Y96:AB96)/Variables!$E$3</f>
        <v>0</v>
      </c>
      <c r="AD96" s="4">
        <v>0</v>
      </c>
      <c r="AE96" s="2">
        <v>0</v>
      </c>
      <c r="AF96" s="2">
        <v>0</v>
      </c>
      <c r="AG96" s="2">
        <v>0</v>
      </c>
      <c r="AH96" s="6">
        <f>SUM(AD96:AG96)/Variables!$E$3</f>
        <v>0</v>
      </c>
      <c r="AI96" s="4">
        <v>0</v>
      </c>
      <c r="AJ96" s="2">
        <v>0</v>
      </c>
      <c r="AK96" s="2">
        <v>0</v>
      </c>
      <c r="AL96" s="2">
        <v>0</v>
      </c>
      <c r="AM96" s="6">
        <f>SUM(AI96:AL96)/Variables!$E$3</f>
        <v>0</v>
      </c>
      <c r="AN96" s="4">
        <v>0</v>
      </c>
      <c r="AO96" s="2">
        <v>0</v>
      </c>
      <c r="AP96" s="2">
        <v>0</v>
      </c>
      <c r="AQ96" s="2">
        <v>0</v>
      </c>
      <c r="AR96" s="6">
        <f>SUM(AN96:AQ96)/Variables!$E$3</f>
        <v>0</v>
      </c>
      <c r="AS96" s="4">
        <v>0</v>
      </c>
      <c r="AT96" s="2">
        <v>0</v>
      </c>
      <c r="AU96" s="2">
        <v>0</v>
      </c>
      <c r="AV96" s="2">
        <v>0</v>
      </c>
      <c r="AW96" s="6">
        <f>SUM(AS96:AV96)/Variables!$E$3</f>
        <v>0</v>
      </c>
      <c r="AX96" s="4">
        <v>0</v>
      </c>
      <c r="AY96" s="2">
        <v>0</v>
      </c>
      <c r="AZ96" s="2">
        <v>0</v>
      </c>
      <c r="BA96" s="2">
        <v>0</v>
      </c>
      <c r="BB96" s="6">
        <f>SUM(AX96:BA96)/Variables!$E$3</f>
        <v>0</v>
      </c>
      <c r="BC96" s="12">
        <f t="shared" si="29"/>
        <v>0</v>
      </c>
      <c r="BD96" s="110">
        <f t="shared" si="29"/>
        <v>0</v>
      </c>
      <c r="BE96" s="110">
        <f t="shared" si="29"/>
        <v>0</v>
      </c>
      <c r="BF96" s="110">
        <f t="shared" si="29"/>
        <v>0</v>
      </c>
      <c r="BG96" s="6">
        <f>SUM(BC96:BF96)/Variables!$E$3</f>
        <v>0</v>
      </c>
      <c r="BH96" s="4">
        <v>0</v>
      </c>
      <c r="BI96">
        <v>0</v>
      </c>
      <c r="BJ96">
        <v>0</v>
      </c>
      <c r="BK96">
        <v>0</v>
      </c>
      <c r="BL96" s="6">
        <f>SUM(BH96:BK96)/Variables!$E$3</f>
        <v>0</v>
      </c>
      <c r="BM96" s="110">
        <v>0</v>
      </c>
      <c r="BN96" s="110">
        <v>0</v>
      </c>
      <c r="BO96" s="110">
        <v>0</v>
      </c>
      <c r="BP96" s="110">
        <v>0</v>
      </c>
      <c r="BQ96" s="6">
        <f>SUM(BM96:BP96)/Variables!$E$3</f>
        <v>0</v>
      </c>
      <c r="BS96" s="4">
        <v>94</v>
      </c>
      <c r="BT96" s="125">
        <f t="shared" si="16"/>
        <v>0</v>
      </c>
      <c r="BU96" s="125">
        <f t="shared" si="17"/>
        <v>0</v>
      </c>
      <c r="BV96" s="125">
        <f t="shared" si="18"/>
        <v>0</v>
      </c>
      <c r="BW96" s="125">
        <f t="shared" si="19"/>
        <v>0</v>
      </c>
      <c r="BX96" s="125">
        <f t="shared" si="20"/>
        <v>0</v>
      </c>
      <c r="BY96" s="125">
        <f t="shared" si="21"/>
        <v>0</v>
      </c>
      <c r="BZ96" s="125">
        <f t="shared" si="22"/>
        <v>0</v>
      </c>
      <c r="CA96" s="125">
        <f t="shared" si="23"/>
        <v>0</v>
      </c>
      <c r="CB96" s="125">
        <f t="shared" si="24"/>
        <v>0</v>
      </c>
      <c r="CC96" s="125">
        <f t="shared" si="25"/>
        <v>0</v>
      </c>
      <c r="CD96" s="125">
        <f t="shared" si="26"/>
        <v>0</v>
      </c>
      <c r="CE96" s="125">
        <f t="shared" si="27"/>
        <v>0</v>
      </c>
      <c r="CF96" s="126">
        <f t="shared" si="28"/>
        <v>0</v>
      </c>
      <c r="CH96" s="4">
        <v>94</v>
      </c>
      <c r="CI96" s="129">
        <v>0</v>
      </c>
      <c r="CJ96" s="125">
        <v>0</v>
      </c>
      <c r="CK96" s="125">
        <v>0</v>
      </c>
      <c r="CL96" s="125">
        <v>0</v>
      </c>
      <c r="CM96" s="125">
        <v>0</v>
      </c>
      <c r="CN96" s="125">
        <v>0</v>
      </c>
      <c r="CO96" s="125">
        <v>0</v>
      </c>
      <c r="CP96" s="125">
        <v>0</v>
      </c>
      <c r="CQ96" s="125">
        <v>0</v>
      </c>
      <c r="CR96" s="125">
        <v>0</v>
      </c>
      <c r="CS96" s="125">
        <v>0</v>
      </c>
      <c r="CT96" s="125">
        <v>0</v>
      </c>
      <c r="CU96" s="126">
        <v>0</v>
      </c>
    </row>
    <row r="97" spans="1:99" x14ac:dyDescent="0.25">
      <c r="A97" t="s">
        <v>207</v>
      </c>
      <c r="B97" s="2" t="s">
        <v>2</v>
      </c>
      <c r="C97" s="1">
        <v>10196</v>
      </c>
      <c r="D97" s="19">
        <v>42.334285714285699</v>
      </c>
      <c r="E97" s="18">
        <v>0</v>
      </c>
      <c r="F97" s="19">
        <v>0</v>
      </c>
      <c r="G97" s="19">
        <v>0</v>
      </c>
      <c r="H97" s="19">
        <v>0</v>
      </c>
      <c r="I97" s="19">
        <f>SUM(E97:H97)/Variables!$E$3</f>
        <v>0</v>
      </c>
      <c r="J97" s="4">
        <v>0</v>
      </c>
      <c r="K97">
        <v>0</v>
      </c>
      <c r="L97">
        <v>0</v>
      </c>
      <c r="M97">
        <v>0</v>
      </c>
      <c r="N97" s="6">
        <f>SUM(J97:M97)/Variables!$E$3</f>
        <v>0</v>
      </c>
      <c r="O97" s="4">
        <v>0</v>
      </c>
      <c r="P97">
        <v>0</v>
      </c>
      <c r="Q97">
        <v>0</v>
      </c>
      <c r="R97">
        <v>0</v>
      </c>
      <c r="S97" s="6">
        <f>SUM(O97:R97)/Variables!$E$3</f>
        <v>0</v>
      </c>
      <c r="T97" s="12">
        <v>0</v>
      </c>
      <c r="U97" s="6">
        <v>0</v>
      </c>
      <c r="V97" s="6">
        <v>0</v>
      </c>
      <c r="W97" s="6">
        <v>0</v>
      </c>
      <c r="X97" s="6">
        <f>SUM(T97:W97)/Variables!$E$3</f>
        <v>0</v>
      </c>
      <c r="Y97" s="12">
        <v>0</v>
      </c>
      <c r="Z97" s="6">
        <v>0</v>
      </c>
      <c r="AA97" s="6">
        <v>0</v>
      </c>
      <c r="AB97" s="6">
        <v>0</v>
      </c>
      <c r="AC97" s="6">
        <f>SUM(Y97:AB97)/Variables!$E$3</f>
        <v>0</v>
      </c>
      <c r="AD97" s="4">
        <v>0</v>
      </c>
      <c r="AE97" s="2">
        <v>0</v>
      </c>
      <c r="AF97" s="2">
        <v>0</v>
      </c>
      <c r="AG97" s="2">
        <v>0</v>
      </c>
      <c r="AH97" s="6">
        <f>SUM(AD97:AG97)/Variables!$E$3</f>
        <v>0</v>
      </c>
      <c r="AI97" s="4">
        <v>0</v>
      </c>
      <c r="AJ97" s="2">
        <v>0</v>
      </c>
      <c r="AK97" s="2">
        <v>0</v>
      </c>
      <c r="AL97" s="2">
        <v>0</v>
      </c>
      <c r="AM97" s="6">
        <f>SUM(AI97:AL97)/Variables!$E$3</f>
        <v>0</v>
      </c>
      <c r="AN97" s="4">
        <v>0</v>
      </c>
      <c r="AO97" s="2">
        <v>0</v>
      </c>
      <c r="AP97" s="2">
        <v>0</v>
      </c>
      <c r="AQ97" s="2">
        <v>0</v>
      </c>
      <c r="AR97" s="6">
        <f>SUM(AN97:AQ97)/Variables!$E$3</f>
        <v>0</v>
      </c>
      <c r="AS97" s="4">
        <v>0</v>
      </c>
      <c r="AT97" s="2">
        <v>0</v>
      </c>
      <c r="AU97" s="2">
        <v>0</v>
      </c>
      <c r="AV97" s="2">
        <v>0</v>
      </c>
      <c r="AW97" s="6">
        <f>SUM(AS97:AV97)/Variables!$E$3</f>
        <v>0</v>
      </c>
      <c r="AX97" s="4">
        <v>0</v>
      </c>
      <c r="AY97" s="2">
        <v>0</v>
      </c>
      <c r="AZ97" s="2">
        <v>0</v>
      </c>
      <c r="BA97" s="2">
        <v>0</v>
      </c>
      <c r="BB97" s="6">
        <f>SUM(AX97:BA97)/Variables!$E$3</f>
        <v>0</v>
      </c>
      <c r="BC97" s="12">
        <f t="shared" si="29"/>
        <v>0</v>
      </c>
      <c r="BD97" s="110">
        <f t="shared" si="29"/>
        <v>0</v>
      </c>
      <c r="BE97" s="110">
        <f t="shared" si="29"/>
        <v>0</v>
      </c>
      <c r="BF97" s="110">
        <f t="shared" si="29"/>
        <v>0</v>
      </c>
      <c r="BG97" s="6">
        <f>SUM(BC97:BF97)/Variables!$E$3</f>
        <v>0</v>
      </c>
      <c r="BH97" s="4">
        <v>0</v>
      </c>
      <c r="BI97">
        <v>0</v>
      </c>
      <c r="BJ97">
        <v>0</v>
      </c>
      <c r="BK97">
        <v>0</v>
      </c>
      <c r="BL97" s="6">
        <f>SUM(BH97:BK97)/Variables!$E$3</f>
        <v>0</v>
      </c>
      <c r="BM97" s="110">
        <v>0</v>
      </c>
      <c r="BN97" s="110">
        <v>0</v>
      </c>
      <c r="BO97" s="110">
        <v>0</v>
      </c>
      <c r="BP97" s="110">
        <v>0</v>
      </c>
      <c r="BQ97" s="6">
        <f>SUM(BM97:BP97)/Variables!$E$3</f>
        <v>0</v>
      </c>
      <c r="BS97" s="4">
        <v>95</v>
      </c>
      <c r="BT97" s="125">
        <f t="shared" si="16"/>
        <v>0</v>
      </c>
      <c r="BU97" s="125">
        <f t="shared" si="17"/>
        <v>1.3217840204593861E-2</v>
      </c>
      <c r="BV97" s="125">
        <f t="shared" si="18"/>
        <v>0</v>
      </c>
      <c r="BW97" s="125">
        <f t="shared" si="19"/>
        <v>1.0198813925684288E-3</v>
      </c>
      <c r="BX97" s="125">
        <f t="shared" si="20"/>
        <v>8.9296035598064908E-4</v>
      </c>
      <c r="BY97" s="125">
        <f t="shared" si="21"/>
        <v>0</v>
      </c>
      <c r="BZ97" s="125">
        <f t="shared" si="22"/>
        <v>0</v>
      </c>
      <c r="CA97" s="125">
        <f t="shared" si="23"/>
        <v>2.3040562474762587E-5</v>
      </c>
      <c r="CB97" s="125">
        <f t="shared" si="24"/>
        <v>1.0184562031370003E-3</v>
      </c>
      <c r="CC97" s="125">
        <f t="shared" si="25"/>
        <v>3.1282908019857639E-4</v>
      </c>
      <c r="CD97" s="125">
        <f t="shared" si="26"/>
        <v>8.9296035598064908E-4</v>
      </c>
      <c r="CE97" s="125">
        <f t="shared" si="27"/>
        <v>1.768818438784163E-4</v>
      </c>
      <c r="CF97" s="126">
        <f t="shared" si="28"/>
        <v>3.2359717812492574E-4</v>
      </c>
      <c r="CH97" s="4">
        <v>95</v>
      </c>
      <c r="CI97" s="129">
        <v>0</v>
      </c>
      <c r="CJ97" s="125">
        <v>0</v>
      </c>
      <c r="CK97" s="125">
        <v>0</v>
      </c>
      <c r="CL97" s="125">
        <v>0</v>
      </c>
      <c r="CM97" s="125">
        <v>0</v>
      </c>
      <c r="CN97" s="125">
        <v>0</v>
      </c>
      <c r="CO97" s="125">
        <v>0</v>
      </c>
      <c r="CP97" s="125">
        <v>0</v>
      </c>
      <c r="CQ97" s="125">
        <v>0</v>
      </c>
      <c r="CR97" s="125">
        <v>0</v>
      </c>
      <c r="CS97" s="125">
        <v>0</v>
      </c>
      <c r="CT97" s="125">
        <v>0</v>
      </c>
      <c r="CU97" s="126">
        <v>0</v>
      </c>
    </row>
    <row r="98" spans="1:99" x14ac:dyDescent="0.25">
      <c r="A98" t="s">
        <v>208</v>
      </c>
      <c r="B98" s="2" t="s">
        <v>3</v>
      </c>
      <c r="C98" s="1">
        <v>10286</v>
      </c>
      <c r="D98" s="19">
        <v>234.76</v>
      </c>
      <c r="E98" s="18">
        <v>0</v>
      </c>
      <c r="F98" s="19">
        <v>0</v>
      </c>
      <c r="G98" s="19">
        <v>0</v>
      </c>
      <c r="H98" s="19">
        <v>0</v>
      </c>
      <c r="I98" s="19">
        <f>SUM(E98:H98)/Variables!$E$3</f>
        <v>0</v>
      </c>
      <c r="J98" s="4">
        <v>0</v>
      </c>
      <c r="K98">
        <v>0</v>
      </c>
      <c r="L98">
        <v>16694</v>
      </c>
      <c r="M98">
        <v>0</v>
      </c>
      <c r="N98" s="6">
        <f>SUM(J98:M98)/Variables!$E$3</f>
        <v>1.3217840204593861E-2</v>
      </c>
      <c r="O98" s="4">
        <v>0</v>
      </c>
      <c r="P98">
        <v>0</v>
      </c>
      <c r="Q98">
        <v>0</v>
      </c>
      <c r="R98">
        <v>0</v>
      </c>
      <c r="S98" s="6">
        <f>SUM(O98:R98)/Variables!$E$3</f>
        <v>0</v>
      </c>
      <c r="T98" s="12">
        <v>0</v>
      </c>
      <c r="U98" s="6">
        <v>0</v>
      </c>
      <c r="V98" s="6">
        <v>1288.0999999999999</v>
      </c>
      <c r="W98" s="6">
        <v>0</v>
      </c>
      <c r="X98" s="6">
        <f>SUM(T98:W98)/Variables!$E$3</f>
        <v>1.0198813925684288E-3</v>
      </c>
      <c r="Y98" s="12">
        <v>0</v>
      </c>
      <c r="Z98" s="6">
        <v>0</v>
      </c>
      <c r="AA98" s="6">
        <v>1127.8</v>
      </c>
      <c r="AB98" s="6">
        <v>0</v>
      </c>
      <c r="AC98" s="6">
        <f>SUM(Y98:AB98)/Variables!$E$3</f>
        <v>8.9296035598064908E-4</v>
      </c>
      <c r="AD98" s="4">
        <v>0</v>
      </c>
      <c r="AE98" s="2">
        <v>0</v>
      </c>
      <c r="AF98" s="2">
        <v>0</v>
      </c>
      <c r="AG98" s="2">
        <v>0</v>
      </c>
      <c r="AH98" s="6">
        <f>SUM(AD98:AG98)/Variables!$E$3</f>
        <v>0</v>
      </c>
      <c r="AI98" s="4">
        <v>0</v>
      </c>
      <c r="AJ98" s="2">
        <v>0</v>
      </c>
      <c r="AK98" s="2">
        <v>0</v>
      </c>
      <c r="AL98" s="2">
        <v>0</v>
      </c>
      <c r="AM98" s="6">
        <f>SUM(AI98:AL98)/Variables!$E$3</f>
        <v>0</v>
      </c>
      <c r="AN98" s="4">
        <v>0</v>
      </c>
      <c r="AO98" s="2">
        <v>0</v>
      </c>
      <c r="AP98" s="2">
        <v>29.100000000000399</v>
      </c>
      <c r="AQ98" s="2">
        <v>0</v>
      </c>
      <c r="AR98" s="6">
        <f>SUM(AN98:AQ98)/Variables!$E$3</f>
        <v>2.3040562474762587E-5</v>
      </c>
      <c r="AS98" s="4">
        <v>0</v>
      </c>
      <c r="AT98" s="2">
        <v>0</v>
      </c>
      <c r="AU98" s="2">
        <v>1286.3</v>
      </c>
      <c r="AV98" s="2">
        <v>0</v>
      </c>
      <c r="AW98" s="6">
        <f>SUM(AS98:AV98)/Variables!$E$3</f>
        <v>1.0184562031370003E-3</v>
      </c>
      <c r="AX98" s="4">
        <v>0</v>
      </c>
      <c r="AY98" s="2">
        <v>0</v>
      </c>
      <c r="AZ98" s="2">
        <v>395.1</v>
      </c>
      <c r="BA98" s="2">
        <v>0</v>
      </c>
      <c r="BB98" s="6">
        <f>SUM(AX98:BA98)/Variables!$E$3</f>
        <v>3.1282908019857639E-4</v>
      </c>
      <c r="BC98" s="12">
        <f t="shared" si="29"/>
        <v>0</v>
      </c>
      <c r="BD98" s="110">
        <f t="shared" si="29"/>
        <v>0</v>
      </c>
      <c r="BE98" s="110">
        <f t="shared" si="29"/>
        <v>1127.8</v>
      </c>
      <c r="BF98" s="110">
        <f t="shared" si="29"/>
        <v>0</v>
      </c>
      <c r="BG98" s="6">
        <f>SUM(BC98:BF98)/Variables!$E$3</f>
        <v>8.9296035598064908E-4</v>
      </c>
      <c r="BH98" s="4">
        <v>0</v>
      </c>
      <c r="BI98">
        <v>0</v>
      </c>
      <c r="BJ98">
        <v>223.400000000001</v>
      </c>
      <c r="BK98">
        <v>0</v>
      </c>
      <c r="BL98" s="6">
        <f>SUM(BH98:BK98)/Variables!$E$3</f>
        <v>1.768818438784163E-4</v>
      </c>
      <c r="BM98" s="110">
        <v>0</v>
      </c>
      <c r="BN98" s="110">
        <v>0</v>
      </c>
      <c r="BO98" s="110">
        <v>408.7</v>
      </c>
      <c r="BP98" s="110">
        <v>0</v>
      </c>
      <c r="BQ98" s="6">
        <f>SUM(BM98:BP98)/Variables!$E$3</f>
        <v>3.2359717812492574E-4</v>
      </c>
      <c r="BS98" s="4">
        <v>96</v>
      </c>
      <c r="BT98" s="125">
        <f t="shared" si="16"/>
        <v>0</v>
      </c>
      <c r="BU98" s="125">
        <f t="shared" si="17"/>
        <v>0.19930244895050633</v>
      </c>
      <c r="BV98" s="125">
        <f t="shared" si="18"/>
        <v>4.3397018187000692E-3</v>
      </c>
      <c r="BW98" s="125">
        <f t="shared" si="19"/>
        <v>3.5751193596148825E-2</v>
      </c>
      <c r="BX98" s="125">
        <f t="shared" si="20"/>
        <v>3.4322362013951023E-2</v>
      </c>
      <c r="BY98" s="125">
        <f t="shared" si="21"/>
        <v>1.915525855311602E-2</v>
      </c>
      <c r="BZ98" s="125">
        <f t="shared" si="22"/>
        <v>1.6450486543836452E-2</v>
      </c>
      <c r="CA98" s="125">
        <f t="shared" si="23"/>
        <v>1.9484160603013483E-2</v>
      </c>
      <c r="CB98" s="125">
        <f t="shared" si="24"/>
        <v>3.8699118757868231E-2</v>
      </c>
      <c r="CC98" s="125">
        <f t="shared" si="25"/>
        <v>2.4728145115954996E-2</v>
      </c>
      <c r="CD98" s="125">
        <f t="shared" si="26"/>
        <v>3.4322362013951023E-2</v>
      </c>
      <c r="CE98" s="125">
        <f t="shared" si="27"/>
        <v>2.1912920925739713E-2</v>
      </c>
      <c r="CF98" s="126">
        <f t="shared" si="28"/>
        <v>2.5604557439092946E-2</v>
      </c>
      <c r="CH98" s="4">
        <v>96</v>
      </c>
      <c r="CI98" s="129">
        <v>0</v>
      </c>
      <c r="CJ98" s="125">
        <v>0.27095701470320432</v>
      </c>
      <c r="CK98" s="125">
        <v>0</v>
      </c>
      <c r="CL98" s="125">
        <v>0</v>
      </c>
      <c r="CM98" s="125">
        <v>0</v>
      </c>
      <c r="CN98" s="125">
        <v>0</v>
      </c>
      <c r="CO98" s="125">
        <v>0</v>
      </c>
      <c r="CP98" s="125">
        <v>0</v>
      </c>
      <c r="CQ98" s="125">
        <v>0</v>
      </c>
      <c r="CR98" s="125">
        <v>0</v>
      </c>
      <c r="CS98" s="125">
        <v>0</v>
      </c>
      <c r="CT98" s="125">
        <v>0</v>
      </c>
      <c r="CU98" s="126">
        <v>0</v>
      </c>
    </row>
    <row r="99" spans="1:99" x14ac:dyDescent="0.25">
      <c r="A99" t="s">
        <v>208</v>
      </c>
      <c r="B99" s="2" t="s">
        <v>4</v>
      </c>
      <c r="C99" s="1">
        <v>10379</v>
      </c>
      <c r="D99" s="19">
        <v>70.08</v>
      </c>
      <c r="E99" s="18">
        <v>0</v>
      </c>
      <c r="F99" s="19">
        <v>0</v>
      </c>
      <c r="G99" s="19">
        <v>0</v>
      </c>
      <c r="H99" s="19">
        <v>0</v>
      </c>
      <c r="I99" s="19">
        <f>SUM(E99:H99)/Variables!$E$3</f>
        <v>0</v>
      </c>
      <c r="J99" s="4">
        <v>0</v>
      </c>
      <c r="K99">
        <v>7140</v>
      </c>
      <c r="L99">
        <v>229170</v>
      </c>
      <c r="M99">
        <v>15407</v>
      </c>
      <c r="N99" s="6">
        <f>SUM(J99:M99)/Variables!$E$3</f>
        <v>0.19930244895050633</v>
      </c>
      <c r="O99" s="4">
        <v>0</v>
      </c>
      <c r="P99">
        <v>0</v>
      </c>
      <c r="Q99">
        <v>4827</v>
      </c>
      <c r="R99">
        <v>654</v>
      </c>
      <c r="S99" s="6">
        <f>SUM(O99:R99)/Variables!$E$3</f>
        <v>4.3397018187000692E-3</v>
      </c>
      <c r="T99" s="12">
        <v>0</v>
      </c>
      <c r="U99" s="6">
        <v>0</v>
      </c>
      <c r="V99" s="6">
        <v>42052.4</v>
      </c>
      <c r="W99" s="6">
        <v>3101</v>
      </c>
      <c r="X99" s="6">
        <f>SUM(T99:W99)/Variables!$E$3</f>
        <v>3.5751193596148825E-2</v>
      </c>
      <c r="Y99" s="12">
        <v>0</v>
      </c>
      <c r="Z99" s="6">
        <v>0</v>
      </c>
      <c r="AA99" s="6">
        <v>40190.300000000003</v>
      </c>
      <c r="AB99" s="6">
        <v>3158.5</v>
      </c>
      <c r="AC99" s="6">
        <f>SUM(Y99:AB99)/Variables!$E$3</f>
        <v>3.4322362013951023E-2</v>
      </c>
      <c r="AD99" s="4">
        <v>0</v>
      </c>
      <c r="AE99" s="2">
        <v>0</v>
      </c>
      <c r="AF99" s="2">
        <v>20999.7</v>
      </c>
      <c r="AG99" s="2">
        <v>3193.2</v>
      </c>
      <c r="AH99" s="6">
        <f>SUM(AD99:AG99)/Variables!$E$3</f>
        <v>1.915525855311602E-2</v>
      </c>
      <c r="AI99" s="4">
        <v>0</v>
      </c>
      <c r="AJ99" s="2">
        <v>0</v>
      </c>
      <c r="AK99" s="2">
        <v>19309.7</v>
      </c>
      <c r="AL99" s="2">
        <v>1467.1</v>
      </c>
      <c r="AM99" s="6">
        <f>SUM(AI99:AL99)/Variables!$E$3</f>
        <v>1.6450486543836452E-2</v>
      </c>
      <c r="AN99" s="4">
        <v>0</v>
      </c>
      <c r="AO99" s="2">
        <v>0</v>
      </c>
      <c r="AP99" s="2">
        <v>21428</v>
      </c>
      <c r="AQ99" s="2">
        <v>3180.3</v>
      </c>
      <c r="AR99" s="6">
        <f>SUM(AN99:AQ99)/Variables!$E$3</f>
        <v>1.9484160603013483E-2</v>
      </c>
      <c r="AS99" s="4">
        <v>0</v>
      </c>
      <c r="AT99" s="2">
        <v>0</v>
      </c>
      <c r="AU99" s="2">
        <v>43490.9</v>
      </c>
      <c r="AV99" s="2">
        <v>5385.7</v>
      </c>
      <c r="AW99" s="6">
        <f>SUM(AS99:AV99)/Variables!$E$3</f>
        <v>3.8699118757868231E-2</v>
      </c>
      <c r="AX99" s="4">
        <v>0</v>
      </c>
      <c r="AY99" s="2">
        <v>0</v>
      </c>
      <c r="AZ99" s="2">
        <v>27464.2</v>
      </c>
      <c r="BA99" s="2">
        <v>3767.2</v>
      </c>
      <c r="BB99" s="6">
        <f>SUM(AX99:BA99)/Variables!$E$3</f>
        <v>2.4728145115954996E-2</v>
      </c>
      <c r="BC99" s="12">
        <f t="shared" si="29"/>
        <v>0</v>
      </c>
      <c r="BD99" s="110">
        <f t="shared" si="29"/>
        <v>0</v>
      </c>
      <c r="BE99" s="110">
        <f t="shared" si="29"/>
        <v>40190.300000000003</v>
      </c>
      <c r="BF99" s="110">
        <f t="shared" si="29"/>
        <v>3158.5</v>
      </c>
      <c r="BG99" s="6">
        <f>SUM(BC99:BF99)/Variables!$E$3</f>
        <v>3.4322362013951023E-2</v>
      </c>
      <c r="BH99" s="4">
        <v>0</v>
      </c>
      <c r="BI99">
        <v>0</v>
      </c>
      <c r="BJ99">
        <v>25115.1</v>
      </c>
      <c r="BK99">
        <v>2560.6999999999998</v>
      </c>
      <c r="BL99" s="6">
        <f>SUM(BH99:BK99)/Variables!$E$3</f>
        <v>2.1912920925739713E-2</v>
      </c>
      <c r="BM99" s="110">
        <v>0</v>
      </c>
      <c r="BN99" s="110">
        <v>0</v>
      </c>
      <c r="BO99" s="110">
        <v>28611.200000000001</v>
      </c>
      <c r="BP99" s="110">
        <v>3727.1</v>
      </c>
      <c r="BQ99" s="6">
        <f>SUM(BM99:BP99)/Variables!$E$3</f>
        <v>2.5604557439092946E-2</v>
      </c>
      <c r="BS99" s="4">
        <v>97</v>
      </c>
      <c r="BT99" s="125">
        <f t="shared" si="16"/>
        <v>0</v>
      </c>
      <c r="BU99" s="125">
        <f t="shared" si="17"/>
        <v>0</v>
      </c>
      <c r="BV99" s="125">
        <f t="shared" si="18"/>
        <v>0</v>
      </c>
      <c r="BW99" s="125">
        <f t="shared" si="19"/>
        <v>0</v>
      </c>
      <c r="BX99" s="125">
        <f t="shared" si="20"/>
        <v>0</v>
      </c>
      <c r="BY99" s="125">
        <f t="shared" si="21"/>
        <v>0</v>
      </c>
      <c r="BZ99" s="125">
        <f t="shared" si="22"/>
        <v>0</v>
      </c>
      <c r="CA99" s="125">
        <f t="shared" si="23"/>
        <v>0</v>
      </c>
      <c r="CB99" s="125">
        <f t="shared" si="24"/>
        <v>0</v>
      </c>
      <c r="CC99" s="125">
        <f t="shared" si="25"/>
        <v>0</v>
      </c>
      <c r="CD99" s="125">
        <f t="shared" si="26"/>
        <v>0</v>
      </c>
      <c r="CE99" s="125">
        <f t="shared" si="27"/>
        <v>0</v>
      </c>
      <c r="CF99" s="126">
        <f t="shared" si="28"/>
        <v>0</v>
      </c>
      <c r="CH99" s="4">
        <v>97</v>
      </c>
      <c r="CI99" s="129">
        <v>0</v>
      </c>
      <c r="CJ99" s="125">
        <v>0</v>
      </c>
      <c r="CK99" s="125">
        <v>0</v>
      </c>
      <c r="CL99" s="125">
        <v>0</v>
      </c>
      <c r="CM99" s="125">
        <v>0</v>
      </c>
      <c r="CN99" s="125">
        <v>0</v>
      </c>
      <c r="CO99" s="125">
        <v>0</v>
      </c>
      <c r="CP99" s="125">
        <v>0</v>
      </c>
      <c r="CQ99" s="125">
        <v>0</v>
      </c>
      <c r="CR99" s="125">
        <v>0</v>
      </c>
      <c r="CS99" s="125">
        <v>0</v>
      </c>
      <c r="CT99" s="125">
        <v>0</v>
      </c>
      <c r="CU99" s="126">
        <v>0</v>
      </c>
    </row>
    <row r="100" spans="1:99" x14ac:dyDescent="0.25">
      <c r="A100" t="s">
        <v>208</v>
      </c>
      <c r="B100" s="2" t="s">
        <v>1</v>
      </c>
      <c r="C100" s="1">
        <v>10471</v>
      </c>
      <c r="D100" s="19">
        <v>34.537142857142904</v>
      </c>
      <c r="E100" s="18">
        <v>0</v>
      </c>
      <c r="F100" s="19">
        <v>0</v>
      </c>
      <c r="G100" s="19">
        <v>0</v>
      </c>
      <c r="H100" s="19">
        <v>0</v>
      </c>
      <c r="I100" s="19">
        <f>SUM(E100:H100)/Variables!$E$3</f>
        <v>0</v>
      </c>
      <c r="J100" s="4">
        <v>0</v>
      </c>
      <c r="K100">
        <v>0</v>
      </c>
      <c r="L100">
        <v>0</v>
      </c>
      <c r="M100">
        <v>0</v>
      </c>
      <c r="N100" s="6">
        <f>SUM(J100:M100)/Variables!$E$3</f>
        <v>0</v>
      </c>
      <c r="O100" s="4">
        <v>0</v>
      </c>
      <c r="P100">
        <v>0</v>
      </c>
      <c r="Q100">
        <v>0</v>
      </c>
      <c r="R100">
        <v>0</v>
      </c>
      <c r="S100" s="6">
        <f>SUM(O100:R100)/Variables!$E$3</f>
        <v>0</v>
      </c>
      <c r="T100" s="12">
        <v>0</v>
      </c>
      <c r="U100" s="6">
        <v>0</v>
      </c>
      <c r="V100" s="6">
        <v>0</v>
      </c>
      <c r="W100" s="6">
        <v>0</v>
      </c>
      <c r="X100" s="6">
        <f>SUM(T100:W100)/Variables!$E$3</f>
        <v>0</v>
      </c>
      <c r="Y100" s="12">
        <v>0</v>
      </c>
      <c r="Z100" s="6">
        <v>0</v>
      </c>
      <c r="AA100" s="6">
        <v>0</v>
      </c>
      <c r="AB100" s="6">
        <v>0</v>
      </c>
      <c r="AC100" s="6">
        <f>SUM(Y100:AB100)/Variables!$E$3</f>
        <v>0</v>
      </c>
      <c r="AD100" s="4">
        <v>0</v>
      </c>
      <c r="AE100" s="2">
        <v>0</v>
      </c>
      <c r="AF100" s="2">
        <v>0</v>
      </c>
      <c r="AG100" s="2">
        <v>0</v>
      </c>
      <c r="AH100" s="6">
        <f>SUM(AD100:AG100)/Variables!$E$3</f>
        <v>0</v>
      </c>
      <c r="AI100" s="4">
        <v>0</v>
      </c>
      <c r="AJ100" s="2">
        <v>0</v>
      </c>
      <c r="AK100" s="2">
        <v>0</v>
      </c>
      <c r="AL100" s="2">
        <v>0</v>
      </c>
      <c r="AM100" s="6">
        <f>SUM(AI100:AL100)/Variables!$E$3</f>
        <v>0</v>
      </c>
      <c r="AN100" s="4">
        <v>0</v>
      </c>
      <c r="AO100" s="2">
        <v>0</v>
      </c>
      <c r="AP100" s="2">
        <v>0</v>
      </c>
      <c r="AQ100" s="2">
        <v>0</v>
      </c>
      <c r="AR100" s="6">
        <f>SUM(AN100:AQ100)/Variables!$E$3</f>
        <v>0</v>
      </c>
      <c r="AS100" s="4">
        <v>0</v>
      </c>
      <c r="AT100" s="2">
        <v>0</v>
      </c>
      <c r="AU100" s="2">
        <v>0</v>
      </c>
      <c r="AV100" s="2">
        <v>0</v>
      </c>
      <c r="AW100" s="6">
        <f>SUM(AS100:AV100)/Variables!$E$3</f>
        <v>0</v>
      </c>
      <c r="AX100" s="4">
        <v>0</v>
      </c>
      <c r="AY100" s="2">
        <v>0</v>
      </c>
      <c r="AZ100" s="2">
        <v>0</v>
      </c>
      <c r="BA100" s="2">
        <v>0</v>
      </c>
      <c r="BB100" s="6">
        <f>SUM(AX100:BA100)/Variables!$E$3</f>
        <v>0</v>
      </c>
      <c r="BC100" s="12">
        <f t="shared" si="29"/>
        <v>0</v>
      </c>
      <c r="BD100" s="110">
        <f t="shared" si="29"/>
        <v>0</v>
      </c>
      <c r="BE100" s="110">
        <f t="shared" si="29"/>
        <v>0</v>
      </c>
      <c r="BF100" s="110">
        <f t="shared" si="29"/>
        <v>0</v>
      </c>
      <c r="BG100" s="6">
        <f>SUM(BC100:BF100)/Variables!$E$3</f>
        <v>0</v>
      </c>
      <c r="BH100" s="4">
        <v>0</v>
      </c>
      <c r="BI100">
        <v>0</v>
      </c>
      <c r="BJ100">
        <v>0</v>
      </c>
      <c r="BK100">
        <v>0</v>
      </c>
      <c r="BL100" s="6">
        <f>SUM(BH100:BK100)/Variables!$E$3</f>
        <v>0</v>
      </c>
      <c r="BM100" s="110">
        <v>0</v>
      </c>
      <c r="BN100" s="110">
        <v>0</v>
      </c>
      <c r="BO100" s="110">
        <v>0</v>
      </c>
      <c r="BP100" s="110">
        <v>0</v>
      </c>
      <c r="BQ100" s="6">
        <f>SUM(BM100:BP100)/Variables!$E$3</f>
        <v>0</v>
      </c>
      <c r="BS100" s="4">
        <v>98</v>
      </c>
      <c r="BT100" s="125">
        <f t="shared" si="16"/>
        <v>0</v>
      </c>
      <c r="BU100" s="125">
        <f t="shared" si="17"/>
        <v>0</v>
      </c>
      <c r="BV100" s="125">
        <f t="shared" si="18"/>
        <v>0</v>
      </c>
      <c r="BW100" s="125">
        <f t="shared" si="19"/>
        <v>0</v>
      </c>
      <c r="BX100" s="125">
        <f t="shared" si="20"/>
        <v>0</v>
      </c>
      <c r="BY100" s="125">
        <f t="shared" si="21"/>
        <v>0</v>
      </c>
      <c r="BZ100" s="125">
        <f t="shared" si="22"/>
        <v>0</v>
      </c>
      <c r="CA100" s="125">
        <f t="shared" si="23"/>
        <v>0</v>
      </c>
      <c r="CB100" s="125">
        <f t="shared" si="24"/>
        <v>0</v>
      </c>
      <c r="CC100" s="125">
        <f t="shared" si="25"/>
        <v>0</v>
      </c>
      <c r="CD100" s="125">
        <f t="shared" si="26"/>
        <v>0</v>
      </c>
      <c r="CE100" s="125">
        <f t="shared" si="27"/>
        <v>0</v>
      </c>
      <c r="CF100" s="126">
        <f t="shared" si="28"/>
        <v>0</v>
      </c>
      <c r="CH100" s="4">
        <v>98</v>
      </c>
      <c r="CI100" s="129">
        <v>0</v>
      </c>
      <c r="CJ100" s="125">
        <v>0</v>
      </c>
      <c r="CK100" s="125">
        <v>0</v>
      </c>
      <c r="CL100" s="125">
        <v>0</v>
      </c>
      <c r="CM100" s="125">
        <v>0</v>
      </c>
      <c r="CN100" s="125">
        <v>0</v>
      </c>
      <c r="CO100" s="125">
        <v>0</v>
      </c>
      <c r="CP100" s="125">
        <v>0</v>
      </c>
      <c r="CQ100" s="125">
        <v>0</v>
      </c>
      <c r="CR100" s="125">
        <v>0</v>
      </c>
      <c r="CS100" s="125">
        <v>0</v>
      </c>
      <c r="CT100" s="125">
        <v>0</v>
      </c>
      <c r="CU100" s="126">
        <v>0</v>
      </c>
    </row>
    <row r="101" spans="1:99" x14ac:dyDescent="0.25">
      <c r="A101" t="s">
        <v>208</v>
      </c>
      <c r="B101" s="2" t="s">
        <v>2</v>
      </c>
      <c r="C101" s="1">
        <v>10562</v>
      </c>
      <c r="D101" s="19">
        <v>8.5285714285714302</v>
      </c>
      <c r="E101" s="18">
        <v>0</v>
      </c>
      <c r="F101" s="19">
        <v>0</v>
      </c>
      <c r="G101" s="19">
        <v>0</v>
      </c>
      <c r="H101" s="19">
        <v>0</v>
      </c>
      <c r="I101" s="19">
        <f>SUM(E101:H101)/Variables!$E$3</f>
        <v>0</v>
      </c>
      <c r="J101" s="4">
        <v>0</v>
      </c>
      <c r="K101">
        <v>0</v>
      </c>
      <c r="L101">
        <v>0</v>
      </c>
      <c r="M101">
        <v>0</v>
      </c>
      <c r="N101" s="6">
        <f>SUM(J101:M101)/Variables!$E$3</f>
        <v>0</v>
      </c>
      <c r="O101" s="4">
        <v>0</v>
      </c>
      <c r="P101">
        <v>0</v>
      </c>
      <c r="Q101">
        <v>0</v>
      </c>
      <c r="R101">
        <v>0</v>
      </c>
      <c r="S101" s="6">
        <f>SUM(O101:R101)/Variables!$E$3</f>
        <v>0</v>
      </c>
      <c r="T101" s="12">
        <v>0</v>
      </c>
      <c r="U101" s="6">
        <v>0</v>
      </c>
      <c r="V101" s="6">
        <v>0</v>
      </c>
      <c r="W101" s="6">
        <v>0</v>
      </c>
      <c r="X101" s="6">
        <f>SUM(T101:W101)/Variables!$E$3</f>
        <v>0</v>
      </c>
      <c r="Y101" s="12">
        <v>0</v>
      </c>
      <c r="Z101" s="6">
        <v>0</v>
      </c>
      <c r="AA101" s="6">
        <v>0</v>
      </c>
      <c r="AB101" s="6">
        <v>0</v>
      </c>
      <c r="AC101" s="6">
        <f>SUM(Y101:AB101)/Variables!$E$3</f>
        <v>0</v>
      </c>
      <c r="AD101" s="4">
        <v>0</v>
      </c>
      <c r="AE101" s="2">
        <v>0</v>
      </c>
      <c r="AF101" s="2">
        <v>0</v>
      </c>
      <c r="AG101" s="2">
        <v>0</v>
      </c>
      <c r="AH101" s="6">
        <f>SUM(AD101:AG101)/Variables!$E$3</f>
        <v>0</v>
      </c>
      <c r="AI101" s="4">
        <v>0</v>
      </c>
      <c r="AJ101" s="2">
        <v>0</v>
      </c>
      <c r="AK101" s="2">
        <v>0</v>
      </c>
      <c r="AL101" s="2">
        <v>0</v>
      </c>
      <c r="AM101" s="6">
        <f>SUM(AI101:AL101)/Variables!$E$3</f>
        <v>0</v>
      </c>
      <c r="AN101" s="4">
        <v>0</v>
      </c>
      <c r="AO101" s="2">
        <v>0</v>
      </c>
      <c r="AP101" s="2">
        <v>0</v>
      </c>
      <c r="AQ101" s="2">
        <v>0</v>
      </c>
      <c r="AR101" s="6">
        <f>SUM(AN101:AQ101)/Variables!$E$3</f>
        <v>0</v>
      </c>
      <c r="AS101" s="4">
        <v>0</v>
      </c>
      <c r="AT101" s="2">
        <v>0</v>
      </c>
      <c r="AU101" s="2">
        <v>0</v>
      </c>
      <c r="AV101" s="2">
        <v>0</v>
      </c>
      <c r="AW101" s="6">
        <f>SUM(AS101:AV101)/Variables!$E$3</f>
        <v>0</v>
      </c>
      <c r="AX101" s="4">
        <v>0</v>
      </c>
      <c r="AY101" s="2">
        <v>0</v>
      </c>
      <c r="AZ101" s="2">
        <v>0</v>
      </c>
      <c r="BA101" s="2">
        <v>0</v>
      </c>
      <c r="BB101" s="6">
        <f>SUM(AX101:BA101)/Variables!$E$3</f>
        <v>0</v>
      </c>
      <c r="BC101" s="12">
        <f t="shared" si="29"/>
        <v>0</v>
      </c>
      <c r="BD101" s="110">
        <f t="shared" si="29"/>
        <v>0</v>
      </c>
      <c r="BE101" s="110">
        <f t="shared" si="29"/>
        <v>0</v>
      </c>
      <c r="BF101" s="110">
        <f t="shared" si="29"/>
        <v>0</v>
      </c>
      <c r="BG101" s="6">
        <f>SUM(BC101:BF101)/Variables!$E$3</f>
        <v>0</v>
      </c>
      <c r="BH101" s="4">
        <v>0</v>
      </c>
      <c r="BI101">
        <v>0</v>
      </c>
      <c r="BJ101">
        <v>0</v>
      </c>
      <c r="BK101">
        <v>0</v>
      </c>
      <c r="BL101" s="6">
        <f>SUM(BH101:BK101)/Variables!$E$3</f>
        <v>0</v>
      </c>
      <c r="BM101" s="110">
        <v>0</v>
      </c>
      <c r="BN101" s="110">
        <v>0</v>
      </c>
      <c r="BO101" s="110">
        <v>0</v>
      </c>
      <c r="BP101" s="110">
        <v>0</v>
      </c>
      <c r="BQ101" s="6">
        <f>SUM(BM101:BP101)/Variables!$E$3</f>
        <v>0</v>
      </c>
      <c r="BS101" s="4">
        <v>99</v>
      </c>
      <c r="BT101" s="125">
        <f t="shared" si="16"/>
        <v>0</v>
      </c>
      <c r="BU101" s="125">
        <f t="shared" si="17"/>
        <v>0</v>
      </c>
      <c r="BV101" s="125">
        <f t="shared" si="18"/>
        <v>0</v>
      </c>
      <c r="BW101" s="125">
        <f t="shared" si="19"/>
        <v>0</v>
      </c>
      <c r="BX101" s="125">
        <f t="shared" si="20"/>
        <v>0</v>
      </c>
      <c r="BY101" s="125">
        <f t="shared" si="21"/>
        <v>0</v>
      </c>
      <c r="BZ101" s="125">
        <f t="shared" si="22"/>
        <v>0</v>
      </c>
      <c r="CA101" s="125">
        <f t="shared" si="23"/>
        <v>0</v>
      </c>
      <c r="CB101" s="125">
        <f t="shared" si="24"/>
        <v>0</v>
      </c>
      <c r="CC101" s="125">
        <f t="shared" si="25"/>
        <v>0</v>
      </c>
      <c r="CD101" s="125">
        <f t="shared" si="26"/>
        <v>0</v>
      </c>
      <c r="CE101" s="125">
        <f t="shared" si="27"/>
        <v>0</v>
      </c>
      <c r="CF101" s="126">
        <f t="shared" si="28"/>
        <v>0</v>
      </c>
      <c r="CH101" s="4">
        <v>99</v>
      </c>
      <c r="CI101" s="129">
        <v>0</v>
      </c>
      <c r="CJ101" s="125">
        <v>0</v>
      </c>
      <c r="CK101" s="125">
        <v>0</v>
      </c>
      <c r="CL101" s="125">
        <v>0</v>
      </c>
      <c r="CM101" s="125">
        <v>0</v>
      </c>
      <c r="CN101" s="125">
        <v>0</v>
      </c>
      <c r="CO101" s="125">
        <v>0</v>
      </c>
      <c r="CP101" s="125">
        <v>0</v>
      </c>
      <c r="CQ101" s="125">
        <v>0</v>
      </c>
      <c r="CR101" s="125">
        <v>0</v>
      </c>
      <c r="CS101" s="125">
        <v>0</v>
      </c>
      <c r="CT101" s="125">
        <v>0</v>
      </c>
      <c r="CU101" s="126">
        <v>0</v>
      </c>
    </row>
    <row r="102" spans="1:99" x14ac:dyDescent="0.25">
      <c r="A102" t="s">
        <v>209</v>
      </c>
      <c r="B102" s="2" t="s">
        <v>3</v>
      </c>
      <c r="C102" s="1">
        <v>10652</v>
      </c>
      <c r="D102" s="19">
        <v>27.948571428571402</v>
      </c>
      <c r="E102" s="18">
        <v>0</v>
      </c>
      <c r="F102" s="19">
        <v>0</v>
      </c>
      <c r="G102" s="19">
        <v>0</v>
      </c>
      <c r="H102" s="19">
        <v>0</v>
      </c>
      <c r="I102" s="19">
        <f>SUM(E102:H102)/Variables!$E$3</f>
        <v>0</v>
      </c>
      <c r="J102" s="4">
        <v>0</v>
      </c>
      <c r="K102">
        <v>0</v>
      </c>
      <c r="L102">
        <v>0</v>
      </c>
      <c r="M102">
        <v>0</v>
      </c>
      <c r="N102" s="6">
        <f>SUM(J102:M102)/Variables!$E$3</f>
        <v>0</v>
      </c>
      <c r="O102" s="4">
        <v>0</v>
      </c>
      <c r="P102">
        <v>0</v>
      </c>
      <c r="Q102">
        <v>0</v>
      </c>
      <c r="R102">
        <v>0</v>
      </c>
      <c r="S102" s="6">
        <f>SUM(O102:R102)/Variables!$E$3</f>
        <v>0</v>
      </c>
      <c r="T102" s="12">
        <v>0</v>
      </c>
      <c r="U102" s="6">
        <v>0</v>
      </c>
      <c r="V102" s="6">
        <v>0</v>
      </c>
      <c r="W102" s="6">
        <v>0</v>
      </c>
      <c r="X102" s="6">
        <f>SUM(T102:W102)/Variables!$E$3</f>
        <v>0</v>
      </c>
      <c r="Y102" s="12">
        <v>0</v>
      </c>
      <c r="Z102" s="6">
        <v>0</v>
      </c>
      <c r="AA102" s="6">
        <v>0</v>
      </c>
      <c r="AB102" s="6">
        <v>0</v>
      </c>
      <c r="AC102" s="6">
        <f>SUM(Y102:AB102)/Variables!$E$3</f>
        <v>0</v>
      </c>
      <c r="AD102" s="4">
        <v>0</v>
      </c>
      <c r="AE102" s="2">
        <v>0</v>
      </c>
      <c r="AF102" s="2">
        <v>0</v>
      </c>
      <c r="AG102" s="2">
        <v>0</v>
      </c>
      <c r="AH102" s="6">
        <f>SUM(AD102:AG102)/Variables!$E$3</f>
        <v>0</v>
      </c>
      <c r="AI102" s="4">
        <v>0</v>
      </c>
      <c r="AJ102" s="2">
        <v>0</v>
      </c>
      <c r="AK102" s="2">
        <v>0</v>
      </c>
      <c r="AL102" s="2">
        <v>0</v>
      </c>
      <c r="AM102" s="6">
        <f>SUM(AI102:AL102)/Variables!$E$3</f>
        <v>0</v>
      </c>
      <c r="AN102" s="4">
        <v>0</v>
      </c>
      <c r="AO102" s="2">
        <v>0</v>
      </c>
      <c r="AP102" s="2">
        <v>0</v>
      </c>
      <c r="AQ102" s="2">
        <v>0</v>
      </c>
      <c r="AR102" s="6">
        <f>SUM(AN102:AQ102)/Variables!$E$3</f>
        <v>0</v>
      </c>
      <c r="AS102" s="4">
        <v>0</v>
      </c>
      <c r="AT102" s="2">
        <v>0</v>
      </c>
      <c r="AU102" s="2">
        <v>0</v>
      </c>
      <c r="AV102" s="2">
        <v>0</v>
      </c>
      <c r="AW102" s="6">
        <f>SUM(AS102:AV102)/Variables!$E$3</f>
        <v>0</v>
      </c>
      <c r="AX102" s="4">
        <v>0</v>
      </c>
      <c r="AY102" s="2">
        <v>0</v>
      </c>
      <c r="AZ102" s="2">
        <v>0</v>
      </c>
      <c r="BA102" s="2">
        <v>0</v>
      </c>
      <c r="BB102" s="6">
        <f>SUM(AX102:BA102)/Variables!$E$3</f>
        <v>0</v>
      </c>
      <c r="BC102" s="12">
        <f t="shared" si="29"/>
        <v>0</v>
      </c>
      <c r="BD102" s="110">
        <f t="shared" si="29"/>
        <v>0</v>
      </c>
      <c r="BE102" s="110">
        <f t="shared" si="29"/>
        <v>0</v>
      </c>
      <c r="BF102" s="110">
        <f t="shared" si="29"/>
        <v>0</v>
      </c>
      <c r="BG102" s="6">
        <f>SUM(BC102:BF102)/Variables!$E$3</f>
        <v>0</v>
      </c>
      <c r="BH102" s="4">
        <v>0</v>
      </c>
      <c r="BI102">
        <v>0</v>
      </c>
      <c r="BJ102">
        <v>0</v>
      </c>
      <c r="BK102">
        <v>0</v>
      </c>
      <c r="BL102" s="6">
        <f>SUM(BH102:BK102)/Variables!$E$3</f>
        <v>0</v>
      </c>
      <c r="BM102" s="110">
        <v>0</v>
      </c>
      <c r="BN102" s="110">
        <v>0</v>
      </c>
      <c r="BO102" s="110">
        <v>0</v>
      </c>
      <c r="BP102" s="110">
        <v>0</v>
      </c>
      <c r="BQ102" s="6">
        <f>SUM(BM102:BP102)/Variables!$E$3</f>
        <v>0</v>
      </c>
      <c r="BS102" s="4">
        <v>100</v>
      </c>
      <c r="BT102" s="125">
        <f t="shared" si="16"/>
        <v>0</v>
      </c>
      <c r="BU102" s="125">
        <f t="shared" si="17"/>
        <v>0.27678762302155996</v>
      </c>
      <c r="BV102" s="125">
        <f t="shared" si="18"/>
        <v>2.715777638777821E-2</v>
      </c>
      <c r="BW102" s="125">
        <f t="shared" si="19"/>
        <v>8.0218212337389849E-2</v>
      </c>
      <c r="BX102" s="125">
        <f t="shared" si="20"/>
        <v>7.8831423843419179E-2</v>
      </c>
      <c r="BY102" s="125">
        <f t="shared" si="21"/>
        <v>5.9611952588698253E-2</v>
      </c>
      <c r="BZ102" s="125">
        <f t="shared" si="22"/>
        <v>5.7933554501619175E-2</v>
      </c>
      <c r="CA102" s="125">
        <f t="shared" si="23"/>
        <v>5.9737685967426506E-2</v>
      </c>
      <c r="CB102" s="125">
        <f t="shared" si="24"/>
        <v>8.8338070768572988E-2</v>
      </c>
      <c r="CC102" s="125">
        <f t="shared" si="25"/>
        <v>6.7073927742895834E-2</v>
      </c>
      <c r="CD102" s="125">
        <f t="shared" si="26"/>
        <v>7.8831423843419179E-2</v>
      </c>
      <c r="CE102" s="125">
        <f t="shared" si="27"/>
        <v>6.3940569600709429E-2</v>
      </c>
      <c r="CF102" s="126">
        <f t="shared" si="28"/>
        <v>6.7335845889516147E-2</v>
      </c>
      <c r="CH102" s="4">
        <v>100</v>
      </c>
      <c r="CI102" s="129">
        <v>0</v>
      </c>
      <c r="CJ102" s="125">
        <v>0.27342734305101385</v>
      </c>
      <c r="CK102" s="125">
        <v>0</v>
      </c>
      <c r="CL102" s="125">
        <v>0</v>
      </c>
      <c r="CM102" s="125">
        <v>0</v>
      </c>
      <c r="CN102" s="125">
        <v>0</v>
      </c>
      <c r="CO102" s="125">
        <v>0</v>
      </c>
      <c r="CP102" s="125">
        <v>0</v>
      </c>
      <c r="CQ102" s="125">
        <v>0</v>
      </c>
      <c r="CR102" s="125">
        <v>0</v>
      </c>
      <c r="CS102" s="125">
        <v>0</v>
      </c>
      <c r="CT102" s="125">
        <v>0</v>
      </c>
      <c r="CU102" s="126">
        <v>0</v>
      </c>
    </row>
    <row r="103" spans="1:99" x14ac:dyDescent="0.25">
      <c r="A103" t="s">
        <v>209</v>
      </c>
      <c r="B103" s="2" t="s">
        <v>4</v>
      </c>
      <c r="C103" s="1">
        <v>10744</v>
      </c>
      <c r="D103" s="19">
        <v>65.0171428571429</v>
      </c>
      <c r="E103" s="18">
        <v>0</v>
      </c>
      <c r="F103" s="19">
        <v>0</v>
      </c>
      <c r="G103" s="19">
        <v>0</v>
      </c>
      <c r="H103" s="19">
        <v>0</v>
      </c>
      <c r="I103" s="19">
        <f>SUM(E103:H103)/Variables!$E$3</f>
        <v>0</v>
      </c>
      <c r="J103" s="4">
        <v>13335</v>
      </c>
      <c r="K103">
        <v>23786</v>
      </c>
      <c r="L103">
        <v>264884</v>
      </c>
      <c r="M103">
        <v>47575</v>
      </c>
      <c r="N103" s="6">
        <f>SUM(J103:M103)/Variables!$E$3</f>
        <v>0.27678762302155996</v>
      </c>
      <c r="O103" s="4">
        <v>0</v>
      </c>
      <c r="P103">
        <v>0</v>
      </c>
      <c r="Q103">
        <v>28654</v>
      </c>
      <c r="R103">
        <v>5646</v>
      </c>
      <c r="S103" s="6">
        <f>SUM(O103:R103)/Variables!$E$3</f>
        <v>2.715777638777821E-2</v>
      </c>
      <c r="T103" s="12">
        <v>0</v>
      </c>
      <c r="U103" s="6">
        <v>0</v>
      </c>
      <c r="V103" s="6">
        <v>88813.1</v>
      </c>
      <c r="W103" s="6">
        <v>12501.7</v>
      </c>
      <c r="X103" s="6">
        <f>SUM(T103:W103)/Variables!$E$3</f>
        <v>8.0218212337389849E-2</v>
      </c>
      <c r="Y103" s="12">
        <v>0</v>
      </c>
      <c r="Z103" s="6">
        <v>0</v>
      </c>
      <c r="AA103" s="6">
        <v>86914.9</v>
      </c>
      <c r="AB103" s="6">
        <v>12648.4</v>
      </c>
      <c r="AC103" s="6">
        <f>SUM(Y103:AB103)/Variables!$E$3</f>
        <v>7.8831423843419179E-2</v>
      </c>
      <c r="AD103" s="4">
        <v>0</v>
      </c>
      <c r="AE103" s="2">
        <v>0</v>
      </c>
      <c r="AF103" s="2">
        <v>63975.1</v>
      </c>
      <c r="AG103" s="2">
        <v>11314.2</v>
      </c>
      <c r="AH103" s="6">
        <f>SUM(AD103:AG103)/Variables!$E$3</f>
        <v>5.9611952588698253E-2</v>
      </c>
      <c r="AI103" s="4">
        <v>0</v>
      </c>
      <c r="AJ103" s="2">
        <v>0</v>
      </c>
      <c r="AK103" s="2">
        <v>64690.5</v>
      </c>
      <c r="AL103" s="2">
        <v>8479</v>
      </c>
      <c r="AM103" s="6">
        <f>SUM(AI103:AL103)/Variables!$E$3</f>
        <v>5.7933554501619175E-2</v>
      </c>
      <c r="AN103" s="4">
        <v>0</v>
      </c>
      <c r="AO103" s="2">
        <v>0</v>
      </c>
      <c r="AP103" s="2">
        <v>63184.3</v>
      </c>
      <c r="AQ103" s="2">
        <v>12263.8</v>
      </c>
      <c r="AR103" s="6">
        <f>SUM(AN103:AQ103)/Variables!$E$3</f>
        <v>5.9737685967426506E-2</v>
      </c>
      <c r="AS103" s="4">
        <v>0</v>
      </c>
      <c r="AT103" s="2">
        <v>679.1</v>
      </c>
      <c r="AU103" s="2">
        <v>91641.7</v>
      </c>
      <c r="AV103" s="2">
        <v>19249.3</v>
      </c>
      <c r="AW103" s="6">
        <f>SUM(AS103:AV103)/Variables!$E$3</f>
        <v>8.8338070768572988E-2</v>
      </c>
      <c r="AX103" s="4">
        <v>0</v>
      </c>
      <c r="AY103" s="2">
        <v>0</v>
      </c>
      <c r="AZ103" s="2">
        <v>70789.600000000006</v>
      </c>
      <c r="BA103" s="2">
        <v>13924.1</v>
      </c>
      <c r="BB103" s="6">
        <f>SUM(AX103:BA103)/Variables!$E$3</f>
        <v>6.7073927742895834E-2</v>
      </c>
      <c r="BC103" s="12">
        <f t="shared" si="29"/>
        <v>0</v>
      </c>
      <c r="BD103" s="110">
        <f t="shared" si="29"/>
        <v>0</v>
      </c>
      <c r="BE103" s="110">
        <f t="shared" si="29"/>
        <v>86914.9</v>
      </c>
      <c r="BF103" s="110">
        <f t="shared" si="29"/>
        <v>12648.4</v>
      </c>
      <c r="BG103" s="6">
        <f>SUM(BC103:BF103)/Variables!$E$3</f>
        <v>7.8831423843419179E-2</v>
      </c>
      <c r="BH103" s="4">
        <v>0</v>
      </c>
      <c r="BI103">
        <v>0</v>
      </c>
      <c r="BJ103">
        <v>68797</v>
      </c>
      <c r="BK103">
        <v>11959.3</v>
      </c>
      <c r="BL103" s="6">
        <f>SUM(BH103:BK103)/Variables!$E$3</f>
        <v>6.3940569600709429E-2</v>
      </c>
      <c r="BM103" s="110">
        <v>0</v>
      </c>
      <c r="BN103" s="110">
        <v>0</v>
      </c>
      <c r="BO103" s="110">
        <v>71812.3</v>
      </c>
      <c r="BP103" s="110">
        <v>13232.2</v>
      </c>
      <c r="BQ103" s="6">
        <f>SUM(BM103:BP103)/Variables!$E$3</f>
        <v>6.7335845889516147E-2</v>
      </c>
      <c r="BS103" s="4">
        <v>101</v>
      </c>
      <c r="BT103" s="125">
        <f t="shared" si="16"/>
        <v>0</v>
      </c>
      <c r="BU103" s="125">
        <f t="shared" si="17"/>
        <v>0</v>
      </c>
      <c r="BV103" s="125">
        <f t="shared" si="18"/>
        <v>0</v>
      </c>
      <c r="BW103" s="125">
        <f t="shared" si="19"/>
        <v>0</v>
      </c>
      <c r="BX103" s="125">
        <f t="shared" si="20"/>
        <v>0</v>
      </c>
      <c r="BY103" s="125">
        <f t="shared" si="21"/>
        <v>0</v>
      </c>
      <c r="BZ103" s="125">
        <f t="shared" si="22"/>
        <v>0</v>
      </c>
      <c r="CA103" s="125">
        <f t="shared" si="23"/>
        <v>0</v>
      </c>
      <c r="CB103" s="125">
        <f t="shared" si="24"/>
        <v>0</v>
      </c>
      <c r="CC103" s="125">
        <f t="shared" si="25"/>
        <v>0</v>
      </c>
      <c r="CD103" s="125">
        <f t="shared" si="26"/>
        <v>0</v>
      </c>
      <c r="CE103" s="125">
        <f t="shared" si="27"/>
        <v>0</v>
      </c>
      <c r="CF103" s="126">
        <f t="shared" si="28"/>
        <v>0</v>
      </c>
      <c r="CH103" s="4">
        <v>101</v>
      </c>
      <c r="CI103" s="129">
        <v>0</v>
      </c>
      <c r="CJ103" s="125">
        <v>0</v>
      </c>
      <c r="CK103" s="125">
        <v>0</v>
      </c>
      <c r="CL103" s="125">
        <v>0</v>
      </c>
      <c r="CM103" s="125">
        <v>0</v>
      </c>
      <c r="CN103" s="125">
        <v>0</v>
      </c>
      <c r="CO103" s="125">
        <v>0</v>
      </c>
      <c r="CP103" s="125">
        <v>0</v>
      </c>
      <c r="CQ103" s="125">
        <v>0</v>
      </c>
      <c r="CR103" s="125">
        <v>0</v>
      </c>
      <c r="CS103" s="125">
        <v>0</v>
      </c>
      <c r="CT103" s="125">
        <v>0</v>
      </c>
      <c r="CU103" s="126">
        <v>0</v>
      </c>
    </row>
    <row r="104" spans="1:99" x14ac:dyDescent="0.25">
      <c r="A104" t="s">
        <v>209</v>
      </c>
      <c r="B104" s="2" t="s">
        <v>1</v>
      </c>
      <c r="C104" s="1">
        <v>10836</v>
      </c>
      <c r="D104" s="19">
        <v>36.28</v>
      </c>
      <c r="E104" s="18">
        <v>0</v>
      </c>
      <c r="F104" s="19">
        <v>0</v>
      </c>
      <c r="G104" s="19">
        <v>0</v>
      </c>
      <c r="H104" s="19">
        <v>0</v>
      </c>
      <c r="I104" s="19">
        <f>SUM(E104:H104)/Variables!$E$3</f>
        <v>0</v>
      </c>
      <c r="J104" s="4">
        <v>0</v>
      </c>
      <c r="K104">
        <v>0</v>
      </c>
      <c r="L104">
        <v>0</v>
      </c>
      <c r="M104">
        <v>0</v>
      </c>
      <c r="N104" s="6">
        <f>SUM(J104:M104)/Variables!$E$3</f>
        <v>0</v>
      </c>
      <c r="O104" s="4">
        <v>0</v>
      </c>
      <c r="P104">
        <v>0</v>
      </c>
      <c r="Q104">
        <v>0</v>
      </c>
      <c r="R104">
        <v>0</v>
      </c>
      <c r="S104" s="6">
        <f>SUM(O104:R104)/Variables!$E$3</f>
        <v>0</v>
      </c>
      <c r="T104" s="12">
        <v>0</v>
      </c>
      <c r="U104" s="6">
        <v>0</v>
      </c>
      <c r="V104" s="6">
        <v>0</v>
      </c>
      <c r="W104" s="6">
        <v>0</v>
      </c>
      <c r="X104" s="6">
        <f>SUM(T104:W104)/Variables!$E$3</f>
        <v>0</v>
      </c>
      <c r="Y104" s="12">
        <v>0</v>
      </c>
      <c r="Z104" s="6">
        <v>0</v>
      </c>
      <c r="AA104" s="6">
        <v>0</v>
      </c>
      <c r="AB104" s="6">
        <v>0</v>
      </c>
      <c r="AC104" s="6">
        <f>SUM(Y104:AB104)/Variables!$E$3</f>
        <v>0</v>
      </c>
      <c r="AD104" s="4">
        <v>0</v>
      </c>
      <c r="AE104" s="2">
        <v>0</v>
      </c>
      <c r="AF104" s="2">
        <v>0</v>
      </c>
      <c r="AG104" s="2">
        <v>0</v>
      </c>
      <c r="AH104" s="6">
        <f>SUM(AD104:AG104)/Variables!$E$3</f>
        <v>0</v>
      </c>
      <c r="AI104" s="4">
        <v>0</v>
      </c>
      <c r="AJ104" s="2">
        <v>0</v>
      </c>
      <c r="AK104" s="2">
        <v>0</v>
      </c>
      <c r="AL104" s="2">
        <v>0</v>
      </c>
      <c r="AM104" s="6">
        <f>SUM(AI104:AL104)/Variables!$E$3</f>
        <v>0</v>
      </c>
      <c r="AN104" s="4">
        <v>0</v>
      </c>
      <c r="AO104" s="2">
        <v>0</v>
      </c>
      <c r="AP104" s="2">
        <v>0</v>
      </c>
      <c r="AQ104" s="2">
        <v>0</v>
      </c>
      <c r="AR104" s="6">
        <f>SUM(AN104:AQ104)/Variables!$E$3</f>
        <v>0</v>
      </c>
      <c r="AS104" s="4">
        <v>0</v>
      </c>
      <c r="AT104" s="2">
        <v>0</v>
      </c>
      <c r="AU104" s="2">
        <v>0</v>
      </c>
      <c r="AV104" s="2">
        <v>0</v>
      </c>
      <c r="AW104" s="6">
        <f>SUM(AS104:AV104)/Variables!$E$3</f>
        <v>0</v>
      </c>
      <c r="AX104" s="4">
        <v>0</v>
      </c>
      <c r="AY104" s="2">
        <v>0</v>
      </c>
      <c r="AZ104" s="2">
        <v>0</v>
      </c>
      <c r="BA104" s="2">
        <v>0</v>
      </c>
      <c r="BB104" s="6">
        <f>SUM(AX104:BA104)/Variables!$E$3</f>
        <v>0</v>
      </c>
      <c r="BC104" s="12">
        <f t="shared" si="29"/>
        <v>0</v>
      </c>
      <c r="BD104" s="110">
        <f t="shared" si="29"/>
        <v>0</v>
      </c>
      <c r="BE104" s="110">
        <f t="shared" si="29"/>
        <v>0</v>
      </c>
      <c r="BF104" s="110">
        <f t="shared" si="29"/>
        <v>0</v>
      </c>
      <c r="BG104" s="6">
        <f>SUM(BC104:BF104)/Variables!$E$3</f>
        <v>0</v>
      </c>
      <c r="BH104" s="4">
        <v>0</v>
      </c>
      <c r="BI104">
        <v>0</v>
      </c>
      <c r="BJ104">
        <v>0</v>
      </c>
      <c r="BK104">
        <v>0</v>
      </c>
      <c r="BL104" s="6">
        <f>SUM(BH104:BK104)/Variables!$E$3</f>
        <v>0</v>
      </c>
      <c r="BM104" s="110">
        <v>0</v>
      </c>
      <c r="BN104" s="110">
        <v>0</v>
      </c>
      <c r="BO104" s="110">
        <v>0</v>
      </c>
      <c r="BP104" s="110">
        <v>0</v>
      </c>
      <c r="BQ104" s="6">
        <f>SUM(BM104:BP104)/Variables!$E$3</f>
        <v>0</v>
      </c>
      <c r="BS104" s="4">
        <v>102</v>
      </c>
      <c r="BT104" s="125">
        <f t="shared" si="16"/>
        <v>0</v>
      </c>
      <c r="BU104" s="125">
        <f t="shared" si="17"/>
        <v>0</v>
      </c>
      <c r="BV104" s="125">
        <f t="shared" si="18"/>
        <v>0</v>
      </c>
      <c r="BW104" s="125">
        <f t="shared" si="19"/>
        <v>0</v>
      </c>
      <c r="BX104" s="125">
        <f t="shared" si="20"/>
        <v>0</v>
      </c>
      <c r="BY104" s="125">
        <f t="shared" si="21"/>
        <v>0</v>
      </c>
      <c r="BZ104" s="125">
        <f t="shared" si="22"/>
        <v>0</v>
      </c>
      <c r="CA104" s="125">
        <f t="shared" si="23"/>
        <v>0</v>
      </c>
      <c r="CB104" s="125">
        <f t="shared" si="24"/>
        <v>0</v>
      </c>
      <c r="CC104" s="125">
        <f t="shared" si="25"/>
        <v>0</v>
      </c>
      <c r="CD104" s="125">
        <f t="shared" si="26"/>
        <v>0</v>
      </c>
      <c r="CE104" s="125">
        <f t="shared" si="27"/>
        <v>0</v>
      </c>
      <c r="CF104" s="126">
        <f t="shared" si="28"/>
        <v>0</v>
      </c>
      <c r="CH104" s="4">
        <v>102</v>
      </c>
      <c r="CI104" s="129">
        <v>0</v>
      </c>
      <c r="CJ104" s="125">
        <v>0</v>
      </c>
      <c r="CK104" s="125">
        <v>0</v>
      </c>
      <c r="CL104" s="125">
        <v>0</v>
      </c>
      <c r="CM104" s="125">
        <v>0</v>
      </c>
      <c r="CN104" s="125">
        <v>0</v>
      </c>
      <c r="CO104" s="125">
        <v>0</v>
      </c>
      <c r="CP104" s="125">
        <v>0</v>
      </c>
      <c r="CQ104" s="125">
        <v>0</v>
      </c>
      <c r="CR104" s="125">
        <v>0</v>
      </c>
      <c r="CS104" s="125">
        <v>0</v>
      </c>
      <c r="CT104" s="125">
        <v>0</v>
      </c>
      <c r="CU104" s="126">
        <v>0</v>
      </c>
    </row>
    <row r="105" spans="1:99" x14ac:dyDescent="0.25">
      <c r="A105" t="s">
        <v>209</v>
      </c>
      <c r="B105" s="2" t="s">
        <v>2</v>
      </c>
      <c r="C105" s="1">
        <v>10927</v>
      </c>
      <c r="D105" s="19">
        <v>50.56</v>
      </c>
      <c r="E105" s="18">
        <v>0</v>
      </c>
      <c r="F105" s="19">
        <v>0</v>
      </c>
      <c r="G105" s="19">
        <v>0</v>
      </c>
      <c r="H105" s="19">
        <v>0</v>
      </c>
      <c r="I105" s="19">
        <f>SUM(E105:H105)/Variables!$E$3</f>
        <v>0</v>
      </c>
      <c r="J105" s="4">
        <v>0</v>
      </c>
      <c r="K105">
        <v>0</v>
      </c>
      <c r="L105">
        <v>0</v>
      </c>
      <c r="M105">
        <v>0</v>
      </c>
      <c r="N105" s="6">
        <f>SUM(J105:M105)/Variables!$E$3</f>
        <v>0</v>
      </c>
      <c r="O105" s="4">
        <v>0</v>
      </c>
      <c r="P105">
        <v>0</v>
      </c>
      <c r="Q105">
        <v>0</v>
      </c>
      <c r="R105">
        <v>0</v>
      </c>
      <c r="S105" s="6">
        <f>SUM(O105:R105)/Variables!$E$3</f>
        <v>0</v>
      </c>
      <c r="T105" s="12">
        <v>0</v>
      </c>
      <c r="U105" s="6">
        <v>0</v>
      </c>
      <c r="V105" s="6">
        <v>0</v>
      </c>
      <c r="W105" s="6">
        <v>0</v>
      </c>
      <c r="X105" s="6">
        <f>SUM(T105:W105)/Variables!$E$3</f>
        <v>0</v>
      </c>
      <c r="Y105" s="12">
        <v>0</v>
      </c>
      <c r="Z105" s="6">
        <v>0</v>
      </c>
      <c r="AA105" s="6">
        <v>0</v>
      </c>
      <c r="AB105" s="6">
        <v>0</v>
      </c>
      <c r="AC105" s="6">
        <f>SUM(Y105:AB105)/Variables!$E$3</f>
        <v>0</v>
      </c>
      <c r="AD105" s="4">
        <v>0</v>
      </c>
      <c r="AE105" s="2">
        <v>0</v>
      </c>
      <c r="AF105" s="2">
        <v>0</v>
      </c>
      <c r="AG105" s="2">
        <v>0</v>
      </c>
      <c r="AH105" s="6">
        <f>SUM(AD105:AG105)/Variables!$E$3</f>
        <v>0</v>
      </c>
      <c r="AI105" s="4">
        <v>0</v>
      </c>
      <c r="AJ105" s="2">
        <v>0</v>
      </c>
      <c r="AK105" s="2">
        <v>0</v>
      </c>
      <c r="AL105" s="2">
        <v>0</v>
      </c>
      <c r="AM105" s="6">
        <f>SUM(AI105:AL105)/Variables!$E$3</f>
        <v>0</v>
      </c>
      <c r="AN105" s="4">
        <v>0</v>
      </c>
      <c r="AO105" s="2">
        <v>0</v>
      </c>
      <c r="AP105" s="2">
        <v>0</v>
      </c>
      <c r="AQ105" s="2">
        <v>0</v>
      </c>
      <c r="AR105" s="6">
        <f>SUM(AN105:AQ105)/Variables!$E$3</f>
        <v>0</v>
      </c>
      <c r="AS105" s="4">
        <v>0</v>
      </c>
      <c r="AT105" s="2">
        <v>0</v>
      </c>
      <c r="AU105" s="2">
        <v>0</v>
      </c>
      <c r="AV105" s="2">
        <v>0</v>
      </c>
      <c r="AW105" s="6">
        <f>SUM(AS105:AV105)/Variables!$E$3</f>
        <v>0</v>
      </c>
      <c r="AX105" s="4">
        <v>0</v>
      </c>
      <c r="AY105" s="2">
        <v>0</v>
      </c>
      <c r="AZ105" s="2">
        <v>0</v>
      </c>
      <c r="BA105" s="2">
        <v>0</v>
      </c>
      <c r="BB105" s="6">
        <f>SUM(AX105:BA105)/Variables!$E$3</f>
        <v>0</v>
      </c>
      <c r="BC105" s="12">
        <f t="shared" si="29"/>
        <v>0</v>
      </c>
      <c r="BD105" s="110">
        <f t="shared" si="29"/>
        <v>0</v>
      </c>
      <c r="BE105" s="110">
        <f t="shared" si="29"/>
        <v>0</v>
      </c>
      <c r="BF105" s="110">
        <f t="shared" si="29"/>
        <v>0</v>
      </c>
      <c r="BG105" s="6">
        <f>SUM(BC105:BF105)/Variables!$E$3</f>
        <v>0</v>
      </c>
      <c r="BH105" s="4">
        <v>0</v>
      </c>
      <c r="BI105">
        <v>0</v>
      </c>
      <c r="BJ105">
        <v>0</v>
      </c>
      <c r="BK105">
        <v>0</v>
      </c>
      <c r="BL105" s="6">
        <f>SUM(BH105:BK105)/Variables!$E$3</f>
        <v>0</v>
      </c>
      <c r="BM105" s="110">
        <v>0</v>
      </c>
      <c r="BN105" s="110">
        <v>0</v>
      </c>
      <c r="BO105" s="110">
        <v>0</v>
      </c>
      <c r="BP105" s="110">
        <v>0</v>
      </c>
      <c r="BQ105" s="6">
        <f>SUM(BM105:BP105)/Variables!$E$3</f>
        <v>0</v>
      </c>
      <c r="BS105" s="4">
        <v>103</v>
      </c>
      <c r="BT105" s="125">
        <f t="shared" si="16"/>
        <v>0</v>
      </c>
      <c r="BU105" s="125">
        <f t="shared" si="17"/>
        <v>0</v>
      </c>
      <c r="BV105" s="125">
        <f t="shared" si="18"/>
        <v>0</v>
      </c>
      <c r="BW105" s="125">
        <f t="shared" si="19"/>
        <v>0</v>
      </c>
      <c r="BX105" s="125">
        <f t="shared" si="20"/>
        <v>0</v>
      </c>
      <c r="BY105" s="125">
        <f t="shared" si="21"/>
        <v>0</v>
      </c>
      <c r="BZ105" s="125">
        <f t="shared" si="22"/>
        <v>0</v>
      </c>
      <c r="CA105" s="125">
        <f t="shared" si="23"/>
        <v>0</v>
      </c>
      <c r="CB105" s="125">
        <f t="shared" si="24"/>
        <v>0</v>
      </c>
      <c r="CC105" s="125">
        <f t="shared" si="25"/>
        <v>0</v>
      </c>
      <c r="CD105" s="125">
        <f t="shared" si="26"/>
        <v>0</v>
      </c>
      <c r="CE105" s="125">
        <f t="shared" si="27"/>
        <v>0</v>
      </c>
      <c r="CF105" s="126">
        <f t="shared" si="28"/>
        <v>0</v>
      </c>
      <c r="CH105" s="4">
        <v>103</v>
      </c>
      <c r="CI105" s="129">
        <v>0</v>
      </c>
      <c r="CJ105" s="125">
        <v>0</v>
      </c>
      <c r="CK105" s="125">
        <v>0</v>
      </c>
      <c r="CL105" s="125">
        <v>0</v>
      </c>
      <c r="CM105" s="125">
        <v>0</v>
      </c>
      <c r="CN105" s="125">
        <v>0</v>
      </c>
      <c r="CO105" s="125">
        <v>0</v>
      </c>
      <c r="CP105" s="125">
        <v>0</v>
      </c>
      <c r="CQ105" s="125">
        <v>0</v>
      </c>
      <c r="CR105" s="125">
        <v>0</v>
      </c>
      <c r="CS105" s="125">
        <v>0</v>
      </c>
      <c r="CT105" s="125">
        <v>0</v>
      </c>
      <c r="CU105" s="126">
        <v>0</v>
      </c>
    </row>
    <row r="106" spans="1:99" x14ac:dyDescent="0.25">
      <c r="A106" t="s">
        <v>210</v>
      </c>
      <c r="B106" s="2" t="s">
        <v>3</v>
      </c>
      <c r="C106" s="1">
        <v>11017</v>
      </c>
      <c r="D106" s="19">
        <v>64.88</v>
      </c>
      <c r="E106" s="18">
        <v>0</v>
      </c>
      <c r="F106" s="19">
        <v>0</v>
      </c>
      <c r="G106" s="19">
        <v>0</v>
      </c>
      <c r="H106" s="19">
        <v>0</v>
      </c>
      <c r="I106" s="19">
        <f>SUM(E106:H106)/Variables!$E$3</f>
        <v>0</v>
      </c>
      <c r="J106" s="4">
        <v>0</v>
      </c>
      <c r="K106">
        <v>0</v>
      </c>
      <c r="L106">
        <v>0</v>
      </c>
      <c r="M106">
        <v>0</v>
      </c>
      <c r="N106" s="6">
        <f>SUM(J106:M106)/Variables!$E$3</f>
        <v>0</v>
      </c>
      <c r="O106" s="4">
        <v>0</v>
      </c>
      <c r="P106">
        <v>0</v>
      </c>
      <c r="Q106">
        <v>0</v>
      </c>
      <c r="R106">
        <v>0</v>
      </c>
      <c r="S106" s="6">
        <f>SUM(O106:R106)/Variables!$E$3</f>
        <v>0</v>
      </c>
      <c r="T106" s="12">
        <v>0</v>
      </c>
      <c r="U106" s="6">
        <v>0</v>
      </c>
      <c r="V106" s="6">
        <v>0</v>
      </c>
      <c r="W106" s="6">
        <v>0</v>
      </c>
      <c r="X106" s="6">
        <f>SUM(T106:W106)/Variables!$E$3</f>
        <v>0</v>
      </c>
      <c r="Y106" s="12">
        <v>0</v>
      </c>
      <c r="Z106" s="6">
        <v>0</v>
      </c>
      <c r="AA106" s="6">
        <v>0</v>
      </c>
      <c r="AB106" s="6">
        <v>0</v>
      </c>
      <c r="AC106" s="6">
        <f>SUM(Y106:AB106)/Variables!$E$3</f>
        <v>0</v>
      </c>
      <c r="AD106" s="4">
        <v>0</v>
      </c>
      <c r="AE106" s="2">
        <v>0</v>
      </c>
      <c r="AF106" s="2">
        <v>0</v>
      </c>
      <c r="AG106" s="2">
        <v>0</v>
      </c>
      <c r="AH106" s="6">
        <f>SUM(AD106:AG106)/Variables!$E$3</f>
        <v>0</v>
      </c>
      <c r="AI106" s="4">
        <v>0</v>
      </c>
      <c r="AJ106" s="2">
        <v>0</v>
      </c>
      <c r="AK106" s="2">
        <v>0</v>
      </c>
      <c r="AL106" s="2">
        <v>0</v>
      </c>
      <c r="AM106" s="6">
        <f>SUM(AI106:AL106)/Variables!$E$3</f>
        <v>0</v>
      </c>
      <c r="AN106" s="4">
        <v>0</v>
      </c>
      <c r="AO106" s="2">
        <v>0</v>
      </c>
      <c r="AP106" s="2">
        <v>0</v>
      </c>
      <c r="AQ106" s="2">
        <v>0</v>
      </c>
      <c r="AR106" s="6">
        <f>SUM(AN106:AQ106)/Variables!$E$3</f>
        <v>0</v>
      </c>
      <c r="AS106" s="4">
        <v>0</v>
      </c>
      <c r="AT106" s="2">
        <v>0</v>
      </c>
      <c r="AU106" s="2">
        <v>0</v>
      </c>
      <c r="AV106" s="2">
        <v>0</v>
      </c>
      <c r="AW106" s="6">
        <f>SUM(AS106:AV106)/Variables!$E$3</f>
        <v>0</v>
      </c>
      <c r="AX106" s="4">
        <v>0</v>
      </c>
      <c r="AY106" s="2">
        <v>0</v>
      </c>
      <c r="AZ106" s="2">
        <v>0</v>
      </c>
      <c r="BA106" s="2">
        <v>0</v>
      </c>
      <c r="BB106" s="6">
        <f>SUM(AX106:BA106)/Variables!$E$3</f>
        <v>0</v>
      </c>
      <c r="BC106" s="12">
        <f t="shared" si="29"/>
        <v>0</v>
      </c>
      <c r="BD106" s="110">
        <f t="shared" si="29"/>
        <v>0</v>
      </c>
      <c r="BE106" s="110">
        <f t="shared" si="29"/>
        <v>0</v>
      </c>
      <c r="BF106" s="110">
        <f t="shared" si="29"/>
        <v>0</v>
      </c>
      <c r="BG106" s="6">
        <f>SUM(BC106:BF106)/Variables!$E$3</f>
        <v>0</v>
      </c>
      <c r="BH106" s="4">
        <v>0</v>
      </c>
      <c r="BI106">
        <v>0</v>
      </c>
      <c r="BJ106">
        <v>0</v>
      </c>
      <c r="BK106">
        <v>0</v>
      </c>
      <c r="BL106" s="6">
        <f>SUM(BH106:BK106)/Variables!$E$3</f>
        <v>0</v>
      </c>
      <c r="BM106" s="110">
        <v>0</v>
      </c>
      <c r="BN106" s="110">
        <v>0</v>
      </c>
      <c r="BO106" s="110">
        <v>0</v>
      </c>
      <c r="BP106" s="110">
        <v>0</v>
      </c>
      <c r="BQ106" s="6">
        <f>SUM(BM106:BP106)/Variables!$E$3</f>
        <v>0</v>
      </c>
      <c r="BS106" s="4">
        <v>104</v>
      </c>
      <c r="BT106" s="125">
        <f t="shared" si="16"/>
        <v>0</v>
      </c>
      <c r="BU106" s="125">
        <f t="shared" si="17"/>
        <v>0</v>
      </c>
      <c r="BV106" s="125">
        <f t="shared" si="18"/>
        <v>0</v>
      </c>
      <c r="BW106" s="125">
        <f t="shared" si="19"/>
        <v>0</v>
      </c>
      <c r="BX106" s="125">
        <f t="shared" si="20"/>
        <v>0</v>
      </c>
      <c r="BY106" s="125">
        <f t="shared" si="21"/>
        <v>0</v>
      </c>
      <c r="BZ106" s="125">
        <f t="shared" si="22"/>
        <v>0</v>
      </c>
      <c r="CA106" s="125">
        <f t="shared" si="23"/>
        <v>0</v>
      </c>
      <c r="CB106" s="125">
        <f t="shared" si="24"/>
        <v>0</v>
      </c>
      <c r="CC106" s="125">
        <f t="shared" si="25"/>
        <v>0</v>
      </c>
      <c r="CD106" s="125">
        <f t="shared" si="26"/>
        <v>0</v>
      </c>
      <c r="CE106" s="125">
        <f t="shared" si="27"/>
        <v>0</v>
      </c>
      <c r="CF106" s="126">
        <f t="shared" si="28"/>
        <v>0</v>
      </c>
      <c r="CH106" s="4">
        <v>104</v>
      </c>
      <c r="CI106" s="129">
        <v>0</v>
      </c>
      <c r="CJ106" s="125">
        <v>0</v>
      </c>
      <c r="CK106" s="125">
        <v>0</v>
      </c>
      <c r="CL106" s="125">
        <v>0</v>
      </c>
      <c r="CM106" s="125">
        <v>0</v>
      </c>
      <c r="CN106" s="125">
        <v>0</v>
      </c>
      <c r="CO106" s="125">
        <v>0</v>
      </c>
      <c r="CP106" s="125">
        <v>0</v>
      </c>
      <c r="CQ106" s="125">
        <v>0</v>
      </c>
      <c r="CR106" s="125">
        <v>0</v>
      </c>
      <c r="CS106" s="125">
        <v>0</v>
      </c>
      <c r="CT106" s="125">
        <v>0</v>
      </c>
      <c r="CU106" s="126">
        <v>0</v>
      </c>
    </row>
    <row r="107" spans="1:99" x14ac:dyDescent="0.25">
      <c r="A107" t="s">
        <v>210</v>
      </c>
      <c r="B107" s="2" t="s">
        <v>4</v>
      </c>
      <c r="C107" s="1">
        <v>11109</v>
      </c>
      <c r="D107" s="19">
        <v>45.68</v>
      </c>
      <c r="E107" s="18">
        <v>0</v>
      </c>
      <c r="F107" s="19">
        <v>0</v>
      </c>
      <c r="G107" s="19">
        <v>0</v>
      </c>
      <c r="H107" s="19">
        <v>0</v>
      </c>
      <c r="I107" s="19">
        <f>SUM(E107:H107)/Variables!$E$3</f>
        <v>0</v>
      </c>
      <c r="J107" s="4">
        <v>0</v>
      </c>
      <c r="K107">
        <v>0</v>
      </c>
      <c r="L107">
        <v>0</v>
      </c>
      <c r="M107">
        <v>0</v>
      </c>
      <c r="N107" s="6">
        <f>SUM(J107:M107)/Variables!$E$3</f>
        <v>0</v>
      </c>
      <c r="O107" s="4">
        <v>0</v>
      </c>
      <c r="P107">
        <v>0</v>
      </c>
      <c r="Q107">
        <v>0</v>
      </c>
      <c r="R107">
        <v>0</v>
      </c>
      <c r="S107" s="6">
        <f>SUM(O107:R107)/Variables!$E$3</f>
        <v>0</v>
      </c>
      <c r="T107" s="12">
        <v>0</v>
      </c>
      <c r="U107" s="6">
        <v>0</v>
      </c>
      <c r="V107" s="6">
        <v>0</v>
      </c>
      <c r="W107" s="6">
        <v>0</v>
      </c>
      <c r="X107" s="6">
        <f>SUM(T107:W107)/Variables!$E$3</f>
        <v>0</v>
      </c>
      <c r="Y107" s="12">
        <v>0</v>
      </c>
      <c r="Z107" s="6">
        <v>0</v>
      </c>
      <c r="AA107" s="6">
        <v>0</v>
      </c>
      <c r="AB107" s="6">
        <v>0</v>
      </c>
      <c r="AC107" s="6">
        <f>SUM(Y107:AB107)/Variables!$E$3</f>
        <v>0</v>
      </c>
      <c r="AD107" s="4">
        <v>0</v>
      </c>
      <c r="AE107" s="2">
        <v>0</v>
      </c>
      <c r="AF107" s="2">
        <v>0</v>
      </c>
      <c r="AG107" s="2">
        <v>0</v>
      </c>
      <c r="AH107" s="6">
        <f>SUM(AD107:AG107)/Variables!$E$3</f>
        <v>0</v>
      </c>
      <c r="AI107" s="4">
        <v>0</v>
      </c>
      <c r="AJ107" s="2">
        <v>0</v>
      </c>
      <c r="AK107" s="2">
        <v>0</v>
      </c>
      <c r="AL107" s="2">
        <v>0</v>
      </c>
      <c r="AM107" s="6">
        <f>SUM(AI107:AL107)/Variables!$E$3</f>
        <v>0</v>
      </c>
      <c r="AN107" s="4">
        <v>0</v>
      </c>
      <c r="AO107" s="2">
        <v>0</v>
      </c>
      <c r="AP107" s="2">
        <v>0</v>
      </c>
      <c r="AQ107" s="2">
        <v>0</v>
      </c>
      <c r="AR107" s="6">
        <f>SUM(AN107:AQ107)/Variables!$E$3</f>
        <v>0</v>
      </c>
      <c r="AS107" s="4">
        <v>0</v>
      </c>
      <c r="AT107" s="2">
        <v>0</v>
      </c>
      <c r="AU107" s="2">
        <v>0</v>
      </c>
      <c r="AV107" s="2">
        <v>0</v>
      </c>
      <c r="AW107" s="6">
        <f>SUM(AS107:AV107)/Variables!$E$3</f>
        <v>0</v>
      </c>
      <c r="AX107" s="4">
        <v>0</v>
      </c>
      <c r="AY107" s="2">
        <v>0</v>
      </c>
      <c r="AZ107" s="2">
        <v>0</v>
      </c>
      <c r="BA107" s="2">
        <v>0</v>
      </c>
      <c r="BB107" s="6">
        <f>SUM(AX107:BA107)/Variables!$E$3</f>
        <v>0</v>
      </c>
      <c r="BC107" s="12">
        <f t="shared" si="29"/>
        <v>0</v>
      </c>
      <c r="BD107" s="110">
        <f t="shared" si="29"/>
        <v>0</v>
      </c>
      <c r="BE107" s="110">
        <f t="shared" si="29"/>
        <v>0</v>
      </c>
      <c r="BF107" s="110">
        <f t="shared" si="29"/>
        <v>0</v>
      </c>
      <c r="BG107" s="6">
        <f>SUM(BC107:BF107)/Variables!$E$3</f>
        <v>0</v>
      </c>
      <c r="BH107" s="4">
        <v>0</v>
      </c>
      <c r="BI107">
        <v>0</v>
      </c>
      <c r="BJ107">
        <v>0</v>
      </c>
      <c r="BK107">
        <v>0</v>
      </c>
      <c r="BL107" s="6">
        <f>SUM(BH107:BK107)/Variables!$E$3</f>
        <v>0</v>
      </c>
      <c r="BM107" s="110">
        <v>0</v>
      </c>
      <c r="BN107" s="110">
        <v>0</v>
      </c>
      <c r="BO107" s="110">
        <v>0</v>
      </c>
      <c r="BP107" s="110">
        <v>0</v>
      </c>
      <c r="BQ107" s="6">
        <f>SUM(BM107:BP107)/Variables!$E$3</f>
        <v>0</v>
      </c>
      <c r="BS107" s="4">
        <v>105</v>
      </c>
      <c r="BT107" s="125">
        <f t="shared" si="16"/>
        <v>0</v>
      </c>
      <c r="BU107" s="125">
        <f t="shared" si="17"/>
        <v>0</v>
      </c>
      <c r="BV107" s="125">
        <f t="shared" si="18"/>
        <v>0</v>
      </c>
      <c r="BW107" s="125">
        <f t="shared" si="19"/>
        <v>0</v>
      </c>
      <c r="BX107" s="125">
        <f t="shared" si="20"/>
        <v>0</v>
      </c>
      <c r="BY107" s="125">
        <f t="shared" si="21"/>
        <v>0</v>
      </c>
      <c r="BZ107" s="125">
        <f t="shared" si="22"/>
        <v>0</v>
      </c>
      <c r="CA107" s="125">
        <f t="shared" si="23"/>
        <v>0</v>
      </c>
      <c r="CB107" s="125">
        <f t="shared" si="24"/>
        <v>0</v>
      </c>
      <c r="CC107" s="125">
        <f t="shared" si="25"/>
        <v>0</v>
      </c>
      <c r="CD107" s="125">
        <f t="shared" si="26"/>
        <v>0</v>
      </c>
      <c r="CE107" s="125">
        <f t="shared" si="27"/>
        <v>0</v>
      </c>
      <c r="CF107" s="126">
        <f t="shared" si="28"/>
        <v>0</v>
      </c>
      <c r="CH107" s="4">
        <v>105</v>
      </c>
      <c r="CI107" s="129">
        <v>0</v>
      </c>
      <c r="CJ107" s="125">
        <v>0</v>
      </c>
      <c r="CK107" s="125">
        <v>0</v>
      </c>
      <c r="CL107" s="125">
        <v>0</v>
      </c>
      <c r="CM107" s="125">
        <v>0</v>
      </c>
      <c r="CN107" s="125">
        <v>0</v>
      </c>
      <c r="CO107" s="125">
        <v>0</v>
      </c>
      <c r="CP107" s="125">
        <v>0</v>
      </c>
      <c r="CQ107" s="125">
        <v>0</v>
      </c>
      <c r="CR107" s="125">
        <v>0</v>
      </c>
      <c r="CS107" s="125">
        <v>0</v>
      </c>
      <c r="CT107" s="125">
        <v>0</v>
      </c>
      <c r="CU107" s="126">
        <v>0</v>
      </c>
    </row>
    <row r="108" spans="1:99" x14ac:dyDescent="0.25">
      <c r="A108" t="s">
        <v>210</v>
      </c>
      <c r="B108" s="2" t="s">
        <v>1</v>
      </c>
      <c r="C108" s="1">
        <v>11201</v>
      </c>
      <c r="D108" s="19">
        <v>135.262857142857</v>
      </c>
      <c r="E108" s="18">
        <v>0</v>
      </c>
      <c r="F108" s="19">
        <v>0</v>
      </c>
      <c r="G108" s="19">
        <v>0</v>
      </c>
      <c r="H108" s="19">
        <v>0</v>
      </c>
      <c r="I108" s="19">
        <f>SUM(E108:H108)/Variables!$E$3</f>
        <v>0</v>
      </c>
      <c r="J108" s="4">
        <v>0</v>
      </c>
      <c r="K108">
        <v>0</v>
      </c>
      <c r="L108">
        <v>0</v>
      </c>
      <c r="M108">
        <v>0</v>
      </c>
      <c r="N108" s="6">
        <f>SUM(J108:M108)/Variables!$E$3</f>
        <v>0</v>
      </c>
      <c r="O108" s="4">
        <v>0</v>
      </c>
      <c r="P108">
        <v>0</v>
      </c>
      <c r="Q108">
        <v>0</v>
      </c>
      <c r="R108">
        <v>0</v>
      </c>
      <c r="S108" s="6">
        <f>SUM(O108:R108)/Variables!$E$3</f>
        <v>0</v>
      </c>
      <c r="T108" s="12">
        <v>0</v>
      </c>
      <c r="U108" s="6">
        <v>0</v>
      </c>
      <c r="V108" s="6">
        <v>0</v>
      </c>
      <c r="W108" s="6">
        <v>0</v>
      </c>
      <c r="X108" s="6">
        <f>SUM(T108:W108)/Variables!$E$3</f>
        <v>0</v>
      </c>
      <c r="Y108" s="12">
        <v>0</v>
      </c>
      <c r="Z108" s="6">
        <v>0</v>
      </c>
      <c r="AA108" s="6">
        <v>0</v>
      </c>
      <c r="AB108" s="6">
        <v>0</v>
      </c>
      <c r="AC108" s="6">
        <f>SUM(Y108:AB108)/Variables!$E$3</f>
        <v>0</v>
      </c>
      <c r="AD108" s="4">
        <v>0</v>
      </c>
      <c r="AE108" s="2">
        <v>0</v>
      </c>
      <c r="AF108" s="2">
        <v>0</v>
      </c>
      <c r="AG108" s="2">
        <v>0</v>
      </c>
      <c r="AH108" s="6">
        <f>SUM(AD108:AG108)/Variables!$E$3</f>
        <v>0</v>
      </c>
      <c r="AI108" s="4">
        <v>0</v>
      </c>
      <c r="AJ108" s="2">
        <v>0</v>
      </c>
      <c r="AK108" s="2">
        <v>0</v>
      </c>
      <c r="AL108" s="2">
        <v>0</v>
      </c>
      <c r="AM108" s="6">
        <f>SUM(AI108:AL108)/Variables!$E$3</f>
        <v>0</v>
      </c>
      <c r="AN108" s="4">
        <v>0</v>
      </c>
      <c r="AO108" s="2">
        <v>0</v>
      </c>
      <c r="AP108" s="2">
        <v>0</v>
      </c>
      <c r="AQ108" s="2">
        <v>0</v>
      </c>
      <c r="AR108" s="6">
        <f>SUM(AN108:AQ108)/Variables!$E$3</f>
        <v>0</v>
      </c>
      <c r="AS108" s="4">
        <v>0</v>
      </c>
      <c r="AT108" s="2">
        <v>0</v>
      </c>
      <c r="AU108" s="2">
        <v>0</v>
      </c>
      <c r="AV108" s="2">
        <v>0</v>
      </c>
      <c r="AW108" s="6">
        <f>SUM(AS108:AV108)/Variables!$E$3</f>
        <v>0</v>
      </c>
      <c r="AX108" s="4">
        <v>0</v>
      </c>
      <c r="AY108" s="2">
        <v>0</v>
      </c>
      <c r="AZ108" s="2">
        <v>0</v>
      </c>
      <c r="BA108" s="2">
        <v>0</v>
      </c>
      <c r="BB108" s="6">
        <f>SUM(AX108:BA108)/Variables!$E$3</f>
        <v>0</v>
      </c>
      <c r="BC108" s="12">
        <f t="shared" si="29"/>
        <v>0</v>
      </c>
      <c r="BD108" s="110">
        <f t="shared" si="29"/>
        <v>0</v>
      </c>
      <c r="BE108" s="110">
        <f t="shared" si="29"/>
        <v>0</v>
      </c>
      <c r="BF108" s="110">
        <f t="shared" si="29"/>
        <v>0</v>
      </c>
      <c r="BG108" s="6">
        <f>SUM(BC108:BF108)/Variables!$E$3</f>
        <v>0</v>
      </c>
      <c r="BH108" s="4">
        <v>0</v>
      </c>
      <c r="BI108">
        <v>0</v>
      </c>
      <c r="BJ108">
        <v>0</v>
      </c>
      <c r="BK108">
        <v>0</v>
      </c>
      <c r="BL108" s="6">
        <f>SUM(BH108:BK108)/Variables!$E$3</f>
        <v>0</v>
      </c>
      <c r="BM108" s="110">
        <v>0</v>
      </c>
      <c r="BN108" s="110">
        <v>0</v>
      </c>
      <c r="BO108" s="110">
        <v>0</v>
      </c>
      <c r="BP108" s="110">
        <v>0</v>
      </c>
      <c r="BQ108" s="6">
        <f>SUM(BM108:BP108)/Variables!$E$3</f>
        <v>0</v>
      </c>
      <c r="BS108" s="4">
        <v>106</v>
      </c>
      <c r="BT108" s="125">
        <f t="shared" si="16"/>
        <v>0</v>
      </c>
      <c r="BU108" s="125">
        <f t="shared" si="17"/>
        <v>0</v>
      </c>
      <c r="BV108" s="125">
        <f t="shared" si="18"/>
        <v>0</v>
      </c>
      <c r="BW108" s="125">
        <f t="shared" si="19"/>
        <v>0</v>
      </c>
      <c r="BX108" s="125">
        <f t="shared" si="20"/>
        <v>0</v>
      </c>
      <c r="BY108" s="125">
        <f t="shared" si="21"/>
        <v>0</v>
      </c>
      <c r="BZ108" s="125">
        <f t="shared" si="22"/>
        <v>0</v>
      </c>
      <c r="CA108" s="125">
        <f t="shared" si="23"/>
        <v>0</v>
      </c>
      <c r="CB108" s="125">
        <f t="shared" si="24"/>
        <v>0</v>
      </c>
      <c r="CC108" s="125">
        <f t="shared" si="25"/>
        <v>0</v>
      </c>
      <c r="CD108" s="125">
        <f t="shared" si="26"/>
        <v>0</v>
      </c>
      <c r="CE108" s="125">
        <f t="shared" si="27"/>
        <v>0</v>
      </c>
      <c r="CF108" s="126">
        <f t="shared" si="28"/>
        <v>0</v>
      </c>
      <c r="CH108" s="4">
        <v>106</v>
      </c>
      <c r="CI108" s="129">
        <v>0</v>
      </c>
      <c r="CJ108" s="125">
        <v>0</v>
      </c>
      <c r="CK108" s="125">
        <v>0</v>
      </c>
      <c r="CL108" s="125">
        <v>0</v>
      </c>
      <c r="CM108" s="125">
        <v>0</v>
      </c>
      <c r="CN108" s="125">
        <v>0</v>
      </c>
      <c r="CO108" s="125">
        <v>0</v>
      </c>
      <c r="CP108" s="125">
        <v>0</v>
      </c>
      <c r="CQ108" s="125">
        <v>0</v>
      </c>
      <c r="CR108" s="125">
        <v>0</v>
      </c>
      <c r="CS108" s="125">
        <v>0</v>
      </c>
      <c r="CT108" s="125">
        <v>0</v>
      </c>
      <c r="CU108" s="126">
        <v>0</v>
      </c>
    </row>
    <row r="109" spans="1:99" x14ac:dyDescent="0.25">
      <c r="A109" t="s">
        <v>210</v>
      </c>
      <c r="B109" s="2" t="s">
        <v>2</v>
      </c>
      <c r="C109" s="1">
        <v>11292</v>
      </c>
      <c r="D109" s="19">
        <v>13.88</v>
      </c>
      <c r="E109" s="18">
        <v>0</v>
      </c>
      <c r="F109" s="19">
        <v>0</v>
      </c>
      <c r="G109" s="19">
        <v>0</v>
      </c>
      <c r="H109" s="19">
        <v>0</v>
      </c>
      <c r="I109" s="19">
        <f>SUM(E109:H109)/Variables!$E$3</f>
        <v>0</v>
      </c>
      <c r="J109" s="4">
        <v>0</v>
      </c>
      <c r="K109">
        <v>0</v>
      </c>
      <c r="L109">
        <v>0</v>
      </c>
      <c r="M109">
        <v>0</v>
      </c>
      <c r="N109" s="6">
        <f>SUM(J109:M109)/Variables!$E$3</f>
        <v>0</v>
      </c>
      <c r="O109" s="4">
        <v>0</v>
      </c>
      <c r="P109">
        <v>0</v>
      </c>
      <c r="Q109">
        <v>0</v>
      </c>
      <c r="R109">
        <v>0</v>
      </c>
      <c r="S109" s="6">
        <f>SUM(O109:R109)/Variables!$E$3</f>
        <v>0</v>
      </c>
      <c r="T109" s="12">
        <v>0</v>
      </c>
      <c r="U109" s="6">
        <v>0</v>
      </c>
      <c r="V109" s="6">
        <v>0</v>
      </c>
      <c r="W109" s="6">
        <v>0</v>
      </c>
      <c r="X109" s="6">
        <f>SUM(T109:W109)/Variables!$E$3</f>
        <v>0</v>
      </c>
      <c r="Y109" s="12">
        <v>0</v>
      </c>
      <c r="Z109" s="6">
        <v>0</v>
      </c>
      <c r="AA109" s="6">
        <v>0</v>
      </c>
      <c r="AB109" s="6">
        <v>0</v>
      </c>
      <c r="AC109" s="6">
        <f>SUM(Y109:AB109)/Variables!$E$3</f>
        <v>0</v>
      </c>
      <c r="AD109" s="4">
        <v>0</v>
      </c>
      <c r="AE109" s="2">
        <v>0</v>
      </c>
      <c r="AF109" s="2">
        <v>0</v>
      </c>
      <c r="AG109" s="2">
        <v>0</v>
      </c>
      <c r="AH109" s="6">
        <f>SUM(AD109:AG109)/Variables!$E$3</f>
        <v>0</v>
      </c>
      <c r="AI109" s="4">
        <v>0</v>
      </c>
      <c r="AJ109" s="2">
        <v>0</v>
      </c>
      <c r="AK109" s="2">
        <v>0</v>
      </c>
      <c r="AL109" s="2">
        <v>0</v>
      </c>
      <c r="AM109" s="6">
        <f>SUM(AI109:AL109)/Variables!$E$3</f>
        <v>0</v>
      </c>
      <c r="AN109" s="4">
        <v>0</v>
      </c>
      <c r="AO109" s="2">
        <v>0</v>
      </c>
      <c r="AP109" s="2">
        <v>0</v>
      </c>
      <c r="AQ109" s="2">
        <v>0</v>
      </c>
      <c r="AR109" s="6">
        <f>SUM(AN109:AQ109)/Variables!$E$3</f>
        <v>0</v>
      </c>
      <c r="AS109" s="4">
        <v>0</v>
      </c>
      <c r="AT109" s="2">
        <v>0</v>
      </c>
      <c r="AU109" s="2">
        <v>0</v>
      </c>
      <c r="AV109" s="2">
        <v>0</v>
      </c>
      <c r="AW109" s="6">
        <f>SUM(AS109:AV109)/Variables!$E$3</f>
        <v>0</v>
      </c>
      <c r="AX109" s="4">
        <v>0</v>
      </c>
      <c r="AY109" s="2">
        <v>0</v>
      </c>
      <c r="AZ109" s="2">
        <v>0</v>
      </c>
      <c r="BA109" s="2">
        <v>0</v>
      </c>
      <c r="BB109" s="6">
        <f>SUM(AX109:BA109)/Variables!$E$3</f>
        <v>0</v>
      </c>
      <c r="BC109" s="12">
        <f t="shared" si="29"/>
        <v>0</v>
      </c>
      <c r="BD109" s="110">
        <f t="shared" si="29"/>
        <v>0</v>
      </c>
      <c r="BE109" s="110">
        <f t="shared" si="29"/>
        <v>0</v>
      </c>
      <c r="BF109" s="110">
        <f t="shared" si="29"/>
        <v>0</v>
      </c>
      <c r="BG109" s="6">
        <f>SUM(BC109:BF109)/Variables!$E$3</f>
        <v>0</v>
      </c>
      <c r="BH109" s="4">
        <v>0</v>
      </c>
      <c r="BI109">
        <v>0</v>
      </c>
      <c r="BJ109">
        <v>0</v>
      </c>
      <c r="BK109">
        <v>0</v>
      </c>
      <c r="BL109" s="6">
        <f>SUM(BH109:BK109)/Variables!$E$3</f>
        <v>0</v>
      </c>
      <c r="BM109" s="110">
        <v>0</v>
      </c>
      <c r="BN109" s="110">
        <v>0</v>
      </c>
      <c r="BO109" s="110">
        <v>0</v>
      </c>
      <c r="BP109" s="110">
        <v>0</v>
      </c>
      <c r="BQ109" s="6">
        <f>SUM(BM109:BP109)/Variables!$E$3</f>
        <v>0</v>
      </c>
      <c r="BS109" s="4">
        <v>107</v>
      </c>
      <c r="BT109" s="125">
        <f t="shared" si="16"/>
        <v>0</v>
      </c>
      <c r="BU109" s="125">
        <f t="shared" si="17"/>
        <v>2.1558365466076531E-2</v>
      </c>
      <c r="BV109" s="125">
        <f t="shared" si="18"/>
        <v>0</v>
      </c>
      <c r="BW109" s="125">
        <f t="shared" si="19"/>
        <v>0</v>
      </c>
      <c r="BX109" s="125">
        <f t="shared" si="20"/>
        <v>0</v>
      </c>
      <c r="BY109" s="125">
        <f t="shared" si="21"/>
        <v>0</v>
      </c>
      <c r="BZ109" s="125">
        <f t="shared" si="22"/>
        <v>0</v>
      </c>
      <c r="CA109" s="125">
        <f t="shared" si="23"/>
        <v>0</v>
      </c>
      <c r="CB109" s="125">
        <f t="shared" si="24"/>
        <v>0</v>
      </c>
      <c r="CC109" s="125">
        <f t="shared" si="25"/>
        <v>0</v>
      </c>
      <c r="CD109" s="125">
        <f t="shared" si="26"/>
        <v>0</v>
      </c>
      <c r="CE109" s="125">
        <f t="shared" si="27"/>
        <v>0</v>
      </c>
      <c r="CF109" s="126">
        <f t="shared" si="28"/>
        <v>0</v>
      </c>
      <c r="CH109" s="4">
        <v>107</v>
      </c>
      <c r="CI109" s="129">
        <v>0</v>
      </c>
      <c r="CJ109" s="125">
        <v>0</v>
      </c>
      <c r="CK109" s="125">
        <v>0</v>
      </c>
      <c r="CL109" s="125">
        <v>0</v>
      </c>
      <c r="CM109" s="125">
        <v>0</v>
      </c>
      <c r="CN109" s="125">
        <v>0</v>
      </c>
      <c r="CO109" s="125">
        <v>0</v>
      </c>
      <c r="CP109" s="125">
        <v>0</v>
      </c>
      <c r="CQ109" s="125">
        <v>0</v>
      </c>
      <c r="CR109" s="125">
        <v>0</v>
      </c>
      <c r="CS109" s="125">
        <v>0</v>
      </c>
      <c r="CT109" s="125">
        <v>0</v>
      </c>
      <c r="CU109" s="126">
        <v>0</v>
      </c>
    </row>
    <row r="110" spans="1:99" x14ac:dyDescent="0.25">
      <c r="A110" t="s">
        <v>211</v>
      </c>
      <c r="B110" s="2" t="s">
        <v>3</v>
      </c>
      <c r="C110" s="1">
        <v>11382</v>
      </c>
      <c r="D110" s="19">
        <v>33.305714285714302</v>
      </c>
      <c r="E110" s="18">
        <v>0</v>
      </c>
      <c r="F110" s="19">
        <v>0</v>
      </c>
      <c r="G110" s="19">
        <v>0</v>
      </c>
      <c r="H110" s="19">
        <v>0</v>
      </c>
      <c r="I110" s="19">
        <f>SUM(E110:H110)/Variables!$E$3</f>
        <v>0</v>
      </c>
      <c r="J110" s="4">
        <v>0</v>
      </c>
      <c r="K110">
        <v>0</v>
      </c>
      <c r="L110">
        <v>27228</v>
      </c>
      <c r="M110">
        <v>0</v>
      </c>
      <c r="N110" s="6">
        <f>SUM(J110:M110)/Variables!$E$3</f>
        <v>2.1558365466076531E-2</v>
      </c>
      <c r="O110" s="4">
        <v>0</v>
      </c>
      <c r="P110">
        <v>0</v>
      </c>
      <c r="Q110">
        <v>0</v>
      </c>
      <c r="R110">
        <v>0</v>
      </c>
      <c r="S110" s="6">
        <f>SUM(O110:R110)/Variables!$E$3</f>
        <v>0</v>
      </c>
      <c r="T110" s="12">
        <v>0</v>
      </c>
      <c r="U110" s="6">
        <v>0</v>
      </c>
      <c r="V110" s="6">
        <v>0</v>
      </c>
      <c r="W110" s="6">
        <v>0</v>
      </c>
      <c r="X110" s="6">
        <f>SUM(T110:W110)/Variables!$E$3</f>
        <v>0</v>
      </c>
      <c r="Y110" s="12">
        <v>0</v>
      </c>
      <c r="Z110" s="6">
        <v>0</v>
      </c>
      <c r="AA110" s="6">
        <v>0</v>
      </c>
      <c r="AB110" s="6">
        <v>0</v>
      </c>
      <c r="AC110" s="6">
        <f>SUM(Y110:AB110)/Variables!$E$3</f>
        <v>0</v>
      </c>
      <c r="AD110" s="4">
        <v>0</v>
      </c>
      <c r="AE110" s="2">
        <v>0</v>
      </c>
      <c r="AF110" s="2">
        <v>0</v>
      </c>
      <c r="AG110" s="2">
        <v>0</v>
      </c>
      <c r="AH110" s="6">
        <f>SUM(AD110:AG110)/Variables!$E$3</f>
        <v>0</v>
      </c>
      <c r="AI110" s="4">
        <v>0</v>
      </c>
      <c r="AJ110" s="2">
        <v>0</v>
      </c>
      <c r="AK110" s="2">
        <v>0</v>
      </c>
      <c r="AL110" s="2">
        <v>0</v>
      </c>
      <c r="AM110" s="6">
        <f>SUM(AI110:AL110)/Variables!$E$3</f>
        <v>0</v>
      </c>
      <c r="AN110" s="4">
        <v>0</v>
      </c>
      <c r="AO110" s="2">
        <v>0</v>
      </c>
      <c r="AP110" s="2">
        <v>0</v>
      </c>
      <c r="AQ110" s="2">
        <v>0</v>
      </c>
      <c r="AR110" s="6">
        <f>SUM(AN110:AQ110)/Variables!$E$3</f>
        <v>0</v>
      </c>
      <c r="AS110" s="4">
        <v>0</v>
      </c>
      <c r="AT110" s="2">
        <v>0</v>
      </c>
      <c r="AU110" s="2">
        <v>0</v>
      </c>
      <c r="AV110" s="2">
        <v>0</v>
      </c>
      <c r="AW110" s="6">
        <f>SUM(AS110:AV110)/Variables!$E$3</f>
        <v>0</v>
      </c>
      <c r="AX110" s="4">
        <v>0</v>
      </c>
      <c r="AY110" s="2">
        <v>0</v>
      </c>
      <c r="AZ110" s="2">
        <v>0</v>
      </c>
      <c r="BA110" s="2">
        <v>0</v>
      </c>
      <c r="BB110" s="6">
        <f>SUM(AX110:BA110)/Variables!$E$3</f>
        <v>0</v>
      </c>
      <c r="BC110" s="12">
        <f t="shared" si="29"/>
        <v>0</v>
      </c>
      <c r="BD110" s="110">
        <f t="shared" si="29"/>
        <v>0</v>
      </c>
      <c r="BE110" s="110">
        <f t="shared" si="29"/>
        <v>0</v>
      </c>
      <c r="BF110" s="110">
        <f t="shared" si="29"/>
        <v>0</v>
      </c>
      <c r="BG110" s="6">
        <f>SUM(BC110:BF110)/Variables!$E$3</f>
        <v>0</v>
      </c>
      <c r="BH110" s="4">
        <v>0</v>
      </c>
      <c r="BI110">
        <v>0</v>
      </c>
      <c r="BJ110">
        <v>0</v>
      </c>
      <c r="BK110">
        <v>0</v>
      </c>
      <c r="BL110" s="6">
        <f>SUM(BH110:BK110)/Variables!$E$3</f>
        <v>0</v>
      </c>
      <c r="BM110" s="110">
        <v>0</v>
      </c>
      <c r="BN110" s="110">
        <v>0</v>
      </c>
      <c r="BO110" s="110">
        <v>0</v>
      </c>
      <c r="BP110" s="110">
        <v>0</v>
      </c>
      <c r="BQ110" s="6">
        <f>SUM(BM110:BP110)/Variables!$E$3</f>
        <v>0</v>
      </c>
      <c r="BS110" s="4">
        <v>108</v>
      </c>
      <c r="BT110" s="125">
        <f t="shared" si="16"/>
        <v>0</v>
      </c>
      <c r="BU110" s="125">
        <f t="shared" si="17"/>
        <v>3.2937711304127505E-3</v>
      </c>
      <c r="BV110" s="125">
        <f t="shared" si="18"/>
        <v>0</v>
      </c>
      <c r="BW110" s="125">
        <f t="shared" si="19"/>
        <v>0</v>
      </c>
      <c r="BX110" s="125">
        <f t="shared" si="20"/>
        <v>0</v>
      </c>
      <c r="BY110" s="125">
        <f t="shared" si="21"/>
        <v>0</v>
      </c>
      <c r="BZ110" s="125">
        <f t="shared" si="22"/>
        <v>0</v>
      </c>
      <c r="CA110" s="125">
        <f t="shared" si="23"/>
        <v>0</v>
      </c>
      <c r="CB110" s="125">
        <f t="shared" si="24"/>
        <v>0</v>
      </c>
      <c r="CC110" s="125">
        <f t="shared" si="25"/>
        <v>0</v>
      </c>
      <c r="CD110" s="125">
        <f t="shared" si="26"/>
        <v>0</v>
      </c>
      <c r="CE110" s="125">
        <f t="shared" si="27"/>
        <v>0</v>
      </c>
      <c r="CF110" s="126">
        <f t="shared" si="28"/>
        <v>0</v>
      </c>
      <c r="CH110" s="4">
        <v>108</v>
      </c>
      <c r="CI110" s="129">
        <v>0</v>
      </c>
      <c r="CJ110" s="125">
        <v>0</v>
      </c>
      <c r="CK110" s="125">
        <v>0</v>
      </c>
      <c r="CL110" s="125">
        <v>0</v>
      </c>
      <c r="CM110" s="125">
        <v>0</v>
      </c>
      <c r="CN110" s="125">
        <v>0</v>
      </c>
      <c r="CO110" s="125">
        <v>0</v>
      </c>
      <c r="CP110" s="125">
        <v>0</v>
      </c>
      <c r="CQ110" s="125">
        <v>0</v>
      </c>
      <c r="CR110" s="125">
        <v>0</v>
      </c>
      <c r="CS110" s="125">
        <v>0</v>
      </c>
      <c r="CT110" s="125">
        <v>0</v>
      </c>
      <c r="CU110" s="126">
        <v>0</v>
      </c>
    </row>
    <row r="111" spans="1:99" x14ac:dyDescent="0.25">
      <c r="A111" t="s">
        <v>211</v>
      </c>
      <c r="B111" s="2" t="s">
        <v>4</v>
      </c>
      <c r="C111" s="1">
        <v>11474</v>
      </c>
      <c r="D111" s="19">
        <v>189.04</v>
      </c>
      <c r="E111" s="18">
        <v>0</v>
      </c>
      <c r="F111" s="19">
        <v>0</v>
      </c>
      <c r="G111" s="19">
        <v>0</v>
      </c>
      <c r="H111" s="19">
        <v>0</v>
      </c>
      <c r="I111" s="19">
        <f>SUM(E111:H111)/Variables!$E$3</f>
        <v>0</v>
      </c>
      <c r="J111" s="4">
        <v>0</v>
      </c>
      <c r="K111">
        <v>0</v>
      </c>
      <c r="L111">
        <v>4160</v>
      </c>
      <c r="M111">
        <v>0</v>
      </c>
      <c r="N111" s="6">
        <f>SUM(J111:M111)/Variables!$E$3</f>
        <v>3.2937711304127505E-3</v>
      </c>
      <c r="O111" s="4">
        <v>0</v>
      </c>
      <c r="P111">
        <v>0</v>
      </c>
      <c r="Q111">
        <v>0</v>
      </c>
      <c r="R111">
        <v>0</v>
      </c>
      <c r="S111" s="6">
        <f>SUM(O111:R111)/Variables!$E$3</f>
        <v>0</v>
      </c>
      <c r="T111" s="12">
        <v>0</v>
      </c>
      <c r="U111" s="6">
        <v>0</v>
      </c>
      <c r="V111" s="6">
        <v>0</v>
      </c>
      <c r="W111" s="6">
        <v>0</v>
      </c>
      <c r="X111" s="6">
        <f>SUM(T111:W111)/Variables!$E$3</f>
        <v>0</v>
      </c>
      <c r="Y111" s="12">
        <v>0</v>
      </c>
      <c r="Z111" s="6">
        <v>0</v>
      </c>
      <c r="AA111" s="6">
        <v>0</v>
      </c>
      <c r="AB111" s="6">
        <v>0</v>
      </c>
      <c r="AC111" s="6">
        <f>SUM(Y111:AB111)/Variables!$E$3</f>
        <v>0</v>
      </c>
      <c r="AD111" s="4">
        <v>0</v>
      </c>
      <c r="AE111" s="2">
        <v>0</v>
      </c>
      <c r="AF111" s="2">
        <v>0</v>
      </c>
      <c r="AG111" s="2">
        <v>0</v>
      </c>
      <c r="AH111" s="6">
        <f>SUM(AD111:AG111)/Variables!$E$3</f>
        <v>0</v>
      </c>
      <c r="AI111" s="4">
        <v>0</v>
      </c>
      <c r="AJ111" s="2">
        <v>0</v>
      </c>
      <c r="AK111" s="2">
        <v>0</v>
      </c>
      <c r="AL111" s="2">
        <v>0</v>
      </c>
      <c r="AM111" s="6">
        <f>SUM(AI111:AL111)/Variables!$E$3</f>
        <v>0</v>
      </c>
      <c r="AN111" s="4">
        <v>0</v>
      </c>
      <c r="AO111" s="2">
        <v>0</v>
      </c>
      <c r="AP111" s="2">
        <v>0</v>
      </c>
      <c r="AQ111" s="2">
        <v>0</v>
      </c>
      <c r="AR111" s="6">
        <f>SUM(AN111:AQ111)/Variables!$E$3</f>
        <v>0</v>
      </c>
      <c r="AS111" s="4">
        <v>0</v>
      </c>
      <c r="AT111" s="2">
        <v>0</v>
      </c>
      <c r="AU111" s="2">
        <v>0</v>
      </c>
      <c r="AV111" s="2">
        <v>0</v>
      </c>
      <c r="AW111" s="6">
        <f>SUM(AS111:AV111)/Variables!$E$3</f>
        <v>0</v>
      </c>
      <c r="AX111" s="4">
        <v>0</v>
      </c>
      <c r="AY111" s="2">
        <v>0</v>
      </c>
      <c r="AZ111" s="2">
        <v>0</v>
      </c>
      <c r="BA111" s="2">
        <v>0</v>
      </c>
      <c r="BB111" s="6">
        <f>SUM(AX111:BA111)/Variables!$E$3</f>
        <v>0</v>
      </c>
      <c r="BC111" s="12">
        <f t="shared" si="29"/>
        <v>0</v>
      </c>
      <c r="BD111" s="110">
        <f t="shared" si="29"/>
        <v>0</v>
      </c>
      <c r="BE111" s="110">
        <f t="shared" si="29"/>
        <v>0</v>
      </c>
      <c r="BF111" s="110">
        <f t="shared" si="29"/>
        <v>0</v>
      </c>
      <c r="BG111" s="6">
        <f>SUM(BC111:BF111)/Variables!$E$3</f>
        <v>0</v>
      </c>
      <c r="BH111" s="4">
        <v>0</v>
      </c>
      <c r="BI111">
        <v>0</v>
      </c>
      <c r="BJ111">
        <v>0</v>
      </c>
      <c r="BK111">
        <v>0</v>
      </c>
      <c r="BL111" s="6">
        <f>SUM(BH111:BK111)/Variables!$E$3</f>
        <v>0</v>
      </c>
      <c r="BM111" s="110">
        <v>0</v>
      </c>
      <c r="BN111" s="110">
        <v>0</v>
      </c>
      <c r="BO111" s="110">
        <v>0</v>
      </c>
      <c r="BP111" s="110">
        <v>0</v>
      </c>
      <c r="BQ111" s="6">
        <f>SUM(BM111:BP111)/Variables!$E$3</f>
        <v>0</v>
      </c>
      <c r="BS111" s="4">
        <v>109</v>
      </c>
      <c r="BT111" s="125">
        <f t="shared" si="16"/>
        <v>0</v>
      </c>
      <c r="BU111" s="125">
        <f t="shared" si="17"/>
        <v>0</v>
      </c>
      <c r="BV111" s="125">
        <f t="shared" si="18"/>
        <v>0</v>
      </c>
      <c r="BW111" s="125">
        <f t="shared" si="19"/>
        <v>0</v>
      </c>
      <c r="BX111" s="125">
        <f t="shared" si="20"/>
        <v>0</v>
      </c>
      <c r="BY111" s="125">
        <f t="shared" si="21"/>
        <v>0</v>
      </c>
      <c r="BZ111" s="125">
        <f t="shared" si="22"/>
        <v>0</v>
      </c>
      <c r="CA111" s="125">
        <f t="shared" si="23"/>
        <v>0</v>
      </c>
      <c r="CB111" s="125">
        <f t="shared" si="24"/>
        <v>0</v>
      </c>
      <c r="CC111" s="125">
        <f t="shared" si="25"/>
        <v>0</v>
      </c>
      <c r="CD111" s="125">
        <f t="shared" si="26"/>
        <v>0</v>
      </c>
      <c r="CE111" s="125">
        <f t="shared" si="27"/>
        <v>0</v>
      </c>
      <c r="CF111" s="126">
        <f t="shared" si="28"/>
        <v>0</v>
      </c>
      <c r="CH111" s="4">
        <v>109</v>
      </c>
      <c r="CI111" s="129">
        <v>0</v>
      </c>
      <c r="CJ111" s="125">
        <v>0</v>
      </c>
      <c r="CK111" s="125">
        <v>0</v>
      </c>
      <c r="CL111" s="125">
        <v>0</v>
      </c>
      <c r="CM111" s="125">
        <v>0</v>
      </c>
      <c r="CN111" s="125">
        <v>0</v>
      </c>
      <c r="CO111" s="125">
        <v>0</v>
      </c>
      <c r="CP111" s="125">
        <v>0</v>
      </c>
      <c r="CQ111" s="125">
        <v>0</v>
      </c>
      <c r="CR111" s="125">
        <v>0</v>
      </c>
      <c r="CS111" s="125">
        <v>0</v>
      </c>
      <c r="CT111" s="125">
        <v>0</v>
      </c>
      <c r="CU111" s="126">
        <v>0</v>
      </c>
    </row>
    <row r="112" spans="1:99" x14ac:dyDescent="0.25">
      <c r="A112" t="s">
        <v>211</v>
      </c>
      <c r="B112" s="2" t="s">
        <v>1</v>
      </c>
      <c r="C112" s="1">
        <v>11566</v>
      </c>
      <c r="D112" s="19">
        <v>67.36</v>
      </c>
      <c r="E112" s="18">
        <v>0</v>
      </c>
      <c r="F112" s="19">
        <v>0</v>
      </c>
      <c r="G112" s="19">
        <v>0</v>
      </c>
      <c r="H112" s="19">
        <v>0</v>
      </c>
      <c r="I112" s="19">
        <f>SUM(E112:H112)/Variables!$E$3</f>
        <v>0</v>
      </c>
      <c r="J112" s="4">
        <v>0</v>
      </c>
      <c r="K112">
        <v>0</v>
      </c>
      <c r="L112">
        <v>0</v>
      </c>
      <c r="M112">
        <v>0</v>
      </c>
      <c r="N112" s="6">
        <f>SUM(J112:M112)/Variables!$E$3</f>
        <v>0</v>
      </c>
      <c r="O112" s="4">
        <v>0</v>
      </c>
      <c r="P112">
        <v>0</v>
      </c>
      <c r="Q112">
        <v>0</v>
      </c>
      <c r="R112">
        <v>0</v>
      </c>
      <c r="S112" s="6">
        <f>SUM(O112:R112)/Variables!$E$3</f>
        <v>0</v>
      </c>
      <c r="T112" s="12">
        <v>0</v>
      </c>
      <c r="U112" s="6">
        <v>0</v>
      </c>
      <c r="V112" s="6">
        <v>0</v>
      </c>
      <c r="W112" s="6">
        <v>0</v>
      </c>
      <c r="X112" s="6">
        <f>SUM(T112:W112)/Variables!$E$3</f>
        <v>0</v>
      </c>
      <c r="Y112" s="12">
        <v>0</v>
      </c>
      <c r="Z112" s="6">
        <v>0</v>
      </c>
      <c r="AA112" s="6">
        <v>0</v>
      </c>
      <c r="AB112" s="6">
        <v>0</v>
      </c>
      <c r="AC112" s="6">
        <f>SUM(Y112:AB112)/Variables!$E$3</f>
        <v>0</v>
      </c>
      <c r="AD112" s="4">
        <v>0</v>
      </c>
      <c r="AE112" s="2">
        <v>0</v>
      </c>
      <c r="AF112" s="2">
        <v>0</v>
      </c>
      <c r="AG112" s="2">
        <v>0</v>
      </c>
      <c r="AH112" s="6">
        <f>SUM(AD112:AG112)/Variables!$E$3</f>
        <v>0</v>
      </c>
      <c r="AI112" s="4">
        <v>0</v>
      </c>
      <c r="AJ112" s="2">
        <v>0</v>
      </c>
      <c r="AK112" s="2">
        <v>0</v>
      </c>
      <c r="AL112" s="2">
        <v>0</v>
      </c>
      <c r="AM112" s="6">
        <f>SUM(AI112:AL112)/Variables!$E$3</f>
        <v>0</v>
      </c>
      <c r="AN112" s="4">
        <v>0</v>
      </c>
      <c r="AO112" s="2">
        <v>0</v>
      </c>
      <c r="AP112" s="2">
        <v>0</v>
      </c>
      <c r="AQ112" s="2">
        <v>0</v>
      </c>
      <c r="AR112" s="6">
        <f>SUM(AN112:AQ112)/Variables!$E$3</f>
        <v>0</v>
      </c>
      <c r="AS112" s="4">
        <v>0</v>
      </c>
      <c r="AT112" s="2">
        <v>0</v>
      </c>
      <c r="AU112" s="2">
        <v>0</v>
      </c>
      <c r="AV112" s="2">
        <v>0</v>
      </c>
      <c r="AW112" s="6">
        <f>SUM(AS112:AV112)/Variables!$E$3</f>
        <v>0</v>
      </c>
      <c r="AX112" s="4">
        <v>0</v>
      </c>
      <c r="AY112" s="2">
        <v>0</v>
      </c>
      <c r="AZ112" s="2">
        <v>0</v>
      </c>
      <c r="BA112" s="2">
        <v>0</v>
      </c>
      <c r="BB112" s="6">
        <f>SUM(AX112:BA112)/Variables!$E$3</f>
        <v>0</v>
      </c>
      <c r="BC112" s="12">
        <f t="shared" si="29"/>
        <v>0</v>
      </c>
      <c r="BD112" s="110">
        <f t="shared" si="29"/>
        <v>0</v>
      </c>
      <c r="BE112" s="110">
        <f t="shared" si="29"/>
        <v>0</v>
      </c>
      <c r="BF112" s="110">
        <f t="shared" si="29"/>
        <v>0</v>
      </c>
      <c r="BG112" s="6">
        <f>SUM(BC112:BF112)/Variables!$E$3</f>
        <v>0</v>
      </c>
      <c r="BH112" s="4">
        <v>0</v>
      </c>
      <c r="BI112">
        <v>0</v>
      </c>
      <c r="BJ112">
        <v>0</v>
      </c>
      <c r="BK112">
        <v>0</v>
      </c>
      <c r="BL112" s="6">
        <f>SUM(BH112:BK112)/Variables!$E$3</f>
        <v>0</v>
      </c>
      <c r="BM112" s="110">
        <v>0</v>
      </c>
      <c r="BN112" s="110">
        <v>0</v>
      </c>
      <c r="BO112" s="110">
        <v>0</v>
      </c>
      <c r="BP112" s="110">
        <v>0</v>
      </c>
      <c r="BQ112" s="6">
        <f>SUM(BM112:BP112)/Variables!$E$3</f>
        <v>0</v>
      </c>
      <c r="BS112" s="4">
        <v>110</v>
      </c>
      <c r="BT112" s="125">
        <f t="shared" si="16"/>
        <v>0</v>
      </c>
      <c r="BU112" s="125">
        <f t="shared" si="17"/>
        <v>0</v>
      </c>
      <c r="BV112" s="125">
        <f t="shared" si="18"/>
        <v>0</v>
      </c>
      <c r="BW112" s="125">
        <f t="shared" si="19"/>
        <v>0</v>
      </c>
      <c r="BX112" s="125">
        <f t="shared" si="20"/>
        <v>0</v>
      </c>
      <c r="BY112" s="125">
        <f t="shared" si="21"/>
        <v>0</v>
      </c>
      <c r="BZ112" s="125">
        <f t="shared" si="22"/>
        <v>0</v>
      </c>
      <c r="CA112" s="125">
        <f t="shared" si="23"/>
        <v>0</v>
      </c>
      <c r="CB112" s="125">
        <f t="shared" si="24"/>
        <v>0</v>
      </c>
      <c r="CC112" s="125">
        <f t="shared" si="25"/>
        <v>0</v>
      </c>
      <c r="CD112" s="125">
        <f t="shared" si="26"/>
        <v>0</v>
      </c>
      <c r="CE112" s="125">
        <f t="shared" si="27"/>
        <v>0</v>
      </c>
      <c r="CF112" s="126">
        <f t="shared" si="28"/>
        <v>0</v>
      </c>
      <c r="CH112" s="4">
        <v>110</v>
      </c>
      <c r="CI112" s="129">
        <v>0</v>
      </c>
      <c r="CJ112" s="125">
        <v>0</v>
      </c>
      <c r="CK112" s="125">
        <v>0</v>
      </c>
      <c r="CL112" s="125">
        <v>0</v>
      </c>
      <c r="CM112" s="125">
        <v>0</v>
      </c>
      <c r="CN112" s="125">
        <v>0</v>
      </c>
      <c r="CO112" s="125">
        <v>0</v>
      </c>
      <c r="CP112" s="125">
        <v>0</v>
      </c>
      <c r="CQ112" s="125">
        <v>0</v>
      </c>
      <c r="CR112" s="125">
        <v>0</v>
      </c>
      <c r="CS112" s="125">
        <v>0</v>
      </c>
      <c r="CT112" s="125">
        <v>0</v>
      </c>
      <c r="CU112" s="126">
        <v>0</v>
      </c>
    </row>
    <row r="113" spans="1:99" x14ac:dyDescent="0.25">
      <c r="A113" t="s">
        <v>211</v>
      </c>
      <c r="B113" s="2" t="s">
        <v>2</v>
      </c>
      <c r="C113" s="1">
        <v>11657</v>
      </c>
      <c r="D113" s="19">
        <v>76.897142857142796</v>
      </c>
      <c r="E113" s="18">
        <v>0</v>
      </c>
      <c r="F113" s="19">
        <v>0</v>
      </c>
      <c r="G113" s="19">
        <v>0</v>
      </c>
      <c r="H113" s="19">
        <v>0</v>
      </c>
      <c r="I113" s="19">
        <f>SUM(E113:H113)/Variables!$E$3</f>
        <v>0</v>
      </c>
      <c r="J113" s="4">
        <v>0</v>
      </c>
      <c r="K113">
        <v>0</v>
      </c>
      <c r="L113">
        <v>0</v>
      </c>
      <c r="M113">
        <v>0</v>
      </c>
      <c r="N113" s="6">
        <f>SUM(J113:M113)/Variables!$E$3</f>
        <v>0</v>
      </c>
      <c r="O113" s="4">
        <v>0</v>
      </c>
      <c r="P113">
        <v>0</v>
      </c>
      <c r="Q113">
        <v>0</v>
      </c>
      <c r="R113">
        <v>0</v>
      </c>
      <c r="S113" s="6">
        <f>SUM(O113:R113)/Variables!$E$3</f>
        <v>0</v>
      </c>
      <c r="T113" s="12">
        <v>0</v>
      </c>
      <c r="U113" s="6">
        <v>0</v>
      </c>
      <c r="V113" s="6">
        <v>0</v>
      </c>
      <c r="W113" s="6">
        <v>0</v>
      </c>
      <c r="X113" s="6">
        <f>SUM(T113:W113)/Variables!$E$3</f>
        <v>0</v>
      </c>
      <c r="Y113" s="12">
        <v>0</v>
      </c>
      <c r="Z113" s="6">
        <v>0</v>
      </c>
      <c r="AA113" s="6">
        <v>0</v>
      </c>
      <c r="AB113" s="6">
        <v>0</v>
      </c>
      <c r="AC113" s="6">
        <f>SUM(Y113:AB113)/Variables!$E$3</f>
        <v>0</v>
      </c>
      <c r="AD113" s="4">
        <v>0</v>
      </c>
      <c r="AE113" s="2">
        <v>0</v>
      </c>
      <c r="AF113" s="2">
        <v>0</v>
      </c>
      <c r="AG113" s="2">
        <v>0</v>
      </c>
      <c r="AH113" s="6">
        <f>SUM(AD113:AG113)/Variables!$E$3</f>
        <v>0</v>
      </c>
      <c r="AI113" s="4">
        <v>0</v>
      </c>
      <c r="AJ113" s="2">
        <v>0</v>
      </c>
      <c r="AK113" s="2">
        <v>0</v>
      </c>
      <c r="AL113" s="2">
        <v>0</v>
      </c>
      <c r="AM113" s="6">
        <f>SUM(AI113:AL113)/Variables!$E$3</f>
        <v>0</v>
      </c>
      <c r="AN113" s="4">
        <v>0</v>
      </c>
      <c r="AO113" s="2">
        <v>0</v>
      </c>
      <c r="AP113" s="2">
        <v>0</v>
      </c>
      <c r="AQ113" s="2">
        <v>0</v>
      </c>
      <c r="AR113" s="6">
        <f>SUM(AN113:AQ113)/Variables!$E$3</f>
        <v>0</v>
      </c>
      <c r="AS113" s="4">
        <v>0</v>
      </c>
      <c r="AT113" s="2">
        <v>0</v>
      </c>
      <c r="AU113" s="2">
        <v>0</v>
      </c>
      <c r="AV113" s="2">
        <v>0</v>
      </c>
      <c r="AW113" s="6">
        <f>SUM(AS113:AV113)/Variables!$E$3</f>
        <v>0</v>
      </c>
      <c r="AX113" s="4">
        <v>0</v>
      </c>
      <c r="AY113" s="2">
        <v>0</v>
      </c>
      <c r="AZ113" s="2">
        <v>0</v>
      </c>
      <c r="BA113" s="2">
        <v>0</v>
      </c>
      <c r="BB113" s="6">
        <f>SUM(AX113:BA113)/Variables!$E$3</f>
        <v>0</v>
      </c>
      <c r="BC113" s="12">
        <f t="shared" si="29"/>
        <v>0</v>
      </c>
      <c r="BD113" s="110">
        <f t="shared" si="29"/>
        <v>0</v>
      </c>
      <c r="BE113" s="110">
        <f t="shared" si="29"/>
        <v>0</v>
      </c>
      <c r="BF113" s="110">
        <f t="shared" si="29"/>
        <v>0</v>
      </c>
      <c r="BG113" s="6">
        <f>SUM(BC113:BF113)/Variables!$E$3</f>
        <v>0</v>
      </c>
      <c r="BH113" s="4">
        <v>0</v>
      </c>
      <c r="BI113">
        <v>0</v>
      </c>
      <c r="BJ113">
        <v>0</v>
      </c>
      <c r="BK113">
        <v>0</v>
      </c>
      <c r="BL113" s="6">
        <f>SUM(BH113:BK113)/Variables!$E$3</f>
        <v>0</v>
      </c>
      <c r="BM113" s="110">
        <v>0</v>
      </c>
      <c r="BN113" s="110">
        <v>0</v>
      </c>
      <c r="BO113" s="110">
        <v>0</v>
      </c>
      <c r="BP113" s="110">
        <v>0</v>
      </c>
      <c r="BQ113" s="6">
        <f>SUM(BM113:BP113)/Variables!$E$3</f>
        <v>0</v>
      </c>
      <c r="BS113" s="4">
        <v>111</v>
      </c>
      <c r="BT113" s="125">
        <f t="shared" si="16"/>
        <v>0</v>
      </c>
      <c r="BU113" s="125">
        <f t="shared" si="17"/>
        <v>0.35940981322100729</v>
      </c>
      <c r="BV113" s="125">
        <f t="shared" si="18"/>
        <v>7.1403574058385266E-2</v>
      </c>
      <c r="BW113" s="125">
        <f t="shared" si="19"/>
        <v>0.15486108361903103</v>
      </c>
      <c r="BX113" s="125">
        <f t="shared" si="20"/>
        <v>0.1533648722476029</v>
      </c>
      <c r="BY113" s="125">
        <f t="shared" si="21"/>
        <v>0.13111821946333702</v>
      </c>
      <c r="BZ113" s="125">
        <f t="shared" si="22"/>
        <v>0.11379599205061007</v>
      </c>
      <c r="CA113" s="125">
        <f t="shared" si="23"/>
        <v>0.12314602649268799</v>
      </c>
      <c r="CB113" s="125">
        <f t="shared" si="24"/>
        <v>0.17290493194720466</v>
      </c>
      <c r="CC113" s="125">
        <f t="shared" si="25"/>
        <v>0.13169336257610909</v>
      </c>
      <c r="CD113" s="125">
        <f t="shared" si="26"/>
        <v>0.1533648722476029</v>
      </c>
      <c r="CE113" s="125">
        <f t="shared" si="27"/>
        <v>0.13518460161996532</v>
      </c>
      <c r="CF113" s="126">
        <f t="shared" si="28"/>
        <v>0.13758232448396265</v>
      </c>
      <c r="CH113" s="4">
        <v>111</v>
      </c>
      <c r="CI113" s="129">
        <v>0</v>
      </c>
      <c r="CJ113" s="125">
        <v>0.36052937869658508</v>
      </c>
      <c r="CK113" s="125">
        <v>0</v>
      </c>
      <c r="CL113" s="125">
        <v>7.2519299440217261E-2</v>
      </c>
      <c r="CM113" s="125">
        <v>7.202685690306336E-2</v>
      </c>
      <c r="CN113" s="125">
        <v>6.7976468538943305E-2</v>
      </c>
      <c r="CO113" s="125">
        <v>3.5354832579830402E-2</v>
      </c>
      <c r="CP113" s="125">
        <v>7.1554960846879234E-2</v>
      </c>
      <c r="CQ113" s="125">
        <v>0.10010886863712301</v>
      </c>
      <c r="CR113" s="125">
        <v>5.5561485047387553E-2</v>
      </c>
      <c r="CS113" s="125">
        <v>7.202685690306336E-2</v>
      </c>
      <c r="CT113" s="125">
        <v>6.6504406210658826E-2</v>
      </c>
      <c r="CU113" s="126">
        <v>6.7999469512822736E-2</v>
      </c>
    </row>
    <row r="114" spans="1:99" x14ac:dyDescent="0.25">
      <c r="A114" t="s">
        <v>212</v>
      </c>
      <c r="B114" s="2" t="s">
        <v>3</v>
      </c>
      <c r="C114" s="1">
        <v>11747</v>
      </c>
      <c r="D114" s="19">
        <v>154.75714285714301</v>
      </c>
      <c r="E114" s="18">
        <v>0</v>
      </c>
      <c r="F114" s="19">
        <v>0</v>
      </c>
      <c r="G114" s="19">
        <v>0</v>
      </c>
      <c r="H114" s="19">
        <v>0</v>
      </c>
      <c r="I114" s="19">
        <f>SUM(E114:H114)/Variables!$E$3</f>
        <v>0</v>
      </c>
      <c r="J114" s="4">
        <v>29729</v>
      </c>
      <c r="K114">
        <v>34690</v>
      </c>
      <c r="L114">
        <v>313021</v>
      </c>
      <c r="M114">
        <v>76491</v>
      </c>
      <c r="N114" s="6">
        <f>SUM(J114:M114)/Variables!$E$3</f>
        <v>0.35940981322100729</v>
      </c>
      <c r="O114" s="4">
        <v>0</v>
      </c>
      <c r="P114">
        <v>383</v>
      </c>
      <c r="Q114">
        <v>65432</v>
      </c>
      <c r="R114">
        <v>24367</v>
      </c>
      <c r="S114" s="6">
        <f>SUM(O114:R114)/Variables!$E$3</f>
        <v>7.1403574058385266E-2</v>
      </c>
      <c r="T114" s="12">
        <v>1540.1</v>
      </c>
      <c r="U114" s="6">
        <v>4617.8</v>
      </c>
      <c r="V114" s="6">
        <v>149776</v>
      </c>
      <c r="W114" s="6">
        <v>39654.1</v>
      </c>
      <c r="X114" s="6">
        <f>SUM(T114:W114)/Variables!$E$3</f>
        <v>0.15486108361903103</v>
      </c>
      <c r="Y114" s="12">
        <v>1565.8</v>
      </c>
      <c r="Z114" s="6">
        <v>4671</v>
      </c>
      <c r="AA114" s="6">
        <v>147588.5</v>
      </c>
      <c r="AB114" s="6">
        <v>39873</v>
      </c>
      <c r="AC114" s="6">
        <f>SUM(Y114:AB114)/Variables!$E$3</f>
        <v>0.1533648722476029</v>
      </c>
      <c r="AD114" s="4">
        <v>2283.4</v>
      </c>
      <c r="AE114" s="2">
        <v>5666.8</v>
      </c>
      <c r="AF114" s="2">
        <v>123792.4</v>
      </c>
      <c r="AG114" s="2">
        <v>33858.400000000001</v>
      </c>
      <c r="AH114" s="6">
        <f>SUM(AD114:AG114)/Variables!$E$3</f>
        <v>0.13111821946333702</v>
      </c>
      <c r="AI114" s="4">
        <v>972.8</v>
      </c>
      <c r="AJ114" s="2">
        <v>3616.8</v>
      </c>
      <c r="AK114" s="2">
        <v>111738.1</v>
      </c>
      <c r="AL114" s="2">
        <v>27395.5</v>
      </c>
      <c r="AM114" s="6">
        <f>SUM(AI114:AL114)/Variables!$E$3</f>
        <v>0.11379599205061007</v>
      </c>
      <c r="AN114" s="4">
        <v>1083.7</v>
      </c>
      <c r="AO114" s="2">
        <v>3801.9</v>
      </c>
      <c r="AP114" s="2">
        <v>113811.5</v>
      </c>
      <c r="AQ114" s="2">
        <v>36835.1</v>
      </c>
      <c r="AR114" s="6">
        <f>SUM(AN114:AQ114)/Variables!$E$3</f>
        <v>0.12314602649268799</v>
      </c>
      <c r="AS114" s="4">
        <v>4953.6000000000004</v>
      </c>
      <c r="AT114" s="2">
        <v>9084.9</v>
      </c>
      <c r="AU114" s="2">
        <v>153051.4</v>
      </c>
      <c r="AV114" s="2">
        <v>51287.3</v>
      </c>
      <c r="AW114" s="6">
        <f>SUM(AS114:AV114)/Variables!$E$3</f>
        <v>0.17290493194720466</v>
      </c>
      <c r="AX114" s="4">
        <v>1347.1</v>
      </c>
      <c r="AY114" s="2">
        <v>4133</v>
      </c>
      <c r="AZ114" s="2">
        <v>121609.1</v>
      </c>
      <c r="BA114" s="2">
        <v>39238.199999999997</v>
      </c>
      <c r="BB114" s="6">
        <f>SUM(AX114:BA114)/Variables!$E$3</f>
        <v>0.13169336257610909</v>
      </c>
      <c r="BC114" s="12">
        <f t="shared" si="29"/>
        <v>1565.8</v>
      </c>
      <c r="BD114" s="110">
        <f t="shared" si="29"/>
        <v>4671</v>
      </c>
      <c r="BE114" s="110">
        <f t="shared" si="29"/>
        <v>147588.5</v>
      </c>
      <c r="BF114" s="110">
        <f t="shared" si="29"/>
        <v>39873</v>
      </c>
      <c r="BG114" s="6">
        <f>SUM(BC114:BF114)/Variables!$E$3</f>
        <v>0.1533648722476029</v>
      </c>
      <c r="BH114" s="4">
        <v>1776.6</v>
      </c>
      <c r="BI114">
        <v>4749.3999999999996</v>
      </c>
      <c r="BJ114">
        <v>123754.1</v>
      </c>
      <c r="BK114">
        <v>40456.699999999997</v>
      </c>
      <c r="BL114" s="6">
        <f>SUM(BH114:BK114)/Variables!$E$3</f>
        <v>0.13518460161996532</v>
      </c>
      <c r="BM114" s="110">
        <v>2211.1</v>
      </c>
      <c r="BN114" s="110">
        <v>5377.9</v>
      </c>
      <c r="BO114" s="110">
        <v>127387.7</v>
      </c>
      <c r="BP114" s="110">
        <v>38788.400000000001</v>
      </c>
      <c r="BQ114" s="6">
        <f>SUM(BM114:BP114)/Variables!$E$3</f>
        <v>0.13758232448396265</v>
      </c>
      <c r="BS114" s="4">
        <v>112</v>
      </c>
      <c r="BT114" s="125">
        <f t="shared" si="16"/>
        <v>0</v>
      </c>
      <c r="BU114" s="125">
        <f t="shared" si="17"/>
        <v>0</v>
      </c>
      <c r="BV114" s="125">
        <f t="shared" si="18"/>
        <v>0</v>
      </c>
      <c r="BW114" s="125">
        <f t="shared" si="19"/>
        <v>0</v>
      </c>
      <c r="BX114" s="125">
        <f t="shared" si="20"/>
        <v>0</v>
      </c>
      <c r="BY114" s="125">
        <f t="shared" si="21"/>
        <v>0</v>
      </c>
      <c r="BZ114" s="125">
        <f t="shared" si="22"/>
        <v>0</v>
      </c>
      <c r="CA114" s="125">
        <f t="shared" si="23"/>
        <v>0</v>
      </c>
      <c r="CB114" s="125">
        <f t="shared" si="24"/>
        <v>0</v>
      </c>
      <c r="CC114" s="125">
        <f t="shared" si="25"/>
        <v>0</v>
      </c>
      <c r="CD114" s="125">
        <f t="shared" si="26"/>
        <v>0</v>
      </c>
      <c r="CE114" s="125">
        <f t="shared" si="27"/>
        <v>0</v>
      </c>
      <c r="CF114" s="126">
        <f t="shared" si="28"/>
        <v>0</v>
      </c>
      <c r="CH114" s="4">
        <v>112</v>
      </c>
      <c r="CI114" s="129">
        <v>0</v>
      </c>
      <c r="CJ114" s="125">
        <v>0</v>
      </c>
      <c r="CK114" s="125">
        <v>0</v>
      </c>
      <c r="CL114" s="125">
        <v>0</v>
      </c>
      <c r="CM114" s="125">
        <v>0</v>
      </c>
      <c r="CN114" s="125">
        <v>0</v>
      </c>
      <c r="CO114" s="125">
        <v>0</v>
      </c>
      <c r="CP114" s="125">
        <v>0</v>
      </c>
      <c r="CQ114" s="125">
        <v>0</v>
      </c>
      <c r="CR114" s="125">
        <v>0</v>
      </c>
      <c r="CS114" s="125">
        <v>0</v>
      </c>
      <c r="CT114" s="125">
        <v>0</v>
      </c>
      <c r="CU114" s="126">
        <v>0</v>
      </c>
    </row>
    <row r="115" spans="1:99" x14ac:dyDescent="0.25">
      <c r="A115" t="s">
        <v>212</v>
      </c>
      <c r="B115" s="2" t="s">
        <v>4</v>
      </c>
      <c r="C115" s="1">
        <v>11840</v>
      </c>
      <c r="D115" s="19">
        <v>66.099999999999994</v>
      </c>
      <c r="E115" s="18">
        <v>0</v>
      </c>
      <c r="F115" s="19">
        <v>0</v>
      </c>
      <c r="G115" s="19">
        <v>0</v>
      </c>
      <c r="H115" s="19">
        <v>0</v>
      </c>
      <c r="I115" s="19">
        <f>SUM(E115:H115)/Variables!$E$3</f>
        <v>0</v>
      </c>
      <c r="J115" s="4">
        <v>0</v>
      </c>
      <c r="K115">
        <v>0</v>
      </c>
      <c r="L115">
        <v>0</v>
      </c>
      <c r="M115">
        <v>0</v>
      </c>
      <c r="N115" s="6">
        <f>SUM(J115:M115)/Variables!$E$3</f>
        <v>0</v>
      </c>
      <c r="O115" s="4">
        <v>0</v>
      </c>
      <c r="P115">
        <v>0</v>
      </c>
      <c r="Q115">
        <v>0</v>
      </c>
      <c r="R115">
        <v>0</v>
      </c>
      <c r="S115" s="6">
        <f>SUM(O115:R115)/Variables!$E$3</f>
        <v>0</v>
      </c>
      <c r="T115" s="12">
        <v>0</v>
      </c>
      <c r="U115" s="6">
        <v>0</v>
      </c>
      <c r="V115" s="6">
        <v>0</v>
      </c>
      <c r="W115" s="6">
        <v>0</v>
      </c>
      <c r="X115" s="6">
        <f>SUM(T115:W115)/Variables!$E$3</f>
        <v>0</v>
      </c>
      <c r="Y115" s="12">
        <v>0</v>
      </c>
      <c r="Z115" s="6">
        <v>0</v>
      </c>
      <c r="AA115" s="6">
        <v>0</v>
      </c>
      <c r="AB115" s="6">
        <v>0</v>
      </c>
      <c r="AC115" s="6">
        <f>SUM(Y115:AB115)/Variables!$E$3</f>
        <v>0</v>
      </c>
      <c r="AD115" s="4">
        <v>0</v>
      </c>
      <c r="AE115" s="2">
        <v>0</v>
      </c>
      <c r="AF115" s="2">
        <v>0</v>
      </c>
      <c r="AG115" s="2">
        <v>0</v>
      </c>
      <c r="AH115" s="6">
        <f>SUM(AD115:AG115)/Variables!$E$3</f>
        <v>0</v>
      </c>
      <c r="AI115" s="4">
        <v>0</v>
      </c>
      <c r="AJ115" s="2">
        <v>0</v>
      </c>
      <c r="AK115" s="2">
        <v>0</v>
      </c>
      <c r="AL115" s="2">
        <v>0</v>
      </c>
      <c r="AM115" s="6">
        <f>SUM(AI115:AL115)/Variables!$E$3</f>
        <v>0</v>
      </c>
      <c r="AN115" s="4">
        <v>0</v>
      </c>
      <c r="AO115" s="2">
        <v>0</v>
      </c>
      <c r="AP115" s="2">
        <v>0</v>
      </c>
      <c r="AQ115" s="2">
        <v>0</v>
      </c>
      <c r="AR115" s="6">
        <f>SUM(AN115:AQ115)/Variables!$E$3</f>
        <v>0</v>
      </c>
      <c r="AS115" s="4">
        <v>0</v>
      </c>
      <c r="AT115" s="2">
        <v>0</v>
      </c>
      <c r="AU115" s="2">
        <v>0</v>
      </c>
      <c r="AV115" s="2">
        <v>0</v>
      </c>
      <c r="AW115" s="6">
        <f>SUM(AS115:AV115)/Variables!$E$3</f>
        <v>0</v>
      </c>
      <c r="AX115" s="4">
        <v>0</v>
      </c>
      <c r="AY115" s="2">
        <v>0</v>
      </c>
      <c r="AZ115" s="2">
        <v>0</v>
      </c>
      <c r="BA115" s="2">
        <v>0</v>
      </c>
      <c r="BB115" s="6">
        <f>SUM(AX115:BA115)/Variables!$E$3</f>
        <v>0</v>
      </c>
      <c r="BC115" s="12">
        <f t="shared" si="29"/>
        <v>0</v>
      </c>
      <c r="BD115" s="110">
        <f t="shared" si="29"/>
        <v>0</v>
      </c>
      <c r="BE115" s="110">
        <f t="shared" si="29"/>
        <v>0</v>
      </c>
      <c r="BF115" s="110">
        <f t="shared" si="29"/>
        <v>0</v>
      </c>
      <c r="BG115" s="6">
        <f>SUM(BC115:BF115)/Variables!$E$3</f>
        <v>0</v>
      </c>
      <c r="BH115" s="4">
        <v>0</v>
      </c>
      <c r="BI115">
        <v>0</v>
      </c>
      <c r="BJ115">
        <v>0</v>
      </c>
      <c r="BK115">
        <v>0</v>
      </c>
      <c r="BL115" s="6">
        <f>SUM(BH115:BK115)/Variables!$E$3</f>
        <v>0</v>
      </c>
      <c r="BM115" s="110">
        <v>0</v>
      </c>
      <c r="BN115" s="110">
        <v>0</v>
      </c>
      <c r="BO115" s="110">
        <v>0</v>
      </c>
      <c r="BP115" s="110">
        <v>0</v>
      </c>
      <c r="BQ115" s="6">
        <f>SUM(BM115:BP115)/Variables!$E$3</f>
        <v>0</v>
      </c>
      <c r="BS115" s="4">
        <v>113</v>
      </c>
      <c r="BT115" s="125">
        <f t="shared" si="16"/>
        <v>0</v>
      </c>
      <c r="BU115" s="125">
        <f t="shared" si="17"/>
        <v>0</v>
      </c>
      <c r="BV115" s="125">
        <f t="shared" si="18"/>
        <v>0</v>
      </c>
      <c r="BW115" s="125">
        <f t="shared" si="19"/>
        <v>0</v>
      </c>
      <c r="BX115" s="125">
        <f t="shared" si="20"/>
        <v>0</v>
      </c>
      <c r="BY115" s="125">
        <f t="shared" si="21"/>
        <v>0</v>
      </c>
      <c r="BZ115" s="125">
        <f t="shared" si="22"/>
        <v>0</v>
      </c>
      <c r="CA115" s="125">
        <f t="shared" si="23"/>
        <v>0</v>
      </c>
      <c r="CB115" s="125">
        <f t="shared" si="24"/>
        <v>0</v>
      </c>
      <c r="CC115" s="125">
        <f t="shared" si="25"/>
        <v>0</v>
      </c>
      <c r="CD115" s="125">
        <f t="shared" si="26"/>
        <v>0</v>
      </c>
      <c r="CE115" s="125">
        <f t="shared" si="27"/>
        <v>0</v>
      </c>
      <c r="CF115" s="126">
        <f t="shared" si="28"/>
        <v>0</v>
      </c>
      <c r="CH115" s="4">
        <v>113</v>
      </c>
      <c r="CI115" s="129">
        <v>0</v>
      </c>
      <c r="CJ115" s="125">
        <v>0</v>
      </c>
      <c r="CK115" s="125">
        <v>0</v>
      </c>
      <c r="CL115" s="125">
        <v>0</v>
      </c>
      <c r="CM115" s="125">
        <v>0</v>
      </c>
      <c r="CN115" s="125">
        <v>0</v>
      </c>
      <c r="CO115" s="125">
        <v>0</v>
      </c>
      <c r="CP115" s="125">
        <v>0</v>
      </c>
      <c r="CQ115" s="125">
        <v>0</v>
      </c>
      <c r="CR115" s="125">
        <v>0</v>
      </c>
      <c r="CS115" s="125">
        <v>0</v>
      </c>
      <c r="CT115" s="125">
        <v>0</v>
      </c>
      <c r="CU115" s="126">
        <v>0</v>
      </c>
    </row>
    <row r="116" spans="1:99" x14ac:dyDescent="0.25">
      <c r="A116" t="s">
        <v>212</v>
      </c>
      <c r="B116" s="2" t="s">
        <v>1</v>
      </c>
      <c r="C116" s="1">
        <v>11932</v>
      </c>
      <c r="D116" s="19">
        <v>40.200000000000003</v>
      </c>
      <c r="E116" s="18">
        <v>0</v>
      </c>
      <c r="F116" s="19">
        <v>0</v>
      </c>
      <c r="G116" s="19">
        <v>0</v>
      </c>
      <c r="H116" s="19">
        <v>0</v>
      </c>
      <c r="I116" s="19">
        <f>SUM(E116:H116)/Variables!$E$3</f>
        <v>0</v>
      </c>
      <c r="J116" s="4">
        <v>0</v>
      </c>
      <c r="K116">
        <v>0</v>
      </c>
      <c r="L116">
        <v>0</v>
      </c>
      <c r="M116">
        <v>0</v>
      </c>
      <c r="N116" s="6">
        <f>SUM(J116:M116)/Variables!$E$3</f>
        <v>0</v>
      </c>
      <c r="O116" s="4">
        <v>0</v>
      </c>
      <c r="P116">
        <v>0</v>
      </c>
      <c r="Q116">
        <v>0</v>
      </c>
      <c r="R116">
        <v>0</v>
      </c>
      <c r="S116" s="6">
        <f>SUM(O116:R116)/Variables!$E$3</f>
        <v>0</v>
      </c>
      <c r="T116" s="12">
        <v>0</v>
      </c>
      <c r="U116" s="6">
        <v>0</v>
      </c>
      <c r="V116" s="6">
        <v>0</v>
      </c>
      <c r="W116" s="6">
        <v>0</v>
      </c>
      <c r="X116" s="6">
        <f>SUM(T116:W116)/Variables!$E$3</f>
        <v>0</v>
      </c>
      <c r="Y116" s="12">
        <v>0</v>
      </c>
      <c r="Z116" s="6">
        <v>0</v>
      </c>
      <c r="AA116" s="6">
        <v>0</v>
      </c>
      <c r="AB116" s="6">
        <v>0</v>
      </c>
      <c r="AC116" s="6">
        <f>SUM(Y116:AB116)/Variables!$E$3</f>
        <v>0</v>
      </c>
      <c r="AD116" s="4">
        <v>0</v>
      </c>
      <c r="AE116" s="2">
        <v>0</v>
      </c>
      <c r="AF116" s="2">
        <v>0</v>
      </c>
      <c r="AG116" s="2">
        <v>0</v>
      </c>
      <c r="AH116" s="6">
        <f>SUM(AD116:AG116)/Variables!$E$3</f>
        <v>0</v>
      </c>
      <c r="AI116" s="4">
        <v>0</v>
      </c>
      <c r="AJ116" s="2">
        <v>0</v>
      </c>
      <c r="AK116" s="2">
        <v>0</v>
      </c>
      <c r="AL116" s="2">
        <v>0</v>
      </c>
      <c r="AM116" s="6">
        <f>SUM(AI116:AL116)/Variables!$E$3</f>
        <v>0</v>
      </c>
      <c r="AN116" s="4">
        <v>0</v>
      </c>
      <c r="AO116" s="2">
        <v>0</v>
      </c>
      <c r="AP116" s="2">
        <v>0</v>
      </c>
      <c r="AQ116" s="2">
        <v>0</v>
      </c>
      <c r="AR116" s="6">
        <f>SUM(AN116:AQ116)/Variables!$E$3</f>
        <v>0</v>
      </c>
      <c r="AS116" s="4">
        <v>0</v>
      </c>
      <c r="AT116" s="2">
        <v>0</v>
      </c>
      <c r="AU116" s="2">
        <v>0</v>
      </c>
      <c r="AV116" s="2">
        <v>0</v>
      </c>
      <c r="AW116" s="6">
        <f>SUM(AS116:AV116)/Variables!$E$3</f>
        <v>0</v>
      </c>
      <c r="AX116" s="4">
        <v>0</v>
      </c>
      <c r="AY116" s="2">
        <v>0</v>
      </c>
      <c r="AZ116" s="2">
        <v>0</v>
      </c>
      <c r="BA116" s="2">
        <v>0</v>
      </c>
      <c r="BB116" s="6">
        <f>SUM(AX116:BA116)/Variables!$E$3</f>
        <v>0</v>
      </c>
      <c r="BC116" s="12">
        <f t="shared" si="29"/>
        <v>0</v>
      </c>
      <c r="BD116" s="110">
        <f t="shared" si="29"/>
        <v>0</v>
      </c>
      <c r="BE116" s="110">
        <f t="shared" si="29"/>
        <v>0</v>
      </c>
      <c r="BF116" s="110">
        <f t="shared" si="29"/>
        <v>0</v>
      </c>
      <c r="BG116" s="6">
        <f>SUM(BC116:BF116)/Variables!$E$3</f>
        <v>0</v>
      </c>
      <c r="BH116" s="4">
        <v>0</v>
      </c>
      <c r="BI116">
        <v>0</v>
      </c>
      <c r="BJ116">
        <v>0</v>
      </c>
      <c r="BK116">
        <v>0</v>
      </c>
      <c r="BL116" s="6">
        <f>SUM(BH116:BK116)/Variables!$E$3</f>
        <v>0</v>
      </c>
      <c r="BM116" s="110">
        <v>0</v>
      </c>
      <c r="BN116" s="110">
        <v>0</v>
      </c>
      <c r="BO116" s="110">
        <v>0</v>
      </c>
      <c r="BP116" s="110">
        <v>0</v>
      </c>
      <c r="BQ116" s="6">
        <f>SUM(BM116:BP116)/Variables!$E$3</f>
        <v>0</v>
      </c>
      <c r="BS116" s="4">
        <v>114</v>
      </c>
      <c r="BT116" s="125">
        <f t="shared" si="16"/>
        <v>0</v>
      </c>
      <c r="BU116" s="125">
        <f t="shared" si="17"/>
        <v>0</v>
      </c>
      <c r="BV116" s="125">
        <f t="shared" si="18"/>
        <v>0</v>
      </c>
      <c r="BW116" s="125">
        <f t="shared" si="19"/>
        <v>0</v>
      </c>
      <c r="BX116" s="125">
        <f t="shared" si="20"/>
        <v>0</v>
      </c>
      <c r="BY116" s="125">
        <f t="shared" si="21"/>
        <v>0</v>
      </c>
      <c r="BZ116" s="125">
        <f t="shared" si="22"/>
        <v>0</v>
      </c>
      <c r="CA116" s="125">
        <f t="shared" si="23"/>
        <v>0</v>
      </c>
      <c r="CB116" s="125">
        <f t="shared" si="24"/>
        <v>0</v>
      </c>
      <c r="CC116" s="125">
        <f t="shared" si="25"/>
        <v>0</v>
      </c>
      <c r="CD116" s="125">
        <f t="shared" si="26"/>
        <v>0</v>
      </c>
      <c r="CE116" s="125">
        <f t="shared" si="27"/>
        <v>0</v>
      </c>
      <c r="CF116" s="126">
        <f t="shared" si="28"/>
        <v>0</v>
      </c>
      <c r="CH116" s="4">
        <v>114</v>
      </c>
      <c r="CI116" s="129">
        <v>0</v>
      </c>
      <c r="CJ116" s="125">
        <v>0</v>
      </c>
      <c r="CK116" s="125">
        <v>0</v>
      </c>
      <c r="CL116" s="125">
        <v>0</v>
      </c>
      <c r="CM116" s="125">
        <v>0</v>
      </c>
      <c r="CN116" s="125">
        <v>0</v>
      </c>
      <c r="CO116" s="125">
        <v>0</v>
      </c>
      <c r="CP116" s="125">
        <v>0</v>
      </c>
      <c r="CQ116" s="125">
        <v>0</v>
      </c>
      <c r="CR116" s="125">
        <v>0</v>
      </c>
      <c r="CS116" s="125">
        <v>0</v>
      </c>
      <c r="CT116" s="125">
        <v>0</v>
      </c>
      <c r="CU116" s="126">
        <v>0</v>
      </c>
    </row>
    <row r="117" spans="1:99" x14ac:dyDescent="0.25">
      <c r="A117" t="s">
        <v>212</v>
      </c>
      <c r="B117" s="2" t="s">
        <v>2</v>
      </c>
      <c r="C117" s="1">
        <v>12023</v>
      </c>
      <c r="D117" s="19">
        <v>64.64</v>
      </c>
      <c r="E117" s="18">
        <v>0</v>
      </c>
      <c r="F117" s="19">
        <v>0</v>
      </c>
      <c r="G117" s="19">
        <v>0</v>
      </c>
      <c r="H117" s="19">
        <v>0</v>
      </c>
      <c r="I117" s="19">
        <f>SUM(E117:H117)/Variables!$E$3</f>
        <v>0</v>
      </c>
      <c r="J117" s="4">
        <v>0</v>
      </c>
      <c r="K117">
        <v>0</v>
      </c>
      <c r="L117">
        <v>0</v>
      </c>
      <c r="M117">
        <v>0</v>
      </c>
      <c r="N117" s="6">
        <f>SUM(J117:M117)/Variables!$E$3</f>
        <v>0</v>
      </c>
      <c r="O117" s="4">
        <v>0</v>
      </c>
      <c r="P117">
        <v>0</v>
      </c>
      <c r="Q117">
        <v>0</v>
      </c>
      <c r="R117">
        <v>0</v>
      </c>
      <c r="S117" s="6">
        <f>SUM(O117:R117)/Variables!$E$3</f>
        <v>0</v>
      </c>
      <c r="T117" s="12">
        <v>0</v>
      </c>
      <c r="U117" s="6">
        <v>0</v>
      </c>
      <c r="V117" s="6">
        <v>0</v>
      </c>
      <c r="W117" s="6">
        <v>0</v>
      </c>
      <c r="X117" s="6">
        <f>SUM(T117:W117)/Variables!$E$3</f>
        <v>0</v>
      </c>
      <c r="Y117" s="12">
        <v>0</v>
      </c>
      <c r="Z117" s="6">
        <v>0</v>
      </c>
      <c r="AA117" s="6">
        <v>0</v>
      </c>
      <c r="AB117" s="6">
        <v>0</v>
      </c>
      <c r="AC117" s="6">
        <f>SUM(Y117:AB117)/Variables!$E$3</f>
        <v>0</v>
      </c>
      <c r="AD117" s="4">
        <v>0</v>
      </c>
      <c r="AE117" s="2">
        <v>0</v>
      </c>
      <c r="AF117" s="2">
        <v>0</v>
      </c>
      <c r="AG117" s="2">
        <v>0</v>
      </c>
      <c r="AH117" s="6">
        <f>SUM(AD117:AG117)/Variables!$E$3</f>
        <v>0</v>
      </c>
      <c r="AI117" s="4">
        <v>0</v>
      </c>
      <c r="AJ117" s="2">
        <v>0</v>
      </c>
      <c r="AK117" s="2">
        <v>0</v>
      </c>
      <c r="AL117" s="2">
        <v>0</v>
      </c>
      <c r="AM117" s="6">
        <f>SUM(AI117:AL117)/Variables!$E$3</f>
        <v>0</v>
      </c>
      <c r="AN117" s="4">
        <v>0</v>
      </c>
      <c r="AO117" s="2">
        <v>0</v>
      </c>
      <c r="AP117" s="2">
        <v>0</v>
      </c>
      <c r="AQ117" s="2">
        <v>0</v>
      </c>
      <c r="AR117" s="6">
        <f>SUM(AN117:AQ117)/Variables!$E$3</f>
        <v>0</v>
      </c>
      <c r="AS117" s="4">
        <v>0</v>
      </c>
      <c r="AT117" s="2">
        <v>0</v>
      </c>
      <c r="AU117" s="2">
        <v>0</v>
      </c>
      <c r="AV117" s="2">
        <v>0</v>
      </c>
      <c r="AW117" s="6">
        <f>SUM(AS117:AV117)/Variables!$E$3</f>
        <v>0</v>
      </c>
      <c r="AX117" s="4">
        <v>0</v>
      </c>
      <c r="AY117" s="2">
        <v>0</v>
      </c>
      <c r="AZ117" s="2">
        <v>0</v>
      </c>
      <c r="BA117" s="2">
        <v>0</v>
      </c>
      <c r="BB117" s="6">
        <f>SUM(AX117:BA117)/Variables!$E$3</f>
        <v>0</v>
      </c>
      <c r="BC117" s="12">
        <f t="shared" si="29"/>
        <v>0</v>
      </c>
      <c r="BD117" s="110">
        <f t="shared" si="29"/>
        <v>0</v>
      </c>
      <c r="BE117" s="110">
        <f t="shared" si="29"/>
        <v>0</v>
      </c>
      <c r="BF117" s="110">
        <f t="shared" si="29"/>
        <v>0</v>
      </c>
      <c r="BG117" s="6">
        <f>SUM(BC117:BF117)/Variables!$E$3</f>
        <v>0</v>
      </c>
      <c r="BH117" s="4">
        <v>0</v>
      </c>
      <c r="BI117">
        <v>0</v>
      </c>
      <c r="BJ117">
        <v>0</v>
      </c>
      <c r="BK117">
        <v>0</v>
      </c>
      <c r="BL117" s="6">
        <f>SUM(BH117:BK117)/Variables!$E$3</f>
        <v>0</v>
      </c>
      <c r="BM117" s="110">
        <v>0</v>
      </c>
      <c r="BN117" s="110">
        <v>0</v>
      </c>
      <c r="BO117" s="110">
        <v>0</v>
      </c>
      <c r="BP117" s="110">
        <v>0</v>
      </c>
      <c r="BQ117" s="6">
        <f>SUM(BM117:BP117)/Variables!$E$3</f>
        <v>0</v>
      </c>
      <c r="BS117" s="4">
        <v>115</v>
      </c>
      <c r="BT117" s="125">
        <f t="shared" si="16"/>
        <v>0</v>
      </c>
      <c r="BU117" s="125">
        <f t="shared" si="17"/>
        <v>1.6373843023301846E-2</v>
      </c>
      <c r="BV117" s="125">
        <f t="shared" si="18"/>
        <v>0</v>
      </c>
      <c r="BW117" s="125">
        <f t="shared" si="19"/>
        <v>0</v>
      </c>
      <c r="BX117" s="125">
        <f t="shared" si="20"/>
        <v>0</v>
      </c>
      <c r="BY117" s="125">
        <f t="shared" si="21"/>
        <v>0</v>
      </c>
      <c r="BZ117" s="125">
        <f t="shared" si="22"/>
        <v>0</v>
      </c>
      <c r="CA117" s="125">
        <f t="shared" si="23"/>
        <v>0</v>
      </c>
      <c r="CB117" s="125">
        <f t="shared" si="24"/>
        <v>0</v>
      </c>
      <c r="CC117" s="125">
        <f t="shared" si="25"/>
        <v>0</v>
      </c>
      <c r="CD117" s="125">
        <f t="shared" si="26"/>
        <v>0</v>
      </c>
      <c r="CE117" s="125">
        <f t="shared" si="27"/>
        <v>0</v>
      </c>
      <c r="CF117" s="126">
        <f t="shared" si="28"/>
        <v>0</v>
      </c>
      <c r="CH117" s="4">
        <v>115</v>
      </c>
      <c r="CI117" s="129">
        <v>0</v>
      </c>
      <c r="CJ117" s="125">
        <v>0</v>
      </c>
      <c r="CK117" s="125">
        <v>0</v>
      </c>
      <c r="CL117" s="125">
        <v>0</v>
      </c>
      <c r="CM117" s="125">
        <v>0</v>
      </c>
      <c r="CN117" s="125">
        <v>0</v>
      </c>
      <c r="CO117" s="125">
        <v>0</v>
      </c>
      <c r="CP117" s="125">
        <v>0</v>
      </c>
      <c r="CQ117" s="125">
        <v>0</v>
      </c>
      <c r="CR117" s="125">
        <v>0</v>
      </c>
      <c r="CS117" s="125">
        <v>0</v>
      </c>
      <c r="CT117" s="125">
        <v>0</v>
      </c>
      <c r="CU117" s="126">
        <v>0</v>
      </c>
    </row>
    <row r="118" spans="1:99" x14ac:dyDescent="0.25">
      <c r="A118" t="s">
        <v>213</v>
      </c>
      <c r="B118" s="2" t="s">
        <v>3</v>
      </c>
      <c r="C118" s="1">
        <v>12113</v>
      </c>
      <c r="D118" s="19">
        <v>56.64</v>
      </c>
      <c r="E118" s="18">
        <v>0</v>
      </c>
      <c r="F118" s="19">
        <v>0</v>
      </c>
      <c r="G118" s="19">
        <v>0</v>
      </c>
      <c r="H118" s="19">
        <v>0</v>
      </c>
      <c r="I118" s="19">
        <f>SUM(E118:H118)/Variables!$E$3</f>
        <v>0</v>
      </c>
      <c r="J118" s="4">
        <v>0</v>
      </c>
      <c r="K118">
        <v>0</v>
      </c>
      <c r="L118">
        <v>20680</v>
      </c>
      <c r="M118">
        <v>0</v>
      </c>
      <c r="N118" s="6">
        <f>SUM(J118:M118)/Variables!$E$3</f>
        <v>1.6373843023301846E-2</v>
      </c>
      <c r="O118" s="4">
        <v>0</v>
      </c>
      <c r="P118">
        <v>0</v>
      </c>
      <c r="Q118">
        <v>0</v>
      </c>
      <c r="R118">
        <v>0</v>
      </c>
      <c r="S118" s="6">
        <f>SUM(O118:R118)/Variables!$E$3</f>
        <v>0</v>
      </c>
      <c r="T118" s="12">
        <v>0</v>
      </c>
      <c r="U118" s="6">
        <v>0</v>
      </c>
      <c r="V118" s="6">
        <v>0</v>
      </c>
      <c r="W118" s="6">
        <v>0</v>
      </c>
      <c r="X118" s="6">
        <f>SUM(T118:W118)/Variables!$E$3</f>
        <v>0</v>
      </c>
      <c r="Y118" s="12">
        <v>0</v>
      </c>
      <c r="Z118" s="6">
        <v>0</v>
      </c>
      <c r="AA118" s="6">
        <v>0</v>
      </c>
      <c r="AB118" s="6">
        <v>0</v>
      </c>
      <c r="AC118" s="6">
        <f>SUM(Y118:AB118)/Variables!$E$3</f>
        <v>0</v>
      </c>
      <c r="AD118" s="4">
        <v>0</v>
      </c>
      <c r="AE118" s="2">
        <v>0</v>
      </c>
      <c r="AF118" s="2">
        <v>0</v>
      </c>
      <c r="AG118" s="2">
        <v>0</v>
      </c>
      <c r="AH118" s="6">
        <f>SUM(AD118:AG118)/Variables!$E$3</f>
        <v>0</v>
      </c>
      <c r="AI118" s="4">
        <v>0</v>
      </c>
      <c r="AJ118" s="2">
        <v>0</v>
      </c>
      <c r="AK118" s="2">
        <v>0</v>
      </c>
      <c r="AL118" s="2">
        <v>0</v>
      </c>
      <c r="AM118" s="6">
        <f>SUM(AI118:AL118)/Variables!$E$3</f>
        <v>0</v>
      </c>
      <c r="AN118" s="4">
        <v>0</v>
      </c>
      <c r="AO118" s="2">
        <v>0</v>
      </c>
      <c r="AP118" s="2">
        <v>0</v>
      </c>
      <c r="AQ118" s="2">
        <v>0</v>
      </c>
      <c r="AR118" s="6">
        <f>SUM(AN118:AQ118)/Variables!$E$3</f>
        <v>0</v>
      </c>
      <c r="AS118" s="4">
        <v>0</v>
      </c>
      <c r="AT118" s="2">
        <v>0</v>
      </c>
      <c r="AU118" s="2">
        <v>0</v>
      </c>
      <c r="AV118" s="2">
        <v>0</v>
      </c>
      <c r="AW118" s="6">
        <f>SUM(AS118:AV118)/Variables!$E$3</f>
        <v>0</v>
      </c>
      <c r="AX118" s="4">
        <v>0</v>
      </c>
      <c r="AY118" s="2">
        <v>0</v>
      </c>
      <c r="AZ118" s="2">
        <v>0</v>
      </c>
      <c r="BA118" s="2">
        <v>0</v>
      </c>
      <c r="BB118" s="6">
        <f>SUM(AX118:BA118)/Variables!$E$3</f>
        <v>0</v>
      </c>
      <c r="BC118" s="12">
        <f t="shared" si="29"/>
        <v>0</v>
      </c>
      <c r="BD118" s="110">
        <f t="shared" si="29"/>
        <v>0</v>
      </c>
      <c r="BE118" s="110">
        <f t="shared" si="29"/>
        <v>0</v>
      </c>
      <c r="BF118" s="110">
        <f t="shared" si="29"/>
        <v>0</v>
      </c>
      <c r="BG118" s="6">
        <f>SUM(BC118:BF118)/Variables!$E$3</f>
        <v>0</v>
      </c>
      <c r="BH118" s="4">
        <v>0</v>
      </c>
      <c r="BI118">
        <v>0</v>
      </c>
      <c r="BJ118">
        <v>0</v>
      </c>
      <c r="BK118">
        <v>0</v>
      </c>
      <c r="BL118" s="6">
        <f>SUM(BH118:BK118)/Variables!$E$3</f>
        <v>0</v>
      </c>
      <c r="BM118" s="110">
        <v>0</v>
      </c>
      <c r="BN118" s="110">
        <v>0</v>
      </c>
      <c r="BO118" s="110">
        <v>0</v>
      </c>
      <c r="BP118" s="110">
        <v>0</v>
      </c>
      <c r="BQ118" s="6">
        <f>SUM(BM118:BP118)/Variables!$E$3</f>
        <v>0</v>
      </c>
      <c r="BS118" s="4">
        <v>116</v>
      </c>
      <c r="BT118" s="125">
        <f t="shared" si="16"/>
        <v>0</v>
      </c>
      <c r="BU118" s="125">
        <f t="shared" si="17"/>
        <v>0</v>
      </c>
      <c r="BV118" s="125">
        <f t="shared" si="18"/>
        <v>0</v>
      </c>
      <c r="BW118" s="125">
        <f t="shared" si="19"/>
        <v>0</v>
      </c>
      <c r="BX118" s="125">
        <f t="shared" si="20"/>
        <v>0</v>
      </c>
      <c r="BY118" s="125">
        <f t="shared" si="21"/>
        <v>0</v>
      </c>
      <c r="BZ118" s="125">
        <f t="shared" si="22"/>
        <v>0</v>
      </c>
      <c r="CA118" s="125">
        <f t="shared" si="23"/>
        <v>0</v>
      </c>
      <c r="CB118" s="125">
        <f t="shared" si="24"/>
        <v>0</v>
      </c>
      <c r="CC118" s="125">
        <f t="shared" si="25"/>
        <v>0</v>
      </c>
      <c r="CD118" s="125">
        <f t="shared" si="26"/>
        <v>0</v>
      </c>
      <c r="CE118" s="125">
        <f t="shared" si="27"/>
        <v>0</v>
      </c>
      <c r="CF118" s="126">
        <f t="shared" si="28"/>
        <v>0</v>
      </c>
      <c r="CH118" s="4">
        <v>116</v>
      </c>
      <c r="CI118" s="129">
        <v>0</v>
      </c>
      <c r="CJ118" s="125">
        <v>0</v>
      </c>
      <c r="CK118" s="125">
        <v>0</v>
      </c>
      <c r="CL118" s="125">
        <v>0</v>
      </c>
      <c r="CM118" s="125">
        <v>0</v>
      </c>
      <c r="CN118" s="125">
        <v>0</v>
      </c>
      <c r="CO118" s="125">
        <v>0</v>
      </c>
      <c r="CP118" s="125">
        <v>0</v>
      </c>
      <c r="CQ118" s="125">
        <v>0</v>
      </c>
      <c r="CR118" s="125">
        <v>0</v>
      </c>
      <c r="CS118" s="125">
        <v>0</v>
      </c>
      <c r="CT118" s="125">
        <v>0</v>
      </c>
      <c r="CU118" s="126">
        <v>0</v>
      </c>
    </row>
    <row r="119" spans="1:99" x14ac:dyDescent="0.25">
      <c r="A119" t="s">
        <v>213</v>
      </c>
      <c r="B119" s="2" t="s">
        <v>4</v>
      </c>
      <c r="C119" s="1">
        <v>12205</v>
      </c>
      <c r="D119" s="19">
        <v>15.78</v>
      </c>
      <c r="E119" s="18">
        <v>0</v>
      </c>
      <c r="F119" s="19">
        <v>0</v>
      </c>
      <c r="G119" s="19">
        <v>0</v>
      </c>
      <c r="H119" s="19">
        <v>0</v>
      </c>
      <c r="I119" s="19">
        <f>SUM(E119:H119)/Variables!$E$3</f>
        <v>0</v>
      </c>
      <c r="J119" s="4">
        <v>0</v>
      </c>
      <c r="K119">
        <v>0</v>
      </c>
      <c r="L119">
        <v>0</v>
      </c>
      <c r="M119">
        <v>0</v>
      </c>
      <c r="N119" s="6">
        <f>SUM(J119:M119)/Variables!$E$3</f>
        <v>0</v>
      </c>
      <c r="O119" s="4">
        <v>0</v>
      </c>
      <c r="P119">
        <v>0</v>
      </c>
      <c r="Q119">
        <v>0</v>
      </c>
      <c r="R119">
        <v>0</v>
      </c>
      <c r="S119" s="6">
        <f>SUM(O119:R119)/Variables!$E$3</f>
        <v>0</v>
      </c>
      <c r="T119" s="12">
        <v>0</v>
      </c>
      <c r="U119" s="6">
        <v>0</v>
      </c>
      <c r="V119" s="6">
        <v>0</v>
      </c>
      <c r="W119" s="6">
        <v>0</v>
      </c>
      <c r="X119" s="6">
        <f>SUM(T119:W119)/Variables!$E$3</f>
        <v>0</v>
      </c>
      <c r="Y119" s="12">
        <v>0</v>
      </c>
      <c r="Z119" s="6">
        <v>0</v>
      </c>
      <c r="AA119" s="6">
        <v>0</v>
      </c>
      <c r="AB119" s="6">
        <v>0</v>
      </c>
      <c r="AC119" s="6">
        <f>SUM(Y119:AB119)/Variables!$E$3</f>
        <v>0</v>
      </c>
      <c r="AD119" s="4">
        <v>0</v>
      </c>
      <c r="AE119" s="2">
        <v>0</v>
      </c>
      <c r="AF119" s="2">
        <v>0</v>
      </c>
      <c r="AG119" s="2">
        <v>0</v>
      </c>
      <c r="AH119" s="6">
        <f>SUM(AD119:AG119)/Variables!$E$3</f>
        <v>0</v>
      </c>
      <c r="AI119" s="4">
        <v>0</v>
      </c>
      <c r="AJ119" s="2">
        <v>0</v>
      </c>
      <c r="AK119" s="2">
        <v>0</v>
      </c>
      <c r="AL119" s="2">
        <v>0</v>
      </c>
      <c r="AM119" s="6">
        <f>SUM(AI119:AL119)/Variables!$E$3</f>
        <v>0</v>
      </c>
      <c r="AN119" s="4">
        <v>0</v>
      </c>
      <c r="AO119" s="2">
        <v>0</v>
      </c>
      <c r="AP119" s="2">
        <v>0</v>
      </c>
      <c r="AQ119" s="2">
        <v>0</v>
      </c>
      <c r="AR119" s="6">
        <f>SUM(AN119:AQ119)/Variables!$E$3</f>
        <v>0</v>
      </c>
      <c r="AS119" s="4">
        <v>0</v>
      </c>
      <c r="AT119" s="2">
        <v>0</v>
      </c>
      <c r="AU119" s="2">
        <v>0</v>
      </c>
      <c r="AV119" s="2">
        <v>0</v>
      </c>
      <c r="AW119" s="6">
        <f>SUM(AS119:AV119)/Variables!$E$3</f>
        <v>0</v>
      </c>
      <c r="AX119" s="4">
        <v>0</v>
      </c>
      <c r="AY119" s="2">
        <v>0</v>
      </c>
      <c r="AZ119" s="2">
        <v>0</v>
      </c>
      <c r="BA119" s="2">
        <v>0</v>
      </c>
      <c r="BB119" s="6">
        <f>SUM(AX119:BA119)/Variables!$E$3</f>
        <v>0</v>
      </c>
      <c r="BC119" s="12">
        <f t="shared" si="29"/>
        <v>0</v>
      </c>
      <c r="BD119" s="110">
        <f t="shared" si="29"/>
        <v>0</v>
      </c>
      <c r="BE119" s="110">
        <f t="shared" si="29"/>
        <v>0</v>
      </c>
      <c r="BF119" s="110">
        <f t="shared" si="29"/>
        <v>0</v>
      </c>
      <c r="BG119" s="6">
        <f>SUM(BC119:BF119)/Variables!$E$3</f>
        <v>0</v>
      </c>
      <c r="BH119" s="4">
        <v>0</v>
      </c>
      <c r="BI119">
        <v>0</v>
      </c>
      <c r="BJ119">
        <v>0</v>
      </c>
      <c r="BK119">
        <v>0</v>
      </c>
      <c r="BL119" s="6">
        <f>SUM(BH119:BK119)/Variables!$E$3</f>
        <v>0</v>
      </c>
      <c r="BM119" s="110">
        <v>0</v>
      </c>
      <c r="BN119" s="110">
        <v>0</v>
      </c>
      <c r="BO119" s="110">
        <v>0</v>
      </c>
      <c r="BP119" s="110">
        <v>0</v>
      </c>
      <c r="BQ119" s="6">
        <f>SUM(BM119:BP119)/Variables!$E$3</f>
        <v>0</v>
      </c>
      <c r="BS119" s="4">
        <v>117</v>
      </c>
      <c r="BT119" s="125">
        <f t="shared" si="16"/>
        <v>0</v>
      </c>
      <c r="BU119" s="125">
        <f t="shared" si="17"/>
        <v>0</v>
      </c>
      <c r="BV119" s="125">
        <f t="shared" si="18"/>
        <v>0</v>
      </c>
      <c r="BW119" s="125">
        <f t="shared" si="19"/>
        <v>0</v>
      </c>
      <c r="BX119" s="125">
        <f t="shared" si="20"/>
        <v>0</v>
      </c>
      <c r="BY119" s="125">
        <f t="shared" si="21"/>
        <v>0</v>
      </c>
      <c r="BZ119" s="125">
        <f t="shared" si="22"/>
        <v>0</v>
      </c>
      <c r="CA119" s="125">
        <f t="shared" si="23"/>
        <v>0</v>
      </c>
      <c r="CB119" s="125">
        <f t="shared" si="24"/>
        <v>0</v>
      </c>
      <c r="CC119" s="125">
        <f t="shared" si="25"/>
        <v>0</v>
      </c>
      <c r="CD119" s="125">
        <f t="shared" si="26"/>
        <v>0</v>
      </c>
      <c r="CE119" s="125">
        <f t="shared" si="27"/>
        <v>0</v>
      </c>
      <c r="CF119" s="126">
        <f t="shared" si="28"/>
        <v>0</v>
      </c>
      <c r="CH119" s="4">
        <v>117</v>
      </c>
      <c r="CI119" s="129">
        <v>0</v>
      </c>
      <c r="CJ119" s="125">
        <v>0</v>
      </c>
      <c r="CK119" s="125">
        <v>0</v>
      </c>
      <c r="CL119" s="125">
        <v>0</v>
      </c>
      <c r="CM119" s="125">
        <v>0</v>
      </c>
      <c r="CN119" s="125">
        <v>0</v>
      </c>
      <c r="CO119" s="125">
        <v>0</v>
      </c>
      <c r="CP119" s="125">
        <v>0</v>
      </c>
      <c r="CQ119" s="125">
        <v>0</v>
      </c>
      <c r="CR119" s="125">
        <v>0</v>
      </c>
      <c r="CS119" s="125">
        <v>0</v>
      </c>
      <c r="CT119" s="125">
        <v>0</v>
      </c>
      <c r="CU119" s="126">
        <v>0</v>
      </c>
    </row>
    <row r="120" spans="1:99" x14ac:dyDescent="0.25">
      <c r="A120" t="s">
        <v>213</v>
      </c>
      <c r="B120" s="2" t="s">
        <v>1</v>
      </c>
      <c r="C120" s="1">
        <v>12297</v>
      </c>
      <c r="D120" s="19">
        <v>56.52</v>
      </c>
      <c r="E120" s="18">
        <v>0</v>
      </c>
      <c r="F120" s="19">
        <v>0</v>
      </c>
      <c r="G120" s="19">
        <v>0</v>
      </c>
      <c r="H120" s="19">
        <v>0</v>
      </c>
      <c r="I120" s="19">
        <f>SUM(E120:H120)/Variables!$E$3</f>
        <v>0</v>
      </c>
      <c r="J120" s="4">
        <v>0</v>
      </c>
      <c r="K120">
        <v>0</v>
      </c>
      <c r="L120">
        <v>0</v>
      </c>
      <c r="M120">
        <v>0</v>
      </c>
      <c r="N120" s="6">
        <f>SUM(J120:M120)/Variables!$E$3</f>
        <v>0</v>
      </c>
      <c r="O120" s="4">
        <v>0</v>
      </c>
      <c r="P120">
        <v>0</v>
      </c>
      <c r="Q120">
        <v>0</v>
      </c>
      <c r="R120">
        <v>0</v>
      </c>
      <c r="S120" s="6">
        <f>SUM(O120:R120)/Variables!$E$3</f>
        <v>0</v>
      </c>
      <c r="T120" s="12">
        <v>0</v>
      </c>
      <c r="U120" s="6">
        <v>0</v>
      </c>
      <c r="V120" s="6">
        <v>0</v>
      </c>
      <c r="W120" s="6">
        <v>0</v>
      </c>
      <c r="X120" s="6">
        <f>SUM(T120:W120)/Variables!$E$3</f>
        <v>0</v>
      </c>
      <c r="Y120" s="12">
        <v>0</v>
      </c>
      <c r="Z120" s="6">
        <v>0</v>
      </c>
      <c r="AA120" s="6">
        <v>0</v>
      </c>
      <c r="AB120" s="6">
        <v>0</v>
      </c>
      <c r="AC120" s="6">
        <f>SUM(Y120:AB120)/Variables!$E$3</f>
        <v>0</v>
      </c>
      <c r="AD120" s="4">
        <v>0</v>
      </c>
      <c r="AE120" s="2">
        <v>0</v>
      </c>
      <c r="AF120" s="2">
        <v>0</v>
      </c>
      <c r="AG120" s="2">
        <v>0</v>
      </c>
      <c r="AH120" s="6">
        <f>SUM(AD120:AG120)/Variables!$E$3</f>
        <v>0</v>
      </c>
      <c r="AI120" s="4">
        <v>0</v>
      </c>
      <c r="AJ120" s="2">
        <v>0</v>
      </c>
      <c r="AK120" s="2">
        <v>0</v>
      </c>
      <c r="AL120" s="2">
        <v>0</v>
      </c>
      <c r="AM120" s="6">
        <f>SUM(AI120:AL120)/Variables!$E$3</f>
        <v>0</v>
      </c>
      <c r="AN120" s="4">
        <v>0</v>
      </c>
      <c r="AO120" s="2">
        <v>0</v>
      </c>
      <c r="AP120" s="2">
        <v>0</v>
      </c>
      <c r="AQ120" s="2">
        <v>0</v>
      </c>
      <c r="AR120" s="6">
        <f>SUM(AN120:AQ120)/Variables!$E$3</f>
        <v>0</v>
      </c>
      <c r="AS120" s="4">
        <v>0</v>
      </c>
      <c r="AT120" s="2">
        <v>0</v>
      </c>
      <c r="AU120" s="2">
        <v>0</v>
      </c>
      <c r="AV120" s="2">
        <v>0</v>
      </c>
      <c r="AW120" s="6">
        <f>SUM(AS120:AV120)/Variables!$E$3</f>
        <v>0</v>
      </c>
      <c r="AX120" s="4">
        <v>0</v>
      </c>
      <c r="AY120" s="2">
        <v>0</v>
      </c>
      <c r="AZ120" s="2">
        <v>0</v>
      </c>
      <c r="BA120" s="2">
        <v>0</v>
      </c>
      <c r="BB120" s="6">
        <f>SUM(AX120:BA120)/Variables!$E$3</f>
        <v>0</v>
      </c>
      <c r="BC120" s="12">
        <f t="shared" si="29"/>
        <v>0</v>
      </c>
      <c r="BD120" s="110">
        <f t="shared" si="29"/>
        <v>0</v>
      </c>
      <c r="BE120" s="110">
        <f t="shared" si="29"/>
        <v>0</v>
      </c>
      <c r="BF120" s="110">
        <f t="shared" si="29"/>
        <v>0</v>
      </c>
      <c r="BG120" s="6">
        <f>SUM(BC120:BF120)/Variables!$E$3</f>
        <v>0</v>
      </c>
      <c r="BH120" s="4">
        <v>0</v>
      </c>
      <c r="BI120">
        <v>0</v>
      </c>
      <c r="BJ120">
        <v>0</v>
      </c>
      <c r="BK120">
        <v>0</v>
      </c>
      <c r="BL120" s="6">
        <f>SUM(BH120:BK120)/Variables!$E$3</f>
        <v>0</v>
      </c>
      <c r="BM120" s="110">
        <v>0</v>
      </c>
      <c r="BN120" s="110">
        <v>0</v>
      </c>
      <c r="BO120" s="110">
        <v>0</v>
      </c>
      <c r="BP120" s="110">
        <v>0</v>
      </c>
      <c r="BQ120" s="6">
        <f>SUM(BM120:BP120)/Variables!$E$3</f>
        <v>0</v>
      </c>
      <c r="BS120" s="4">
        <v>118</v>
      </c>
      <c r="BT120" s="125">
        <f t="shared" si="16"/>
        <v>0</v>
      </c>
      <c r="BU120" s="125">
        <f t="shared" si="17"/>
        <v>0.13879761518301809</v>
      </c>
      <c r="BV120" s="125">
        <f t="shared" si="18"/>
        <v>0</v>
      </c>
      <c r="BW120" s="125">
        <f t="shared" si="19"/>
        <v>1.6728636014536932E-2</v>
      </c>
      <c r="BX120" s="125">
        <f t="shared" si="20"/>
        <v>1.5441135717622467E-2</v>
      </c>
      <c r="BY120" s="125">
        <f t="shared" si="21"/>
        <v>7.9858114474382221E-4</v>
      </c>
      <c r="BZ120" s="125">
        <f t="shared" si="22"/>
        <v>1.4251894314285941E-5</v>
      </c>
      <c r="CA120" s="125">
        <f t="shared" si="23"/>
        <v>5.7989374421016794E-4</v>
      </c>
      <c r="CB120" s="125">
        <f t="shared" si="24"/>
        <v>1.8399828977268228E-2</v>
      </c>
      <c r="CC120" s="125">
        <f t="shared" si="25"/>
        <v>7.0555586346685252E-3</v>
      </c>
      <c r="CD120" s="125">
        <f t="shared" si="26"/>
        <v>1.5441135717622467E-2</v>
      </c>
      <c r="CE120" s="125">
        <f t="shared" si="27"/>
        <v>4.0921939207753024E-3</v>
      </c>
      <c r="CF120" s="126">
        <f t="shared" si="28"/>
        <v>7.0306178196185244E-3</v>
      </c>
      <c r="CH120" s="4">
        <v>118</v>
      </c>
      <c r="CI120" s="129">
        <v>0</v>
      </c>
      <c r="CJ120" s="125">
        <v>0</v>
      </c>
      <c r="CK120" s="125">
        <v>0</v>
      </c>
      <c r="CL120" s="125">
        <v>0</v>
      </c>
      <c r="CM120" s="125">
        <v>0</v>
      </c>
      <c r="CN120" s="125">
        <v>0</v>
      </c>
      <c r="CO120" s="125">
        <v>0</v>
      </c>
      <c r="CP120" s="125">
        <v>0</v>
      </c>
      <c r="CQ120" s="125">
        <v>0</v>
      </c>
      <c r="CR120" s="125">
        <v>0</v>
      </c>
      <c r="CS120" s="125">
        <v>0</v>
      </c>
      <c r="CT120" s="125">
        <v>0</v>
      </c>
      <c r="CU120" s="126">
        <v>0</v>
      </c>
    </row>
    <row r="121" spans="1:99" x14ac:dyDescent="0.25">
      <c r="A121" t="s">
        <v>213</v>
      </c>
      <c r="B121" s="2" t="s">
        <v>2</v>
      </c>
      <c r="C121" s="1">
        <v>12388</v>
      </c>
      <c r="D121" s="19">
        <v>196.58</v>
      </c>
      <c r="E121" s="18">
        <v>0</v>
      </c>
      <c r="F121" s="19">
        <v>0</v>
      </c>
      <c r="G121" s="19">
        <v>0</v>
      </c>
      <c r="H121" s="19">
        <v>0</v>
      </c>
      <c r="I121" s="19">
        <f>SUM(E121:H121)/Variables!$E$3</f>
        <v>0</v>
      </c>
      <c r="J121" s="4">
        <v>0</v>
      </c>
      <c r="K121">
        <v>4940</v>
      </c>
      <c r="L121">
        <v>155034</v>
      </c>
      <c r="M121">
        <v>15326</v>
      </c>
      <c r="N121" s="6">
        <f>SUM(J121:M121)/Variables!$E$3</f>
        <v>0.13879761518301809</v>
      </c>
      <c r="O121" s="4">
        <v>0</v>
      </c>
      <c r="P121">
        <v>0</v>
      </c>
      <c r="Q121">
        <v>0</v>
      </c>
      <c r="R121">
        <v>0</v>
      </c>
      <c r="S121" s="6">
        <f>SUM(O121:R121)/Variables!$E$3</f>
        <v>0</v>
      </c>
      <c r="T121" s="12">
        <v>0</v>
      </c>
      <c r="U121" s="6">
        <v>0</v>
      </c>
      <c r="V121" s="6">
        <v>21128.1</v>
      </c>
      <c r="W121" s="6">
        <v>0</v>
      </c>
      <c r="X121" s="6">
        <f>SUM(T121:W121)/Variables!$E$3</f>
        <v>1.6728636014536932E-2</v>
      </c>
      <c r="Y121" s="12">
        <v>0</v>
      </c>
      <c r="Z121" s="6">
        <v>0</v>
      </c>
      <c r="AA121" s="6">
        <v>19502</v>
      </c>
      <c r="AB121" s="6">
        <v>0</v>
      </c>
      <c r="AC121" s="6">
        <f>SUM(Y121:AB121)/Variables!$E$3</f>
        <v>1.5441135717622467E-2</v>
      </c>
      <c r="AD121" s="4">
        <v>0</v>
      </c>
      <c r="AE121" s="2">
        <v>0</v>
      </c>
      <c r="AF121" s="2">
        <v>1008.6</v>
      </c>
      <c r="AG121" s="2">
        <v>0</v>
      </c>
      <c r="AH121" s="6">
        <f>SUM(AD121:AG121)/Variables!$E$3</f>
        <v>7.9858114474382221E-4</v>
      </c>
      <c r="AI121" s="4">
        <v>0</v>
      </c>
      <c r="AJ121" s="2">
        <v>0</v>
      </c>
      <c r="AK121" s="2">
        <v>18</v>
      </c>
      <c r="AL121" s="2">
        <v>0</v>
      </c>
      <c r="AM121" s="6">
        <f>SUM(AI121:AL121)/Variables!$E$3</f>
        <v>1.4251894314285941E-5</v>
      </c>
      <c r="AN121" s="4">
        <v>0</v>
      </c>
      <c r="AO121" s="2">
        <v>0</v>
      </c>
      <c r="AP121" s="2">
        <v>732.4</v>
      </c>
      <c r="AQ121" s="2">
        <v>0</v>
      </c>
      <c r="AR121" s="6">
        <f>SUM(AN121:AQ121)/Variables!$E$3</f>
        <v>5.7989374421016794E-4</v>
      </c>
      <c r="AS121" s="4">
        <v>0</v>
      </c>
      <c r="AT121" s="2">
        <v>0</v>
      </c>
      <c r="AU121" s="2">
        <v>23238.799999999999</v>
      </c>
      <c r="AV121" s="2">
        <v>0</v>
      </c>
      <c r="AW121" s="6">
        <f>SUM(AS121:AV121)/Variables!$E$3</f>
        <v>1.8399828977268228E-2</v>
      </c>
      <c r="AX121" s="4">
        <v>0</v>
      </c>
      <c r="AY121" s="2">
        <v>0</v>
      </c>
      <c r="AZ121" s="2">
        <v>8911.1</v>
      </c>
      <c r="BA121" s="2">
        <v>0</v>
      </c>
      <c r="BB121" s="6">
        <f>SUM(AX121:BA121)/Variables!$E$3</f>
        <v>7.0555586346685252E-3</v>
      </c>
      <c r="BC121" s="12">
        <f t="shared" si="29"/>
        <v>0</v>
      </c>
      <c r="BD121" s="110">
        <f t="shared" si="29"/>
        <v>0</v>
      </c>
      <c r="BE121" s="110">
        <f t="shared" si="29"/>
        <v>19502</v>
      </c>
      <c r="BF121" s="110">
        <f t="shared" si="29"/>
        <v>0</v>
      </c>
      <c r="BG121" s="6">
        <f>SUM(BC121:BF121)/Variables!$E$3</f>
        <v>1.5441135717622467E-2</v>
      </c>
      <c r="BH121" s="4">
        <v>0</v>
      </c>
      <c r="BI121">
        <v>0</v>
      </c>
      <c r="BJ121">
        <v>5168.3999999999996</v>
      </c>
      <c r="BK121">
        <v>0</v>
      </c>
      <c r="BL121" s="6">
        <f>SUM(BH121:BK121)/Variables!$E$3</f>
        <v>4.0921939207753024E-3</v>
      </c>
      <c r="BM121" s="110">
        <v>0</v>
      </c>
      <c r="BN121" s="110">
        <v>0</v>
      </c>
      <c r="BO121" s="110">
        <v>8879.6</v>
      </c>
      <c r="BP121" s="110">
        <v>0</v>
      </c>
      <c r="BQ121" s="6">
        <f>SUM(BM121:BP121)/Variables!$E$3</f>
        <v>7.0306178196185244E-3</v>
      </c>
      <c r="BS121" s="4">
        <v>119</v>
      </c>
      <c r="BT121" s="125">
        <f t="shared" si="16"/>
        <v>0</v>
      </c>
      <c r="BU121" s="125">
        <f t="shared" si="17"/>
        <v>3.9300390343549832E-2</v>
      </c>
      <c r="BV121" s="125">
        <f t="shared" si="18"/>
        <v>0</v>
      </c>
      <c r="BW121" s="125">
        <f t="shared" si="19"/>
        <v>3.9604430755587929E-3</v>
      </c>
      <c r="BX121" s="125">
        <f t="shared" si="20"/>
        <v>3.6130927402433909E-3</v>
      </c>
      <c r="BY121" s="125">
        <f t="shared" si="21"/>
        <v>0</v>
      </c>
      <c r="BZ121" s="125">
        <f t="shared" si="22"/>
        <v>0</v>
      </c>
      <c r="CA121" s="125">
        <f t="shared" si="23"/>
        <v>1.1021464936381207E-4</v>
      </c>
      <c r="CB121" s="125">
        <f t="shared" si="24"/>
        <v>4.382299147261657E-3</v>
      </c>
      <c r="CC121" s="125">
        <f t="shared" si="25"/>
        <v>1.7337429433328846E-3</v>
      </c>
      <c r="CD121" s="125">
        <f t="shared" si="26"/>
        <v>3.6130927402433909E-3</v>
      </c>
      <c r="CE121" s="125">
        <f t="shared" si="27"/>
        <v>9.1465490621461777E-4</v>
      </c>
      <c r="CF121" s="126">
        <f t="shared" si="28"/>
        <v>1.7906713433993935E-3</v>
      </c>
      <c r="CH121" s="4">
        <v>119</v>
      </c>
      <c r="CI121" s="129">
        <v>0</v>
      </c>
      <c r="CJ121" s="125">
        <v>0.15612395980965804</v>
      </c>
      <c r="CK121" s="125">
        <v>0</v>
      </c>
      <c r="CL121" s="125">
        <v>0</v>
      </c>
      <c r="CM121" s="125">
        <v>0</v>
      </c>
      <c r="CN121" s="125">
        <v>0</v>
      </c>
      <c r="CO121" s="125">
        <v>0</v>
      </c>
      <c r="CP121" s="125">
        <v>0</v>
      </c>
      <c r="CQ121" s="125">
        <v>0</v>
      </c>
      <c r="CR121" s="125">
        <v>0</v>
      </c>
      <c r="CS121" s="125">
        <v>0</v>
      </c>
      <c r="CT121" s="125">
        <v>0</v>
      </c>
      <c r="CU121" s="126">
        <v>0</v>
      </c>
    </row>
    <row r="122" spans="1:99" x14ac:dyDescent="0.25">
      <c r="A122" t="s">
        <v>214</v>
      </c>
      <c r="B122" s="2" t="s">
        <v>3</v>
      </c>
      <c r="C122" s="1">
        <v>12478</v>
      </c>
      <c r="D122" s="19">
        <v>156.32</v>
      </c>
      <c r="E122" s="18">
        <v>0</v>
      </c>
      <c r="F122" s="19">
        <v>0</v>
      </c>
      <c r="G122" s="19">
        <v>0</v>
      </c>
      <c r="H122" s="19">
        <v>0</v>
      </c>
      <c r="I122" s="19">
        <f>SUM(E122:H122)/Variables!$E$3</f>
        <v>0</v>
      </c>
      <c r="J122" s="4">
        <v>0</v>
      </c>
      <c r="K122">
        <v>3897</v>
      </c>
      <c r="L122">
        <v>45739</v>
      </c>
      <c r="M122">
        <v>0</v>
      </c>
      <c r="N122" s="6">
        <f>SUM(J122:M122)/Variables!$E$3</f>
        <v>3.9300390343549832E-2</v>
      </c>
      <c r="O122" s="4">
        <v>0</v>
      </c>
      <c r="P122">
        <v>0</v>
      </c>
      <c r="Q122">
        <v>0</v>
      </c>
      <c r="R122">
        <v>0</v>
      </c>
      <c r="S122" s="6">
        <f>SUM(O122:R122)/Variables!$E$3</f>
        <v>0</v>
      </c>
      <c r="T122" s="12">
        <v>0</v>
      </c>
      <c r="U122" s="6">
        <v>0</v>
      </c>
      <c r="V122" s="6">
        <v>5002</v>
      </c>
      <c r="W122" s="6">
        <v>0</v>
      </c>
      <c r="X122" s="6">
        <f>SUM(T122:W122)/Variables!$E$3</f>
        <v>3.9604430755587929E-3</v>
      </c>
      <c r="Y122" s="12">
        <v>0</v>
      </c>
      <c r="Z122" s="6">
        <v>0</v>
      </c>
      <c r="AA122" s="6">
        <v>4563.3</v>
      </c>
      <c r="AB122" s="6">
        <v>0</v>
      </c>
      <c r="AC122" s="6">
        <f>SUM(Y122:AB122)/Variables!$E$3</f>
        <v>3.6130927402433909E-3</v>
      </c>
      <c r="AD122" s="4">
        <v>0</v>
      </c>
      <c r="AE122" s="2">
        <v>0</v>
      </c>
      <c r="AF122" s="2">
        <v>0</v>
      </c>
      <c r="AG122" s="2">
        <v>0</v>
      </c>
      <c r="AH122" s="6">
        <f>SUM(AD122:AG122)/Variables!$E$3</f>
        <v>0</v>
      </c>
      <c r="AI122" s="4">
        <v>0</v>
      </c>
      <c r="AJ122" s="2">
        <v>0</v>
      </c>
      <c r="AK122" s="2">
        <v>0</v>
      </c>
      <c r="AL122" s="2">
        <v>0</v>
      </c>
      <c r="AM122" s="6">
        <f>SUM(AI122:AL122)/Variables!$E$3</f>
        <v>0</v>
      </c>
      <c r="AN122" s="4">
        <v>0</v>
      </c>
      <c r="AO122" s="2">
        <v>0</v>
      </c>
      <c r="AP122" s="2">
        <v>139.20000000000101</v>
      </c>
      <c r="AQ122" s="2">
        <v>0</v>
      </c>
      <c r="AR122" s="6">
        <f>SUM(AN122:AQ122)/Variables!$E$3</f>
        <v>1.1021464936381207E-4</v>
      </c>
      <c r="AS122" s="4">
        <v>0</v>
      </c>
      <c r="AT122" s="2">
        <v>0</v>
      </c>
      <c r="AU122" s="2">
        <v>5534.8</v>
      </c>
      <c r="AV122" s="2">
        <v>0</v>
      </c>
      <c r="AW122" s="6">
        <f>SUM(AS122:AV122)/Variables!$E$3</f>
        <v>4.382299147261657E-3</v>
      </c>
      <c r="AX122" s="4">
        <v>0</v>
      </c>
      <c r="AY122" s="2">
        <v>0</v>
      </c>
      <c r="AZ122" s="2">
        <v>2189.6999999999998</v>
      </c>
      <c r="BA122" s="2">
        <v>0</v>
      </c>
      <c r="BB122" s="6">
        <f>SUM(AX122:BA122)/Variables!$E$3</f>
        <v>1.7337429433328846E-3</v>
      </c>
      <c r="BC122" s="12">
        <f t="shared" si="29"/>
        <v>0</v>
      </c>
      <c r="BD122" s="110">
        <f t="shared" si="29"/>
        <v>0</v>
      </c>
      <c r="BE122" s="110">
        <f t="shared" si="29"/>
        <v>4563.3</v>
      </c>
      <c r="BF122" s="110">
        <f t="shared" si="29"/>
        <v>0</v>
      </c>
      <c r="BG122" s="6">
        <f>SUM(BC122:BF122)/Variables!$E$3</f>
        <v>3.6130927402433909E-3</v>
      </c>
      <c r="BH122" s="4">
        <v>0</v>
      </c>
      <c r="BI122">
        <v>0</v>
      </c>
      <c r="BJ122">
        <v>1155.2</v>
      </c>
      <c r="BK122">
        <v>0</v>
      </c>
      <c r="BL122" s="6">
        <f>SUM(BH122:BK122)/Variables!$E$3</f>
        <v>9.1465490621461777E-4</v>
      </c>
      <c r="BM122" s="110">
        <v>0</v>
      </c>
      <c r="BN122" s="110">
        <v>0</v>
      </c>
      <c r="BO122" s="110">
        <v>2261.6</v>
      </c>
      <c r="BP122" s="110">
        <v>0</v>
      </c>
      <c r="BQ122" s="6">
        <f>SUM(BM122:BP122)/Variables!$E$3</f>
        <v>1.7906713433993935E-3</v>
      </c>
      <c r="BS122" s="4">
        <v>120</v>
      </c>
      <c r="BT122" s="125">
        <f t="shared" si="16"/>
        <v>0</v>
      </c>
      <c r="BU122" s="125">
        <f t="shared" si="17"/>
        <v>0</v>
      </c>
      <c r="BV122" s="125">
        <f t="shared" si="18"/>
        <v>0</v>
      </c>
      <c r="BW122" s="125">
        <f t="shared" si="19"/>
        <v>0</v>
      </c>
      <c r="BX122" s="125">
        <f t="shared" si="20"/>
        <v>0</v>
      </c>
      <c r="BY122" s="125">
        <f t="shared" si="21"/>
        <v>0</v>
      </c>
      <c r="BZ122" s="125">
        <f t="shared" si="22"/>
        <v>0</v>
      </c>
      <c r="CA122" s="125">
        <f t="shared" si="23"/>
        <v>0</v>
      </c>
      <c r="CB122" s="125">
        <f t="shared" si="24"/>
        <v>0</v>
      </c>
      <c r="CC122" s="125">
        <f t="shared" si="25"/>
        <v>0</v>
      </c>
      <c r="CD122" s="125">
        <f t="shared" si="26"/>
        <v>0</v>
      </c>
      <c r="CE122" s="125">
        <f t="shared" si="27"/>
        <v>0</v>
      </c>
      <c r="CF122" s="126">
        <f t="shared" si="28"/>
        <v>0</v>
      </c>
      <c r="CH122" s="4">
        <v>120</v>
      </c>
      <c r="CI122" s="129">
        <v>0</v>
      </c>
      <c r="CJ122" s="125">
        <v>0</v>
      </c>
      <c r="CK122" s="125">
        <v>0</v>
      </c>
      <c r="CL122" s="125">
        <v>0</v>
      </c>
      <c r="CM122" s="125">
        <v>0</v>
      </c>
      <c r="CN122" s="125">
        <v>0</v>
      </c>
      <c r="CO122" s="125">
        <v>0</v>
      </c>
      <c r="CP122" s="125">
        <v>0</v>
      </c>
      <c r="CQ122" s="125">
        <v>0</v>
      </c>
      <c r="CR122" s="125">
        <v>0</v>
      </c>
      <c r="CS122" s="125">
        <v>0</v>
      </c>
      <c r="CT122" s="125">
        <v>0</v>
      </c>
      <c r="CU122" s="126">
        <v>0</v>
      </c>
    </row>
    <row r="123" spans="1:99" x14ac:dyDescent="0.25">
      <c r="A123" t="s">
        <v>214</v>
      </c>
      <c r="B123" s="2" t="s">
        <v>4</v>
      </c>
      <c r="C123" s="1">
        <v>12570</v>
      </c>
      <c r="D123" s="19">
        <v>0</v>
      </c>
      <c r="E123" s="18">
        <v>0</v>
      </c>
      <c r="F123" s="19">
        <v>0</v>
      </c>
      <c r="G123" s="19">
        <v>0</v>
      </c>
      <c r="H123" s="19">
        <v>0</v>
      </c>
      <c r="I123" s="19">
        <f>SUM(E123:H123)/Variables!$E$3</f>
        <v>0</v>
      </c>
      <c r="J123" s="4">
        <v>0</v>
      </c>
      <c r="K123">
        <v>0</v>
      </c>
      <c r="L123">
        <v>0</v>
      </c>
      <c r="M123">
        <v>0</v>
      </c>
      <c r="N123" s="6">
        <f>SUM(J123:M123)/Variables!$E$3</f>
        <v>0</v>
      </c>
      <c r="O123" s="4">
        <v>0</v>
      </c>
      <c r="P123">
        <v>0</v>
      </c>
      <c r="Q123">
        <v>0</v>
      </c>
      <c r="R123">
        <v>0</v>
      </c>
      <c r="S123" s="6">
        <f>SUM(O123:R123)/Variables!$E$3</f>
        <v>0</v>
      </c>
      <c r="T123" s="12">
        <v>0</v>
      </c>
      <c r="U123" s="6">
        <v>0</v>
      </c>
      <c r="V123" s="6">
        <v>0</v>
      </c>
      <c r="W123" s="6">
        <v>0</v>
      </c>
      <c r="X123" s="6">
        <f>SUM(T123:W123)/Variables!$E$3</f>
        <v>0</v>
      </c>
      <c r="Y123" s="12">
        <v>0</v>
      </c>
      <c r="Z123" s="6">
        <v>0</v>
      </c>
      <c r="AA123" s="6">
        <v>0</v>
      </c>
      <c r="AB123" s="6">
        <v>0</v>
      </c>
      <c r="AC123" s="6">
        <f>SUM(Y123:AB123)/Variables!$E$3</f>
        <v>0</v>
      </c>
      <c r="AD123" s="4">
        <v>0</v>
      </c>
      <c r="AE123" s="2">
        <v>0</v>
      </c>
      <c r="AF123" s="2">
        <v>0</v>
      </c>
      <c r="AG123" s="2">
        <v>0</v>
      </c>
      <c r="AH123" s="6">
        <f>SUM(AD123:AG123)/Variables!$E$3</f>
        <v>0</v>
      </c>
      <c r="AI123" s="4">
        <v>0</v>
      </c>
      <c r="AJ123" s="2">
        <v>0</v>
      </c>
      <c r="AK123" s="2">
        <v>0</v>
      </c>
      <c r="AL123" s="2">
        <v>0</v>
      </c>
      <c r="AM123" s="6">
        <f>SUM(AI123:AL123)/Variables!$E$3</f>
        <v>0</v>
      </c>
      <c r="AN123" s="4">
        <v>0</v>
      </c>
      <c r="AO123" s="2">
        <v>0</v>
      </c>
      <c r="AP123" s="2">
        <v>0</v>
      </c>
      <c r="AQ123" s="2">
        <v>0</v>
      </c>
      <c r="AR123" s="6">
        <f>SUM(AN123:AQ123)/Variables!$E$3</f>
        <v>0</v>
      </c>
      <c r="AS123" s="4">
        <v>0</v>
      </c>
      <c r="AT123" s="2">
        <v>0</v>
      </c>
      <c r="AU123" s="2">
        <v>0</v>
      </c>
      <c r="AV123" s="2">
        <v>0</v>
      </c>
      <c r="AW123" s="6">
        <f>SUM(AS123:AV123)/Variables!$E$3</f>
        <v>0</v>
      </c>
      <c r="AX123" s="4">
        <v>0</v>
      </c>
      <c r="AY123" s="2">
        <v>0</v>
      </c>
      <c r="AZ123" s="2">
        <v>0</v>
      </c>
      <c r="BA123" s="2">
        <v>0</v>
      </c>
      <c r="BB123" s="6">
        <f>SUM(AX123:BA123)/Variables!$E$3</f>
        <v>0</v>
      </c>
      <c r="BC123" s="12">
        <f t="shared" si="29"/>
        <v>0</v>
      </c>
      <c r="BD123" s="110">
        <f t="shared" si="29"/>
        <v>0</v>
      </c>
      <c r="BE123" s="110">
        <f t="shared" si="29"/>
        <v>0</v>
      </c>
      <c r="BF123" s="110">
        <f t="shared" si="29"/>
        <v>0</v>
      </c>
      <c r="BG123" s="6">
        <f>SUM(BC123:BF123)/Variables!$E$3</f>
        <v>0</v>
      </c>
      <c r="BH123" s="4">
        <v>0</v>
      </c>
      <c r="BI123">
        <v>0</v>
      </c>
      <c r="BJ123">
        <v>0</v>
      </c>
      <c r="BK123">
        <v>0</v>
      </c>
      <c r="BL123" s="6">
        <f>SUM(BH123:BK123)/Variables!$E$3</f>
        <v>0</v>
      </c>
      <c r="BM123" s="110">
        <v>0</v>
      </c>
      <c r="BN123" s="110">
        <v>0</v>
      </c>
      <c r="BO123" s="110">
        <v>0</v>
      </c>
      <c r="BP123" s="110">
        <v>0</v>
      </c>
      <c r="BQ123" s="6">
        <f>SUM(BM123:BP123)/Variables!$E$3</f>
        <v>0</v>
      </c>
      <c r="BS123" s="4">
        <v>121</v>
      </c>
      <c r="BT123" s="125">
        <f t="shared" si="16"/>
        <v>0</v>
      </c>
      <c r="BU123" s="125">
        <f t="shared" si="17"/>
        <v>0</v>
      </c>
      <c r="BV123" s="125">
        <f t="shared" si="18"/>
        <v>0</v>
      </c>
      <c r="BW123" s="125">
        <f t="shared" si="19"/>
        <v>0</v>
      </c>
      <c r="BX123" s="125">
        <f t="shared" si="20"/>
        <v>0</v>
      </c>
      <c r="BY123" s="125">
        <f t="shared" si="21"/>
        <v>0</v>
      </c>
      <c r="BZ123" s="125">
        <f t="shared" si="22"/>
        <v>0</v>
      </c>
      <c r="CA123" s="125">
        <f t="shared" si="23"/>
        <v>0</v>
      </c>
      <c r="CB123" s="125">
        <f t="shared" si="24"/>
        <v>0</v>
      </c>
      <c r="CC123" s="125">
        <f t="shared" si="25"/>
        <v>0</v>
      </c>
      <c r="CD123" s="125">
        <f t="shared" si="26"/>
        <v>0</v>
      </c>
      <c r="CE123" s="125">
        <f t="shared" si="27"/>
        <v>0</v>
      </c>
      <c r="CF123" s="126">
        <f t="shared" si="28"/>
        <v>0</v>
      </c>
      <c r="CH123" s="4">
        <v>121</v>
      </c>
      <c r="CI123" s="129">
        <v>0</v>
      </c>
      <c r="CJ123" s="125">
        <v>0</v>
      </c>
      <c r="CK123" s="125">
        <v>0</v>
      </c>
      <c r="CL123" s="125">
        <v>0</v>
      </c>
      <c r="CM123" s="125">
        <v>0</v>
      </c>
      <c r="CN123" s="125">
        <v>0</v>
      </c>
      <c r="CO123" s="125">
        <v>0</v>
      </c>
      <c r="CP123" s="125">
        <v>0</v>
      </c>
      <c r="CQ123" s="125">
        <v>0</v>
      </c>
      <c r="CR123" s="125">
        <v>0</v>
      </c>
      <c r="CS123" s="125">
        <v>0</v>
      </c>
      <c r="CT123" s="125">
        <v>0</v>
      </c>
      <c r="CU123" s="126">
        <v>0</v>
      </c>
    </row>
    <row r="124" spans="1:99" x14ac:dyDescent="0.25">
      <c r="A124" t="s">
        <v>214</v>
      </c>
      <c r="B124" s="2" t="s">
        <v>1</v>
      </c>
      <c r="C124" s="1">
        <v>12662</v>
      </c>
      <c r="D124" s="19">
        <v>67.39</v>
      </c>
      <c r="E124" s="18">
        <v>0</v>
      </c>
      <c r="F124" s="19">
        <v>0</v>
      </c>
      <c r="G124" s="19">
        <v>0</v>
      </c>
      <c r="H124" s="19">
        <v>0</v>
      </c>
      <c r="I124" s="19">
        <f>SUM(E124:H124)/Variables!$E$3</f>
        <v>0</v>
      </c>
      <c r="J124" s="4">
        <v>0</v>
      </c>
      <c r="K124">
        <v>0</v>
      </c>
      <c r="L124">
        <v>0</v>
      </c>
      <c r="M124">
        <v>0</v>
      </c>
      <c r="N124" s="6">
        <f>SUM(J124:M124)/Variables!$E$3</f>
        <v>0</v>
      </c>
      <c r="O124" s="4">
        <v>0</v>
      </c>
      <c r="P124">
        <v>0</v>
      </c>
      <c r="Q124">
        <v>0</v>
      </c>
      <c r="R124">
        <v>0</v>
      </c>
      <c r="S124" s="6">
        <f>SUM(O124:R124)/Variables!$E$3</f>
        <v>0</v>
      </c>
      <c r="T124" s="12">
        <v>0</v>
      </c>
      <c r="U124" s="6">
        <v>0</v>
      </c>
      <c r="V124" s="6">
        <v>0</v>
      </c>
      <c r="W124" s="6">
        <v>0</v>
      </c>
      <c r="X124" s="6">
        <f>SUM(T124:W124)/Variables!$E$3</f>
        <v>0</v>
      </c>
      <c r="Y124" s="12">
        <v>0</v>
      </c>
      <c r="Z124" s="6">
        <v>0</v>
      </c>
      <c r="AA124" s="6">
        <v>0</v>
      </c>
      <c r="AB124" s="6">
        <v>0</v>
      </c>
      <c r="AC124" s="6">
        <f>SUM(Y124:AB124)/Variables!$E$3</f>
        <v>0</v>
      </c>
      <c r="AD124" s="4">
        <v>0</v>
      </c>
      <c r="AE124" s="2">
        <v>0</v>
      </c>
      <c r="AF124" s="2">
        <v>0</v>
      </c>
      <c r="AG124" s="2">
        <v>0</v>
      </c>
      <c r="AH124" s="6">
        <f>SUM(AD124:AG124)/Variables!$E$3</f>
        <v>0</v>
      </c>
      <c r="AI124" s="4">
        <v>0</v>
      </c>
      <c r="AJ124" s="2">
        <v>0</v>
      </c>
      <c r="AK124" s="2">
        <v>0</v>
      </c>
      <c r="AL124" s="2">
        <v>0</v>
      </c>
      <c r="AM124" s="6">
        <f>SUM(AI124:AL124)/Variables!$E$3</f>
        <v>0</v>
      </c>
      <c r="AN124" s="4">
        <v>0</v>
      </c>
      <c r="AO124" s="2">
        <v>0</v>
      </c>
      <c r="AP124" s="2">
        <v>0</v>
      </c>
      <c r="AQ124" s="2">
        <v>0</v>
      </c>
      <c r="AR124" s="6">
        <f>SUM(AN124:AQ124)/Variables!$E$3</f>
        <v>0</v>
      </c>
      <c r="AS124" s="4">
        <v>0</v>
      </c>
      <c r="AT124" s="2">
        <v>0</v>
      </c>
      <c r="AU124" s="2">
        <v>0</v>
      </c>
      <c r="AV124" s="2">
        <v>0</v>
      </c>
      <c r="AW124" s="6">
        <f>SUM(AS124:AV124)/Variables!$E$3</f>
        <v>0</v>
      </c>
      <c r="AX124" s="4">
        <v>0</v>
      </c>
      <c r="AY124" s="2">
        <v>0</v>
      </c>
      <c r="AZ124" s="2">
        <v>0</v>
      </c>
      <c r="BA124" s="2">
        <v>0</v>
      </c>
      <c r="BB124" s="6">
        <f>SUM(AX124:BA124)/Variables!$E$3</f>
        <v>0</v>
      </c>
      <c r="BC124" s="12">
        <f t="shared" si="29"/>
        <v>0</v>
      </c>
      <c r="BD124" s="110">
        <f t="shared" si="29"/>
        <v>0</v>
      </c>
      <c r="BE124" s="110">
        <f t="shared" si="29"/>
        <v>0</v>
      </c>
      <c r="BF124" s="110">
        <f t="shared" si="29"/>
        <v>0</v>
      </c>
      <c r="BG124" s="6">
        <f>SUM(BC124:BF124)/Variables!$E$3</f>
        <v>0</v>
      </c>
      <c r="BH124" s="4">
        <v>0</v>
      </c>
      <c r="BI124">
        <v>0</v>
      </c>
      <c r="BJ124">
        <v>0</v>
      </c>
      <c r="BK124">
        <v>0</v>
      </c>
      <c r="BL124" s="6">
        <f>SUM(BH124:BK124)/Variables!$E$3</f>
        <v>0</v>
      </c>
      <c r="BM124" s="110">
        <v>0</v>
      </c>
      <c r="BN124" s="110">
        <v>0</v>
      </c>
      <c r="BO124" s="110">
        <v>0</v>
      </c>
      <c r="BP124" s="110">
        <v>0</v>
      </c>
      <c r="BQ124" s="6">
        <f>SUM(BM124:BP124)/Variables!$E$3</f>
        <v>0</v>
      </c>
      <c r="BS124" s="4">
        <v>122</v>
      </c>
      <c r="BT124" s="125">
        <f t="shared" si="16"/>
        <v>0</v>
      </c>
      <c r="BU124" s="125">
        <f t="shared" si="17"/>
        <v>0</v>
      </c>
      <c r="BV124" s="125">
        <f t="shared" si="18"/>
        <v>0</v>
      </c>
      <c r="BW124" s="125">
        <f t="shared" si="19"/>
        <v>0</v>
      </c>
      <c r="BX124" s="125">
        <f t="shared" si="20"/>
        <v>0</v>
      </c>
      <c r="BY124" s="125">
        <f t="shared" si="21"/>
        <v>0</v>
      </c>
      <c r="BZ124" s="125">
        <f t="shared" si="22"/>
        <v>0</v>
      </c>
      <c r="CA124" s="125">
        <f t="shared" si="23"/>
        <v>0</v>
      </c>
      <c r="CB124" s="125">
        <f t="shared" si="24"/>
        <v>0</v>
      </c>
      <c r="CC124" s="125">
        <f t="shared" si="25"/>
        <v>0</v>
      </c>
      <c r="CD124" s="125">
        <f t="shared" si="26"/>
        <v>0</v>
      </c>
      <c r="CE124" s="125">
        <f t="shared" si="27"/>
        <v>0</v>
      </c>
      <c r="CF124" s="126">
        <f t="shared" si="28"/>
        <v>0</v>
      </c>
      <c r="CH124" s="4">
        <v>122</v>
      </c>
      <c r="CI124" s="129">
        <v>0</v>
      </c>
      <c r="CJ124" s="125">
        <v>0</v>
      </c>
      <c r="CK124" s="125">
        <v>0</v>
      </c>
      <c r="CL124" s="125">
        <v>0</v>
      </c>
      <c r="CM124" s="125">
        <v>0</v>
      </c>
      <c r="CN124" s="125">
        <v>0</v>
      </c>
      <c r="CO124" s="125">
        <v>0</v>
      </c>
      <c r="CP124" s="125">
        <v>0</v>
      </c>
      <c r="CQ124" s="125">
        <v>0</v>
      </c>
      <c r="CR124" s="125">
        <v>0</v>
      </c>
      <c r="CS124" s="125">
        <v>0</v>
      </c>
      <c r="CT124" s="125">
        <v>0</v>
      </c>
      <c r="CU124" s="126">
        <v>0</v>
      </c>
    </row>
    <row r="125" spans="1:99" x14ac:dyDescent="0.25">
      <c r="A125" t="s">
        <v>214</v>
      </c>
      <c r="B125" s="2" t="s">
        <v>2</v>
      </c>
      <c r="C125" s="1">
        <v>12753</v>
      </c>
      <c r="D125" s="19">
        <v>167.44</v>
      </c>
      <c r="E125" s="18">
        <v>0</v>
      </c>
      <c r="F125" s="19">
        <v>0</v>
      </c>
      <c r="G125" s="19">
        <v>0</v>
      </c>
      <c r="H125" s="19">
        <v>0</v>
      </c>
      <c r="I125" s="19">
        <f>SUM(E125:H125)/Variables!$E$3</f>
        <v>0</v>
      </c>
      <c r="J125" s="4">
        <v>0</v>
      </c>
      <c r="K125">
        <v>0</v>
      </c>
      <c r="L125">
        <v>0</v>
      </c>
      <c r="M125">
        <v>0</v>
      </c>
      <c r="N125" s="6">
        <f>SUM(J125:M125)/Variables!$E$3</f>
        <v>0</v>
      </c>
      <c r="O125" s="4">
        <v>0</v>
      </c>
      <c r="P125">
        <v>0</v>
      </c>
      <c r="Q125">
        <v>0</v>
      </c>
      <c r="R125">
        <v>0</v>
      </c>
      <c r="S125" s="6">
        <f>SUM(O125:R125)/Variables!$E$3</f>
        <v>0</v>
      </c>
      <c r="T125" s="12">
        <v>0</v>
      </c>
      <c r="U125" s="6">
        <v>0</v>
      </c>
      <c r="V125" s="6">
        <v>0</v>
      </c>
      <c r="W125" s="6">
        <v>0</v>
      </c>
      <c r="X125" s="6">
        <f>SUM(T125:W125)/Variables!$E$3</f>
        <v>0</v>
      </c>
      <c r="Y125" s="12">
        <v>0</v>
      </c>
      <c r="Z125" s="6">
        <v>0</v>
      </c>
      <c r="AA125" s="6">
        <v>0</v>
      </c>
      <c r="AB125" s="6">
        <v>0</v>
      </c>
      <c r="AC125" s="6">
        <f>SUM(Y125:AB125)/Variables!$E$3</f>
        <v>0</v>
      </c>
      <c r="AD125" s="4">
        <v>0</v>
      </c>
      <c r="AE125" s="2">
        <v>0</v>
      </c>
      <c r="AF125" s="2">
        <v>0</v>
      </c>
      <c r="AG125" s="2">
        <v>0</v>
      </c>
      <c r="AH125" s="6">
        <f>SUM(AD125:AG125)/Variables!$E$3</f>
        <v>0</v>
      </c>
      <c r="AI125" s="4">
        <v>0</v>
      </c>
      <c r="AJ125" s="2">
        <v>0</v>
      </c>
      <c r="AK125" s="2">
        <v>0</v>
      </c>
      <c r="AL125" s="2">
        <v>0</v>
      </c>
      <c r="AM125" s="6">
        <f>SUM(AI125:AL125)/Variables!$E$3</f>
        <v>0</v>
      </c>
      <c r="AN125" s="4">
        <v>0</v>
      </c>
      <c r="AO125" s="2">
        <v>0</v>
      </c>
      <c r="AP125" s="2">
        <v>0</v>
      </c>
      <c r="AQ125" s="2">
        <v>0</v>
      </c>
      <c r="AR125" s="6">
        <f>SUM(AN125:AQ125)/Variables!$E$3</f>
        <v>0</v>
      </c>
      <c r="AS125" s="4">
        <v>0</v>
      </c>
      <c r="AT125" s="2">
        <v>0</v>
      </c>
      <c r="AU125" s="2">
        <v>0</v>
      </c>
      <c r="AV125" s="2">
        <v>0</v>
      </c>
      <c r="AW125" s="6">
        <f>SUM(AS125:AV125)/Variables!$E$3</f>
        <v>0</v>
      </c>
      <c r="AX125" s="4">
        <v>0</v>
      </c>
      <c r="AY125" s="2">
        <v>0</v>
      </c>
      <c r="AZ125" s="2">
        <v>0</v>
      </c>
      <c r="BA125" s="2">
        <v>0</v>
      </c>
      <c r="BB125" s="6">
        <f>SUM(AX125:BA125)/Variables!$E$3</f>
        <v>0</v>
      </c>
      <c r="BC125" s="12">
        <f t="shared" si="29"/>
        <v>0</v>
      </c>
      <c r="BD125" s="110">
        <f t="shared" si="29"/>
        <v>0</v>
      </c>
      <c r="BE125" s="110">
        <f t="shared" si="29"/>
        <v>0</v>
      </c>
      <c r="BF125" s="110">
        <f t="shared" si="29"/>
        <v>0</v>
      </c>
      <c r="BG125" s="6">
        <f>SUM(BC125:BF125)/Variables!$E$3</f>
        <v>0</v>
      </c>
      <c r="BH125" s="4">
        <v>0</v>
      </c>
      <c r="BI125">
        <v>0</v>
      </c>
      <c r="BJ125">
        <v>0</v>
      </c>
      <c r="BK125">
        <v>0</v>
      </c>
      <c r="BL125" s="6">
        <f>SUM(BH125:BK125)/Variables!$E$3</f>
        <v>0</v>
      </c>
      <c r="BM125" s="110">
        <v>0</v>
      </c>
      <c r="BN125" s="110">
        <v>0</v>
      </c>
      <c r="BO125" s="110">
        <v>0</v>
      </c>
      <c r="BP125" s="110">
        <v>0</v>
      </c>
      <c r="BQ125" s="6">
        <f>SUM(BM125:BP125)/Variables!$E$3</f>
        <v>0</v>
      </c>
      <c r="BS125" s="4">
        <v>123</v>
      </c>
      <c r="BT125" s="125">
        <f t="shared" si="16"/>
        <v>0</v>
      </c>
      <c r="BU125" s="125">
        <f t="shared" si="17"/>
        <v>0.12680781320517184</v>
      </c>
      <c r="BV125" s="125">
        <f t="shared" si="18"/>
        <v>0</v>
      </c>
      <c r="BW125" s="125">
        <f t="shared" si="19"/>
        <v>9.2781415529814178E-3</v>
      </c>
      <c r="BX125" s="125">
        <f t="shared" si="20"/>
        <v>8.2524010483060045E-3</v>
      </c>
      <c r="BY125" s="125">
        <f t="shared" si="21"/>
        <v>0</v>
      </c>
      <c r="BZ125" s="125">
        <f t="shared" si="22"/>
        <v>9.2098908146541144E-4</v>
      </c>
      <c r="CA125" s="125">
        <f t="shared" si="23"/>
        <v>1.2919342195900204E-3</v>
      </c>
      <c r="CB125" s="125">
        <f t="shared" si="24"/>
        <v>1.0879104347619538E-2</v>
      </c>
      <c r="CC125" s="125">
        <f t="shared" si="25"/>
        <v>3.9817417398395867E-3</v>
      </c>
      <c r="CD125" s="125">
        <f t="shared" si="26"/>
        <v>8.2524010483060045E-3</v>
      </c>
      <c r="CE125" s="125">
        <f t="shared" si="27"/>
        <v>2.0650994861400327E-3</v>
      </c>
      <c r="CF125" s="126">
        <f t="shared" si="28"/>
        <v>3.6245734328854543E-3</v>
      </c>
      <c r="CH125" s="4">
        <v>123</v>
      </c>
      <c r="CI125" s="129">
        <v>0</v>
      </c>
      <c r="CJ125" s="125">
        <v>0</v>
      </c>
      <c r="CK125" s="125">
        <v>0</v>
      </c>
      <c r="CL125" s="125">
        <v>0</v>
      </c>
      <c r="CM125" s="125">
        <v>0</v>
      </c>
      <c r="CN125" s="125">
        <v>0</v>
      </c>
      <c r="CO125" s="125">
        <v>0</v>
      </c>
      <c r="CP125" s="125">
        <v>0</v>
      </c>
      <c r="CQ125" s="125">
        <v>0</v>
      </c>
      <c r="CR125" s="125">
        <v>0</v>
      </c>
      <c r="CS125" s="125">
        <v>0</v>
      </c>
      <c r="CT125" s="125">
        <v>0</v>
      </c>
      <c r="CU125" s="126">
        <v>0</v>
      </c>
    </row>
    <row r="126" spans="1:99" x14ac:dyDescent="0.25">
      <c r="A126" t="s">
        <v>215</v>
      </c>
      <c r="B126" s="2" t="s">
        <v>3</v>
      </c>
      <c r="C126" s="1">
        <v>12843</v>
      </c>
      <c r="D126" s="19">
        <v>32.1228571428571</v>
      </c>
      <c r="E126" s="18">
        <v>0</v>
      </c>
      <c r="F126" s="19">
        <v>0</v>
      </c>
      <c r="G126" s="19">
        <v>0</v>
      </c>
      <c r="H126" s="19">
        <v>0</v>
      </c>
      <c r="I126" s="19">
        <f>SUM(E126:H126)/Variables!$E$3</f>
        <v>0</v>
      </c>
      <c r="J126" s="4">
        <v>0</v>
      </c>
      <c r="K126">
        <v>0</v>
      </c>
      <c r="L126">
        <v>160157</v>
      </c>
      <c r="M126">
        <v>0</v>
      </c>
      <c r="N126" s="6">
        <f>SUM(J126:M126)/Variables!$E$3</f>
        <v>0.12680781320517184</v>
      </c>
      <c r="O126" s="4">
        <v>0</v>
      </c>
      <c r="P126">
        <v>0</v>
      </c>
      <c r="Q126">
        <v>0</v>
      </c>
      <c r="R126">
        <v>0</v>
      </c>
      <c r="S126" s="6">
        <f>SUM(O126:R126)/Variables!$E$3</f>
        <v>0</v>
      </c>
      <c r="T126" s="12">
        <v>0</v>
      </c>
      <c r="U126" s="6">
        <v>0</v>
      </c>
      <c r="V126" s="6">
        <v>11718.2</v>
      </c>
      <c r="W126" s="6">
        <v>0</v>
      </c>
      <c r="X126" s="6">
        <f>SUM(T126:W126)/Variables!$E$3</f>
        <v>9.2781415529814178E-3</v>
      </c>
      <c r="Y126" s="12">
        <v>0</v>
      </c>
      <c r="Z126" s="6">
        <v>0</v>
      </c>
      <c r="AA126" s="6">
        <v>10422.700000000001</v>
      </c>
      <c r="AB126" s="6">
        <v>0</v>
      </c>
      <c r="AC126" s="6">
        <f>SUM(Y126:AB126)/Variables!$E$3</f>
        <v>8.2524010483060045E-3</v>
      </c>
      <c r="AD126" s="4">
        <v>0</v>
      </c>
      <c r="AE126" s="2">
        <v>0</v>
      </c>
      <c r="AF126" s="2">
        <v>0</v>
      </c>
      <c r="AG126" s="2">
        <v>0</v>
      </c>
      <c r="AH126" s="6">
        <f>SUM(AD126:AG126)/Variables!$E$3</f>
        <v>0</v>
      </c>
      <c r="AI126" s="4">
        <v>0</v>
      </c>
      <c r="AJ126" s="2">
        <v>0</v>
      </c>
      <c r="AK126" s="2">
        <v>1163.2</v>
      </c>
      <c r="AL126" s="2">
        <v>0</v>
      </c>
      <c r="AM126" s="6">
        <f>SUM(AI126:AL126)/Variables!$E$3</f>
        <v>9.2098908146541144E-4</v>
      </c>
      <c r="AN126" s="4">
        <v>0</v>
      </c>
      <c r="AO126" s="2">
        <v>0</v>
      </c>
      <c r="AP126" s="2">
        <v>1631.7</v>
      </c>
      <c r="AQ126" s="2">
        <v>0</v>
      </c>
      <c r="AR126" s="6">
        <f>SUM(AN126:AQ126)/Variables!$E$3</f>
        <v>1.2919342195900204E-3</v>
      </c>
      <c r="AS126" s="4">
        <v>0</v>
      </c>
      <c r="AT126" s="2">
        <v>0</v>
      </c>
      <c r="AU126" s="2">
        <v>13740.2</v>
      </c>
      <c r="AV126" s="2">
        <v>0</v>
      </c>
      <c r="AW126" s="6">
        <f>SUM(AS126:AV126)/Variables!$E$3</f>
        <v>1.0879104347619538E-2</v>
      </c>
      <c r="AX126" s="4">
        <v>0</v>
      </c>
      <c r="AY126" s="2">
        <v>0</v>
      </c>
      <c r="AZ126" s="2">
        <v>5028.8999999999996</v>
      </c>
      <c r="BA126" s="2">
        <v>0</v>
      </c>
      <c r="BB126" s="6">
        <f>SUM(AX126:BA126)/Variables!$E$3</f>
        <v>3.9817417398395867E-3</v>
      </c>
      <c r="BC126" s="12">
        <f t="shared" si="29"/>
        <v>0</v>
      </c>
      <c r="BD126" s="110">
        <f t="shared" si="29"/>
        <v>0</v>
      </c>
      <c r="BE126" s="110">
        <f t="shared" si="29"/>
        <v>10422.700000000001</v>
      </c>
      <c r="BF126" s="110">
        <f t="shared" si="29"/>
        <v>0</v>
      </c>
      <c r="BG126" s="6">
        <f>SUM(BC126:BF126)/Variables!$E$3</f>
        <v>8.2524010483060045E-3</v>
      </c>
      <c r="BH126" s="4">
        <v>0</v>
      </c>
      <c r="BI126">
        <v>0</v>
      </c>
      <c r="BJ126">
        <v>2608.1999999999998</v>
      </c>
      <c r="BK126">
        <v>0</v>
      </c>
      <c r="BL126" s="6">
        <f>SUM(BH126:BK126)/Variables!$E$3</f>
        <v>2.0650994861400327E-3</v>
      </c>
      <c r="BM126" s="110">
        <v>0</v>
      </c>
      <c r="BN126" s="110">
        <v>0</v>
      </c>
      <c r="BO126" s="110">
        <v>4577.8</v>
      </c>
      <c r="BP126" s="110">
        <v>0</v>
      </c>
      <c r="BQ126" s="6">
        <f>SUM(BM126:BP126)/Variables!$E$3</f>
        <v>3.6245734328854543E-3</v>
      </c>
      <c r="BS126" s="4">
        <v>124</v>
      </c>
      <c r="BT126" s="125">
        <f t="shared" si="16"/>
        <v>0</v>
      </c>
      <c r="BU126" s="125">
        <f t="shared" si="17"/>
        <v>0</v>
      </c>
      <c r="BV126" s="125">
        <f t="shared" si="18"/>
        <v>0</v>
      </c>
      <c r="BW126" s="125">
        <f t="shared" si="19"/>
        <v>0</v>
      </c>
      <c r="BX126" s="125">
        <f t="shared" si="20"/>
        <v>0</v>
      </c>
      <c r="BY126" s="125">
        <f t="shared" si="21"/>
        <v>0</v>
      </c>
      <c r="BZ126" s="125">
        <f t="shared" si="22"/>
        <v>0</v>
      </c>
      <c r="CA126" s="125">
        <f t="shared" si="23"/>
        <v>0</v>
      </c>
      <c r="CB126" s="125">
        <f t="shared" si="24"/>
        <v>0</v>
      </c>
      <c r="CC126" s="125">
        <f t="shared" si="25"/>
        <v>0</v>
      </c>
      <c r="CD126" s="125">
        <f t="shared" si="26"/>
        <v>0</v>
      </c>
      <c r="CE126" s="125">
        <f t="shared" si="27"/>
        <v>0</v>
      </c>
      <c r="CF126" s="126">
        <f t="shared" si="28"/>
        <v>0</v>
      </c>
      <c r="CH126" s="4">
        <v>124</v>
      </c>
      <c r="CI126" s="129">
        <v>0</v>
      </c>
      <c r="CJ126" s="125">
        <v>0</v>
      </c>
      <c r="CK126" s="125">
        <v>0</v>
      </c>
      <c r="CL126" s="125">
        <v>0</v>
      </c>
      <c r="CM126" s="125">
        <v>0</v>
      </c>
      <c r="CN126" s="125">
        <v>0</v>
      </c>
      <c r="CO126" s="125">
        <v>0</v>
      </c>
      <c r="CP126" s="125">
        <v>0</v>
      </c>
      <c r="CQ126" s="125">
        <v>0</v>
      </c>
      <c r="CR126" s="125">
        <v>0</v>
      </c>
      <c r="CS126" s="125">
        <v>0</v>
      </c>
      <c r="CT126" s="125">
        <v>0</v>
      </c>
      <c r="CU126" s="126">
        <v>0</v>
      </c>
    </row>
    <row r="127" spans="1:99" x14ac:dyDescent="0.25">
      <c r="A127" t="s">
        <v>215</v>
      </c>
      <c r="B127" s="2" t="s">
        <v>4</v>
      </c>
      <c r="C127" s="1">
        <v>12935</v>
      </c>
      <c r="D127" s="19">
        <v>0</v>
      </c>
      <c r="E127" s="18">
        <v>0</v>
      </c>
      <c r="F127" s="19">
        <v>0</v>
      </c>
      <c r="G127" s="19">
        <v>0</v>
      </c>
      <c r="H127" s="19">
        <v>0</v>
      </c>
      <c r="I127" s="19">
        <f>SUM(E127:H127)/Variables!$E$3</f>
        <v>0</v>
      </c>
      <c r="J127" s="4">
        <v>0</v>
      </c>
      <c r="K127">
        <v>0</v>
      </c>
      <c r="L127">
        <v>0</v>
      </c>
      <c r="M127">
        <v>0</v>
      </c>
      <c r="N127" s="6">
        <f>SUM(J127:M127)/Variables!$E$3</f>
        <v>0</v>
      </c>
      <c r="O127" s="4">
        <v>0</v>
      </c>
      <c r="P127">
        <v>0</v>
      </c>
      <c r="Q127">
        <v>0</v>
      </c>
      <c r="R127">
        <v>0</v>
      </c>
      <c r="S127" s="6">
        <f>SUM(O127:R127)/Variables!$E$3</f>
        <v>0</v>
      </c>
      <c r="T127" s="12">
        <v>0</v>
      </c>
      <c r="U127" s="6">
        <v>0</v>
      </c>
      <c r="V127" s="6">
        <v>0</v>
      </c>
      <c r="W127" s="6">
        <v>0</v>
      </c>
      <c r="X127" s="6">
        <f>SUM(T127:W127)/Variables!$E$3</f>
        <v>0</v>
      </c>
      <c r="Y127" s="12">
        <v>0</v>
      </c>
      <c r="Z127" s="6">
        <v>0</v>
      </c>
      <c r="AA127" s="6">
        <v>0</v>
      </c>
      <c r="AB127" s="6">
        <v>0</v>
      </c>
      <c r="AC127" s="6">
        <f>SUM(Y127:AB127)/Variables!$E$3</f>
        <v>0</v>
      </c>
      <c r="AD127" s="4">
        <v>0</v>
      </c>
      <c r="AE127" s="2">
        <v>0</v>
      </c>
      <c r="AF127" s="2">
        <v>0</v>
      </c>
      <c r="AG127" s="2">
        <v>0</v>
      </c>
      <c r="AH127" s="6">
        <f>SUM(AD127:AG127)/Variables!$E$3</f>
        <v>0</v>
      </c>
      <c r="AI127" s="4">
        <v>0</v>
      </c>
      <c r="AJ127" s="2">
        <v>0</v>
      </c>
      <c r="AK127" s="2">
        <v>0</v>
      </c>
      <c r="AL127" s="2">
        <v>0</v>
      </c>
      <c r="AM127" s="6">
        <f>SUM(AI127:AL127)/Variables!$E$3</f>
        <v>0</v>
      </c>
      <c r="AN127" s="4">
        <v>0</v>
      </c>
      <c r="AO127" s="2">
        <v>0</v>
      </c>
      <c r="AP127" s="2">
        <v>0</v>
      </c>
      <c r="AQ127" s="2">
        <v>0</v>
      </c>
      <c r="AR127" s="6">
        <f>SUM(AN127:AQ127)/Variables!$E$3</f>
        <v>0</v>
      </c>
      <c r="AS127" s="4">
        <v>0</v>
      </c>
      <c r="AT127" s="2">
        <v>0</v>
      </c>
      <c r="AU127" s="2">
        <v>0</v>
      </c>
      <c r="AV127" s="2">
        <v>0</v>
      </c>
      <c r="AW127" s="6">
        <f>SUM(AS127:AV127)/Variables!$E$3</f>
        <v>0</v>
      </c>
      <c r="AX127" s="4">
        <v>0</v>
      </c>
      <c r="AY127" s="2">
        <v>0</v>
      </c>
      <c r="AZ127" s="2">
        <v>0</v>
      </c>
      <c r="BA127" s="2">
        <v>0</v>
      </c>
      <c r="BB127" s="6">
        <f>SUM(AX127:BA127)/Variables!$E$3</f>
        <v>0</v>
      </c>
      <c r="BC127" s="12">
        <f t="shared" si="29"/>
        <v>0</v>
      </c>
      <c r="BD127" s="110">
        <f t="shared" si="29"/>
        <v>0</v>
      </c>
      <c r="BE127" s="110">
        <f t="shared" si="29"/>
        <v>0</v>
      </c>
      <c r="BF127" s="110">
        <f t="shared" si="29"/>
        <v>0</v>
      </c>
      <c r="BG127" s="6">
        <f>SUM(BC127:BF127)/Variables!$E$3</f>
        <v>0</v>
      </c>
      <c r="BH127" s="4">
        <v>0</v>
      </c>
      <c r="BI127">
        <v>0</v>
      </c>
      <c r="BJ127">
        <v>0</v>
      </c>
      <c r="BK127">
        <v>0</v>
      </c>
      <c r="BL127" s="6">
        <f>SUM(BH127:BK127)/Variables!$E$3</f>
        <v>0</v>
      </c>
      <c r="BM127" s="110">
        <v>0</v>
      </c>
      <c r="BN127" s="110">
        <v>0</v>
      </c>
      <c r="BO127" s="110">
        <v>0</v>
      </c>
      <c r="BP127" s="110">
        <v>0</v>
      </c>
      <c r="BQ127" s="6">
        <f>SUM(BM127:BP127)/Variables!$E$3</f>
        <v>0</v>
      </c>
      <c r="BS127" s="4">
        <v>125</v>
      </c>
      <c r="BT127" s="125">
        <f t="shared" si="16"/>
        <v>0</v>
      </c>
      <c r="BU127" s="125">
        <f t="shared" si="17"/>
        <v>0</v>
      </c>
      <c r="BV127" s="125">
        <f t="shared" si="18"/>
        <v>0</v>
      </c>
      <c r="BW127" s="125">
        <f t="shared" si="19"/>
        <v>0</v>
      </c>
      <c r="BX127" s="125">
        <f t="shared" si="20"/>
        <v>0</v>
      </c>
      <c r="BY127" s="125">
        <f t="shared" si="21"/>
        <v>0</v>
      </c>
      <c r="BZ127" s="125">
        <f t="shared" si="22"/>
        <v>0</v>
      </c>
      <c r="CA127" s="125">
        <f t="shared" si="23"/>
        <v>0</v>
      </c>
      <c r="CB127" s="125">
        <f t="shared" si="24"/>
        <v>0</v>
      </c>
      <c r="CC127" s="125">
        <f t="shared" si="25"/>
        <v>0</v>
      </c>
      <c r="CD127" s="125">
        <f t="shared" si="26"/>
        <v>0</v>
      </c>
      <c r="CE127" s="125">
        <f t="shared" si="27"/>
        <v>0</v>
      </c>
      <c r="CF127" s="126">
        <f t="shared" si="28"/>
        <v>0</v>
      </c>
      <c r="CH127" s="4">
        <v>125</v>
      </c>
      <c r="CI127" s="129">
        <v>0</v>
      </c>
      <c r="CJ127" s="125">
        <v>0</v>
      </c>
      <c r="CK127" s="125">
        <v>0</v>
      </c>
      <c r="CL127" s="125">
        <v>0</v>
      </c>
      <c r="CM127" s="125">
        <v>0</v>
      </c>
      <c r="CN127" s="125">
        <v>0</v>
      </c>
      <c r="CO127" s="125">
        <v>0</v>
      </c>
      <c r="CP127" s="125">
        <v>0</v>
      </c>
      <c r="CQ127" s="125">
        <v>0</v>
      </c>
      <c r="CR127" s="125">
        <v>0</v>
      </c>
      <c r="CS127" s="125">
        <v>0</v>
      </c>
      <c r="CT127" s="125">
        <v>0</v>
      </c>
      <c r="CU127" s="126">
        <v>0</v>
      </c>
    </row>
    <row r="128" spans="1:99" x14ac:dyDescent="0.25">
      <c r="A128" t="s">
        <v>215</v>
      </c>
      <c r="B128" s="2" t="s">
        <v>1</v>
      </c>
      <c r="C128" s="1">
        <v>13027</v>
      </c>
      <c r="D128" s="19">
        <v>28.54</v>
      </c>
      <c r="E128" s="18">
        <v>0</v>
      </c>
      <c r="F128" s="19">
        <v>0</v>
      </c>
      <c r="G128" s="19">
        <v>0</v>
      </c>
      <c r="H128" s="19">
        <v>0</v>
      </c>
      <c r="I128" s="19">
        <f>SUM(E128:H128)/Variables!$E$3</f>
        <v>0</v>
      </c>
      <c r="J128" s="4">
        <v>0</v>
      </c>
      <c r="K128">
        <v>0</v>
      </c>
      <c r="L128">
        <v>0</v>
      </c>
      <c r="M128">
        <v>0</v>
      </c>
      <c r="N128" s="6">
        <f>SUM(J128:M128)/Variables!$E$3</f>
        <v>0</v>
      </c>
      <c r="O128" s="4">
        <v>0</v>
      </c>
      <c r="P128">
        <v>0</v>
      </c>
      <c r="Q128">
        <v>0</v>
      </c>
      <c r="R128">
        <v>0</v>
      </c>
      <c r="S128" s="6">
        <f>SUM(O128:R128)/Variables!$E$3</f>
        <v>0</v>
      </c>
      <c r="T128" s="12">
        <v>0</v>
      </c>
      <c r="U128" s="6">
        <v>0</v>
      </c>
      <c r="V128" s="6">
        <v>0</v>
      </c>
      <c r="W128" s="6">
        <v>0</v>
      </c>
      <c r="X128" s="6">
        <f>SUM(T128:W128)/Variables!$E$3</f>
        <v>0</v>
      </c>
      <c r="Y128" s="12">
        <v>0</v>
      </c>
      <c r="Z128" s="6">
        <v>0</v>
      </c>
      <c r="AA128" s="6">
        <v>0</v>
      </c>
      <c r="AB128" s="6">
        <v>0</v>
      </c>
      <c r="AC128" s="6">
        <f>SUM(Y128:AB128)/Variables!$E$3</f>
        <v>0</v>
      </c>
      <c r="AD128" s="4">
        <v>0</v>
      </c>
      <c r="AE128" s="2">
        <v>0</v>
      </c>
      <c r="AF128" s="2">
        <v>0</v>
      </c>
      <c r="AG128" s="2">
        <v>0</v>
      </c>
      <c r="AH128" s="6">
        <f>SUM(AD128:AG128)/Variables!$E$3</f>
        <v>0</v>
      </c>
      <c r="AI128" s="4">
        <v>0</v>
      </c>
      <c r="AJ128" s="2">
        <v>0</v>
      </c>
      <c r="AK128" s="2">
        <v>0</v>
      </c>
      <c r="AL128" s="2">
        <v>0</v>
      </c>
      <c r="AM128" s="6">
        <f>SUM(AI128:AL128)/Variables!$E$3</f>
        <v>0</v>
      </c>
      <c r="AN128" s="4">
        <v>0</v>
      </c>
      <c r="AO128" s="2">
        <v>0</v>
      </c>
      <c r="AP128" s="2">
        <v>0</v>
      </c>
      <c r="AQ128" s="2">
        <v>0</v>
      </c>
      <c r="AR128" s="6">
        <f>SUM(AN128:AQ128)/Variables!$E$3</f>
        <v>0</v>
      </c>
      <c r="AS128" s="4">
        <v>0</v>
      </c>
      <c r="AT128" s="2">
        <v>0</v>
      </c>
      <c r="AU128" s="2">
        <v>0</v>
      </c>
      <c r="AV128" s="2">
        <v>0</v>
      </c>
      <c r="AW128" s="6">
        <f>SUM(AS128:AV128)/Variables!$E$3</f>
        <v>0</v>
      </c>
      <c r="AX128" s="4">
        <v>0</v>
      </c>
      <c r="AY128" s="2">
        <v>0</v>
      </c>
      <c r="AZ128" s="2">
        <v>0</v>
      </c>
      <c r="BA128" s="2">
        <v>0</v>
      </c>
      <c r="BB128" s="6">
        <f>SUM(AX128:BA128)/Variables!$E$3</f>
        <v>0</v>
      </c>
      <c r="BC128" s="12">
        <f t="shared" si="29"/>
        <v>0</v>
      </c>
      <c r="BD128" s="110">
        <f t="shared" si="29"/>
        <v>0</v>
      </c>
      <c r="BE128" s="110">
        <f t="shared" si="29"/>
        <v>0</v>
      </c>
      <c r="BF128" s="110">
        <f t="shared" si="29"/>
        <v>0</v>
      </c>
      <c r="BG128" s="6">
        <f>SUM(BC128:BF128)/Variables!$E$3</f>
        <v>0</v>
      </c>
      <c r="BH128" s="4">
        <v>0</v>
      </c>
      <c r="BI128">
        <v>0</v>
      </c>
      <c r="BJ128">
        <v>0</v>
      </c>
      <c r="BK128">
        <v>0</v>
      </c>
      <c r="BL128" s="6">
        <f>SUM(BH128:BK128)/Variables!$E$3</f>
        <v>0</v>
      </c>
      <c r="BM128" s="110">
        <v>0</v>
      </c>
      <c r="BN128" s="110">
        <v>0</v>
      </c>
      <c r="BO128" s="110">
        <v>0</v>
      </c>
      <c r="BP128" s="110">
        <v>0</v>
      </c>
      <c r="BQ128" s="6">
        <f>SUM(BM128:BP128)/Variables!$E$3</f>
        <v>0</v>
      </c>
      <c r="BS128" s="4">
        <v>126</v>
      </c>
      <c r="BT128" s="125">
        <f t="shared" si="16"/>
        <v>0</v>
      </c>
      <c r="BU128" s="125">
        <f t="shared" si="17"/>
        <v>0</v>
      </c>
      <c r="BV128" s="125">
        <f t="shared" si="18"/>
        <v>0</v>
      </c>
      <c r="BW128" s="125">
        <f t="shared" si="19"/>
        <v>0</v>
      </c>
      <c r="BX128" s="125">
        <f t="shared" si="20"/>
        <v>0</v>
      </c>
      <c r="BY128" s="125">
        <f t="shared" si="21"/>
        <v>0</v>
      </c>
      <c r="BZ128" s="125">
        <f t="shared" si="22"/>
        <v>0</v>
      </c>
      <c r="CA128" s="125">
        <f t="shared" si="23"/>
        <v>0</v>
      </c>
      <c r="CB128" s="125">
        <f t="shared" si="24"/>
        <v>0</v>
      </c>
      <c r="CC128" s="125">
        <f t="shared" si="25"/>
        <v>0</v>
      </c>
      <c r="CD128" s="125">
        <f t="shared" si="26"/>
        <v>0</v>
      </c>
      <c r="CE128" s="125">
        <f t="shared" si="27"/>
        <v>0</v>
      </c>
      <c r="CF128" s="126">
        <f t="shared" si="28"/>
        <v>0</v>
      </c>
      <c r="CH128" s="4">
        <v>126</v>
      </c>
      <c r="CI128" s="129">
        <v>0</v>
      </c>
      <c r="CJ128" s="125">
        <v>0</v>
      </c>
      <c r="CK128" s="125">
        <v>0</v>
      </c>
      <c r="CL128" s="125">
        <v>0</v>
      </c>
      <c r="CM128" s="125">
        <v>0</v>
      </c>
      <c r="CN128" s="125">
        <v>0</v>
      </c>
      <c r="CO128" s="125">
        <v>0</v>
      </c>
      <c r="CP128" s="125">
        <v>0</v>
      </c>
      <c r="CQ128" s="125">
        <v>0</v>
      </c>
      <c r="CR128" s="125">
        <v>0</v>
      </c>
      <c r="CS128" s="125">
        <v>0</v>
      </c>
      <c r="CT128" s="125">
        <v>0</v>
      </c>
      <c r="CU128" s="126">
        <v>0</v>
      </c>
    </row>
    <row r="129" spans="1:99" x14ac:dyDescent="0.25">
      <c r="A129" t="s">
        <v>215</v>
      </c>
      <c r="B129" s="2" t="s">
        <v>2</v>
      </c>
      <c r="C129" s="1">
        <v>13118</v>
      </c>
      <c r="D129" s="19">
        <v>54.52</v>
      </c>
      <c r="E129" s="18">
        <v>0</v>
      </c>
      <c r="F129" s="19">
        <v>0</v>
      </c>
      <c r="G129" s="19">
        <v>0</v>
      </c>
      <c r="H129" s="19">
        <v>0</v>
      </c>
      <c r="I129" s="19">
        <f>SUM(E129:H129)/Variables!$E$3</f>
        <v>0</v>
      </c>
      <c r="J129" s="4">
        <v>0</v>
      </c>
      <c r="K129">
        <v>0</v>
      </c>
      <c r="L129">
        <v>0</v>
      </c>
      <c r="M129">
        <v>0</v>
      </c>
      <c r="N129" s="6">
        <f>SUM(J129:M129)/Variables!$E$3</f>
        <v>0</v>
      </c>
      <c r="O129" s="4">
        <v>0</v>
      </c>
      <c r="P129">
        <v>0</v>
      </c>
      <c r="Q129">
        <v>0</v>
      </c>
      <c r="R129">
        <v>0</v>
      </c>
      <c r="S129" s="6">
        <f>SUM(O129:R129)/Variables!$E$3</f>
        <v>0</v>
      </c>
      <c r="T129" s="12">
        <v>0</v>
      </c>
      <c r="U129" s="6">
        <v>0</v>
      </c>
      <c r="V129" s="6">
        <v>0</v>
      </c>
      <c r="W129" s="6">
        <v>0</v>
      </c>
      <c r="X129" s="6">
        <f>SUM(T129:W129)/Variables!$E$3</f>
        <v>0</v>
      </c>
      <c r="Y129" s="12">
        <v>0</v>
      </c>
      <c r="Z129" s="6">
        <v>0</v>
      </c>
      <c r="AA129" s="6">
        <v>0</v>
      </c>
      <c r="AB129" s="6">
        <v>0</v>
      </c>
      <c r="AC129" s="6">
        <f>SUM(Y129:AB129)/Variables!$E$3</f>
        <v>0</v>
      </c>
      <c r="AD129" s="4">
        <v>0</v>
      </c>
      <c r="AE129" s="2">
        <v>0</v>
      </c>
      <c r="AF129" s="2">
        <v>0</v>
      </c>
      <c r="AG129" s="2">
        <v>0</v>
      </c>
      <c r="AH129" s="6">
        <f>SUM(AD129:AG129)/Variables!$E$3</f>
        <v>0</v>
      </c>
      <c r="AI129" s="4">
        <v>0</v>
      </c>
      <c r="AJ129" s="2">
        <v>0</v>
      </c>
      <c r="AK129" s="2">
        <v>0</v>
      </c>
      <c r="AL129" s="2">
        <v>0</v>
      </c>
      <c r="AM129" s="6">
        <f>SUM(AI129:AL129)/Variables!$E$3</f>
        <v>0</v>
      </c>
      <c r="AN129" s="4">
        <v>0</v>
      </c>
      <c r="AO129" s="2">
        <v>0</v>
      </c>
      <c r="AP129" s="2">
        <v>0</v>
      </c>
      <c r="AQ129" s="2">
        <v>0</v>
      </c>
      <c r="AR129" s="6">
        <f>SUM(AN129:AQ129)/Variables!$E$3</f>
        <v>0</v>
      </c>
      <c r="AS129" s="4">
        <v>0</v>
      </c>
      <c r="AT129" s="2">
        <v>0</v>
      </c>
      <c r="AU129" s="2">
        <v>0</v>
      </c>
      <c r="AV129" s="2">
        <v>0</v>
      </c>
      <c r="AW129" s="6">
        <f>SUM(AS129:AV129)/Variables!$E$3</f>
        <v>0</v>
      </c>
      <c r="AX129" s="4">
        <v>0</v>
      </c>
      <c r="AY129" s="2">
        <v>0</v>
      </c>
      <c r="AZ129" s="2">
        <v>0</v>
      </c>
      <c r="BA129" s="2">
        <v>0</v>
      </c>
      <c r="BB129" s="6">
        <f>SUM(AX129:BA129)/Variables!$E$3</f>
        <v>0</v>
      </c>
      <c r="BC129" s="12">
        <f t="shared" si="29"/>
        <v>0</v>
      </c>
      <c r="BD129" s="110">
        <f t="shared" si="29"/>
        <v>0</v>
      </c>
      <c r="BE129" s="110">
        <f t="shared" si="29"/>
        <v>0</v>
      </c>
      <c r="BF129" s="110">
        <f t="shared" si="29"/>
        <v>0</v>
      </c>
      <c r="BG129" s="6">
        <f>SUM(BC129:BF129)/Variables!$E$3</f>
        <v>0</v>
      </c>
      <c r="BH129" s="4">
        <v>0</v>
      </c>
      <c r="BI129">
        <v>0</v>
      </c>
      <c r="BJ129">
        <v>0</v>
      </c>
      <c r="BK129">
        <v>0</v>
      </c>
      <c r="BL129" s="6">
        <f>SUM(BH129:BK129)/Variables!$E$3</f>
        <v>0</v>
      </c>
      <c r="BM129" s="110">
        <v>0</v>
      </c>
      <c r="BN129" s="110">
        <v>0</v>
      </c>
      <c r="BO129" s="110">
        <v>0</v>
      </c>
      <c r="BP129" s="110">
        <v>0</v>
      </c>
      <c r="BQ129" s="6">
        <f>SUM(BM129:BP129)/Variables!$E$3</f>
        <v>0</v>
      </c>
      <c r="BS129" s="4">
        <v>127</v>
      </c>
      <c r="BT129" s="125">
        <f t="shared" si="16"/>
        <v>0</v>
      </c>
      <c r="BU129" s="125">
        <f t="shared" si="17"/>
        <v>0</v>
      </c>
      <c r="BV129" s="125">
        <f t="shared" si="18"/>
        <v>0</v>
      </c>
      <c r="BW129" s="125">
        <f t="shared" si="19"/>
        <v>0</v>
      </c>
      <c r="BX129" s="125">
        <f t="shared" si="20"/>
        <v>0</v>
      </c>
      <c r="BY129" s="125">
        <f t="shared" si="21"/>
        <v>0</v>
      </c>
      <c r="BZ129" s="125">
        <f t="shared" si="22"/>
        <v>0</v>
      </c>
      <c r="CA129" s="125">
        <f t="shared" si="23"/>
        <v>0</v>
      </c>
      <c r="CB129" s="125">
        <f t="shared" si="24"/>
        <v>0</v>
      </c>
      <c r="CC129" s="125">
        <f t="shared" si="25"/>
        <v>0</v>
      </c>
      <c r="CD129" s="125">
        <f t="shared" si="26"/>
        <v>0</v>
      </c>
      <c r="CE129" s="125">
        <f t="shared" si="27"/>
        <v>0</v>
      </c>
      <c r="CF129" s="126">
        <f t="shared" si="28"/>
        <v>0</v>
      </c>
      <c r="CH129" s="4">
        <v>127</v>
      </c>
      <c r="CI129" s="129">
        <v>0</v>
      </c>
      <c r="CJ129" s="125">
        <v>0</v>
      </c>
      <c r="CK129" s="125">
        <v>0</v>
      </c>
      <c r="CL129" s="125">
        <v>0</v>
      </c>
      <c r="CM129" s="125">
        <v>0</v>
      </c>
      <c r="CN129" s="125">
        <v>0</v>
      </c>
      <c r="CO129" s="125">
        <v>0</v>
      </c>
      <c r="CP129" s="125">
        <v>0</v>
      </c>
      <c r="CQ129" s="125">
        <v>0</v>
      </c>
      <c r="CR129" s="125">
        <v>0</v>
      </c>
      <c r="CS129" s="125">
        <v>0</v>
      </c>
      <c r="CT129" s="125">
        <v>0</v>
      </c>
      <c r="CU129" s="126">
        <v>0</v>
      </c>
    </row>
    <row r="130" spans="1:99" x14ac:dyDescent="0.25">
      <c r="A130" t="s">
        <v>216</v>
      </c>
      <c r="B130" s="2" t="s">
        <v>3</v>
      </c>
      <c r="C130" s="1">
        <v>13208</v>
      </c>
      <c r="D130" s="19">
        <v>121.228571428571</v>
      </c>
      <c r="E130" s="18">
        <v>0</v>
      </c>
      <c r="F130" s="19">
        <v>0</v>
      </c>
      <c r="G130" s="19">
        <v>0</v>
      </c>
      <c r="H130" s="19">
        <v>0</v>
      </c>
      <c r="I130" s="19">
        <f>SUM(E130:H130)/Variables!$E$3</f>
        <v>0</v>
      </c>
      <c r="J130" s="4">
        <v>0</v>
      </c>
      <c r="K130">
        <v>0</v>
      </c>
      <c r="L130">
        <v>0</v>
      </c>
      <c r="M130">
        <v>0</v>
      </c>
      <c r="N130" s="6">
        <f>SUM(J130:M130)/Variables!$E$3</f>
        <v>0</v>
      </c>
      <c r="O130" s="4">
        <v>0</v>
      </c>
      <c r="P130">
        <v>0</v>
      </c>
      <c r="Q130">
        <v>0</v>
      </c>
      <c r="R130">
        <v>0</v>
      </c>
      <c r="S130" s="6">
        <f>SUM(O130:R130)/Variables!$E$3</f>
        <v>0</v>
      </c>
      <c r="T130" s="12">
        <v>0</v>
      </c>
      <c r="U130" s="6">
        <v>0</v>
      </c>
      <c r="V130" s="6">
        <v>0</v>
      </c>
      <c r="W130" s="6">
        <v>0</v>
      </c>
      <c r="X130" s="6">
        <f>SUM(T130:W130)/Variables!$E$3</f>
        <v>0</v>
      </c>
      <c r="Y130" s="12">
        <v>0</v>
      </c>
      <c r="Z130" s="6">
        <v>0</v>
      </c>
      <c r="AA130" s="6">
        <v>0</v>
      </c>
      <c r="AB130" s="6">
        <v>0</v>
      </c>
      <c r="AC130" s="6">
        <f>SUM(Y130:AB130)/Variables!$E$3</f>
        <v>0</v>
      </c>
      <c r="AD130" s="4">
        <v>0</v>
      </c>
      <c r="AE130" s="2">
        <v>0</v>
      </c>
      <c r="AF130" s="2">
        <v>0</v>
      </c>
      <c r="AG130" s="2">
        <v>0</v>
      </c>
      <c r="AH130" s="6">
        <f>SUM(AD130:AG130)/Variables!$E$3</f>
        <v>0</v>
      </c>
      <c r="AI130" s="4">
        <v>0</v>
      </c>
      <c r="AJ130" s="2">
        <v>0</v>
      </c>
      <c r="AK130" s="2">
        <v>0</v>
      </c>
      <c r="AL130" s="2">
        <v>0</v>
      </c>
      <c r="AM130" s="6">
        <f>SUM(AI130:AL130)/Variables!$E$3</f>
        <v>0</v>
      </c>
      <c r="AN130" s="4">
        <v>0</v>
      </c>
      <c r="AO130" s="2">
        <v>0</v>
      </c>
      <c r="AP130" s="2">
        <v>0</v>
      </c>
      <c r="AQ130" s="2">
        <v>0</v>
      </c>
      <c r="AR130" s="6">
        <f>SUM(AN130:AQ130)/Variables!$E$3</f>
        <v>0</v>
      </c>
      <c r="AS130" s="4">
        <v>0</v>
      </c>
      <c r="AT130" s="2">
        <v>0</v>
      </c>
      <c r="AU130" s="2">
        <v>0</v>
      </c>
      <c r="AV130" s="2">
        <v>0</v>
      </c>
      <c r="AW130" s="6">
        <f>SUM(AS130:AV130)/Variables!$E$3</f>
        <v>0</v>
      </c>
      <c r="AX130" s="4">
        <v>0</v>
      </c>
      <c r="AY130" s="2">
        <v>0</v>
      </c>
      <c r="AZ130" s="2">
        <v>0</v>
      </c>
      <c r="BA130" s="2">
        <v>0</v>
      </c>
      <c r="BB130" s="6">
        <f>SUM(AX130:BA130)/Variables!$E$3</f>
        <v>0</v>
      </c>
      <c r="BC130" s="12">
        <f t="shared" si="29"/>
        <v>0</v>
      </c>
      <c r="BD130" s="110">
        <f t="shared" si="29"/>
        <v>0</v>
      </c>
      <c r="BE130" s="110">
        <f t="shared" si="29"/>
        <v>0</v>
      </c>
      <c r="BF130" s="110">
        <f t="shared" si="29"/>
        <v>0</v>
      </c>
      <c r="BG130" s="6">
        <f>SUM(BC130:BF130)/Variables!$E$3</f>
        <v>0</v>
      </c>
      <c r="BH130" s="4">
        <v>0</v>
      </c>
      <c r="BI130">
        <v>0</v>
      </c>
      <c r="BJ130">
        <v>0</v>
      </c>
      <c r="BK130">
        <v>0</v>
      </c>
      <c r="BL130" s="6">
        <f>SUM(BH130:BK130)/Variables!$E$3</f>
        <v>0</v>
      </c>
      <c r="BM130" s="110">
        <v>0</v>
      </c>
      <c r="BN130" s="110">
        <v>0</v>
      </c>
      <c r="BO130" s="110">
        <v>0</v>
      </c>
      <c r="BP130" s="110">
        <v>0</v>
      </c>
      <c r="BQ130" s="6">
        <f>SUM(BM130:BP130)/Variables!$E$3</f>
        <v>0</v>
      </c>
      <c r="BS130" s="4">
        <v>128</v>
      </c>
      <c r="BT130" s="125">
        <f t="shared" si="16"/>
        <v>0</v>
      </c>
      <c r="BU130" s="125">
        <f t="shared" si="17"/>
        <v>0</v>
      </c>
      <c r="BV130" s="125">
        <f t="shared" si="18"/>
        <v>0</v>
      </c>
      <c r="BW130" s="125">
        <f t="shared" si="19"/>
        <v>0</v>
      </c>
      <c r="BX130" s="125">
        <f t="shared" si="20"/>
        <v>0</v>
      </c>
      <c r="BY130" s="125">
        <f t="shared" si="21"/>
        <v>0</v>
      </c>
      <c r="BZ130" s="125">
        <f t="shared" si="22"/>
        <v>0</v>
      </c>
      <c r="CA130" s="125">
        <f t="shared" si="23"/>
        <v>0</v>
      </c>
      <c r="CB130" s="125">
        <f t="shared" si="24"/>
        <v>0</v>
      </c>
      <c r="CC130" s="125">
        <f t="shared" si="25"/>
        <v>0</v>
      </c>
      <c r="CD130" s="125">
        <f t="shared" si="26"/>
        <v>0</v>
      </c>
      <c r="CE130" s="125">
        <f t="shared" si="27"/>
        <v>0</v>
      </c>
      <c r="CF130" s="126">
        <f t="shared" si="28"/>
        <v>0</v>
      </c>
      <c r="CH130" s="4">
        <v>128</v>
      </c>
      <c r="CI130" s="129">
        <v>0</v>
      </c>
      <c r="CJ130" s="125">
        <v>0</v>
      </c>
      <c r="CK130" s="125">
        <v>0</v>
      </c>
      <c r="CL130" s="125">
        <v>0</v>
      </c>
      <c r="CM130" s="125">
        <v>0</v>
      </c>
      <c r="CN130" s="125">
        <v>0</v>
      </c>
      <c r="CO130" s="125">
        <v>0</v>
      </c>
      <c r="CP130" s="125">
        <v>0</v>
      </c>
      <c r="CQ130" s="125">
        <v>0</v>
      </c>
      <c r="CR130" s="125">
        <v>0</v>
      </c>
      <c r="CS130" s="125">
        <v>0</v>
      </c>
      <c r="CT130" s="125">
        <v>0</v>
      </c>
      <c r="CU130" s="126">
        <v>0</v>
      </c>
    </row>
    <row r="131" spans="1:99" x14ac:dyDescent="0.25">
      <c r="A131" t="s">
        <v>216</v>
      </c>
      <c r="B131" s="2" t="s">
        <v>4</v>
      </c>
      <c r="C131" s="1">
        <v>13301</v>
      </c>
      <c r="D131" s="19">
        <v>63.285714285714299</v>
      </c>
      <c r="E131" s="18">
        <v>0</v>
      </c>
      <c r="F131" s="19">
        <v>0</v>
      </c>
      <c r="G131" s="19">
        <v>0</v>
      </c>
      <c r="H131" s="19">
        <v>0</v>
      </c>
      <c r="I131" s="19">
        <f>SUM(E131:H131)/Variables!$E$3</f>
        <v>0</v>
      </c>
      <c r="J131" s="4">
        <v>0</v>
      </c>
      <c r="K131">
        <v>0</v>
      </c>
      <c r="L131">
        <v>0</v>
      </c>
      <c r="M131">
        <v>0</v>
      </c>
      <c r="N131" s="6">
        <f>SUM(J131:M131)/Variables!$E$3</f>
        <v>0</v>
      </c>
      <c r="O131" s="4">
        <v>0</v>
      </c>
      <c r="P131">
        <v>0</v>
      </c>
      <c r="Q131">
        <v>0</v>
      </c>
      <c r="R131">
        <v>0</v>
      </c>
      <c r="S131" s="6">
        <f>SUM(O131:R131)/Variables!$E$3</f>
        <v>0</v>
      </c>
      <c r="T131" s="12">
        <v>0</v>
      </c>
      <c r="U131" s="6">
        <v>0</v>
      </c>
      <c r="V131" s="6">
        <v>0</v>
      </c>
      <c r="W131" s="6">
        <v>0</v>
      </c>
      <c r="X131" s="6">
        <f>SUM(T131:W131)/Variables!$E$3</f>
        <v>0</v>
      </c>
      <c r="Y131" s="12">
        <v>0</v>
      </c>
      <c r="Z131" s="6">
        <v>0</v>
      </c>
      <c r="AA131" s="6">
        <v>0</v>
      </c>
      <c r="AB131" s="6">
        <v>0</v>
      </c>
      <c r="AC131" s="6">
        <f>SUM(Y131:AB131)/Variables!$E$3</f>
        <v>0</v>
      </c>
      <c r="AD131" s="4">
        <v>0</v>
      </c>
      <c r="AE131" s="2">
        <v>0</v>
      </c>
      <c r="AF131" s="2">
        <v>0</v>
      </c>
      <c r="AG131" s="2">
        <v>0</v>
      </c>
      <c r="AH131" s="6">
        <f>SUM(AD131:AG131)/Variables!$E$3</f>
        <v>0</v>
      </c>
      <c r="AI131" s="4">
        <v>0</v>
      </c>
      <c r="AJ131" s="2">
        <v>0</v>
      </c>
      <c r="AK131" s="2">
        <v>0</v>
      </c>
      <c r="AL131" s="2">
        <v>0</v>
      </c>
      <c r="AM131" s="6">
        <f>SUM(AI131:AL131)/Variables!$E$3</f>
        <v>0</v>
      </c>
      <c r="AN131" s="4">
        <v>0</v>
      </c>
      <c r="AO131" s="2">
        <v>0</v>
      </c>
      <c r="AP131" s="2">
        <v>0</v>
      </c>
      <c r="AQ131" s="2">
        <v>0</v>
      </c>
      <c r="AR131" s="6">
        <f>SUM(AN131:AQ131)/Variables!$E$3</f>
        <v>0</v>
      </c>
      <c r="AS131" s="4">
        <v>0</v>
      </c>
      <c r="AT131" s="2">
        <v>0</v>
      </c>
      <c r="AU131" s="2">
        <v>0</v>
      </c>
      <c r="AV131" s="2">
        <v>0</v>
      </c>
      <c r="AW131" s="6">
        <f>SUM(AS131:AV131)/Variables!$E$3</f>
        <v>0</v>
      </c>
      <c r="AX131" s="4">
        <v>0</v>
      </c>
      <c r="AY131" s="2">
        <v>0</v>
      </c>
      <c r="AZ131" s="2">
        <v>0</v>
      </c>
      <c r="BA131" s="2">
        <v>0</v>
      </c>
      <c r="BB131" s="6">
        <f>SUM(AX131:BA131)/Variables!$E$3</f>
        <v>0</v>
      </c>
      <c r="BC131" s="12">
        <f t="shared" si="29"/>
        <v>0</v>
      </c>
      <c r="BD131" s="110">
        <f t="shared" si="29"/>
        <v>0</v>
      </c>
      <c r="BE131" s="110">
        <f t="shared" si="29"/>
        <v>0</v>
      </c>
      <c r="BF131" s="110">
        <f t="shared" si="29"/>
        <v>0</v>
      </c>
      <c r="BG131" s="6">
        <f>SUM(BC131:BF131)/Variables!$E$3</f>
        <v>0</v>
      </c>
      <c r="BH131" s="4">
        <v>0</v>
      </c>
      <c r="BI131">
        <v>0</v>
      </c>
      <c r="BJ131">
        <v>0</v>
      </c>
      <c r="BK131">
        <v>0</v>
      </c>
      <c r="BL131" s="6">
        <f>SUM(BH131:BK131)/Variables!$E$3</f>
        <v>0</v>
      </c>
      <c r="BM131" s="110">
        <v>0</v>
      </c>
      <c r="BN131" s="110">
        <v>0</v>
      </c>
      <c r="BO131" s="110">
        <v>0</v>
      </c>
      <c r="BP131" s="110">
        <v>0</v>
      </c>
      <c r="BQ131" s="6">
        <f>SUM(BM131:BP131)/Variables!$E$3</f>
        <v>0</v>
      </c>
      <c r="BS131" s="4">
        <v>129</v>
      </c>
      <c r="BT131" s="125">
        <f t="shared" ref="BT131:BT194" si="30">I132</f>
        <v>0</v>
      </c>
      <c r="BU131" s="125">
        <f t="shared" ref="BU131:BU194" si="31">N132</f>
        <v>0</v>
      </c>
      <c r="BV131" s="125">
        <f t="shared" ref="BV131:BV194" si="32">S132</f>
        <v>0</v>
      </c>
      <c r="BW131" s="125">
        <f t="shared" ref="BW131:BW194" si="33">X132</f>
        <v>0</v>
      </c>
      <c r="BX131" s="125">
        <f t="shared" ref="BX131:BX194" si="34">AC132</f>
        <v>0</v>
      </c>
      <c r="BY131" s="125">
        <f t="shared" ref="BY131:BY194" si="35">AH132</f>
        <v>0</v>
      </c>
      <c r="BZ131" s="125">
        <f t="shared" ref="BZ131:BZ194" si="36">AM132</f>
        <v>0</v>
      </c>
      <c r="CA131" s="125">
        <f t="shared" ref="CA131:CA194" si="37">AR132</f>
        <v>0</v>
      </c>
      <c r="CB131" s="125">
        <f t="shared" ref="CB131:CB194" si="38">AW132</f>
        <v>0</v>
      </c>
      <c r="CC131" s="125">
        <f t="shared" ref="CC131:CC194" si="39">BB132</f>
        <v>0</v>
      </c>
      <c r="CD131" s="125">
        <f t="shared" ref="CD131:CD194" si="40">BG132</f>
        <v>0</v>
      </c>
      <c r="CE131" s="125">
        <f t="shared" si="27"/>
        <v>0</v>
      </c>
      <c r="CF131" s="126">
        <f t="shared" si="28"/>
        <v>0</v>
      </c>
      <c r="CH131" s="4">
        <v>129</v>
      </c>
      <c r="CI131" s="129">
        <v>0</v>
      </c>
      <c r="CJ131" s="125">
        <v>0</v>
      </c>
      <c r="CK131" s="125">
        <v>0</v>
      </c>
      <c r="CL131" s="125">
        <v>0</v>
      </c>
      <c r="CM131" s="125">
        <v>0</v>
      </c>
      <c r="CN131" s="125">
        <v>0</v>
      </c>
      <c r="CO131" s="125">
        <v>0</v>
      </c>
      <c r="CP131" s="125">
        <v>0</v>
      </c>
      <c r="CQ131" s="125">
        <v>0</v>
      </c>
      <c r="CR131" s="125">
        <v>0</v>
      </c>
      <c r="CS131" s="125">
        <v>0</v>
      </c>
      <c r="CT131" s="125">
        <v>0</v>
      </c>
      <c r="CU131" s="126">
        <v>0</v>
      </c>
    </row>
    <row r="132" spans="1:99" x14ac:dyDescent="0.25">
      <c r="A132" t="s">
        <v>216</v>
      </c>
      <c r="B132" s="2" t="s">
        <v>1</v>
      </c>
      <c r="C132" s="1">
        <v>13393</v>
      </c>
      <c r="D132" s="19">
        <v>78.571428571428598</v>
      </c>
      <c r="E132" s="18">
        <v>0</v>
      </c>
      <c r="F132" s="19">
        <v>0</v>
      </c>
      <c r="G132" s="19">
        <v>0</v>
      </c>
      <c r="H132" s="19">
        <v>0</v>
      </c>
      <c r="I132" s="19">
        <f>SUM(E132:H132)/Variables!$E$3</f>
        <v>0</v>
      </c>
      <c r="J132" s="4">
        <v>0</v>
      </c>
      <c r="K132">
        <v>0</v>
      </c>
      <c r="L132">
        <v>0</v>
      </c>
      <c r="M132">
        <v>0</v>
      </c>
      <c r="N132" s="6">
        <f>SUM(J132:M132)/Variables!$E$3</f>
        <v>0</v>
      </c>
      <c r="O132" s="4">
        <v>0</v>
      </c>
      <c r="P132">
        <v>0</v>
      </c>
      <c r="Q132">
        <v>0</v>
      </c>
      <c r="R132">
        <v>0</v>
      </c>
      <c r="S132" s="6">
        <f>SUM(O132:R132)/Variables!$E$3</f>
        <v>0</v>
      </c>
      <c r="T132" s="12">
        <v>0</v>
      </c>
      <c r="U132" s="6">
        <v>0</v>
      </c>
      <c r="V132" s="6">
        <v>0</v>
      </c>
      <c r="W132" s="6">
        <v>0</v>
      </c>
      <c r="X132" s="6">
        <f>SUM(T132:W132)/Variables!$E$3</f>
        <v>0</v>
      </c>
      <c r="Y132" s="12">
        <v>0</v>
      </c>
      <c r="Z132" s="6">
        <v>0</v>
      </c>
      <c r="AA132" s="6">
        <v>0</v>
      </c>
      <c r="AB132" s="6">
        <v>0</v>
      </c>
      <c r="AC132" s="6">
        <f>SUM(Y132:AB132)/Variables!$E$3</f>
        <v>0</v>
      </c>
      <c r="AD132" s="4">
        <v>0</v>
      </c>
      <c r="AE132" s="2">
        <v>0</v>
      </c>
      <c r="AF132" s="2">
        <v>0</v>
      </c>
      <c r="AG132" s="2">
        <v>0</v>
      </c>
      <c r="AH132" s="6">
        <f>SUM(AD132:AG132)/Variables!$E$3</f>
        <v>0</v>
      </c>
      <c r="AI132" s="4">
        <v>0</v>
      </c>
      <c r="AJ132" s="2">
        <v>0</v>
      </c>
      <c r="AK132" s="2">
        <v>0</v>
      </c>
      <c r="AL132" s="2">
        <v>0</v>
      </c>
      <c r="AM132" s="6">
        <f>SUM(AI132:AL132)/Variables!$E$3</f>
        <v>0</v>
      </c>
      <c r="AN132" s="4">
        <v>0</v>
      </c>
      <c r="AO132" s="2">
        <v>0</v>
      </c>
      <c r="AP132" s="2">
        <v>0</v>
      </c>
      <c r="AQ132" s="2">
        <v>0</v>
      </c>
      <c r="AR132" s="6">
        <f>SUM(AN132:AQ132)/Variables!$E$3</f>
        <v>0</v>
      </c>
      <c r="AS132" s="4">
        <v>0</v>
      </c>
      <c r="AT132" s="2">
        <v>0</v>
      </c>
      <c r="AU132" s="2">
        <v>0</v>
      </c>
      <c r="AV132" s="2">
        <v>0</v>
      </c>
      <c r="AW132" s="6">
        <f>SUM(AS132:AV132)/Variables!$E$3</f>
        <v>0</v>
      </c>
      <c r="AX132" s="4">
        <v>0</v>
      </c>
      <c r="AY132" s="2">
        <v>0</v>
      </c>
      <c r="AZ132" s="2">
        <v>0</v>
      </c>
      <c r="BA132" s="2">
        <v>0</v>
      </c>
      <c r="BB132" s="6">
        <f>SUM(AX132:BA132)/Variables!$E$3</f>
        <v>0</v>
      </c>
      <c r="BC132" s="12">
        <f t="shared" si="29"/>
        <v>0</v>
      </c>
      <c r="BD132" s="110">
        <f t="shared" si="29"/>
        <v>0</v>
      </c>
      <c r="BE132" s="110">
        <f t="shared" si="29"/>
        <v>0</v>
      </c>
      <c r="BF132" s="110">
        <f t="shared" ref="BF132:BF195" si="41">AB132</f>
        <v>0</v>
      </c>
      <c r="BG132" s="6">
        <f>SUM(BC132:BF132)/Variables!$E$3</f>
        <v>0</v>
      </c>
      <c r="BH132" s="4">
        <v>0</v>
      </c>
      <c r="BI132">
        <v>0</v>
      </c>
      <c r="BJ132">
        <v>0</v>
      </c>
      <c r="BK132">
        <v>0</v>
      </c>
      <c r="BL132" s="6">
        <f>SUM(BH132:BK132)/Variables!$E$3</f>
        <v>0</v>
      </c>
      <c r="BM132" s="110">
        <v>0</v>
      </c>
      <c r="BN132" s="110">
        <v>0</v>
      </c>
      <c r="BO132" s="110">
        <v>0</v>
      </c>
      <c r="BP132" s="110">
        <v>0</v>
      </c>
      <c r="BQ132" s="6">
        <f>SUM(BM132:BP132)/Variables!$E$3</f>
        <v>0</v>
      </c>
      <c r="BS132" s="4">
        <v>130</v>
      </c>
      <c r="BT132" s="125">
        <f t="shared" si="30"/>
        <v>0</v>
      </c>
      <c r="BU132" s="125">
        <f t="shared" si="31"/>
        <v>0</v>
      </c>
      <c r="BV132" s="125">
        <f t="shared" si="32"/>
        <v>0</v>
      </c>
      <c r="BW132" s="125">
        <f t="shared" si="33"/>
        <v>0</v>
      </c>
      <c r="BX132" s="125">
        <f t="shared" si="34"/>
        <v>0</v>
      </c>
      <c r="BY132" s="125">
        <f t="shared" si="35"/>
        <v>0</v>
      </c>
      <c r="BZ132" s="125">
        <f t="shared" si="36"/>
        <v>0</v>
      </c>
      <c r="CA132" s="125">
        <f t="shared" si="37"/>
        <v>0</v>
      </c>
      <c r="CB132" s="125">
        <f t="shared" si="38"/>
        <v>0</v>
      </c>
      <c r="CC132" s="125">
        <f t="shared" si="39"/>
        <v>0</v>
      </c>
      <c r="CD132" s="125">
        <f t="shared" si="40"/>
        <v>0</v>
      </c>
      <c r="CE132" s="125">
        <f t="shared" ref="CE132:CE195" si="42">BL133</f>
        <v>0</v>
      </c>
      <c r="CF132" s="126">
        <f t="shared" ref="CF132:CF195" si="43">BQ133</f>
        <v>0</v>
      </c>
      <c r="CH132" s="4">
        <v>130</v>
      </c>
      <c r="CI132" s="129">
        <v>0</v>
      </c>
      <c r="CJ132" s="125">
        <v>0</v>
      </c>
      <c r="CK132" s="125">
        <v>0</v>
      </c>
      <c r="CL132" s="125">
        <v>0</v>
      </c>
      <c r="CM132" s="125">
        <v>0</v>
      </c>
      <c r="CN132" s="125">
        <v>0</v>
      </c>
      <c r="CO132" s="125">
        <v>0</v>
      </c>
      <c r="CP132" s="125">
        <v>0</v>
      </c>
      <c r="CQ132" s="125">
        <v>0</v>
      </c>
      <c r="CR132" s="125">
        <v>0</v>
      </c>
      <c r="CS132" s="125">
        <v>0</v>
      </c>
      <c r="CT132" s="125">
        <v>0</v>
      </c>
      <c r="CU132" s="126">
        <v>0</v>
      </c>
    </row>
    <row r="133" spans="1:99" x14ac:dyDescent="0.25">
      <c r="A133" t="s">
        <v>216</v>
      </c>
      <c r="B133" s="2" t="s">
        <v>2</v>
      </c>
      <c r="C133" s="1">
        <v>13484</v>
      </c>
      <c r="D133" s="19">
        <v>0</v>
      </c>
      <c r="E133" s="18">
        <v>0</v>
      </c>
      <c r="F133" s="19">
        <v>0</v>
      </c>
      <c r="G133" s="19">
        <v>0</v>
      </c>
      <c r="H133" s="19">
        <v>0</v>
      </c>
      <c r="I133" s="19">
        <f>SUM(E133:H133)/Variables!$E$3</f>
        <v>0</v>
      </c>
      <c r="J133" s="4">
        <v>0</v>
      </c>
      <c r="K133">
        <v>0</v>
      </c>
      <c r="L133">
        <v>0</v>
      </c>
      <c r="M133">
        <v>0</v>
      </c>
      <c r="N133" s="6">
        <f>SUM(J133:M133)/Variables!$E$3</f>
        <v>0</v>
      </c>
      <c r="O133" s="4">
        <v>0</v>
      </c>
      <c r="P133">
        <v>0</v>
      </c>
      <c r="Q133">
        <v>0</v>
      </c>
      <c r="R133">
        <v>0</v>
      </c>
      <c r="S133" s="6">
        <f>SUM(O133:R133)/Variables!$E$3</f>
        <v>0</v>
      </c>
      <c r="T133" s="12">
        <v>0</v>
      </c>
      <c r="U133" s="6">
        <v>0</v>
      </c>
      <c r="V133" s="6">
        <v>0</v>
      </c>
      <c r="W133" s="6">
        <v>0</v>
      </c>
      <c r="X133" s="6">
        <f>SUM(T133:W133)/Variables!$E$3</f>
        <v>0</v>
      </c>
      <c r="Y133" s="12">
        <v>0</v>
      </c>
      <c r="Z133" s="6">
        <v>0</v>
      </c>
      <c r="AA133" s="6">
        <v>0</v>
      </c>
      <c r="AB133" s="6">
        <v>0</v>
      </c>
      <c r="AC133" s="6">
        <f>SUM(Y133:AB133)/Variables!$E$3</f>
        <v>0</v>
      </c>
      <c r="AD133" s="4">
        <v>0</v>
      </c>
      <c r="AE133" s="2">
        <v>0</v>
      </c>
      <c r="AF133" s="2">
        <v>0</v>
      </c>
      <c r="AG133" s="2">
        <v>0</v>
      </c>
      <c r="AH133" s="6">
        <f>SUM(AD133:AG133)/Variables!$E$3</f>
        <v>0</v>
      </c>
      <c r="AI133" s="4">
        <v>0</v>
      </c>
      <c r="AJ133" s="2">
        <v>0</v>
      </c>
      <c r="AK133" s="2">
        <v>0</v>
      </c>
      <c r="AL133" s="2">
        <v>0</v>
      </c>
      <c r="AM133" s="6">
        <f>SUM(AI133:AL133)/Variables!$E$3</f>
        <v>0</v>
      </c>
      <c r="AN133" s="4">
        <v>0</v>
      </c>
      <c r="AO133" s="2">
        <v>0</v>
      </c>
      <c r="AP133" s="2">
        <v>0</v>
      </c>
      <c r="AQ133" s="2">
        <v>0</v>
      </c>
      <c r="AR133" s="6">
        <f>SUM(AN133:AQ133)/Variables!$E$3</f>
        <v>0</v>
      </c>
      <c r="AS133" s="4">
        <v>0</v>
      </c>
      <c r="AT133" s="2">
        <v>0</v>
      </c>
      <c r="AU133" s="2">
        <v>0</v>
      </c>
      <c r="AV133" s="2">
        <v>0</v>
      </c>
      <c r="AW133" s="6">
        <f>SUM(AS133:AV133)/Variables!$E$3</f>
        <v>0</v>
      </c>
      <c r="AX133" s="4">
        <v>0</v>
      </c>
      <c r="AY133" s="2">
        <v>0</v>
      </c>
      <c r="AZ133" s="2">
        <v>0</v>
      </c>
      <c r="BA133" s="2">
        <v>0</v>
      </c>
      <c r="BB133" s="6">
        <f>SUM(AX133:BA133)/Variables!$E$3</f>
        <v>0</v>
      </c>
      <c r="BC133" s="12">
        <f t="shared" ref="BC133:BF196" si="44">Y133</f>
        <v>0</v>
      </c>
      <c r="BD133" s="110">
        <f t="shared" si="44"/>
        <v>0</v>
      </c>
      <c r="BE133" s="110">
        <f t="shared" si="44"/>
        <v>0</v>
      </c>
      <c r="BF133" s="110">
        <f t="shared" si="41"/>
        <v>0</v>
      </c>
      <c r="BG133" s="6">
        <f>SUM(BC133:BF133)/Variables!$E$3</f>
        <v>0</v>
      </c>
      <c r="BH133" s="4">
        <v>0</v>
      </c>
      <c r="BI133">
        <v>0</v>
      </c>
      <c r="BJ133">
        <v>0</v>
      </c>
      <c r="BK133">
        <v>0</v>
      </c>
      <c r="BL133" s="6">
        <f>SUM(BH133:BK133)/Variables!$E$3</f>
        <v>0</v>
      </c>
      <c r="BM133" s="110">
        <v>0</v>
      </c>
      <c r="BN133" s="110">
        <v>0</v>
      </c>
      <c r="BO133" s="110">
        <v>0</v>
      </c>
      <c r="BP133" s="110">
        <v>0</v>
      </c>
      <c r="BQ133" s="6">
        <f>SUM(BM133:BP133)/Variables!$E$3</f>
        <v>0</v>
      </c>
      <c r="BS133" s="4">
        <v>131</v>
      </c>
      <c r="BT133" s="125">
        <f t="shared" si="30"/>
        <v>0</v>
      </c>
      <c r="BU133" s="125">
        <f t="shared" si="31"/>
        <v>2.4194965914219432E-2</v>
      </c>
      <c r="BV133" s="125">
        <f t="shared" si="32"/>
        <v>0</v>
      </c>
      <c r="BW133" s="125">
        <f t="shared" si="33"/>
        <v>1.497240674906373E-4</v>
      </c>
      <c r="BX133" s="125">
        <f t="shared" si="34"/>
        <v>1.0126762682206511E-4</v>
      </c>
      <c r="BY133" s="125">
        <f t="shared" si="35"/>
        <v>0</v>
      </c>
      <c r="BZ133" s="125">
        <f t="shared" si="36"/>
        <v>0</v>
      </c>
      <c r="CA133" s="125">
        <f t="shared" si="37"/>
        <v>0</v>
      </c>
      <c r="CB133" s="125">
        <f t="shared" si="38"/>
        <v>1.8044481745698698E-4</v>
      </c>
      <c r="CC133" s="125">
        <f t="shared" si="39"/>
        <v>0</v>
      </c>
      <c r="CD133" s="125">
        <f t="shared" si="40"/>
        <v>1.0126762682206511E-4</v>
      </c>
      <c r="CE133" s="125">
        <f t="shared" si="42"/>
        <v>0</v>
      </c>
      <c r="CF133" s="126">
        <f t="shared" si="43"/>
        <v>0</v>
      </c>
      <c r="CH133" s="4">
        <v>131</v>
      </c>
      <c r="CI133" s="129">
        <v>0</v>
      </c>
      <c r="CJ133" s="125">
        <v>0</v>
      </c>
      <c r="CK133" s="125">
        <v>0</v>
      </c>
      <c r="CL133" s="125">
        <v>0</v>
      </c>
      <c r="CM133" s="125">
        <v>0</v>
      </c>
      <c r="CN133" s="125">
        <v>0</v>
      </c>
      <c r="CO133" s="125">
        <v>0</v>
      </c>
      <c r="CP133" s="125">
        <v>0</v>
      </c>
      <c r="CQ133" s="125">
        <v>0</v>
      </c>
      <c r="CR133" s="125">
        <v>0</v>
      </c>
      <c r="CS133" s="125">
        <v>0</v>
      </c>
      <c r="CT133" s="125">
        <v>0</v>
      </c>
      <c r="CU133" s="126">
        <v>0</v>
      </c>
    </row>
    <row r="134" spans="1:99" x14ac:dyDescent="0.25">
      <c r="A134" t="s">
        <v>217</v>
      </c>
      <c r="B134" s="2" t="s">
        <v>3</v>
      </c>
      <c r="C134" s="1">
        <v>13574</v>
      </c>
      <c r="D134" s="19">
        <v>166.75476190476201</v>
      </c>
      <c r="E134" s="18">
        <v>0</v>
      </c>
      <c r="F134" s="19">
        <v>0</v>
      </c>
      <c r="G134" s="19">
        <v>0</v>
      </c>
      <c r="H134" s="19">
        <v>0</v>
      </c>
      <c r="I134" s="19">
        <f>SUM(E134:H134)/Variables!$E$3</f>
        <v>0</v>
      </c>
      <c r="J134" s="4">
        <v>0</v>
      </c>
      <c r="K134">
        <v>0</v>
      </c>
      <c r="L134">
        <v>29793</v>
      </c>
      <c r="M134">
        <v>765</v>
      </c>
      <c r="N134" s="6">
        <f>SUM(J134:M134)/Variables!$E$3</f>
        <v>2.4194965914219432E-2</v>
      </c>
      <c r="O134" s="4">
        <v>0</v>
      </c>
      <c r="P134">
        <v>0</v>
      </c>
      <c r="Q134">
        <v>0</v>
      </c>
      <c r="R134">
        <v>0</v>
      </c>
      <c r="S134" s="6">
        <f>SUM(O134:R134)/Variables!$E$3</f>
        <v>0</v>
      </c>
      <c r="T134" s="12">
        <v>0</v>
      </c>
      <c r="U134" s="6">
        <v>0</v>
      </c>
      <c r="V134" s="6">
        <v>189.1</v>
      </c>
      <c r="W134" s="6">
        <v>0</v>
      </c>
      <c r="X134" s="6">
        <f>SUM(T134:W134)/Variables!$E$3</f>
        <v>1.497240674906373E-4</v>
      </c>
      <c r="Y134" s="12">
        <v>0</v>
      </c>
      <c r="Z134" s="6">
        <v>0</v>
      </c>
      <c r="AA134" s="6">
        <v>127.9</v>
      </c>
      <c r="AB134" s="6">
        <v>0</v>
      </c>
      <c r="AC134" s="6">
        <f>SUM(Y134:AB134)/Variables!$E$3</f>
        <v>1.0126762682206511E-4</v>
      </c>
      <c r="AD134" s="4">
        <v>0</v>
      </c>
      <c r="AE134" s="2">
        <v>0</v>
      </c>
      <c r="AF134" s="2">
        <v>0</v>
      </c>
      <c r="AG134" s="2">
        <v>0</v>
      </c>
      <c r="AH134" s="6">
        <f>SUM(AD134:AG134)/Variables!$E$3</f>
        <v>0</v>
      </c>
      <c r="AI134" s="4">
        <v>0</v>
      </c>
      <c r="AJ134" s="2">
        <v>0</v>
      </c>
      <c r="AK134" s="2">
        <v>0</v>
      </c>
      <c r="AL134" s="2">
        <v>0</v>
      </c>
      <c r="AM134" s="6">
        <f>SUM(AI134:AL134)/Variables!$E$3</f>
        <v>0</v>
      </c>
      <c r="AN134" s="4">
        <v>0</v>
      </c>
      <c r="AO134" s="2">
        <v>0</v>
      </c>
      <c r="AP134" s="2">
        <v>0</v>
      </c>
      <c r="AQ134" s="2">
        <v>0</v>
      </c>
      <c r="AR134" s="6">
        <f>SUM(AN134:AQ134)/Variables!$E$3</f>
        <v>0</v>
      </c>
      <c r="AS134" s="4">
        <v>0</v>
      </c>
      <c r="AT134" s="2">
        <v>0</v>
      </c>
      <c r="AU134" s="2">
        <v>227.9</v>
      </c>
      <c r="AV134" s="2">
        <v>0</v>
      </c>
      <c r="AW134" s="6">
        <f>SUM(AS134:AV134)/Variables!$E$3</f>
        <v>1.8044481745698698E-4</v>
      </c>
      <c r="AX134" s="4">
        <v>0</v>
      </c>
      <c r="AY134" s="2">
        <v>0</v>
      </c>
      <c r="AZ134" s="2">
        <v>0</v>
      </c>
      <c r="BA134" s="2">
        <v>0</v>
      </c>
      <c r="BB134" s="6">
        <f>SUM(AX134:BA134)/Variables!$E$3</f>
        <v>0</v>
      </c>
      <c r="BC134" s="12">
        <f t="shared" si="44"/>
        <v>0</v>
      </c>
      <c r="BD134" s="110">
        <f t="shared" si="44"/>
        <v>0</v>
      </c>
      <c r="BE134" s="110">
        <f t="shared" si="44"/>
        <v>127.9</v>
      </c>
      <c r="BF134" s="110">
        <f t="shared" si="41"/>
        <v>0</v>
      </c>
      <c r="BG134" s="6">
        <f>SUM(BC134:BF134)/Variables!$E$3</f>
        <v>1.0126762682206511E-4</v>
      </c>
      <c r="BH134" s="4">
        <v>0</v>
      </c>
      <c r="BI134">
        <v>0</v>
      </c>
      <c r="BJ134">
        <v>0</v>
      </c>
      <c r="BK134">
        <v>0</v>
      </c>
      <c r="BL134" s="6">
        <f>SUM(BH134:BK134)/Variables!$E$3</f>
        <v>0</v>
      </c>
      <c r="BM134" s="110">
        <v>0</v>
      </c>
      <c r="BN134" s="110">
        <v>0</v>
      </c>
      <c r="BO134" s="110">
        <v>0</v>
      </c>
      <c r="BP134" s="110">
        <v>0</v>
      </c>
      <c r="BQ134" s="6">
        <f>SUM(BM134:BP134)/Variables!$E$3</f>
        <v>0</v>
      </c>
      <c r="BS134" s="4">
        <v>132</v>
      </c>
      <c r="BT134" s="125">
        <f t="shared" si="30"/>
        <v>0</v>
      </c>
      <c r="BU134" s="125">
        <f t="shared" si="31"/>
        <v>0.26248663884908036</v>
      </c>
      <c r="BV134" s="125">
        <f t="shared" si="32"/>
        <v>3.4111117269337049E-2</v>
      </c>
      <c r="BW134" s="125">
        <f t="shared" si="33"/>
        <v>8.6821431681961062E-2</v>
      </c>
      <c r="BX134" s="125">
        <f t="shared" si="34"/>
        <v>8.5473360834210879E-2</v>
      </c>
      <c r="BY134" s="125">
        <f t="shared" si="35"/>
        <v>6.7139565633932183E-2</v>
      </c>
      <c r="BZ134" s="125">
        <f t="shared" si="36"/>
        <v>5.8911392805960458E-2</v>
      </c>
      <c r="CA134" s="125">
        <f t="shared" si="37"/>
        <v>6.5647629830798346E-2</v>
      </c>
      <c r="CB134" s="125">
        <f t="shared" si="38"/>
        <v>9.7042019335069951E-2</v>
      </c>
      <c r="CC134" s="125">
        <f t="shared" si="39"/>
        <v>7.2741193516971628E-2</v>
      </c>
      <c r="CD134" s="125">
        <f t="shared" si="40"/>
        <v>8.5473360834210879E-2</v>
      </c>
      <c r="CE134" s="125">
        <f t="shared" si="42"/>
        <v>6.7739174498610444E-2</v>
      </c>
      <c r="CF134" s="126">
        <f t="shared" si="43"/>
        <v>7.3916103848803247E-2</v>
      </c>
      <c r="CH134" s="4">
        <v>132</v>
      </c>
      <c r="CI134" s="129">
        <v>0</v>
      </c>
      <c r="CJ134" s="125">
        <v>0.24769554786657061</v>
      </c>
      <c r="CK134" s="125">
        <v>0</v>
      </c>
      <c r="CL134" s="125">
        <v>0</v>
      </c>
      <c r="CM134" s="125">
        <v>0</v>
      </c>
      <c r="CN134" s="125">
        <v>0</v>
      </c>
      <c r="CO134" s="125">
        <v>0</v>
      </c>
      <c r="CP134" s="125">
        <v>0</v>
      </c>
      <c r="CQ134" s="125">
        <v>0</v>
      </c>
      <c r="CR134" s="125">
        <v>0</v>
      </c>
      <c r="CS134" s="125">
        <v>0</v>
      </c>
      <c r="CT134" s="125">
        <v>0</v>
      </c>
      <c r="CU134" s="126">
        <v>0</v>
      </c>
    </row>
    <row r="135" spans="1:99" x14ac:dyDescent="0.25">
      <c r="A135" t="s">
        <v>217</v>
      </c>
      <c r="B135" s="2" t="s">
        <v>4</v>
      </c>
      <c r="C135" s="1">
        <v>13666</v>
      </c>
      <c r="D135" s="19">
        <v>60.233333333333299</v>
      </c>
      <c r="E135" s="18">
        <v>0</v>
      </c>
      <c r="F135" s="19">
        <v>0</v>
      </c>
      <c r="G135" s="19">
        <v>0</v>
      </c>
      <c r="H135" s="19">
        <v>0</v>
      </c>
      <c r="I135" s="19">
        <f>SUM(E135:H135)/Variables!$E$3</f>
        <v>0</v>
      </c>
      <c r="J135" s="4">
        <v>15640</v>
      </c>
      <c r="K135">
        <v>23154</v>
      </c>
      <c r="L135">
        <v>245614</v>
      </c>
      <c r="M135">
        <v>47110</v>
      </c>
      <c r="N135" s="6">
        <f>SUM(J135:M135)/Variables!$E$3</f>
        <v>0.26248663884908036</v>
      </c>
      <c r="O135" s="4">
        <v>0</v>
      </c>
      <c r="P135">
        <v>0</v>
      </c>
      <c r="Q135">
        <v>34589</v>
      </c>
      <c r="R135">
        <v>8493</v>
      </c>
      <c r="S135" s="6">
        <f>SUM(O135:R135)/Variables!$E$3</f>
        <v>3.4111117269337049E-2</v>
      </c>
      <c r="T135" s="12">
        <v>0</v>
      </c>
      <c r="U135" s="6">
        <v>78.099999999999895</v>
      </c>
      <c r="V135" s="6">
        <v>93078</v>
      </c>
      <c r="W135" s="6">
        <v>16498.5</v>
      </c>
      <c r="X135" s="6">
        <f>SUM(T135:W135)/Variables!$E$3</f>
        <v>8.6821431681961062E-2</v>
      </c>
      <c r="Y135" s="12">
        <v>0</v>
      </c>
      <c r="Z135" s="6">
        <v>97.600000000000094</v>
      </c>
      <c r="AA135" s="6">
        <v>91197.3</v>
      </c>
      <c r="AB135" s="6">
        <v>16657.099999999999</v>
      </c>
      <c r="AC135" s="6">
        <f>SUM(Y135:AB135)/Variables!$E$3</f>
        <v>8.5473360834210879E-2</v>
      </c>
      <c r="AD135" s="4">
        <v>0</v>
      </c>
      <c r="AE135" s="2">
        <v>192.1</v>
      </c>
      <c r="AF135" s="2">
        <v>69099.5</v>
      </c>
      <c r="AG135" s="2">
        <v>15505</v>
      </c>
      <c r="AH135" s="6">
        <f>SUM(AD135:AG135)/Variables!$E$3</f>
        <v>6.7139565633932183E-2</v>
      </c>
      <c r="AI135" s="4">
        <v>0</v>
      </c>
      <c r="AJ135" s="2">
        <v>0</v>
      </c>
      <c r="AK135" s="2">
        <v>63697.3</v>
      </c>
      <c r="AL135" s="2">
        <v>10707.2</v>
      </c>
      <c r="AM135" s="6">
        <f>SUM(AI135:AL135)/Variables!$E$3</f>
        <v>5.8911392805960458E-2</v>
      </c>
      <c r="AN135" s="4">
        <v>0</v>
      </c>
      <c r="AO135" s="2">
        <v>0</v>
      </c>
      <c r="AP135" s="2">
        <v>66666.8</v>
      </c>
      <c r="AQ135" s="2">
        <v>16245.5</v>
      </c>
      <c r="AR135" s="6">
        <f>SUM(AN135:AQ135)/Variables!$E$3</f>
        <v>6.5647629830798346E-2</v>
      </c>
      <c r="AS135" s="4">
        <v>289.900000000001</v>
      </c>
      <c r="AT135" s="2">
        <v>2203.6999999999998</v>
      </c>
      <c r="AU135" s="2">
        <v>96151</v>
      </c>
      <c r="AV135" s="2">
        <v>23918.5</v>
      </c>
      <c r="AW135" s="6">
        <f>SUM(AS135:AV135)/Variables!$E$3</f>
        <v>9.7042019335069951E-2</v>
      </c>
      <c r="AX135" s="4">
        <v>0</v>
      </c>
      <c r="AY135" s="2">
        <v>44.8</v>
      </c>
      <c r="AZ135" s="2">
        <v>73719.5</v>
      </c>
      <c r="BA135" s="2">
        <v>18107.099999999999</v>
      </c>
      <c r="BB135" s="6">
        <f>SUM(AX135:BA135)/Variables!$E$3</f>
        <v>7.2741193516971628E-2</v>
      </c>
      <c r="BC135" s="12">
        <f t="shared" si="44"/>
        <v>0</v>
      </c>
      <c r="BD135" s="110">
        <f t="shared" si="44"/>
        <v>97.600000000000094</v>
      </c>
      <c r="BE135" s="110">
        <f t="shared" si="44"/>
        <v>91197.3</v>
      </c>
      <c r="BF135" s="110">
        <f t="shared" si="41"/>
        <v>16657.099999999999</v>
      </c>
      <c r="BG135" s="6">
        <f>SUM(BC135:BF135)/Variables!$E$3</f>
        <v>8.5473360834210879E-2</v>
      </c>
      <c r="BH135" s="4">
        <v>0</v>
      </c>
      <c r="BI135">
        <v>22.599999999999898</v>
      </c>
      <c r="BJ135">
        <v>70673.5</v>
      </c>
      <c r="BK135">
        <v>14857.8</v>
      </c>
      <c r="BL135" s="6">
        <f>SUM(BH135:BK135)/Variables!$E$3</f>
        <v>6.7739174498610444E-2</v>
      </c>
      <c r="BM135" s="110">
        <v>0</v>
      </c>
      <c r="BN135" s="110">
        <v>320.10000000000002</v>
      </c>
      <c r="BO135" s="110">
        <v>75515.3</v>
      </c>
      <c r="BP135" s="110">
        <v>17519.900000000001</v>
      </c>
      <c r="BQ135" s="6">
        <f>SUM(BM135:BP135)/Variables!$E$3</f>
        <v>7.3916103848803247E-2</v>
      </c>
      <c r="BS135" s="4">
        <v>133</v>
      </c>
      <c r="BT135" s="125">
        <f t="shared" si="30"/>
        <v>0</v>
      </c>
      <c r="BU135" s="125">
        <f t="shared" si="31"/>
        <v>0</v>
      </c>
      <c r="BV135" s="125">
        <f t="shared" si="32"/>
        <v>0</v>
      </c>
      <c r="BW135" s="125">
        <f t="shared" si="33"/>
        <v>0</v>
      </c>
      <c r="BX135" s="125">
        <f t="shared" si="34"/>
        <v>0</v>
      </c>
      <c r="BY135" s="125">
        <f t="shared" si="35"/>
        <v>0</v>
      </c>
      <c r="BZ135" s="125">
        <f t="shared" si="36"/>
        <v>0</v>
      </c>
      <c r="CA135" s="125">
        <f t="shared" si="37"/>
        <v>0</v>
      </c>
      <c r="CB135" s="125">
        <f t="shared" si="38"/>
        <v>0</v>
      </c>
      <c r="CC135" s="125">
        <f t="shared" si="39"/>
        <v>0</v>
      </c>
      <c r="CD135" s="125">
        <f t="shared" si="40"/>
        <v>0</v>
      </c>
      <c r="CE135" s="125">
        <f t="shared" si="42"/>
        <v>0</v>
      </c>
      <c r="CF135" s="126">
        <f t="shared" si="43"/>
        <v>0</v>
      </c>
      <c r="CH135" s="4">
        <v>133</v>
      </c>
      <c r="CI135" s="129">
        <v>0</v>
      </c>
      <c r="CJ135" s="125">
        <v>0</v>
      </c>
      <c r="CK135" s="125">
        <v>0</v>
      </c>
      <c r="CL135" s="125">
        <v>0</v>
      </c>
      <c r="CM135" s="125">
        <v>0</v>
      </c>
      <c r="CN135" s="125">
        <v>0</v>
      </c>
      <c r="CO135" s="125">
        <v>0</v>
      </c>
      <c r="CP135" s="125">
        <v>0</v>
      </c>
      <c r="CQ135" s="125">
        <v>0</v>
      </c>
      <c r="CR135" s="125">
        <v>0</v>
      </c>
      <c r="CS135" s="125">
        <v>0</v>
      </c>
      <c r="CT135" s="125">
        <v>0</v>
      </c>
      <c r="CU135" s="126">
        <v>0</v>
      </c>
    </row>
    <row r="136" spans="1:99" x14ac:dyDescent="0.25">
      <c r="A136" t="s">
        <v>217</v>
      </c>
      <c r="B136" s="2" t="s">
        <v>1</v>
      </c>
      <c r="C136" s="1">
        <v>13758</v>
      </c>
      <c r="D136" s="19">
        <v>42.841666666666697</v>
      </c>
      <c r="E136" s="18">
        <v>0</v>
      </c>
      <c r="F136" s="19">
        <v>0</v>
      </c>
      <c r="G136" s="19">
        <v>0</v>
      </c>
      <c r="H136" s="19">
        <v>0</v>
      </c>
      <c r="I136" s="19">
        <f>SUM(E136:H136)/Variables!$E$3</f>
        <v>0</v>
      </c>
      <c r="J136" s="4">
        <v>0</v>
      </c>
      <c r="K136">
        <v>0</v>
      </c>
      <c r="L136">
        <v>0</v>
      </c>
      <c r="M136">
        <v>0</v>
      </c>
      <c r="N136" s="6">
        <f>SUM(J136:M136)/Variables!$E$3</f>
        <v>0</v>
      </c>
      <c r="O136" s="4">
        <v>0</v>
      </c>
      <c r="P136">
        <v>0</v>
      </c>
      <c r="Q136">
        <v>0</v>
      </c>
      <c r="R136">
        <v>0</v>
      </c>
      <c r="S136" s="6">
        <f>SUM(O136:R136)/Variables!$E$3</f>
        <v>0</v>
      </c>
      <c r="T136" s="12">
        <v>0</v>
      </c>
      <c r="U136" s="6">
        <v>0</v>
      </c>
      <c r="V136" s="6">
        <v>0</v>
      </c>
      <c r="W136" s="6">
        <v>0</v>
      </c>
      <c r="X136" s="6">
        <f>SUM(T136:W136)/Variables!$E$3</f>
        <v>0</v>
      </c>
      <c r="Y136" s="12">
        <v>0</v>
      </c>
      <c r="Z136" s="6">
        <v>0</v>
      </c>
      <c r="AA136" s="6">
        <v>0</v>
      </c>
      <c r="AB136" s="6">
        <v>0</v>
      </c>
      <c r="AC136" s="6">
        <f>SUM(Y136:AB136)/Variables!$E$3</f>
        <v>0</v>
      </c>
      <c r="AD136" s="4">
        <v>0</v>
      </c>
      <c r="AE136" s="2">
        <v>0</v>
      </c>
      <c r="AF136" s="2">
        <v>0</v>
      </c>
      <c r="AG136" s="2">
        <v>0</v>
      </c>
      <c r="AH136" s="6">
        <f>SUM(AD136:AG136)/Variables!$E$3</f>
        <v>0</v>
      </c>
      <c r="AI136" s="4">
        <v>0</v>
      </c>
      <c r="AJ136" s="2">
        <v>0</v>
      </c>
      <c r="AK136" s="2">
        <v>0</v>
      </c>
      <c r="AL136" s="2">
        <v>0</v>
      </c>
      <c r="AM136" s="6">
        <f>SUM(AI136:AL136)/Variables!$E$3</f>
        <v>0</v>
      </c>
      <c r="AN136" s="4">
        <v>0</v>
      </c>
      <c r="AO136" s="2">
        <v>0</v>
      </c>
      <c r="AP136" s="2">
        <v>0</v>
      </c>
      <c r="AQ136" s="2">
        <v>0</v>
      </c>
      <c r="AR136" s="6">
        <f>SUM(AN136:AQ136)/Variables!$E$3</f>
        <v>0</v>
      </c>
      <c r="AS136" s="4">
        <v>0</v>
      </c>
      <c r="AT136" s="2">
        <v>0</v>
      </c>
      <c r="AU136" s="2">
        <v>0</v>
      </c>
      <c r="AV136" s="2">
        <v>0</v>
      </c>
      <c r="AW136" s="6">
        <f>SUM(AS136:AV136)/Variables!$E$3</f>
        <v>0</v>
      </c>
      <c r="AX136" s="4">
        <v>0</v>
      </c>
      <c r="AY136" s="2">
        <v>0</v>
      </c>
      <c r="AZ136" s="2">
        <v>0</v>
      </c>
      <c r="BA136" s="2">
        <v>0</v>
      </c>
      <c r="BB136" s="6">
        <f>SUM(AX136:BA136)/Variables!$E$3</f>
        <v>0</v>
      </c>
      <c r="BC136" s="12">
        <f t="shared" si="44"/>
        <v>0</v>
      </c>
      <c r="BD136" s="110">
        <f t="shared" si="44"/>
        <v>0</v>
      </c>
      <c r="BE136" s="110">
        <f t="shared" si="44"/>
        <v>0</v>
      </c>
      <c r="BF136" s="110">
        <f t="shared" si="41"/>
        <v>0</v>
      </c>
      <c r="BG136" s="6">
        <f>SUM(BC136:BF136)/Variables!$E$3</f>
        <v>0</v>
      </c>
      <c r="BH136" s="4">
        <v>0</v>
      </c>
      <c r="BI136">
        <v>0</v>
      </c>
      <c r="BJ136">
        <v>0</v>
      </c>
      <c r="BK136">
        <v>0</v>
      </c>
      <c r="BL136" s="6">
        <f>SUM(BH136:BK136)/Variables!$E$3</f>
        <v>0</v>
      </c>
      <c r="BM136" s="110">
        <v>0</v>
      </c>
      <c r="BN136" s="110">
        <v>0</v>
      </c>
      <c r="BO136" s="110">
        <v>0</v>
      </c>
      <c r="BP136" s="110">
        <v>0</v>
      </c>
      <c r="BQ136" s="6">
        <f>SUM(BM136:BP136)/Variables!$E$3</f>
        <v>0</v>
      </c>
      <c r="BS136" s="4">
        <v>134</v>
      </c>
      <c r="BT136" s="125">
        <f t="shared" si="30"/>
        <v>0</v>
      </c>
      <c r="BU136" s="125">
        <f t="shared" si="31"/>
        <v>0</v>
      </c>
      <c r="BV136" s="125">
        <f t="shared" si="32"/>
        <v>0</v>
      </c>
      <c r="BW136" s="125">
        <f t="shared" si="33"/>
        <v>0</v>
      </c>
      <c r="BX136" s="125">
        <f t="shared" si="34"/>
        <v>0</v>
      </c>
      <c r="BY136" s="125">
        <f t="shared" si="35"/>
        <v>0</v>
      </c>
      <c r="BZ136" s="125">
        <f t="shared" si="36"/>
        <v>0</v>
      </c>
      <c r="CA136" s="125">
        <f t="shared" si="37"/>
        <v>0</v>
      </c>
      <c r="CB136" s="125">
        <f t="shared" si="38"/>
        <v>0</v>
      </c>
      <c r="CC136" s="125">
        <f t="shared" si="39"/>
        <v>0</v>
      </c>
      <c r="CD136" s="125">
        <f t="shared" si="40"/>
        <v>0</v>
      </c>
      <c r="CE136" s="125">
        <f t="shared" si="42"/>
        <v>0</v>
      </c>
      <c r="CF136" s="126">
        <f t="shared" si="43"/>
        <v>0</v>
      </c>
      <c r="CH136" s="4">
        <v>134</v>
      </c>
      <c r="CI136" s="129">
        <v>0</v>
      </c>
      <c r="CJ136" s="125">
        <v>0</v>
      </c>
      <c r="CK136" s="125">
        <v>0</v>
      </c>
      <c r="CL136" s="125">
        <v>0</v>
      </c>
      <c r="CM136" s="125">
        <v>0</v>
      </c>
      <c r="CN136" s="125">
        <v>0</v>
      </c>
      <c r="CO136" s="125">
        <v>0</v>
      </c>
      <c r="CP136" s="125">
        <v>0</v>
      </c>
      <c r="CQ136" s="125">
        <v>0</v>
      </c>
      <c r="CR136" s="125">
        <v>0</v>
      </c>
      <c r="CS136" s="125">
        <v>0</v>
      </c>
      <c r="CT136" s="125">
        <v>0</v>
      </c>
      <c r="CU136" s="126">
        <v>0</v>
      </c>
    </row>
    <row r="137" spans="1:99" x14ac:dyDescent="0.25">
      <c r="A137" t="s">
        <v>217</v>
      </c>
      <c r="B137" s="2" t="s">
        <v>2</v>
      </c>
      <c r="C137" s="1">
        <v>13849</v>
      </c>
      <c r="D137" s="19">
        <v>11.25</v>
      </c>
      <c r="E137" s="18">
        <v>0</v>
      </c>
      <c r="F137" s="19">
        <v>0</v>
      </c>
      <c r="G137" s="19">
        <v>0</v>
      </c>
      <c r="H137" s="19">
        <v>0</v>
      </c>
      <c r="I137" s="19">
        <f>SUM(E137:H137)/Variables!$E$3</f>
        <v>0</v>
      </c>
      <c r="J137" s="4">
        <v>0</v>
      </c>
      <c r="K137">
        <v>0</v>
      </c>
      <c r="L137">
        <v>0</v>
      </c>
      <c r="M137">
        <v>0</v>
      </c>
      <c r="N137" s="6">
        <f>SUM(J137:M137)/Variables!$E$3</f>
        <v>0</v>
      </c>
      <c r="O137" s="4">
        <v>0</v>
      </c>
      <c r="P137">
        <v>0</v>
      </c>
      <c r="Q137">
        <v>0</v>
      </c>
      <c r="R137">
        <v>0</v>
      </c>
      <c r="S137" s="6">
        <f>SUM(O137:R137)/Variables!$E$3</f>
        <v>0</v>
      </c>
      <c r="T137" s="12">
        <v>0</v>
      </c>
      <c r="U137" s="6">
        <v>0</v>
      </c>
      <c r="V137" s="6">
        <v>0</v>
      </c>
      <c r="W137" s="6">
        <v>0</v>
      </c>
      <c r="X137" s="6">
        <f>SUM(T137:W137)/Variables!$E$3</f>
        <v>0</v>
      </c>
      <c r="Y137" s="12">
        <v>0</v>
      </c>
      <c r="Z137" s="6">
        <v>0</v>
      </c>
      <c r="AA137" s="6">
        <v>0</v>
      </c>
      <c r="AB137" s="6">
        <v>0</v>
      </c>
      <c r="AC137" s="6">
        <f>SUM(Y137:AB137)/Variables!$E$3</f>
        <v>0</v>
      </c>
      <c r="AD137" s="4">
        <v>0</v>
      </c>
      <c r="AE137" s="2">
        <v>0</v>
      </c>
      <c r="AF137" s="2">
        <v>0</v>
      </c>
      <c r="AG137" s="2">
        <v>0</v>
      </c>
      <c r="AH137" s="6">
        <f>SUM(AD137:AG137)/Variables!$E$3</f>
        <v>0</v>
      </c>
      <c r="AI137" s="4">
        <v>0</v>
      </c>
      <c r="AJ137" s="2">
        <v>0</v>
      </c>
      <c r="AK137" s="2">
        <v>0</v>
      </c>
      <c r="AL137" s="2">
        <v>0</v>
      </c>
      <c r="AM137" s="6">
        <f>SUM(AI137:AL137)/Variables!$E$3</f>
        <v>0</v>
      </c>
      <c r="AN137" s="4">
        <v>0</v>
      </c>
      <c r="AO137" s="2">
        <v>0</v>
      </c>
      <c r="AP137" s="2">
        <v>0</v>
      </c>
      <c r="AQ137" s="2">
        <v>0</v>
      </c>
      <c r="AR137" s="6">
        <f>SUM(AN137:AQ137)/Variables!$E$3</f>
        <v>0</v>
      </c>
      <c r="AS137" s="4">
        <v>0</v>
      </c>
      <c r="AT137" s="2">
        <v>0</v>
      </c>
      <c r="AU137" s="2">
        <v>0</v>
      </c>
      <c r="AV137" s="2">
        <v>0</v>
      </c>
      <c r="AW137" s="6">
        <f>SUM(AS137:AV137)/Variables!$E$3</f>
        <v>0</v>
      </c>
      <c r="AX137" s="4">
        <v>0</v>
      </c>
      <c r="AY137" s="2">
        <v>0</v>
      </c>
      <c r="AZ137" s="2">
        <v>0</v>
      </c>
      <c r="BA137" s="2">
        <v>0</v>
      </c>
      <c r="BB137" s="6">
        <f>SUM(AX137:BA137)/Variables!$E$3</f>
        <v>0</v>
      </c>
      <c r="BC137" s="12">
        <f t="shared" si="44"/>
        <v>0</v>
      </c>
      <c r="BD137" s="110">
        <f t="shared" si="44"/>
        <v>0</v>
      </c>
      <c r="BE137" s="110">
        <f t="shared" si="44"/>
        <v>0</v>
      </c>
      <c r="BF137" s="110">
        <f t="shared" si="41"/>
        <v>0</v>
      </c>
      <c r="BG137" s="6">
        <f>SUM(BC137:BF137)/Variables!$E$3</f>
        <v>0</v>
      </c>
      <c r="BH137" s="4">
        <v>0</v>
      </c>
      <c r="BI137">
        <v>0</v>
      </c>
      <c r="BJ137">
        <v>0</v>
      </c>
      <c r="BK137">
        <v>0</v>
      </c>
      <c r="BL137" s="6">
        <f>SUM(BH137:BK137)/Variables!$E$3</f>
        <v>0</v>
      </c>
      <c r="BM137" s="110">
        <v>0</v>
      </c>
      <c r="BN137" s="110">
        <v>0</v>
      </c>
      <c r="BO137" s="110">
        <v>0</v>
      </c>
      <c r="BP137" s="110">
        <v>0</v>
      </c>
      <c r="BQ137" s="6">
        <f>SUM(BM137:BP137)/Variables!$E$3</f>
        <v>0</v>
      </c>
      <c r="BS137" s="4">
        <v>135</v>
      </c>
      <c r="BT137" s="125">
        <f t="shared" si="30"/>
        <v>0</v>
      </c>
      <c r="BU137" s="125">
        <f t="shared" si="31"/>
        <v>0</v>
      </c>
      <c r="BV137" s="125">
        <f t="shared" si="32"/>
        <v>0</v>
      </c>
      <c r="BW137" s="125">
        <f t="shared" si="33"/>
        <v>0</v>
      </c>
      <c r="BX137" s="125">
        <f t="shared" si="34"/>
        <v>0</v>
      </c>
      <c r="BY137" s="125">
        <f t="shared" si="35"/>
        <v>0</v>
      </c>
      <c r="BZ137" s="125">
        <f t="shared" si="36"/>
        <v>0</v>
      </c>
      <c r="CA137" s="125">
        <f t="shared" si="37"/>
        <v>0</v>
      </c>
      <c r="CB137" s="125">
        <f t="shared" si="38"/>
        <v>0</v>
      </c>
      <c r="CC137" s="125">
        <f t="shared" si="39"/>
        <v>0</v>
      </c>
      <c r="CD137" s="125">
        <f t="shared" si="40"/>
        <v>0</v>
      </c>
      <c r="CE137" s="125">
        <f t="shared" si="42"/>
        <v>0</v>
      </c>
      <c r="CF137" s="126">
        <f t="shared" si="43"/>
        <v>0</v>
      </c>
      <c r="CH137" s="4">
        <v>135</v>
      </c>
      <c r="CI137" s="129">
        <v>0</v>
      </c>
      <c r="CJ137" s="125">
        <v>0</v>
      </c>
      <c r="CK137" s="125">
        <v>0</v>
      </c>
      <c r="CL137" s="125">
        <v>0</v>
      </c>
      <c r="CM137" s="125">
        <v>0</v>
      </c>
      <c r="CN137" s="125">
        <v>0</v>
      </c>
      <c r="CO137" s="125">
        <v>0</v>
      </c>
      <c r="CP137" s="125">
        <v>0</v>
      </c>
      <c r="CQ137" s="125">
        <v>0</v>
      </c>
      <c r="CR137" s="125">
        <v>0</v>
      </c>
      <c r="CS137" s="125">
        <v>0</v>
      </c>
      <c r="CT137" s="125">
        <v>0</v>
      </c>
      <c r="CU137" s="126">
        <v>0</v>
      </c>
    </row>
    <row r="138" spans="1:99" x14ac:dyDescent="0.25">
      <c r="A138" t="s">
        <v>218</v>
      </c>
      <c r="B138" s="2" t="s">
        <v>3</v>
      </c>
      <c r="C138" s="1">
        <v>13939</v>
      </c>
      <c r="D138" s="19">
        <v>29.828571428571401</v>
      </c>
      <c r="E138" s="18">
        <v>0</v>
      </c>
      <c r="F138" s="19">
        <v>0</v>
      </c>
      <c r="G138" s="19">
        <v>0</v>
      </c>
      <c r="H138" s="19">
        <v>0</v>
      </c>
      <c r="I138" s="19">
        <f>SUM(E138:H138)/Variables!$E$3</f>
        <v>0</v>
      </c>
      <c r="J138" s="4">
        <v>0</v>
      </c>
      <c r="K138">
        <v>0</v>
      </c>
      <c r="L138">
        <v>0</v>
      </c>
      <c r="M138">
        <v>0</v>
      </c>
      <c r="N138" s="6">
        <f>SUM(J138:M138)/Variables!$E$3</f>
        <v>0</v>
      </c>
      <c r="O138" s="4">
        <v>0</v>
      </c>
      <c r="P138">
        <v>0</v>
      </c>
      <c r="Q138">
        <v>0</v>
      </c>
      <c r="R138">
        <v>0</v>
      </c>
      <c r="S138" s="6">
        <f>SUM(O138:R138)/Variables!$E$3</f>
        <v>0</v>
      </c>
      <c r="T138" s="12">
        <v>0</v>
      </c>
      <c r="U138" s="6">
        <v>0</v>
      </c>
      <c r="V138" s="6">
        <v>0</v>
      </c>
      <c r="W138" s="6">
        <v>0</v>
      </c>
      <c r="X138" s="6">
        <f>SUM(T138:W138)/Variables!$E$3</f>
        <v>0</v>
      </c>
      <c r="Y138" s="12">
        <v>0</v>
      </c>
      <c r="Z138" s="6">
        <v>0</v>
      </c>
      <c r="AA138" s="6">
        <v>0</v>
      </c>
      <c r="AB138" s="6">
        <v>0</v>
      </c>
      <c r="AC138" s="6">
        <f>SUM(Y138:AB138)/Variables!$E$3</f>
        <v>0</v>
      </c>
      <c r="AD138" s="4">
        <v>0</v>
      </c>
      <c r="AE138" s="2">
        <v>0</v>
      </c>
      <c r="AF138" s="2">
        <v>0</v>
      </c>
      <c r="AG138" s="2">
        <v>0</v>
      </c>
      <c r="AH138" s="6">
        <f>SUM(AD138:AG138)/Variables!$E$3</f>
        <v>0</v>
      </c>
      <c r="AI138" s="4">
        <v>0</v>
      </c>
      <c r="AJ138" s="2">
        <v>0</v>
      </c>
      <c r="AK138" s="2">
        <v>0</v>
      </c>
      <c r="AL138" s="2">
        <v>0</v>
      </c>
      <c r="AM138" s="6">
        <f>SUM(AI138:AL138)/Variables!$E$3</f>
        <v>0</v>
      </c>
      <c r="AN138" s="4">
        <v>0</v>
      </c>
      <c r="AO138" s="2">
        <v>0</v>
      </c>
      <c r="AP138" s="2">
        <v>0</v>
      </c>
      <c r="AQ138" s="2">
        <v>0</v>
      </c>
      <c r="AR138" s="6">
        <f>SUM(AN138:AQ138)/Variables!$E$3</f>
        <v>0</v>
      </c>
      <c r="AS138" s="4">
        <v>0</v>
      </c>
      <c r="AT138" s="2">
        <v>0</v>
      </c>
      <c r="AU138" s="2">
        <v>0</v>
      </c>
      <c r="AV138" s="2">
        <v>0</v>
      </c>
      <c r="AW138" s="6">
        <f>SUM(AS138:AV138)/Variables!$E$3</f>
        <v>0</v>
      </c>
      <c r="AX138" s="4">
        <v>0</v>
      </c>
      <c r="AY138" s="2">
        <v>0</v>
      </c>
      <c r="AZ138" s="2">
        <v>0</v>
      </c>
      <c r="BA138" s="2">
        <v>0</v>
      </c>
      <c r="BB138" s="6">
        <f>SUM(AX138:BA138)/Variables!$E$3</f>
        <v>0</v>
      </c>
      <c r="BC138" s="12">
        <f t="shared" si="44"/>
        <v>0</v>
      </c>
      <c r="BD138" s="110">
        <f t="shared" si="44"/>
        <v>0</v>
      </c>
      <c r="BE138" s="110">
        <f t="shared" si="44"/>
        <v>0</v>
      </c>
      <c r="BF138" s="110">
        <f t="shared" si="41"/>
        <v>0</v>
      </c>
      <c r="BG138" s="6">
        <f>SUM(BC138:BF138)/Variables!$E$3</f>
        <v>0</v>
      </c>
      <c r="BH138" s="4">
        <v>0</v>
      </c>
      <c r="BI138">
        <v>0</v>
      </c>
      <c r="BJ138">
        <v>0</v>
      </c>
      <c r="BK138">
        <v>0</v>
      </c>
      <c r="BL138" s="6">
        <f>SUM(BH138:BK138)/Variables!$E$3</f>
        <v>0</v>
      </c>
      <c r="BM138" s="110">
        <v>0</v>
      </c>
      <c r="BN138" s="110">
        <v>0</v>
      </c>
      <c r="BO138" s="110">
        <v>0</v>
      </c>
      <c r="BP138" s="110">
        <v>0</v>
      </c>
      <c r="BQ138" s="6">
        <f>SUM(BM138:BP138)/Variables!$E$3</f>
        <v>0</v>
      </c>
      <c r="BS138" s="4">
        <v>136</v>
      </c>
      <c r="BT138" s="125">
        <f t="shared" si="30"/>
        <v>0</v>
      </c>
      <c r="BU138" s="125">
        <f t="shared" si="31"/>
        <v>0</v>
      </c>
      <c r="BV138" s="125">
        <f t="shared" si="32"/>
        <v>0</v>
      </c>
      <c r="BW138" s="125">
        <f t="shared" si="33"/>
        <v>0</v>
      </c>
      <c r="BX138" s="125">
        <f t="shared" si="34"/>
        <v>0</v>
      </c>
      <c r="BY138" s="125">
        <f t="shared" si="35"/>
        <v>0</v>
      </c>
      <c r="BZ138" s="125">
        <f t="shared" si="36"/>
        <v>0</v>
      </c>
      <c r="CA138" s="125">
        <f t="shared" si="37"/>
        <v>0</v>
      </c>
      <c r="CB138" s="125">
        <f t="shared" si="38"/>
        <v>0</v>
      </c>
      <c r="CC138" s="125">
        <f t="shared" si="39"/>
        <v>0</v>
      </c>
      <c r="CD138" s="125">
        <f t="shared" si="40"/>
        <v>0</v>
      </c>
      <c r="CE138" s="125">
        <f t="shared" si="42"/>
        <v>0</v>
      </c>
      <c r="CF138" s="126">
        <f t="shared" si="43"/>
        <v>0</v>
      </c>
      <c r="CH138" s="4">
        <v>136</v>
      </c>
      <c r="CI138" s="129">
        <v>0</v>
      </c>
      <c r="CJ138" s="125">
        <v>0</v>
      </c>
      <c r="CK138" s="125">
        <v>0</v>
      </c>
      <c r="CL138" s="125">
        <v>0</v>
      </c>
      <c r="CM138" s="125">
        <v>0</v>
      </c>
      <c r="CN138" s="125">
        <v>0</v>
      </c>
      <c r="CO138" s="125">
        <v>0</v>
      </c>
      <c r="CP138" s="125">
        <v>0</v>
      </c>
      <c r="CQ138" s="125">
        <v>0</v>
      </c>
      <c r="CR138" s="125">
        <v>0</v>
      </c>
      <c r="CS138" s="125">
        <v>0</v>
      </c>
      <c r="CT138" s="125">
        <v>0</v>
      </c>
      <c r="CU138" s="126">
        <v>0</v>
      </c>
    </row>
    <row r="139" spans="1:99" x14ac:dyDescent="0.25">
      <c r="A139" t="s">
        <v>218</v>
      </c>
      <c r="B139" s="2" t="s">
        <v>4</v>
      </c>
      <c r="C139" s="1">
        <v>14031</v>
      </c>
      <c r="D139" s="19">
        <v>41.542857142857102</v>
      </c>
      <c r="E139" s="18">
        <v>0</v>
      </c>
      <c r="F139" s="19">
        <v>0</v>
      </c>
      <c r="G139" s="19">
        <v>0</v>
      </c>
      <c r="H139" s="19">
        <v>0</v>
      </c>
      <c r="I139" s="19">
        <f>SUM(E139:H139)/Variables!$E$3</f>
        <v>0</v>
      </c>
      <c r="J139" s="4">
        <v>0</v>
      </c>
      <c r="K139">
        <v>0</v>
      </c>
      <c r="L139">
        <v>0</v>
      </c>
      <c r="M139">
        <v>0</v>
      </c>
      <c r="N139" s="6">
        <f>SUM(J139:M139)/Variables!$E$3</f>
        <v>0</v>
      </c>
      <c r="O139" s="4">
        <v>0</v>
      </c>
      <c r="P139">
        <v>0</v>
      </c>
      <c r="Q139">
        <v>0</v>
      </c>
      <c r="R139">
        <v>0</v>
      </c>
      <c r="S139" s="6">
        <f>SUM(O139:R139)/Variables!$E$3</f>
        <v>0</v>
      </c>
      <c r="T139" s="12">
        <v>0</v>
      </c>
      <c r="U139" s="6">
        <v>0</v>
      </c>
      <c r="V139" s="6">
        <v>0</v>
      </c>
      <c r="W139" s="6">
        <v>0</v>
      </c>
      <c r="X139" s="6">
        <f>SUM(T139:W139)/Variables!$E$3</f>
        <v>0</v>
      </c>
      <c r="Y139" s="12">
        <v>0</v>
      </c>
      <c r="Z139" s="6">
        <v>0</v>
      </c>
      <c r="AA139" s="6">
        <v>0</v>
      </c>
      <c r="AB139" s="6">
        <v>0</v>
      </c>
      <c r="AC139" s="6">
        <f>SUM(Y139:AB139)/Variables!$E$3</f>
        <v>0</v>
      </c>
      <c r="AD139" s="4">
        <v>0</v>
      </c>
      <c r="AE139" s="2">
        <v>0</v>
      </c>
      <c r="AF139" s="2">
        <v>0</v>
      </c>
      <c r="AG139" s="2">
        <v>0</v>
      </c>
      <c r="AH139" s="6">
        <f>SUM(AD139:AG139)/Variables!$E$3</f>
        <v>0</v>
      </c>
      <c r="AI139" s="4">
        <v>0</v>
      </c>
      <c r="AJ139" s="2">
        <v>0</v>
      </c>
      <c r="AK139" s="2">
        <v>0</v>
      </c>
      <c r="AL139" s="2">
        <v>0</v>
      </c>
      <c r="AM139" s="6">
        <f>SUM(AI139:AL139)/Variables!$E$3</f>
        <v>0</v>
      </c>
      <c r="AN139" s="4">
        <v>0</v>
      </c>
      <c r="AO139" s="2">
        <v>0</v>
      </c>
      <c r="AP139" s="2">
        <v>0</v>
      </c>
      <c r="AQ139" s="2">
        <v>0</v>
      </c>
      <c r="AR139" s="6">
        <f>SUM(AN139:AQ139)/Variables!$E$3</f>
        <v>0</v>
      </c>
      <c r="AS139" s="4">
        <v>0</v>
      </c>
      <c r="AT139" s="2">
        <v>0</v>
      </c>
      <c r="AU139" s="2">
        <v>0</v>
      </c>
      <c r="AV139" s="2">
        <v>0</v>
      </c>
      <c r="AW139" s="6">
        <f>SUM(AS139:AV139)/Variables!$E$3</f>
        <v>0</v>
      </c>
      <c r="AX139" s="4">
        <v>0</v>
      </c>
      <c r="AY139" s="2">
        <v>0</v>
      </c>
      <c r="AZ139" s="2">
        <v>0</v>
      </c>
      <c r="BA139" s="2">
        <v>0</v>
      </c>
      <c r="BB139" s="6">
        <f>SUM(AX139:BA139)/Variables!$E$3</f>
        <v>0</v>
      </c>
      <c r="BC139" s="12">
        <f t="shared" si="44"/>
        <v>0</v>
      </c>
      <c r="BD139" s="110">
        <f t="shared" si="44"/>
        <v>0</v>
      </c>
      <c r="BE139" s="110">
        <f t="shared" si="44"/>
        <v>0</v>
      </c>
      <c r="BF139" s="110">
        <f t="shared" si="41"/>
        <v>0</v>
      </c>
      <c r="BG139" s="6">
        <f>SUM(BC139:BF139)/Variables!$E$3</f>
        <v>0</v>
      </c>
      <c r="BH139" s="4">
        <v>0</v>
      </c>
      <c r="BI139">
        <v>0</v>
      </c>
      <c r="BJ139">
        <v>0</v>
      </c>
      <c r="BK139">
        <v>0</v>
      </c>
      <c r="BL139" s="6">
        <f>SUM(BH139:BK139)/Variables!$E$3</f>
        <v>0</v>
      </c>
      <c r="BM139" s="110">
        <v>0</v>
      </c>
      <c r="BN139" s="110">
        <v>0</v>
      </c>
      <c r="BO139" s="110">
        <v>0</v>
      </c>
      <c r="BP139" s="110">
        <v>0</v>
      </c>
      <c r="BQ139" s="6">
        <f>SUM(BM139:BP139)/Variables!$E$3</f>
        <v>0</v>
      </c>
      <c r="BS139" s="4">
        <v>137</v>
      </c>
      <c r="BT139" s="125">
        <f t="shared" si="30"/>
        <v>0</v>
      </c>
      <c r="BU139" s="125">
        <f t="shared" si="31"/>
        <v>6.2181806665135911E-2</v>
      </c>
      <c r="BV139" s="125">
        <f t="shared" si="32"/>
        <v>0</v>
      </c>
      <c r="BW139" s="125">
        <f t="shared" si="33"/>
        <v>5.3460439116699262E-3</v>
      </c>
      <c r="BX139" s="125">
        <f t="shared" si="34"/>
        <v>4.9813537716054757E-3</v>
      </c>
      <c r="BY139" s="125">
        <f t="shared" si="35"/>
        <v>5.1013863926080167E-4</v>
      </c>
      <c r="BZ139" s="125">
        <f t="shared" si="36"/>
        <v>1.3902722903585936E-3</v>
      </c>
      <c r="CA139" s="125">
        <f t="shared" si="37"/>
        <v>1.9701660345687617E-3</v>
      </c>
      <c r="CB139" s="125">
        <f t="shared" si="38"/>
        <v>5.3028131655832589E-3</v>
      </c>
      <c r="CC139" s="125">
        <f t="shared" si="39"/>
        <v>3.1706505989754471E-3</v>
      </c>
      <c r="CD139" s="125">
        <f t="shared" si="40"/>
        <v>4.9813537716054757E-3</v>
      </c>
      <c r="CE139" s="125">
        <f t="shared" si="42"/>
        <v>2.555206296170199E-3</v>
      </c>
      <c r="CF139" s="126">
        <f t="shared" si="43"/>
        <v>2.9883055289432218E-3</v>
      </c>
      <c r="CH139" s="4">
        <v>137</v>
      </c>
      <c r="CI139" s="129">
        <v>0</v>
      </c>
      <c r="CJ139" s="125">
        <v>0</v>
      </c>
      <c r="CK139" s="125">
        <v>0</v>
      </c>
      <c r="CL139" s="125">
        <v>0</v>
      </c>
      <c r="CM139" s="125">
        <v>0</v>
      </c>
      <c r="CN139" s="125">
        <v>0</v>
      </c>
      <c r="CO139" s="125">
        <v>0</v>
      </c>
      <c r="CP139" s="125">
        <v>0</v>
      </c>
      <c r="CQ139" s="125">
        <v>0</v>
      </c>
      <c r="CR139" s="125">
        <v>0</v>
      </c>
      <c r="CS139" s="125">
        <v>0</v>
      </c>
      <c r="CT139" s="125">
        <v>0</v>
      </c>
      <c r="CU139" s="126">
        <v>0</v>
      </c>
    </row>
    <row r="140" spans="1:99" x14ac:dyDescent="0.25">
      <c r="A140" t="s">
        <v>218</v>
      </c>
      <c r="B140" s="2" t="s">
        <v>1</v>
      </c>
      <c r="C140" s="1">
        <v>14123</v>
      </c>
      <c r="D140" s="19">
        <v>87.5</v>
      </c>
      <c r="E140" s="18">
        <v>0</v>
      </c>
      <c r="F140" s="19">
        <v>0</v>
      </c>
      <c r="G140" s="19">
        <v>0</v>
      </c>
      <c r="H140" s="19">
        <v>0</v>
      </c>
      <c r="I140" s="19">
        <f>SUM(E140:H140)/Variables!$E$3</f>
        <v>0</v>
      </c>
      <c r="J140" s="4">
        <v>0</v>
      </c>
      <c r="K140">
        <v>1546</v>
      </c>
      <c r="L140">
        <v>72200</v>
      </c>
      <c r="M140">
        <v>4789</v>
      </c>
      <c r="N140" s="6">
        <f>SUM(J140:M140)/Variables!$E$3</f>
        <v>6.2181806665135911E-2</v>
      </c>
      <c r="O140" s="4">
        <v>0</v>
      </c>
      <c r="P140">
        <v>0</v>
      </c>
      <c r="Q140">
        <v>0</v>
      </c>
      <c r="R140">
        <v>0</v>
      </c>
      <c r="S140" s="6">
        <f>SUM(O140:R140)/Variables!$E$3</f>
        <v>0</v>
      </c>
      <c r="T140" s="12">
        <v>0</v>
      </c>
      <c r="U140" s="6">
        <v>0</v>
      </c>
      <c r="V140" s="6">
        <v>6752</v>
      </c>
      <c r="W140" s="6">
        <v>0</v>
      </c>
      <c r="X140" s="6">
        <f>SUM(T140:W140)/Variables!$E$3</f>
        <v>5.3460439116699262E-3</v>
      </c>
      <c r="Y140" s="12">
        <v>0</v>
      </c>
      <c r="Z140" s="6">
        <v>0</v>
      </c>
      <c r="AA140" s="6">
        <v>6291.4</v>
      </c>
      <c r="AB140" s="6">
        <v>0</v>
      </c>
      <c r="AC140" s="6">
        <f>SUM(Y140:AB140)/Variables!$E$3</f>
        <v>4.9813537716054757E-3</v>
      </c>
      <c r="AD140" s="4">
        <v>0</v>
      </c>
      <c r="AE140" s="2">
        <v>0</v>
      </c>
      <c r="AF140" s="2">
        <v>644.29999999999995</v>
      </c>
      <c r="AG140" s="2">
        <v>0</v>
      </c>
      <c r="AH140" s="6">
        <f>SUM(AD140:AG140)/Variables!$E$3</f>
        <v>5.1013863926080167E-4</v>
      </c>
      <c r="AI140" s="4">
        <v>0</v>
      </c>
      <c r="AJ140" s="2">
        <v>0</v>
      </c>
      <c r="AK140" s="2">
        <v>1755.9</v>
      </c>
      <c r="AL140" s="2">
        <v>0</v>
      </c>
      <c r="AM140" s="6">
        <f>SUM(AI140:AL140)/Variables!$E$3</f>
        <v>1.3902722903585936E-3</v>
      </c>
      <c r="AN140" s="4">
        <v>0</v>
      </c>
      <c r="AO140" s="2">
        <v>0</v>
      </c>
      <c r="AP140" s="2">
        <v>2488.3000000000002</v>
      </c>
      <c r="AQ140" s="2">
        <v>0</v>
      </c>
      <c r="AR140" s="6">
        <f>SUM(AN140:AQ140)/Variables!$E$3</f>
        <v>1.9701660345687617E-3</v>
      </c>
      <c r="AS140" s="4">
        <v>0</v>
      </c>
      <c r="AT140" s="2">
        <v>0</v>
      </c>
      <c r="AU140" s="2">
        <v>6697.4</v>
      </c>
      <c r="AV140" s="2">
        <v>0</v>
      </c>
      <c r="AW140" s="6">
        <f>SUM(AS140:AV140)/Variables!$E$3</f>
        <v>5.3028131655832589E-3</v>
      </c>
      <c r="AX140" s="4">
        <v>0</v>
      </c>
      <c r="AY140" s="2">
        <v>0</v>
      </c>
      <c r="AZ140" s="2">
        <v>4004.5</v>
      </c>
      <c r="BA140" s="2">
        <v>0</v>
      </c>
      <c r="BB140" s="6">
        <f>SUM(AX140:BA140)/Variables!$E$3</f>
        <v>3.1706505989754471E-3</v>
      </c>
      <c r="BC140" s="12">
        <f t="shared" si="44"/>
        <v>0</v>
      </c>
      <c r="BD140" s="110">
        <f t="shared" si="44"/>
        <v>0</v>
      </c>
      <c r="BE140" s="110">
        <f t="shared" si="44"/>
        <v>6291.4</v>
      </c>
      <c r="BF140" s="110">
        <f t="shared" si="41"/>
        <v>0</v>
      </c>
      <c r="BG140" s="6">
        <f>SUM(BC140:BF140)/Variables!$E$3</f>
        <v>4.9813537716054757E-3</v>
      </c>
      <c r="BH140" s="4">
        <v>0</v>
      </c>
      <c r="BI140">
        <v>0</v>
      </c>
      <c r="BJ140">
        <v>3227.2</v>
      </c>
      <c r="BK140">
        <v>0</v>
      </c>
      <c r="BL140" s="6">
        <f>SUM(BH140:BK140)/Variables!$E$3</f>
        <v>2.555206296170199E-3</v>
      </c>
      <c r="BM140" s="110">
        <v>0</v>
      </c>
      <c r="BN140" s="110">
        <v>0</v>
      </c>
      <c r="BO140" s="110">
        <v>3774.2</v>
      </c>
      <c r="BP140" s="110">
        <v>0</v>
      </c>
      <c r="BQ140" s="6">
        <f>SUM(BM140:BP140)/Variables!$E$3</f>
        <v>2.9883055289432218E-3</v>
      </c>
      <c r="BS140" s="4">
        <v>138</v>
      </c>
      <c r="BT140" s="125">
        <f t="shared" si="30"/>
        <v>0</v>
      </c>
      <c r="BU140" s="125">
        <f t="shared" si="31"/>
        <v>4.843268751138172E-3</v>
      </c>
      <c r="BV140" s="125">
        <f t="shared" si="32"/>
        <v>0</v>
      </c>
      <c r="BW140" s="125">
        <f t="shared" si="33"/>
        <v>0</v>
      </c>
      <c r="BX140" s="125">
        <f t="shared" si="34"/>
        <v>0</v>
      </c>
      <c r="BY140" s="125">
        <f t="shared" si="35"/>
        <v>0</v>
      </c>
      <c r="BZ140" s="125">
        <f t="shared" si="36"/>
        <v>0</v>
      </c>
      <c r="CA140" s="125">
        <f t="shared" si="37"/>
        <v>0</v>
      </c>
      <c r="CB140" s="125">
        <f t="shared" si="38"/>
        <v>0</v>
      </c>
      <c r="CC140" s="125">
        <f t="shared" si="39"/>
        <v>0</v>
      </c>
      <c r="CD140" s="125">
        <f t="shared" si="40"/>
        <v>0</v>
      </c>
      <c r="CE140" s="125">
        <f t="shared" si="42"/>
        <v>0</v>
      </c>
      <c r="CF140" s="126">
        <f t="shared" si="43"/>
        <v>0</v>
      </c>
      <c r="CH140" s="4">
        <v>138</v>
      </c>
      <c r="CI140" s="129">
        <v>0</v>
      </c>
      <c r="CJ140" s="125">
        <v>0</v>
      </c>
      <c r="CK140" s="125">
        <v>0</v>
      </c>
      <c r="CL140" s="125">
        <v>0</v>
      </c>
      <c r="CM140" s="125">
        <v>0</v>
      </c>
      <c r="CN140" s="125">
        <v>0</v>
      </c>
      <c r="CO140" s="125">
        <v>0</v>
      </c>
      <c r="CP140" s="125">
        <v>0</v>
      </c>
      <c r="CQ140" s="125">
        <v>0</v>
      </c>
      <c r="CR140" s="125">
        <v>0</v>
      </c>
      <c r="CS140" s="125">
        <v>0</v>
      </c>
      <c r="CT140" s="125">
        <v>0</v>
      </c>
      <c r="CU140" s="126">
        <v>0</v>
      </c>
    </row>
    <row r="141" spans="1:99" x14ac:dyDescent="0.25">
      <c r="A141" t="s">
        <v>218</v>
      </c>
      <c r="B141" s="2" t="s">
        <v>2</v>
      </c>
      <c r="C141" s="1">
        <v>14214</v>
      </c>
      <c r="D141" s="19">
        <v>12.214285714285699</v>
      </c>
      <c r="E141" s="18">
        <v>0</v>
      </c>
      <c r="F141" s="19">
        <v>0</v>
      </c>
      <c r="G141" s="19">
        <v>0</v>
      </c>
      <c r="H141" s="19">
        <v>0</v>
      </c>
      <c r="I141" s="19">
        <f>SUM(E141:H141)/Variables!$E$3</f>
        <v>0</v>
      </c>
      <c r="J141" s="4">
        <v>0</v>
      </c>
      <c r="K141">
        <v>0</v>
      </c>
      <c r="L141">
        <v>6117</v>
      </c>
      <c r="M141">
        <v>0</v>
      </c>
      <c r="N141" s="6">
        <f>SUM(J141:M141)/Variables!$E$3</f>
        <v>4.843268751138172E-3</v>
      </c>
      <c r="O141" s="4">
        <v>0</v>
      </c>
      <c r="P141">
        <v>0</v>
      </c>
      <c r="Q141">
        <v>0</v>
      </c>
      <c r="R141">
        <v>0</v>
      </c>
      <c r="S141" s="6">
        <f>SUM(O141:R141)/Variables!$E$3</f>
        <v>0</v>
      </c>
      <c r="T141" s="12">
        <v>0</v>
      </c>
      <c r="U141" s="6">
        <v>0</v>
      </c>
      <c r="V141" s="6">
        <v>0</v>
      </c>
      <c r="W141" s="6">
        <v>0</v>
      </c>
      <c r="X141" s="6">
        <f>SUM(T141:W141)/Variables!$E$3</f>
        <v>0</v>
      </c>
      <c r="Y141" s="12">
        <v>0</v>
      </c>
      <c r="Z141" s="6">
        <v>0</v>
      </c>
      <c r="AA141" s="6">
        <v>0</v>
      </c>
      <c r="AB141" s="6">
        <v>0</v>
      </c>
      <c r="AC141" s="6">
        <f>SUM(Y141:AB141)/Variables!$E$3</f>
        <v>0</v>
      </c>
      <c r="AD141" s="4">
        <v>0</v>
      </c>
      <c r="AE141" s="2">
        <v>0</v>
      </c>
      <c r="AF141" s="2">
        <v>0</v>
      </c>
      <c r="AG141" s="2">
        <v>0</v>
      </c>
      <c r="AH141" s="6">
        <f>SUM(AD141:AG141)/Variables!$E$3</f>
        <v>0</v>
      </c>
      <c r="AI141" s="4">
        <v>0</v>
      </c>
      <c r="AJ141" s="2">
        <v>0</v>
      </c>
      <c r="AK141" s="2">
        <v>0</v>
      </c>
      <c r="AL141" s="2">
        <v>0</v>
      </c>
      <c r="AM141" s="6">
        <f>SUM(AI141:AL141)/Variables!$E$3</f>
        <v>0</v>
      </c>
      <c r="AN141" s="4">
        <v>0</v>
      </c>
      <c r="AO141" s="2">
        <v>0</v>
      </c>
      <c r="AP141" s="2">
        <v>0</v>
      </c>
      <c r="AQ141" s="2">
        <v>0</v>
      </c>
      <c r="AR141" s="6">
        <f>SUM(AN141:AQ141)/Variables!$E$3</f>
        <v>0</v>
      </c>
      <c r="AS141" s="4">
        <v>0</v>
      </c>
      <c r="AT141" s="2">
        <v>0</v>
      </c>
      <c r="AU141" s="2">
        <v>0</v>
      </c>
      <c r="AV141" s="2">
        <v>0</v>
      </c>
      <c r="AW141" s="6">
        <f>SUM(AS141:AV141)/Variables!$E$3</f>
        <v>0</v>
      </c>
      <c r="AX141" s="4">
        <v>0</v>
      </c>
      <c r="AY141" s="2">
        <v>0</v>
      </c>
      <c r="AZ141" s="2">
        <v>0</v>
      </c>
      <c r="BA141" s="2">
        <v>0</v>
      </c>
      <c r="BB141" s="6">
        <f>SUM(AX141:BA141)/Variables!$E$3</f>
        <v>0</v>
      </c>
      <c r="BC141" s="12">
        <f t="shared" si="44"/>
        <v>0</v>
      </c>
      <c r="BD141" s="110">
        <f t="shared" si="44"/>
        <v>0</v>
      </c>
      <c r="BE141" s="110">
        <f t="shared" si="44"/>
        <v>0</v>
      </c>
      <c r="BF141" s="110">
        <f t="shared" si="41"/>
        <v>0</v>
      </c>
      <c r="BG141" s="6">
        <f>SUM(BC141:BF141)/Variables!$E$3</f>
        <v>0</v>
      </c>
      <c r="BH141" s="4">
        <v>0</v>
      </c>
      <c r="BI141">
        <v>0</v>
      </c>
      <c r="BJ141">
        <v>0</v>
      </c>
      <c r="BK141">
        <v>0</v>
      </c>
      <c r="BL141" s="6">
        <f>SUM(BH141:BK141)/Variables!$E$3</f>
        <v>0</v>
      </c>
      <c r="BM141" s="110">
        <v>0</v>
      </c>
      <c r="BN141" s="110">
        <v>0</v>
      </c>
      <c r="BO141" s="110">
        <v>0</v>
      </c>
      <c r="BP141" s="110">
        <v>0</v>
      </c>
      <c r="BQ141" s="6">
        <f>SUM(BM141:BP141)/Variables!$E$3</f>
        <v>0</v>
      </c>
      <c r="BS141" s="4">
        <v>139</v>
      </c>
      <c r="BT141" s="125">
        <f t="shared" si="30"/>
        <v>0</v>
      </c>
      <c r="BU141" s="125">
        <f t="shared" si="31"/>
        <v>6.7987870054394731E-2</v>
      </c>
      <c r="BV141" s="125">
        <f t="shared" si="32"/>
        <v>0</v>
      </c>
      <c r="BW141" s="125">
        <f t="shared" si="33"/>
        <v>6.3329084157435923E-3</v>
      </c>
      <c r="BX141" s="125">
        <f t="shared" si="34"/>
        <v>5.7774804234396156E-3</v>
      </c>
      <c r="BY141" s="125">
        <f t="shared" si="35"/>
        <v>3.0190262789095716E-4</v>
      </c>
      <c r="BZ141" s="125">
        <f t="shared" si="36"/>
        <v>1.5202812373811352E-3</v>
      </c>
      <c r="CA141" s="125">
        <f t="shared" si="37"/>
        <v>1.8152954496868541E-3</v>
      </c>
      <c r="CB141" s="125">
        <f t="shared" si="38"/>
        <v>6.3439932224324813E-3</v>
      </c>
      <c r="CC141" s="125">
        <f t="shared" si="39"/>
        <v>3.4579054465989439E-3</v>
      </c>
      <c r="CD141" s="125">
        <f t="shared" si="40"/>
        <v>5.7774804234396156E-3</v>
      </c>
      <c r="CE141" s="125">
        <f t="shared" si="42"/>
        <v>2.546655159581628E-3</v>
      </c>
      <c r="CF141" s="126">
        <f t="shared" si="43"/>
        <v>3.199391919175924E-3</v>
      </c>
      <c r="CH141" s="4">
        <v>139</v>
      </c>
      <c r="CI141" s="129">
        <v>0</v>
      </c>
      <c r="CJ141" s="125">
        <v>0</v>
      </c>
      <c r="CK141" s="125">
        <v>0</v>
      </c>
      <c r="CL141" s="125">
        <v>0</v>
      </c>
      <c r="CM141" s="125">
        <v>0</v>
      </c>
      <c r="CN141" s="125">
        <v>0</v>
      </c>
      <c r="CO141" s="125">
        <v>0</v>
      </c>
      <c r="CP141" s="125">
        <v>0</v>
      </c>
      <c r="CQ141" s="125">
        <v>0</v>
      </c>
      <c r="CR141" s="125">
        <v>0</v>
      </c>
      <c r="CS141" s="125">
        <v>0</v>
      </c>
      <c r="CT141" s="125">
        <v>0</v>
      </c>
      <c r="CU141" s="126">
        <v>0</v>
      </c>
    </row>
    <row r="142" spans="1:99" x14ac:dyDescent="0.25">
      <c r="A142" t="s">
        <v>219</v>
      </c>
      <c r="B142" s="2" t="s">
        <v>3</v>
      </c>
      <c r="C142" s="1">
        <v>14304</v>
      </c>
      <c r="D142" s="19">
        <v>85.55</v>
      </c>
      <c r="E142" s="18">
        <v>0</v>
      </c>
      <c r="F142" s="19">
        <v>0</v>
      </c>
      <c r="G142" s="19">
        <v>0</v>
      </c>
      <c r="H142" s="19">
        <v>0</v>
      </c>
      <c r="I142" s="19">
        <f>SUM(E142:H142)/Variables!$E$3</f>
        <v>0</v>
      </c>
      <c r="J142" s="4">
        <v>0</v>
      </c>
      <c r="K142">
        <v>1361</v>
      </c>
      <c r="L142">
        <v>79537</v>
      </c>
      <c r="M142">
        <v>4970</v>
      </c>
      <c r="N142" s="6">
        <f>SUM(J142:M142)/Variables!$E$3</f>
        <v>6.7987870054394731E-2</v>
      </c>
      <c r="O142" s="4">
        <v>0</v>
      </c>
      <c r="P142">
        <v>0</v>
      </c>
      <c r="Q142">
        <v>0</v>
      </c>
      <c r="R142">
        <v>0</v>
      </c>
      <c r="S142" s="6">
        <f>SUM(O142:R142)/Variables!$E$3</f>
        <v>0</v>
      </c>
      <c r="T142" s="12">
        <v>0</v>
      </c>
      <c r="U142" s="6">
        <v>0</v>
      </c>
      <c r="V142" s="6">
        <v>7998.4</v>
      </c>
      <c r="W142" s="6">
        <v>0</v>
      </c>
      <c r="X142" s="6">
        <f>SUM(T142:W142)/Variables!$E$3</f>
        <v>6.3329084157435923E-3</v>
      </c>
      <c r="Y142" s="12">
        <v>0</v>
      </c>
      <c r="Z142" s="6">
        <v>0</v>
      </c>
      <c r="AA142" s="6">
        <v>7296.9</v>
      </c>
      <c r="AB142" s="6">
        <v>0</v>
      </c>
      <c r="AC142" s="6">
        <f>SUM(Y142:AB142)/Variables!$E$3</f>
        <v>5.7774804234396156E-3</v>
      </c>
      <c r="AD142" s="4">
        <v>0</v>
      </c>
      <c r="AE142" s="2">
        <v>0</v>
      </c>
      <c r="AF142" s="2">
        <v>381.3</v>
      </c>
      <c r="AG142" s="2">
        <v>0</v>
      </c>
      <c r="AH142" s="6">
        <f>SUM(AD142:AG142)/Variables!$E$3</f>
        <v>3.0190262789095716E-4</v>
      </c>
      <c r="AI142" s="4">
        <v>0</v>
      </c>
      <c r="AJ142" s="2">
        <v>0</v>
      </c>
      <c r="AK142" s="2">
        <v>1920.1</v>
      </c>
      <c r="AL142" s="2">
        <v>0</v>
      </c>
      <c r="AM142" s="6">
        <f>SUM(AI142:AL142)/Variables!$E$3</f>
        <v>1.5202812373811352E-3</v>
      </c>
      <c r="AN142" s="4">
        <v>0</v>
      </c>
      <c r="AO142" s="2">
        <v>0</v>
      </c>
      <c r="AP142" s="2">
        <v>2292.6999999999998</v>
      </c>
      <c r="AQ142" s="2">
        <v>0</v>
      </c>
      <c r="AR142" s="6">
        <f>SUM(AN142:AQ142)/Variables!$E$3</f>
        <v>1.8152954496868541E-3</v>
      </c>
      <c r="AS142" s="4">
        <v>0</v>
      </c>
      <c r="AT142" s="2">
        <v>0</v>
      </c>
      <c r="AU142" s="2">
        <v>8012.4</v>
      </c>
      <c r="AV142" s="2">
        <v>0</v>
      </c>
      <c r="AW142" s="6">
        <f>SUM(AS142:AV142)/Variables!$E$3</f>
        <v>6.3439932224324813E-3</v>
      </c>
      <c r="AX142" s="4">
        <v>0</v>
      </c>
      <c r="AY142" s="2">
        <v>0</v>
      </c>
      <c r="AZ142" s="2">
        <v>4367.3</v>
      </c>
      <c r="BA142" s="2">
        <v>0</v>
      </c>
      <c r="BB142" s="6">
        <f>SUM(AX142:BA142)/Variables!$E$3</f>
        <v>3.4579054465989439E-3</v>
      </c>
      <c r="BC142" s="12">
        <f t="shared" si="44"/>
        <v>0</v>
      </c>
      <c r="BD142" s="110">
        <f t="shared" si="44"/>
        <v>0</v>
      </c>
      <c r="BE142" s="110">
        <f t="shared" si="44"/>
        <v>7296.9</v>
      </c>
      <c r="BF142" s="110">
        <f t="shared" si="41"/>
        <v>0</v>
      </c>
      <c r="BG142" s="6">
        <f>SUM(BC142:BF142)/Variables!$E$3</f>
        <v>5.7774804234396156E-3</v>
      </c>
      <c r="BH142" s="4">
        <v>0</v>
      </c>
      <c r="BI142">
        <v>0</v>
      </c>
      <c r="BJ142">
        <v>3216.4</v>
      </c>
      <c r="BK142">
        <v>0</v>
      </c>
      <c r="BL142" s="6">
        <f>SUM(BH142:BK142)/Variables!$E$3</f>
        <v>2.546655159581628E-3</v>
      </c>
      <c r="BM142" s="110">
        <v>0</v>
      </c>
      <c r="BN142" s="110">
        <v>0</v>
      </c>
      <c r="BO142" s="110">
        <v>4040.8</v>
      </c>
      <c r="BP142" s="110">
        <v>0</v>
      </c>
      <c r="BQ142" s="6">
        <f>SUM(BM142:BP142)/Variables!$E$3</f>
        <v>3.199391919175924E-3</v>
      </c>
      <c r="BS142" s="4">
        <v>140</v>
      </c>
      <c r="BT142" s="125">
        <f t="shared" si="30"/>
        <v>0</v>
      </c>
      <c r="BU142" s="125">
        <f t="shared" si="31"/>
        <v>7.0415442719261437E-2</v>
      </c>
      <c r="BV142" s="125">
        <f t="shared" si="32"/>
        <v>0</v>
      </c>
      <c r="BW142" s="125">
        <f t="shared" si="33"/>
        <v>8.2754416107807659E-3</v>
      </c>
      <c r="BX142" s="125">
        <f t="shared" si="34"/>
        <v>7.6155789040293267E-3</v>
      </c>
      <c r="BY142" s="125">
        <f t="shared" si="35"/>
        <v>0</v>
      </c>
      <c r="BZ142" s="125">
        <f t="shared" si="36"/>
        <v>6.6010023832334462E-4</v>
      </c>
      <c r="CA142" s="125">
        <f t="shared" si="37"/>
        <v>7.0000554240334442E-4</v>
      </c>
      <c r="CB142" s="125">
        <f t="shared" si="38"/>
        <v>6.7096334887845515E-3</v>
      </c>
      <c r="CC142" s="125">
        <f t="shared" si="39"/>
        <v>2.4974069470067063E-3</v>
      </c>
      <c r="CD142" s="125">
        <f t="shared" si="40"/>
        <v>7.6155789040293267E-3</v>
      </c>
      <c r="CE142" s="125">
        <f t="shared" si="42"/>
        <v>2.3634391404524185E-3</v>
      </c>
      <c r="CF142" s="126">
        <f t="shared" si="43"/>
        <v>3.6245734328854543E-3</v>
      </c>
      <c r="CH142" s="4">
        <v>140</v>
      </c>
      <c r="CI142" s="129">
        <v>0</v>
      </c>
      <c r="CJ142" s="125">
        <v>0</v>
      </c>
      <c r="CK142" s="125">
        <v>0</v>
      </c>
      <c r="CL142" s="125">
        <v>0</v>
      </c>
      <c r="CM142" s="125">
        <v>0</v>
      </c>
      <c r="CN142" s="125">
        <v>0</v>
      </c>
      <c r="CO142" s="125">
        <v>0</v>
      </c>
      <c r="CP142" s="125">
        <v>0</v>
      </c>
      <c r="CQ142" s="125">
        <v>0</v>
      </c>
      <c r="CR142" s="125">
        <v>0</v>
      </c>
      <c r="CS142" s="125">
        <v>0</v>
      </c>
      <c r="CT142" s="125">
        <v>0</v>
      </c>
      <c r="CU142" s="126">
        <v>0</v>
      </c>
    </row>
    <row r="143" spans="1:99" x14ac:dyDescent="0.25">
      <c r="A143" t="s">
        <v>219</v>
      </c>
      <c r="B143" s="2" t="s">
        <v>4</v>
      </c>
      <c r="C143" s="1">
        <v>14396</v>
      </c>
      <c r="D143" s="19">
        <v>123.014285714286</v>
      </c>
      <c r="E143" s="18">
        <v>0</v>
      </c>
      <c r="F143" s="19">
        <v>0</v>
      </c>
      <c r="G143" s="19">
        <v>0</v>
      </c>
      <c r="H143" s="19">
        <v>0</v>
      </c>
      <c r="I143" s="19">
        <f>SUM(E143:H143)/Variables!$E$3</f>
        <v>0</v>
      </c>
      <c r="J143" s="4">
        <v>0</v>
      </c>
      <c r="K143">
        <v>104</v>
      </c>
      <c r="L143">
        <v>88607</v>
      </c>
      <c r="M143">
        <v>223</v>
      </c>
      <c r="N143" s="6">
        <f>SUM(J143:M143)/Variables!$E$3</f>
        <v>7.0415442719261437E-2</v>
      </c>
      <c r="O143" s="4">
        <v>0</v>
      </c>
      <c r="P143">
        <v>0</v>
      </c>
      <c r="Q143">
        <v>0</v>
      </c>
      <c r="R143">
        <v>0</v>
      </c>
      <c r="S143" s="6">
        <f>SUM(O143:R143)/Variables!$E$3</f>
        <v>0</v>
      </c>
      <c r="T143" s="12">
        <v>0</v>
      </c>
      <c r="U143" s="6">
        <v>0</v>
      </c>
      <c r="V143" s="6">
        <v>10451.799999999999</v>
      </c>
      <c r="W143" s="6">
        <v>0</v>
      </c>
      <c r="X143" s="6">
        <f>SUM(T143:W143)/Variables!$E$3</f>
        <v>8.2754416107807659E-3</v>
      </c>
      <c r="Y143" s="12">
        <v>0</v>
      </c>
      <c r="Z143" s="6">
        <v>0</v>
      </c>
      <c r="AA143" s="6">
        <v>9618.4</v>
      </c>
      <c r="AB143" s="6">
        <v>0</v>
      </c>
      <c r="AC143" s="6">
        <f>SUM(Y143:AB143)/Variables!$E$3</f>
        <v>7.6155789040293267E-3</v>
      </c>
      <c r="AD143" s="4">
        <v>0</v>
      </c>
      <c r="AE143" s="2">
        <v>0</v>
      </c>
      <c r="AF143" s="2">
        <v>0</v>
      </c>
      <c r="AG143" s="2">
        <v>0</v>
      </c>
      <c r="AH143" s="6">
        <f>SUM(AD143:AG143)/Variables!$E$3</f>
        <v>0</v>
      </c>
      <c r="AI143" s="4">
        <v>0</v>
      </c>
      <c r="AJ143" s="2">
        <v>0</v>
      </c>
      <c r="AK143" s="2">
        <v>833.70000000000095</v>
      </c>
      <c r="AL143" s="2">
        <v>0</v>
      </c>
      <c r="AM143" s="6">
        <f>SUM(AI143:AL143)/Variables!$E$3</f>
        <v>6.6010023832334462E-4</v>
      </c>
      <c r="AN143" s="4">
        <v>0</v>
      </c>
      <c r="AO143" s="2">
        <v>0</v>
      </c>
      <c r="AP143" s="2">
        <v>884.1</v>
      </c>
      <c r="AQ143" s="2">
        <v>0</v>
      </c>
      <c r="AR143" s="6">
        <f>SUM(AN143:AQ143)/Variables!$E$3</f>
        <v>7.0000554240334442E-4</v>
      </c>
      <c r="AS143" s="4">
        <v>0</v>
      </c>
      <c r="AT143" s="2">
        <v>0</v>
      </c>
      <c r="AU143" s="2">
        <v>8474.2000000000007</v>
      </c>
      <c r="AV143" s="2">
        <v>0</v>
      </c>
      <c r="AW143" s="6">
        <f>SUM(AS143:AV143)/Variables!$E$3</f>
        <v>6.7096334887845515E-3</v>
      </c>
      <c r="AX143" s="4">
        <v>0</v>
      </c>
      <c r="AY143" s="2">
        <v>0</v>
      </c>
      <c r="AZ143" s="2">
        <v>3154.2</v>
      </c>
      <c r="BA143" s="2">
        <v>0</v>
      </c>
      <c r="BB143" s="6">
        <f>SUM(AX143:BA143)/Variables!$E$3</f>
        <v>2.4974069470067063E-3</v>
      </c>
      <c r="BC143" s="12">
        <f t="shared" si="44"/>
        <v>0</v>
      </c>
      <c r="BD143" s="110">
        <f t="shared" si="44"/>
        <v>0</v>
      </c>
      <c r="BE143" s="110">
        <f t="shared" si="44"/>
        <v>9618.4</v>
      </c>
      <c r="BF143" s="110">
        <f t="shared" si="41"/>
        <v>0</v>
      </c>
      <c r="BG143" s="6">
        <f>SUM(BC143:BF143)/Variables!$E$3</f>
        <v>7.6155789040293267E-3</v>
      </c>
      <c r="BH143" s="4">
        <v>0</v>
      </c>
      <c r="BI143">
        <v>0</v>
      </c>
      <c r="BJ143">
        <v>2985</v>
      </c>
      <c r="BK143">
        <v>0</v>
      </c>
      <c r="BL143" s="6">
        <f>SUM(BH143:BK143)/Variables!$E$3</f>
        <v>2.3634391404524185E-3</v>
      </c>
      <c r="BM143" s="110">
        <v>0</v>
      </c>
      <c r="BN143" s="110">
        <v>0</v>
      </c>
      <c r="BO143" s="110">
        <v>4577.8</v>
      </c>
      <c r="BP143" s="110">
        <v>0</v>
      </c>
      <c r="BQ143" s="6">
        <f>SUM(BM143:BP143)/Variables!$E$3</f>
        <v>3.6245734328854543E-3</v>
      </c>
      <c r="BS143" s="4">
        <v>141</v>
      </c>
      <c r="BT143" s="125">
        <f t="shared" si="30"/>
        <v>0</v>
      </c>
      <c r="BU143" s="125">
        <f t="shared" si="31"/>
        <v>0</v>
      </c>
      <c r="BV143" s="125">
        <f t="shared" si="32"/>
        <v>0</v>
      </c>
      <c r="BW143" s="125">
        <f t="shared" si="33"/>
        <v>0</v>
      </c>
      <c r="BX143" s="125">
        <f t="shared" si="34"/>
        <v>0</v>
      </c>
      <c r="BY143" s="125">
        <f t="shared" si="35"/>
        <v>0</v>
      </c>
      <c r="BZ143" s="125">
        <f t="shared" si="36"/>
        <v>0</v>
      </c>
      <c r="CA143" s="125">
        <f t="shared" si="37"/>
        <v>0</v>
      </c>
      <c r="CB143" s="125">
        <f t="shared" si="38"/>
        <v>0</v>
      </c>
      <c r="CC143" s="125">
        <f t="shared" si="39"/>
        <v>0</v>
      </c>
      <c r="CD143" s="125">
        <f t="shared" si="40"/>
        <v>0</v>
      </c>
      <c r="CE143" s="125">
        <f t="shared" si="42"/>
        <v>0</v>
      </c>
      <c r="CF143" s="126">
        <f t="shared" si="43"/>
        <v>0</v>
      </c>
      <c r="CH143" s="4">
        <v>141</v>
      </c>
      <c r="CI143" s="129">
        <v>0</v>
      </c>
      <c r="CJ143" s="125">
        <v>0</v>
      </c>
      <c r="CK143" s="125">
        <v>0</v>
      </c>
      <c r="CL143" s="125">
        <v>0</v>
      </c>
      <c r="CM143" s="125">
        <v>0</v>
      </c>
      <c r="CN143" s="125">
        <v>0</v>
      </c>
      <c r="CO143" s="125">
        <v>0</v>
      </c>
      <c r="CP143" s="125">
        <v>0</v>
      </c>
      <c r="CQ143" s="125">
        <v>0</v>
      </c>
      <c r="CR143" s="125">
        <v>0</v>
      </c>
      <c r="CS143" s="125">
        <v>0</v>
      </c>
      <c r="CT143" s="125">
        <v>0</v>
      </c>
      <c r="CU143" s="126">
        <v>0</v>
      </c>
    </row>
    <row r="144" spans="1:99" x14ac:dyDescent="0.25">
      <c r="A144" t="s">
        <v>219</v>
      </c>
      <c r="B144" s="2" t="s">
        <v>1</v>
      </c>
      <c r="C144" s="1">
        <v>14488</v>
      </c>
      <c r="D144" s="19">
        <v>111.142857142857</v>
      </c>
      <c r="E144" s="18">
        <v>0</v>
      </c>
      <c r="F144" s="19">
        <v>0</v>
      </c>
      <c r="G144" s="19">
        <v>0</v>
      </c>
      <c r="H144" s="19">
        <v>0</v>
      </c>
      <c r="I144" s="19">
        <f>SUM(E144:H144)/Variables!$E$3</f>
        <v>0</v>
      </c>
      <c r="J144" s="4">
        <v>0</v>
      </c>
      <c r="K144">
        <v>0</v>
      </c>
      <c r="L144">
        <v>0</v>
      </c>
      <c r="M144">
        <v>0</v>
      </c>
      <c r="N144" s="6">
        <f>SUM(J144:M144)/Variables!$E$3</f>
        <v>0</v>
      </c>
      <c r="O144" s="4">
        <v>0</v>
      </c>
      <c r="P144">
        <v>0</v>
      </c>
      <c r="Q144">
        <v>0</v>
      </c>
      <c r="R144">
        <v>0</v>
      </c>
      <c r="S144" s="6">
        <f>SUM(O144:R144)/Variables!$E$3</f>
        <v>0</v>
      </c>
      <c r="T144" s="12">
        <v>0</v>
      </c>
      <c r="U144" s="6">
        <v>0</v>
      </c>
      <c r="V144" s="6">
        <v>0</v>
      </c>
      <c r="W144" s="6">
        <v>0</v>
      </c>
      <c r="X144" s="6">
        <f>SUM(T144:W144)/Variables!$E$3</f>
        <v>0</v>
      </c>
      <c r="Y144" s="12">
        <v>0</v>
      </c>
      <c r="Z144" s="6">
        <v>0</v>
      </c>
      <c r="AA144" s="6">
        <v>0</v>
      </c>
      <c r="AB144" s="6">
        <v>0</v>
      </c>
      <c r="AC144" s="6">
        <f>SUM(Y144:AB144)/Variables!$E$3</f>
        <v>0</v>
      </c>
      <c r="AD144" s="4">
        <v>0</v>
      </c>
      <c r="AE144" s="2">
        <v>0</v>
      </c>
      <c r="AF144" s="2">
        <v>0</v>
      </c>
      <c r="AG144" s="2">
        <v>0</v>
      </c>
      <c r="AH144" s="6">
        <f>SUM(AD144:AG144)/Variables!$E$3</f>
        <v>0</v>
      </c>
      <c r="AI144" s="4">
        <v>0</v>
      </c>
      <c r="AJ144" s="2">
        <v>0</v>
      </c>
      <c r="AK144" s="2">
        <v>0</v>
      </c>
      <c r="AL144" s="2">
        <v>0</v>
      </c>
      <c r="AM144" s="6">
        <f>SUM(AI144:AL144)/Variables!$E$3</f>
        <v>0</v>
      </c>
      <c r="AN144" s="4">
        <v>0</v>
      </c>
      <c r="AO144" s="2">
        <v>0</v>
      </c>
      <c r="AP144" s="2">
        <v>0</v>
      </c>
      <c r="AQ144" s="2">
        <v>0</v>
      </c>
      <c r="AR144" s="6">
        <f>SUM(AN144:AQ144)/Variables!$E$3</f>
        <v>0</v>
      </c>
      <c r="AS144" s="4">
        <v>0</v>
      </c>
      <c r="AT144" s="2">
        <v>0</v>
      </c>
      <c r="AU144" s="2">
        <v>0</v>
      </c>
      <c r="AV144" s="2">
        <v>0</v>
      </c>
      <c r="AW144" s="6">
        <f>SUM(AS144:AV144)/Variables!$E$3</f>
        <v>0</v>
      </c>
      <c r="AX144" s="4">
        <v>0</v>
      </c>
      <c r="AY144" s="2">
        <v>0</v>
      </c>
      <c r="AZ144" s="2">
        <v>0</v>
      </c>
      <c r="BA144" s="2">
        <v>0</v>
      </c>
      <c r="BB144" s="6">
        <f>SUM(AX144:BA144)/Variables!$E$3</f>
        <v>0</v>
      </c>
      <c r="BC144" s="12">
        <f t="shared" si="44"/>
        <v>0</v>
      </c>
      <c r="BD144" s="110">
        <f t="shared" si="44"/>
        <v>0</v>
      </c>
      <c r="BE144" s="110">
        <f t="shared" si="44"/>
        <v>0</v>
      </c>
      <c r="BF144" s="110">
        <f t="shared" si="41"/>
        <v>0</v>
      </c>
      <c r="BG144" s="6">
        <f>SUM(BC144:BF144)/Variables!$E$3</f>
        <v>0</v>
      </c>
      <c r="BH144" s="4">
        <v>0</v>
      </c>
      <c r="BI144">
        <v>0</v>
      </c>
      <c r="BJ144">
        <v>0</v>
      </c>
      <c r="BK144">
        <v>0</v>
      </c>
      <c r="BL144" s="6">
        <f>SUM(BH144:BK144)/Variables!$E$3</f>
        <v>0</v>
      </c>
      <c r="BM144" s="110">
        <v>0</v>
      </c>
      <c r="BN144" s="110">
        <v>0</v>
      </c>
      <c r="BO144" s="110">
        <v>0</v>
      </c>
      <c r="BP144" s="110">
        <v>0</v>
      </c>
      <c r="BQ144" s="6">
        <f>SUM(BM144:BP144)/Variables!$E$3</f>
        <v>0</v>
      </c>
      <c r="BS144" s="4">
        <v>142</v>
      </c>
      <c r="BT144" s="125">
        <f t="shared" si="30"/>
        <v>0</v>
      </c>
      <c r="BU144" s="125">
        <f t="shared" si="31"/>
        <v>0</v>
      </c>
      <c r="BV144" s="125">
        <f t="shared" si="32"/>
        <v>0</v>
      </c>
      <c r="BW144" s="125">
        <f t="shared" si="33"/>
        <v>0</v>
      </c>
      <c r="BX144" s="125">
        <f t="shared" si="34"/>
        <v>0</v>
      </c>
      <c r="BY144" s="125">
        <f t="shared" si="35"/>
        <v>0</v>
      </c>
      <c r="BZ144" s="125">
        <f t="shared" si="36"/>
        <v>0</v>
      </c>
      <c r="CA144" s="125">
        <f t="shared" si="37"/>
        <v>0</v>
      </c>
      <c r="CB144" s="125">
        <f t="shared" si="38"/>
        <v>0</v>
      </c>
      <c r="CC144" s="125">
        <f t="shared" si="39"/>
        <v>0</v>
      </c>
      <c r="CD144" s="125">
        <f t="shared" si="40"/>
        <v>0</v>
      </c>
      <c r="CE144" s="125">
        <f t="shared" si="42"/>
        <v>0</v>
      </c>
      <c r="CF144" s="126">
        <f t="shared" si="43"/>
        <v>0</v>
      </c>
      <c r="CH144" s="4">
        <v>142</v>
      </c>
      <c r="CI144" s="129">
        <v>0</v>
      </c>
      <c r="CJ144" s="125">
        <v>0</v>
      </c>
      <c r="CK144" s="125">
        <v>0</v>
      </c>
      <c r="CL144" s="125">
        <v>0</v>
      </c>
      <c r="CM144" s="125">
        <v>0</v>
      </c>
      <c r="CN144" s="125">
        <v>0</v>
      </c>
      <c r="CO144" s="125">
        <v>0</v>
      </c>
      <c r="CP144" s="125">
        <v>0</v>
      </c>
      <c r="CQ144" s="125">
        <v>0</v>
      </c>
      <c r="CR144" s="125">
        <v>0</v>
      </c>
      <c r="CS144" s="125">
        <v>0</v>
      </c>
      <c r="CT144" s="125">
        <v>0</v>
      </c>
      <c r="CU144" s="126">
        <v>0</v>
      </c>
    </row>
    <row r="145" spans="1:99" x14ac:dyDescent="0.25">
      <c r="A145" t="s">
        <v>219</v>
      </c>
      <c r="B145" s="2" t="s">
        <v>2</v>
      </c>
      <c r="C145" s="1">
        <v>14579</v>
      </c>
      <c r="D145" s="19">
        <v>35.1666666666667</v>
      </c>
      <c r="E145" s="18">
        <v>0</v>
      </c>
      <c r="F145" s="19">
        <v>0</v>
      </c>
      <c r="G145" s="19">
        <v>0</v>
      </c>
      <c r="H145" s="19">
        <v>0</v>
      </c>
      <c r="I145" s="19">
        <f>SUM(E145:H145)/Variables!$E$3</f>
        <v>0</v>
      </c>
      <c r="J145" s="4">
        <v>0</v>
      </c>
      <c r="K145">
        <v>0</v>
      </c>
      <c r="L145">
        <v>0</v>
      </c>
      <c r="M145">
        <v>0</v>
      </c>
      <c r="N145" s="6">
        <f>SUM(J145:M145)/Variables!$E$3</f>
        <v>0</v>
      </c>
      <c r="O145" s="4">
        <v>0</v>
      </c>
      <c r="P145">
        <v>0</v>
      </c>
      <c r="Q145">
        <v>0</v>
      </c>
      <c r="R145">
        <v>0</v>
      </c>
      <c r="S145" s="6">
        <f>SUM(O145:R145)/Variables!$E$3</f>
        <v>0</v>
      </c>
      <c r="T145" s="12">
        <v>0</v>
      </c>
      <c r="U145" s="6">
        <v>0</v>
      </c>
      <c r="V145" s="6">
        <v>0</v>
      </c>
      <c r="W145" s="6">
        <v>0</v>
      </c>
      <c r="X145" s="6">
        <f>SUM(T145:W145)/Variables!$E$3</f>
        <v>0</v>
      </c>
      <c r="Y145" s="12">
        <v>0</v>
      </c>
      <c r="Z145" s="6">
        <v>0</v>
      </c>
      <c r="AA145" s="6">
        <v>0</v>
      </c>
      <c r="AB145" s="6">
        <v>0</v>
      </c>
      <c r="AC145" s="6">
        <f>SUM(Y145:AB145)/Variables!$E$3</f>
        <v>0</v>
      </c>
      <c r="AD145" s="4">
        <v>0</v>
      </c>
      <c r="AE145" s="2">
        <v>0</v>
      </c>
      <c r="AF145" s="2">
        <v>0</v>
      </c>
      <c r="AG145" s="2">
        <v>0</v>
      </c>
      <c r="AH145" s="6">
        <f>SUM(AD145:AG145)/Variables!$E$3</f>
        <v>0</v>
      </c>
      <c r="AI145" s="4">
        <v>0</v>
      </c>
      <c r="AJ145" s="2">
        <v>0</v>
      </c>
      <c r="AK145" s="2">
        <v>0</v>
      </c>
      <c r="AL145" s="2">
        <v>0</v>
      </c>
      <c r="AM145" s="6">
        <f>SUM(AI145:AL145)/Variables!$E$3</f>
        <v>0</v>
      </c>
      <c r="AN145" s="4">
        <v>0</v>
      </c>
      <c r="AO145" s="2">
        <v>0</v>
      </c>
      <c r="AP145" s="2">
        <v>0</v>
      </c>
      <c r="AQ145" s="2">
        <v>0</v>
      </c>
      <c r="AR145" s="6">
        <f>SUM(AN145:AQ145)/Variables!$E$3</f>
        <v>0</v>
      </c>
      <c r="AS145" s="4">
        <v>0</v>
      </c>
      <c r="AT145" s="2">
        <v>0</v>
      </c>
      <c r="AU145" s="2">
        <v>0</v>
      </c>
      <c r="AV145" s="2">
        <v>0</v>
      </c>
      <c r="AW145" s="6">
        <f>SUM(AS145:AV145)/Variables!$E$3</f>
        <v>0</v>
      </c>
      <c r="AX145" s="4">
        <v>0</v>
      </c>
      <c r="AY145" s="2">
        <v>0</v>
      </c>
      <c r="AZ145" s="2">
        <v>0</v>
      </c>
      <c r="BA145" s="2">
        <v>0</v>
      </c>
      <c r="BB145" s="6">
        <f>SUM(AX145:BA145)/Variables!$E$3</f>
        <v>0</v>
      </c>
      <c r="BC145" s="12">
        <f t="shared" si="44"/>
        <v>0</v>
      </c>
      <c r="BD145" s="110">
        <f t="shared" si="44"/>
        <v>0</v>
      </c>
      <c r="BE145" s="110">
        <f t="shared" si="44"/>
        <v>0</v>
      </c>
      <c r="BF145" s="110">
        <f t="shared" si="41"/>
        <v>0</v>
      </c>
      <c r="BG145" s="6">
        <f>SUM(BC145:BF145)/Variables!$E$3</f>
        <v>0</v>
      </c>
      <c r="BH145" s="4">
        <v>0</v>
      </c>
      <c r="BI145">
        <v>0</v>
      </c>
      <c r="BJ145">
        <v>0</v>
      </c>
      <c r="BK145">
        <v>0</v>
      </c>
      <c r="BL145" s="6">
        <f>SUM(BH145:BK145)/Variables!$E$3</f>
        <v>0</v>
      </c>
      <c r="BM145" s="110">
        <v>0</v>
      </c>
      <c r="BN145" s="110">
        <v>0</v>
      </c>
      <c r="BO145" s="110">
        <v>0</v>
      </c>
      <c r="BP145" s="110">
        <v>0</v>
      </c>
      <c r="BQ145" s="6">
        <f>SUM(BM145:BP145)/Variables!$E$3</f>
        <v>0</v>
      </c>
      <c r="BS145" s="4">
        <v>143</v>
      </c>
      <c r="BT145" s="125">
        <f t="shared" si="30"/>
        <v>0</v>
      </c>
      <c r="BU145" s="125">
        <f t="shared" si="31"/>
        <v>5.449370145448499E-2</v>
      </c>
      <c r="BV145" s="125">
        <f t="shared" si="32"/>
        <v>0</v>
      </c>
      <c r="BW145" s="125">
        <f t="shared" si="33"/>
        <v>3.9007434738200621E-3</v>
      </c>
      <c r="BX145" s="125">
        <f t="shared" si="34"/>
        <v>3.6154680559624384E-3</v>
      </c>
      <c r="BY145" s="125">
        <f t="shared" si="35"/>
        <v>1.3111742769142986E-4</v>
      </c>
      <c r="BZ145" s="125">
        <f t="shared" si="36"/>
        <v>3.1251237143603669E-4</v>
      </c>
      <c r="CA145" s="125">
        <f t="shared" si="37"/>
        <v>1.8258260160412987E-3</v>
      </c>
      <c r="CB145" s="125">
        <f t="shared" si="38"/>
        <v>4.8758105764891251E-3</v>
      </c>
      <c r="CC145" s="125">
        <f t="shared" si="39"/>
        <v>2.9416701636592532E-3</v>
      </c>
      <c r="CD145" s="125">
        <f t="shared" si="40"/>
        <v>3.6154680559624384E-3</v>
      </c>
      <c r="CE145" s="125">
        <f t="shared" si="42"/>
        <v>1.2890838407271633E-3</v>
      </c>
      <c r="CF145" s="126">
        <f t="shared" si="43"/>
        <v>1.9716704011908249E-3</v>
      </c>
      <c r="CH145" s="4">
        <v>143</v>
      </c>
      <c r="CI145" s="129">
        <v>0</v>
      </c>
      <c r="CJ145" s="125">
        <v>0</v>
      </c>
      <c r="CK145" s="125">
        <v>0</v>
      </c>
      <c r="CL145" s="125">
        <v>0</v>
      </c>
      <c r="CM145" s="125">
        <v>0</v>
      </c>
      <c r="CN145" s="125">
        <v>0</v>
      </c>
      <c r="CO145" s="125">
        <v>0</v>
      </c>
      <c r="CP145" s="125">
        <v>0</v>
      </c>
      <c r="CQ145" s="125">
        <v>0</v>
      </c>
      <c r="CR145" s="125">
        <v>0</v>
      </c>
      <c r="CS145" s="125">
        <v>0</v>
      </c>
      <c r="CT145" s="125">
        <v>0</v>
      </c>
      <c r="CU145" s="126">
        <v>0</v>
      </c>
    </row>
    <row r="146" spans="1:99" x14ac:dyDescent="0.25">
      <c r="A146" t="s">
        <v>220</v>
      </c>
      <c r="B146" s="2" t="s">
        <v>3</v>
      </c>
      <c r="C146" s="1">
        <v>14669</v>
      </c>
      <c r="D146" s="19">
        <v>32.426190476190499</v>
      </c>
      <c r="E146" s="18">
        <v>0</v>
      </c>
      <c r="F146" s="19">
        <v>0</v>
      </c>
      <c r="G146" s="19">
        <v>0</v>
      </c>
      <c r="H146" s="19">
        <v>0</v>
      </c>
      <c r="I146" s="19">
        <f>SUM(E146:H146)/Variables!$E$3</f>
        <v>0</v>
      </c>
      <c r="J146" s="4">
        <v>0</v>
      </c>
      <c r="K146">
        <v>0</v>
      </c>
      <c r="L146">
        <v>68825</v>
      </c>
      <c r="M146">
        <v>0</v>
      </c>
      <c r="N146" s="6">
        <f>SUM(J146:M146)/Variables!$E$3</f>
        <v>5.449370145448499E-2</v>
      </c>
      <c r="O146" s="4">
        <v>0</v>
      </c>
      <c r="P146">
        <v>0</v>
      </c>
      <c r="Q146">
        <v>0</v>
      </c>
      <c r="R146">
        <v>0</v>
      </c>
      <c r="S146" s="6">
        <f>SUM(O146:R146)/Variables!$E$3</f>
        <v>0</v>
      </c>
      <c r="T146" s="12">
        <v>0</v>
      </c>
      <c r="U146" s="6">
        <v>0</v>
      </c>
      <c r="V146" s="6">
        <v>4926.6000000000004</v>
      </c>
      <c r="W146" s="6">
        <v>0</v>
      </c>
      <c r="X146" s="6">
        <f>SUM(T146:W146)/Variables!$E$3</f>
        <v>3.9007434738200621E-3</v>
      </c>
      <c r="Y146" s="12">
        <v>0</v>
      </c>
      <c r="Z146" s="6">
        <v>0</v>
      </c>
      <c r="AA146" s="6">
        <v>4566.3</v>
      </c>
      <c r="AB146" s="6">
        <v>0</v>
      </c>
      <c r="AC146" s="6">
        <f>SUM(Y146:AB146)/Variables!$E$3</f>
        <v>3.6154680559624384E-3</v>
      </c>
      <c r="AD146" s="4">
        <v>0</v>
      </c>
      <c r="AE146" s="2">
        <v>0</v>
      </c>
      <c r="AF146" s="2">
        <v>165.599999999999</v>
      </c>
      <c r="AG146" s="2">
        <v>0</v>
      </c>
      <c r="AH146" s="6">
        <f>SUM(AD146:AG146)/Variables!$E$3</f>
        <v>1.3111742769142986E-4</v>
      </c>
      <c r="AI146" s="4">
        <v>0</v>
      </c>
      <c r="AJ146" s="2">
        <v>0</v>
      </c>
      <c r="AK146" s="2">
        <v>394.7</v>
      </c>
      <c r="AL146" s="2">
        <v>0</v>
      </c>
      <c r="AM146" s="6">
        <f>SUM(AI146:AL146)/Variables!$E$3</f>
        <v>3.1251237143603669E-4</v>
      </c>
      <c r="AN146" s="4">
        <v>0</v>
      </c>
      <c r="AO146" s="2">
        <v>0</v>
      </c>
      <c r="AP146" s="2">
        <v>2306</v>
      </c>
      <c r="AQ146" s="2">
        <v>0</v>
      </c>
      <c r="AR146" s="6">
        <f>SUM(AN146:AQ146)/Variables!$E$3</f>
        <v>1.8258260160412987E-3</v>
      </c>
      <c r="AS146" s="4">
        <v>0</v>
      </c>
      <c r="AT146" s="2">
        <v>0</v>
      </c>
      <c r="AU146" s="2">
        <v>6158.1</v>
      </c>
      <c r="AV146" s="2">
        <v>0</v>
      </c>
      <c r="AW146" s="6">
        <f>SUM(AS146:AV146)/Variables!$E$3</f>
        <v>4.8758105764891251E-3</v>
      </c>
      <c r="AX146" s="4">
        <v>0</v>
      </c>
      <c r="AY146" s="2">
        <v>0</v>
      </c>
      <c r="AZ146" s="2">
        <v>3715.3</v>
      </c>
      <c r="BA146" s="2">
        <v>0</v>
      </c>
      <c r="BB146" s="6">
        <f>SUM(AX146:BA146)/Variables!$E$3</f>
        <v>2.9416701636592532E-3</v>
      </c>
      <c r="BC146" s="12">
        <f t="shared" si="44"/>
        <v>0</v>
      </c>
      <c r="BD146" s="110">
        <f t="shared" si="44"/>
        <v>0</v>
      </c>
      <c r="BE146" s="110">
        <f t="shared" si="44"/>
        <v>4566.3</v>
      </c>
      <c r="BF146" s="110">
        <f t="shared" si="41"/>
        <v>0</v>
      </c>
      <c r="BG146" s="6">
        <f>SUM(BC146:BF146)/Variables!$E$3</f>
        <v>3.6154680559624384E-3</v>
      </c>
      <c r="BH146" s="4">
        <v>0</v>
      </c>
      <c r="BI146">
        <v>0</v>
      </c>
      <c r="BJ146">
        <v>1628.1</v>
      </c>
      <c r="BK146">
        <v>0</v>
      </c>
      <c r="BL146" s="6">
        <f>SUM(BH146:BK146)/Variables!$E$3</f>
        <v>1.2890838407271633E-3</v>
      </c>
      <c r="BM146" s="110">
        <v>0</v>
      </c>
      <c r="BN146" s="110">
        <v>0</v>
      </c>
      <c r="BO146" s="110">
        <v>2490.1999999999998</v>
      </c>
      <c r="BP146" s="110">
        <v>0</v>
      </c>
      <c r="BQ146" s="6">
        <f>SUM(BM146:BP146)/Variables!$E$3</f>
        <v>1.9716704011908249E-3</v>
      </c>
      <c r="BS146" s="4">
        <v>144</v>
      </c>
      <c r="BT146" s="125">
        <f t="shared" si="30"/>
        <v>0</v>
      </c>
      <c r="BU146" s="125">
        <f t="shared" si="31"/>
        <v>0.10236898154379687</v>
      </c>
      <c r="BV146" s="125">
        <f t="shared" si="32"/>
        <v>0</v>
      </c>
      <c r="BW146" s="125">
        <f t="shared" si="33"/>
        <v>1.7987790877204098E-2</v>
      </c>
      <c r="BX146" s="125">
        <f t="shared" si="34"/>
        <v>1.7062051164300589E-2</v>
      </c>
      <c r="BY146" s="125">
        <f t="shared" si="35"/>
        <v>7.2128045352694804E-3</v>
      </c>
      <c r="BZ146" s="125">
        <f t="shared" si="36"/>
        <v>6.0697234340731125E-3</v>
      </c>
      <c r="CA146" s="125">
        <f t="shared" si="37"/>
        <v>7.0194538357390007E-3</v>
      </c>
      <c r="CB146" s="125">
        <f t="shared" si="38"/>
        <v>1.9432774606291416E-2</v>
      </c>
      <c r="CC146" s="125">
        <f t="shared" si="39"/>
        <v>1.0779816150563346E-2</v>
      </c>
      <c r="CD146" s="125">
        <f t="shared" si="40"/>
        <v>1.7062051164300589E-2</v>
      </c>
      <c r="CE146" s="125">
        <f t="shared" si="42"/>
        <v>9.0748937046215734E-3</v>
      </c>
      <c r="CF146" s="126">
        <f t="shared" si="43"/>
        <v>1.167364745564098E-2</v>
      </c>
      <c r="CH146" s="4">
        <v>144</v>
      </c>
      <c r="CI146" s="129">
        <v>0</v>
      </c>
      <c r="CJ146" s="125">
        <v>0</v>
      </c>
      <c r="CK146" s="125">
        <v>0</v>
      </c>
      <c r="CL146" s="125">
        <v>0</v>
      </c>
      <c r="CM146" s="125">
        <v>0</v>
      </c>
      <c r="CN146" s="125">
        <v>0</v>
      </c>
      <c r="CO146" s="125">
        <v>0</v>
      </c>
      <c r="CP146" s="125">
        <v>0</v>
      </c>
      <c r="CQ146" s="125">
        <v>0</v>
      </c>
      <c r="CR146" s="125">
        <v>0</v>
      </c>
      <c r="CS146" s="125">
        <v>0</v>
      </c>
      <c r="CT146" s="125">
        <v>0</v>
      </c>
      <c r="CU146" s="126">
        <v>0</v>
      </c>
    </row>
    <row r="147" spans="1:99" x14ac:dyDescent="0.25">
      <c r="A147" t="s">
        <v>220</v>
      </c>
      <c r="B147" s="2" t="s">
        <v>4</v>
      </c>
      <c r="C147" s="1">
        <v>14762</v>
      </c>
      <c r="D147" s="19">
        <v>91.014285714285705</v>
      </c>
      <c r="E147" s="18">
        <v>0</v>
      </c>
      <c r="F147" s="19">
        <v>0</v>
      </c>
      <c r="G147" s="19">
        <v>0</v>
      </c>
      <c r="H147" s="19">
        <v>0</v>
      </c>
      <c r="I147" s="19">
        <f>SUM(E147:H147)/Variables!$E$3</f>
        <v>0</v>
      </c>
      <c r="J147" s="4">
        <v>0</v>
      </c>
      <c r="K147">
        <v>1726</v>
      </c>
      <c r="L147">
        <v>121896</v>
      </c>
      <c r="M147">
        <v>5669</v>
      </c>
      <c r="N147" s="6">
        <f>SUM(J147:M147)/Variables!$E$3</f>
        <v>0.10236898154379687</v>
      </c>
      <c r="O147" s="4">
        <v>0</v>
      </c>
      <c r="P147">
        <v>0</v>
      </c>
      <c r="Q147">
        <v>0</v>
      </c>
      <c r="R147">
        <v>0</v>
      </c>
      <c r="S147" s="6">
        <f>SUM(O147:R147)/Variables!$E$3</f>
        <v>0</v>
      </c>
      <c r="T147" s="12">
        <v>0</v>
      </c>
      <c r="U147" s="6">
        <v>0</v>
      </c>
      <c r="V147" s="6">
        <v>22718.400000000001</v>
      </c>
      <c r="W147" s="6">
        <v>0</v>
      </c>
      <c r="X147" s="6">
        <f>SUM(T147:W147)/Variables!$E$3</f>
        <v>1.7987790877204098E-2</v>
      </c>
      <c r="Y147" s="12">
        <v>0</v>
      </c>
      <c r="Z147" s="6">
        <v>0</v>
      </c>
      <c r="AA147" s="6">
        <v>21549.200000000001</v>
      </c>
      <c r="AB147" s="6">
        <v>0</v>
      </c>
      <c r="AC147" s="6">
        <f>SUM(Y147:AB147)/Variables!$E$3</f>
        <v>1.7062051164300589E-2</v>
      </c>
      <c r="AD147" s="4">
        <v>0</v>
      </c>
      <c r="AE147" s="2">
        <v>0</v>
      </c>
      <c r="AF147" s="2">
        <v>8788.6</v>
      </c>
      <c r="AG147" s="2">
        <v>321.10000000000002</v>
      </c>
      <c r="AH147" s="6">
        <f>SUM(AD147:AG147)/Variables!$E$3</f>
        <v>7.2128045352694804E-3</v>
      </c>
      <c r="AI147" s="4">
        <v>0</v>
      </c>
      <c r="AJ147" s="2">
        <v>0</v>
      </c>
      <c r="AK147" s="2">
        <v>7666</v>
      </c>
      <c r="AL147" s="2">
        <v>0</v>
      </c>
      <c r="AM147" s="6">
        <f>SUM(AI147:AL147)/Variables!$E$3</f>
        <v>6.0697234340731125E-3</v>
      </c>
      <c r="AN147" s="4">
        <v>0</v>
      </c>
      <c r="AO147" s="2">
        <v>0</v>
      </c>
      <c r="AP147" s="2">
        <v>8595.5</v>
      </c>
      <c r="AQ147" s="2">
        <v>270</v>
      </c>
      <c r="AR147" s="6">
        <f>SUM(AN147:AQ147)/Variables!$E$3</f>
        <v>7.0194538357390007E-3</v>
      </c>
      <c r="AS147" s="4">
        <v>0</v>
      </c>
      <c r="AT147" s="2">
        <v>0</v>
      </c>
      <c r="AU147" s="2">
        <v>23339.1</v>
      </c>
      <c r="AV147" s="2">
        <v>1204.3</v>
      </c>
      <c r="AW147" s="6">
        <f>SUM(AS147:AV147)/Variables!$E$3</f>
        <v>1.9432774606291416E-2</v>
      </c>
      <c r="AX147" s="4">
        <v>0</v>
      </c>
      <c r="AY147" s="2">
        <v>0</v>
      </c>
      <c r="AZ147" s="2">
        <v>12835.4</v>
      </c>
      <c r="BA147" s="2">
        <v>779.400000000001</v>
      </c>
      <c r="BB147" s="6">
        <f>SUM(AX147:BA147)/Variables!$E$3</f>
        <v>1.0779816150563346E-2</v>
      </c>
      <c r="BC147" s="12">
        <f t="shared" si="44"/>
        <v>0</v>
      </c>
      <c r="BD147" s="110">
        <f t="shared" si="44"/>
        <v>0</v>
      </c>
      <c r="BE147" s="110">
        <f t="shared" si="44"/>
        <v>21549.200000000001</v>
      </c>
      <c r="BF147" s="110">
        <f t="shared" si="41"/>
        <v>0</v>
      </c>
      <c r="BG147" s="6">
        <f>SUM(BC147:BF147)/Variables!$E$3</f>
        <v>1.7062051164300589E-2</v>
      </c>
      <c r="BH147" s="4">
        <v>0</v>
      </c>
      <c r="BI147">
        <v>0</v>
      </c>
      <c r="BJ147">
        <v>11461.5</v>
      </c>
      <c r="BK147">
        <v>0</v>
      </c>
      <c r="BL147" s="6">
        <f>SUM(BH147:BK147)/Variables!$E$3</f>
        <v>9.0748937046215734E-3</v>
      </c>
      <c r="BM147" s="110">
        <v>0</v>
      </c>
      <c r="BN147" s="110">
        <v>0</v>
      </c>
      <c r="BO147" s="110">
        <v>13937</v>
      </c>
      <c r="BP147" s="110">
        <v>806.7</v>
      </c>
      <c r="BQ147" s="6">
        <f>SUM(BM147:BP147)/Variables!$E$3</f>
        <v>1.167364745564098E-2</v>
      </c>
      <c r="BS147" s="4">
        <v>145</v>
      </c>
      <c r="BT147" s="125">
        <f t="shared" si="30"/>
        <v>0</v>
      </c>
      <c r="BU147" s="125">
        <f t="shared" si="31"/>
        <v>0</v>
      </c>
      <c r="BV147" s="125">
        <f t="shared" si="32"/>
        <v>0</v>
      </c>
      <c r="BW147" s="125">
        <f t="shared" si="33"/>
        <v>0</v>
      </c>
      <c r="BX147" s="125">
        <f t="shared" si="34"/>
        <v>0</v>
      </c>
      <c r="BY147" s="125">
        <f t="shared" si="35"/>
        <v>0</v>
      </c>
      <c r="BZ147" s="125">
        <f t="shared" si="36"/>
        <v>0</v>
      </c>
      <c r="CA147" s="125">
        <f t="shared" si="37"/>
        <v>0</v>
      </c>
      <c r="CB147" s="125">
        <f t="shared" si="38"/>
        <v>0</v>
      </c>
      <c r="CC147" s="125">
        <f t="shared" si="39"/>
        <v>0</v>
      </c>
      <c r="CD147" s="125">
        <f t="shared" si="40"/>
        <v>0</v>
      </c>
      <c r="CE147" s="125">
        <f t="shared" si="42"/>
        <v>0</v>
      </c>
      <c r="CF147" s="126">
        <f t="shared" si="43"/>
        <v>0</v>
      </c>
      <c r="CH147" s="4">
        <v>145</v>
      </c>
      <c r="CI147" s="129">
        <v>0</v>
      </c>
      <c r="CJ147" s="125">
        <v>0</v>
      </c>
      <c r="CK147" s="125">
        <v>0</v>
      </c>
      <c r="CL147" s="125">
        <v>0</v>
      </c>
      <c r="CM147" s="125">
        <v>0</v>
      </c>
      <c r="CN147" s="125">
        <v>0</v>
      </c>
      <c r="CO147" s="125">
        <v>0</v>
      </c>
      <c r="CP147" s="125">
        <v>0</v>
      </c>
      <c r="CQ147" s="125">
        <v>0</v>
      </c>
      <c r="CR147" s="125">
        <v>0</v>
      </c>
      <c r="CS147" s="125">
        <v>0</v>
      </c>
      <c r="CT147" s="125">
        <v>0</v>
      </c>
      <c r="CU147" s="126">
        <v>0</v>
      </c>
    </row>
    <row r="148" spans="1:99" x14ac:dyDescent="0.25">
      <c r="A148" t="s">
        <v>220</v>
      </c>
      <c r="B148" s="2" t="s">
        <v>1</v>
      </c>
      <c r="C148" s="1">
        <v>14854</v>
      </c>
      <c r="D148" s="19">
        <v>0</v>
      </c>
      <c r="E148" s="18">
        <v>0</v>
      </c>
      <c r="F148" s="19">
        <v>0</v>
      </c>
      <c r="G148" s="19">
        <v>0</v>
      </c>
      <c r="H148" s="19">
        <v>0</v>
      </c>
      <c r="I148" s="19">
        <f>SUM(E148:H148)/Variables!$E$3</f>
        <v>0</v>
      </c>
      <c r="J148" s="4">
        <v>0</v>
      </c>
      <c r="K148">
        <v>0</v>
      </c>
      <c r="L148">
        <v>0</v>
      </c>
      <c r="M148">
        <v>0</v>
      </c>
      <c r="N148" s="6">
        <f>SUM(J148:M148)/Variables!$E$3</f>
        <v>0</v>
      </c>
      <c r="O148" s="4">
        <v>0</v>
      </c>
      <c r="P148">
        <v>0</v>
      </c>
      <c r="Q148">
        <v>0</v>
      </c>
      <c r="R148">
        <v>0</v>
      </c>
      <c r="S148" s="6">
        <f>SUM(O148:R148)/Variables!$E$3</f>
        <v>0</v>
      </c>
      <c r="T148" s="12">
        <v>0</v>
      </c>
      <c r="U148" s="6">
        <v>0</v>
      </c>
      <c r="V148" s="6">
        <v>0</v>
      </c>
      <c r="W148" s="6">
        <v>0</v>
      </c>
      <c r="X148" s="6">
        <f>SUM(T148:W148)/Variables!$E$3</f>
        <v>0</v>
      </c>
      <c r="Y148" s="12">
        <v>0</v>
      </c>
      <c r="Z148" s="6">
        <v>0</v>
      </c>
      <c r="AA148" s="6">
        <v>0</v>
      </c>
      <c r="AB148" s="6">
        <v>0</v>
      </c>
      <c r="AC148" s="6">
        <f>SUM(Y148:AB148)/Variables!$E$3</f>
        <v>0</v>
      </c>
      <c r="AD148" s="4">
        <v>0</v>
      </c>
      <c r="AE148" s="2">
        <v>0</v>
      </c>
      <c r="AF148" s="2">
        <v>0</v>
      </c>
      <c r="AG148" s="2">
        <v>0</v>
      </c>
      <c r="AH148" s="6">
        <f>SUM(AD148:AG148)/Variables!$E$3</f>
        <v>0</v>
      </c>
      <c r="AI148" s="4">
        <v>0</v>
      </c>
      <c r="AJ148" s="2">
        <v>0</v>
      </c>
      <c r="AK148" s="2">
        <v>0</v>
      </c>
      <c r="AL148" s="2">
        <v>0</v>
      </c>
      <c r="AM148" s="6">
        <f>SUM(AI148:AL148)/Variables!$E$3</f>
        <v>0</v>
      </c>
      <c r="AN148" s="4">
        <v>0</v>
      </c>
      <c r="AO148" s="2">
        <v>0</v>
      </c>
      <c r="AP148" s="2">
        <v>0</v>
      </c>
      <c r="AQ148" s="2">
        <v>0</v>
      </c>
      <c r="AR148" s="6">
        <f>SUM(AN148:AQ148)/Variables!$E$3</f>
        <v>0</v>
      </c>
      <c r="AS148" s="4">
        <v>0</v>
      </c>
      <c r="AT148" s="2">
        <v>0</v>
      </c>
      <c r="AU148" s="2">
        <v>0</v>
      </c>
      <c r="AV148" s="2">
        <v>0</v>
      </c>
      <c r="AW148" s="6">
        <f>SUM(AS148:AV148)/Variables!$E$3</f>
        <v>0</v>
      </c>
      <c r="AX148" s="4">
        <v>0</v>
      </c>
      <c r="AY148" s="2">
        <v>0</v>
      </c>
      <c r="AZ148" s="2">
        <v>0</v>
      </c>
      <c r="BA148" s="2">
        <v>0</v>
      </c>
      <c r="BB148" s="6">
        <f>SUM(AX148:BA148)/Variables!$E$3</f>
        <v>0</v>
      </c>
      <c r="BC148" s="12">
        <f t="shared" si="44"/>
        <v>0</v>
      </c>
      <c r="BD148" s="110">
        <f t="shared" si="44"/>
        <v>0</v>
      </c>
      <c r="BE148" s="110">
        <f t="shared" si="44"/>
        <v>0</v>
      </c>
      <c r="BF148" s="110">
        <f t="shared" si="41"/>
        <v>0</v>
      </c>
      <c r="BG148" s="6">
        <f>SUM(BC148:BF148)/Variables!$E$3</f>
        <v>0</v>
      </c>
      <c r="BH148" s="4">
        <v>0</v>
      </c>
      <c r="BI148">
        <v>0</v>
      </c>
      <c r="BJ148">
        <v>0</v>
      </c>
      <c r="BK148">
        <v>0</v>
      </c>
      <c r="BL148" s="6">
        <f>SUM(BH148:BK148)/Variables!$E$3</f>
        <v>0</v>
      </c>
      <c r="BM148" s="110">
        <v>0</v>
      </c>
      <c r="BN148" s="110">
        <v>0</v>
      </c>
      <c r="BO148" s="110">
        <v>0</v>
      </c>
      <c r="BP148" s="110">
        <v>0</v>
      </c>
      <c r="BQ148" s="6">
        <f>SUM(BM148:BP148)/Variables!$E$3</f>
        <v>0</v>
      </c>
      <c r="BS148" s="4">
        <v>146</v>
      </c>
      <c r="BT148" s="125">
        <f t="shared" si="30"/>
        <v>0</v>
      </c>
      <c r="BU148" s="125">
        <f t="shared" si="31"/>
        <v>0</v>
      </c>
      <c r="BV148" s="125">
        <f t="shared" si="32"/>
        <v>0</v>
      </c>
      <c r="BW148" s="125">
        <f t="shared" si="33"/>
        <v>0</v>
      </c>
      <c r="BX148" s="125">
        <f t="shared" si="34"/>
        <v>0</v>
      </c>
      <c r="BY148" s="125">
        <f t="shared" si="35"/>
        <v>0</v>
      </c>
      <c r="BZ148" s="125">
        <f t="shared" si="36"/>
        <v>0</v>
      </c>
      <c r="CA148" s="125">
        <f t="shared" si="37"/>
        <v>0</v>
      </c>
      <c r="CB148" s="125">
        <f t="shared" si="38"/>
        <v>0</v>
      </c>
      <c r="CC148" s="125">
        <f t="shared" si="39"/>
        <v>0</v>
      </c>
      <c r="CD148" s="125">
        <f t="shared" si="40"/>
        <v>0</v>
      </c>
      <c r="CE148" s="125">
        <f t="shared" si="42"/>
        <v>0</v>
      </c>
      <c r="CF148" s="126">
        <f t="shared" si="43"/>
        <v>0</v>
      </c>
      <c r="CH148" s="4">
        <v>146</v>
      </c>
      <c r="CI148" s="129">
        <v>0</v>
      </c>
      <c r="CJ148" s="125">
        <v>0</v>
      </c>
      <c r="CK148" s="125">
        <v>0</v>
      </c>
      <c r="CL148" s="125">
        <v>0</v>
      </c>
      <c r="CM148" s="125">
        <v>0</v>
      </c>
      <c r="CN148" s="125">
        <v>0</v>
      </c>
      <c r="CO148" s="125">
        <v>0</v>
      </c>
      <c r="CP148" s="125">
        <v>0</v>
      </c>
      <c r="CQ148" s="125">
        <v>0</v>
      </c>
      <c r="CR148" s="125">
        <v>0</v>
      </c>
      <c r="CS148" s="125">
        <v>0</v>
      </c>
      <c r="CT148" s="125">
        <v>0</v>
      </c>
      <c r="CU148" s="126">
        <v>0</v>
      </c>
    </row>
    <row r="149" spans="1:99" x14ac:dyDescent="0.25">
      <c r="A149" t="s">
        <v>220</v>
      </c>
      <c r="B149" s="2" t="s">
        <v>2</v>
      </c>
      <c r="C149" s="1">
        <v>14945</v>
      </c>
      <c r="D149" s="19">
        <v>45.157142857142901</v>
      </c>
      <c r="E149" s="18">
        <v>0</v>
      </c>
      <c r="F149" s="19">
        <v>0</v>
      </c>
      <c r="G149" s="19">
        <v>0</v>
      </c>
      <c r="H149" s="19">
        <v>0</v>
      </c>
      <c r="I149" s="19">
        <f>SUM(E149:H149)/Variables!$E$3</f>
        <v>0</v>
      </c>
      <c r="J149" s="4">
        <v>0</v>
      </c>
      <c r="K149">
        <v>0</v>
      </c>
      <c r="L149">
        <v>0</v>
      </c>
      <c r="M149">
        <v>0</v>
      </c>
      <c r="N149" s="6">
        <f>SUM(J149:M149)/Variables!$E$3</f>
        <v>0</v>
      </c>
      <c r="O149" s="4">
        <v>0</v>
      </c>
      <c r="P149">
        <v>0</v>
      </c>
      <c r="Q149">
        <v>0</v>
      </c>
      <c r="R149">
        <v>0</v>
      </c>
      <c r="S149" s="6">
        <f>SUM(O149:R149)/Variables!$E$3</f>
        <v>0</v>
      </c>
      <c r="T149" s="12">
        <v>0</v>
      </c>
      <c r="U149" s="6">
        <v>0</v>
      </c>
      <c r="V149" s="6">
        <v>0</v>
      </c>
      <c r="W149" s="6">
        <v>0</v>
      </c>
      <c r="X149" s="6">
        <f>SUM(T149:W149)/Variables!$E$3</f>
        <v>0</v>
      </c>
      <c r="Y149" s="12">
        <v>0</v>
      </c>
      <c r="Z149" s="6">
        <v>0</v>
      </c>
      <c r="AA149" s="6">
        <v>0</v>
      </c>
      <c r="AB149" s="6">
        <v>0</v>
      </c>
      <c r="AC149" s="6">
        <f>SUM(Y149:AB149)/Variables!$E$3</f>
        <v>0</v>
      </c>
      <c r="AD149" s="4">
        <v>0</v>
      </c>
      <c r="AE149" s="2">
        <v>0</v>
      </c>
      <c r="AF149" s="2">
        <v>0</v>
      </c>
      <c r="AG149" s="2">
        <v>0</v>
      </c>
      <c r="AH149" s="6">
        <f>SUM(AD149:AG149)/Variables!$E$3</f>
        <v>0</v>
      </c>
      <c r="AI149" s="4">
        <v>0</v>
      </c>
      <c r="AJ149" s="2">
        <v>0</v>
      </c>
      <c r="AK149" s="2">
        <v>0</v>
      </c>
      <c r="AL149" s="2">
        <v>0</v>
      </c>
      <c r="AM149" s="6">
        <f>SUM(AI149:AL149)/Variables!$E$3</f>
        <v>0</v>
      </c>
      <c r="AN149" s="4">
        <v>0</v>
      </c>
      <c r="AO149" s="2">
        <v>0</v>
      </c>
      <c r="AP149" s="2">
        <v>0</v>
      </c>
      <c r="AQ149" s="2">
        <v>0</v>
      </c>
      <c r="AR149" s="6">
        <f>SUM(AN149:AQ149)/Variables!$E$3</f>
        <v>0</v>
      </c>
      <c r="AS149" s="4">
        <v>0</v>
      </c>
      <c r="AT149" s="2">
        <v>0</v>
      </c>
      <c r="AU149" s="2">
        <v>0</v>
      </c>
      <c r="AV149" s="2">
        <v>0</v>
      </c>
      <c r="AW149" s="6">
        <f>SUM(AS149:AV149)/Variables!$E$3</f>
        <v>0</v>
      </c>
      <c r="AX149" s="4">
        <v>0</v>
      </c>
      <c r="AY149" s="2">
        <v>0</v>
      </c>
      <c r="AZ149" s="2">
        <v>0</v>
      </c>
      <c r="BA149" s="2">
        <v>0</v>
      </c>
      <c r="BB149" s="6">
        <f>SUM(AX149:BA149)/Variables!$E$3</f>
        <v>0</v>
      </c>
      <c r="BC149" s="12">
        <f t="shared" si="44"/>
        <v>0</v>
      </c>
      <c r="BD149" s="110">
        <f t="shared" si="44"/>
        <v>0</v>
      </c>
      <c r="BE149" s="110">
        <f t="shared" si="44"/>
        <v>0</v>
      </c>
      <c r="BF149" s="110">
        <f t="shared" si="41"/>
        <v>0</v>
      </c>
      <c r="BG149" s="6">
        <f>SUM(BC149:BF149)/Variables!$E$3</f>
        <v>0</v>
      </c>
      <c r="BH149" s="4">
        <v>0</v>
      </c>
      <c r="BI149">
        <v>0</v>
      </c>
      <c r="BJ149">
        <v>0</v>
      </c>
      <c r="BK149">
        <v>0</v>
      </c>
      <c r="BL149" s="6">
        <f>SUM(BH149:BK149)/Variables!$E$3</f>
        <v>0</v>
      </c>
      <c r="BM149" s="110">
        <v>0</v>
      </c>
      <c r="BN149" s="110">
        <v>0</v>
      </c>
      <c r="BO149" s="110">
        <v>0</v>
      </c>
      <c r="BP149" s="110">
        <v>0</v>
      </c>
      <c r="BQ149" s="6">
        <f>SUM(BM149:BP149)/Variables!$E$3</f>
        <v>0</v>
      </c>
      <c r="BS149" s="4">
        <v>147</v>
      </c>
      <c r="BT149" s="125">
        <f t="shared" si="30"/>
        <v>0</v>
      </c>
      <c r="BU149" s="125">
        <f t="shared" si="31"/>
        <v>0.29397936642412054</v>
      </c>
      <c r="BV149" s="125">
        <f t="shared" si="32"/>
        <v>4.7292535966238849E-3</v>
      </c>
      <c r="BW149" s="125">
        <f t="shared" si="33"/>
        <v>7.8026191814662027E-2</v>
      </c>
      <c r="BX149" s="125">
        <f t="shared" si="34"/>
        <v>7.5239313058694052E-2</v>
      </c>
      <c r="BY149" s="125">
        <f t="shared" si="35"/>
        <v>4.34510170310137E-2</v>
      </c>
      <c r="BZ149" s="125">
        <f t="shared" si="36"/>
        <v>3.7871242052589488E-2</v>
      </c>
      <c r="CA149" s="125">
        <f t="shared" si="37"/>
        <v>4.4081821708802128E-2</v>
      </c>
      <c r="CB149" s="125">
        <f t="shared" si="38"/>
        <v>8.5467422544913255E-2</v>
      </c>
      <c r="CC149" s="125">
        <f t="shared" si="39"/>
        <v>5.6555871384571535E-2</v>
      </c>
      <c r="CD149" s="125">
        <f t="shared" si="40"/>
        <v>7.5239313058694052E-2</v>
      </c>
      <c r="CE149" s="125">
        <f t="shared" si="42"/>
        <v>4.9667693330905233E-2</v>
      </c>
      <c r="CF149" s="126">
        <f t="shared" si="43"/>
        <v>5.9480993515388082E-2</v>
      </c>
      <c r="CH149" s="4">
        <v>147</v>
      </c>
      <c r="CI149" s="129">
        <v>0</v>
      </c>
      <c r="CJ149" s="125">
        <v>0.64328221126058005</v>
      </c>
      <c r="CK149" s="125">
        <v>0</v>
      </c>
      <c r="CL149" s="125">
        <v>0</v>
      </c>
      <c r="CM149" s="125">
        <v>0</v>
      </c>
      <c r="CN149" s="125">
        <v>0</v>
      </c>
      <c r="CO149" s="125">
        <v>0</v>
      </c>
      <c r="CP149" s="125">
        <v>0</v>
      </c>
      <c r="CQ149" s="125">
        <v>0</v>
      </c>
      <c r="CR149" s="125">
        <v>0</v>
      </c>
      <c r="CS149" s="125">
        <v>0</v>
      </c>
      <c r="CT149" s="125">
        <v>0</v>
      </c>
      <c r="CU149" s="126">
        <v>0</v>
      </c>
    </row>
    <row r="150" spans="1:99" x14ac:dyDescent="0.25">
      <c r="A150" t="s">
        <v>221</v>
      </c>
      <c r="B150" s="2" t="s">
        <v>3</v>
      </c>
      <c r="C150" s="1">
        <v>15035</v>
      </c>
      <c r="D150" s="19">
        <v>210.085714285714</v>
      </c>
      <c r="E150" s="18">
        <v>0</v>
      </c>
      <c r="F150" s="19">
        <v>0</v>
      </c>
      <c r="G150" s="19">
        <v>0</v>
      </c>
      <c r="H150" s="19">
        <v>0</v>
      </c>
      <c r="I150" s="19">
        <f>SUM(E150:H150)/Variables!$E$3</f>
        <v>0</v>
      </c>
      <c r="J150" s="4">
        <v>0</v>
      </c>
      <c r="K150">
        <v>18111</v>
      </c>
      <c r="L150">
        <v>323263</v>
      </c>
      <c r="M150">
        <v>29919</v>
      </c>
      <c r="N150" s="6">
        <f>SUM(J150:M150)/Variables!$E$3</f>
        <v>0.29397936642412054</v>
      </c>
      <c r="O150" s="4">
        <v>0</v>
      </c>
      <c r="P150">
        <v>0</v>
      </c>
      <c r="Q150">
        <v>5973</v>
      </c>
      <c r="R150">
        <v>0</v>
      </c>
      <c r="S150" s="6">
        <f>SUM(O150:R150)/Variables!$E$3</f>
        <v>4.7292535966238849E-3</v>
      </c>
      <c r="T150" s="12">
        <v>0</v>
      </c>
      <c r="U150" s="6">
        <v>0</v>
      </c>
      <c r="V150" s="6">
        <v>97028.4</v>
      </c>
      <c r="W150" s="6">
        <v>1517.9</v>
      </c>
      <c r="X150" s="6">
        <f>SUM(T150:W150)/Variables!$E$3</f>
        <v>7.8026191814662027E-2</v>
      </c>
      <c r="Y150" s="12">
        <v>0</v>
      </c>
      <c r="Z150" s="6">
        <v>0</v>
      </c>
      <c r="AA150" s="6">
        <v>93433</v>
      </c>
      <c r="AB150" s="6">
        <v>1593.5</v>
      </c>
      <c r="AC150" s="6">
        <f>SUM(Y150:AB150)/Variables!$E$3</f>
        <v>7.5239313058694052E-2</v>
      </c>
      <c r="AD150" s="4">
        <v>0</v>
      </c>
      <c r="AE150" s="2">
        <v>0</v>
      </c>
      <c r="AF150" s="2">
        <v>52175.199999999997</v>
      </c>
      <c r="AG150" s="2">
        <v>2703</v>
      </c>
      <c r="AH150" s="6">
        <f>SUM(AD150:AG150)/Variables!$E$3</f>
        <v>4.34510170310137E-2</v>
      </c>
      <c r="AI150" s="4">
        <v>0</v>
      </c>
      <c r="AJ150" s="2">
        <v>0</v>
      </c>
      <c r="AK150" s="2">
        <v>47820.800000000003</v>
      </c>
      <c r="AL150" s="2">
        <v>10.1999999999998</v>
      </c>
      <c r="AM150" s="6">
        <f>SUM(AI150:AL150)/Variables!$E$3</f>
        <v>3.7871242052589488E-2</v>
      </c>
      <c r="AN150" s="4">
        <v>0</v>
      </c>
      <c r="AO150" s="2">
        <v>0</v>
      </c>
      <c r="AP150" s="2">
        <v>53021.5</v>
      </c>
      <c r="AQ150" s="2">
        <v>2653.4</v>
      </c>
      <c r="AR150" s="6">
        <f>SUM(AN150:AQ150)/Variables!$E$3</f>
        <v>4.4081821708802128E-2</v>
      </c>
      <c r="AS150" s="4">
        <v>0</v>
      </c>
      <c r="AT150" s="2">
        <v>0</v>
      </c>
      <c r="AU150" s="2">
        <v>101177.3</v>
      </c>
      <c r="AV150" s="2">
        <v>6767.2</v>
      </c>
      <c r="AW150" s="6">
        <f>SUM(AS150:AV150)/Variables!$E$3</f>
        <v>8.5467422544913255E-2</v>
      </c>
      <c r="AX150" s="4">
        <v>0</v>
      </c>
      <c r="AY150" s="2">
        <v>0</v>
      </c>
      <c r="AZ150" s="2">
        <v>67328.399999999994</v>
      </c>
      <c r="BA150" s="2">
        <v>4101.1000000000004</v>
      </c>
      <c r="BB150" s="6">
        <f>SUM(AX150:BA150)/Variables!$E$3</f>
        <v>5.6555871384571535E-2</v>
      </c>
      <c r="BC150" s="12">
        <f t="shared" si="44"/>
        <v>0</v>
      </c>
      <c r="BD150" s="110">
        <f t="shared" si="44"/>
        <v>0</v>
      </c>
      <c r="BE150" s="110">
        <f t="shared" si="44"/>
        <v>93433</v>
      </c>
      <c r="BF150" s="110">
        <f t="shared" si="41"/>
        <v>1593.5</v>
      </c>
      <c r="BG150" s="6">
        <f>SUM(BC150:BF150)/Variables!$E$3</f>
        <v>7.5239313058694052E-2</v>
      </c>
      <c r="BH150" s="4">
        <v>0</v>
      </c>
      <c r="BI150">
        <v>0</v>
      </c>
      <c r="BJ150">
        <v>61648.4</v>
      </c>
      <c r="BK150">
        <v>1081.4000000000001</v>
      </c>
      <c r="BL150" s="6">
        <f>SUM(BH150:BK150)/Variables!$E$3</f>
        <v>4.9667693330905233E-2</v>
      </c>
      <c r="BM150" s="110">
        <v>0</v>
      </c>
      <c r="BN150" s="110">
        <v>0</v>
      </c>
      <c r="BO150" s="110">
        <v>71120</v>
      </c>
      <c r="BP150" s="110">
        <v>4003.9</v>
      </c>
      <c r="BQ150" s="6">
        <f>SUM(BM150:BP150)/Variables!$E$3</f>
        <v>5.9480993515388082E-2</v>
      </c>
      <c r="BS150" s="4">
        <v>148</v>
      </c>
      <c r="BT150" s="125">
        <f t="shared" si="30"/>
        <v>0</v>
      </c>
      <c r="BU150" s="125">
        <f t="shared" si="31"/>
        <v>0.28704423629640774</v>
      </c>
      <c r="BV150" s="125">
        <f t="shared" si="32"/>
        <v>6.8753513487834428E-2</v>
      </c>
      <c r="BW150" s="125">
        <f t="shared" si="33"/>
        <v>0.12746743838035141</v>
      </c>
      <c r="BX150" s="125">
        <f t="shared" si="34"/>
        <v>0.12534509378538228</v>
      </c>
      <c r="BY150" s="125">
        <f t="shared" si="35"/>
        <v>0.10703980237373219</v>
      </c>
      <c r="BZ150" s="125">
        <f t="shared" si="36"/>
        <v>9.6696965138282964E-2</v>
      </c>
      <c r="CA150" s="125">
        <f t="shared" si="37"/>
        <v>0.10063294246193556</v>
      </c>
      <c r="CB150" s="125">
        <f t="shared" si="38"/>
        <v>0.13478364832659007</v>
      </c>
      <c r="CC150" s="125">
        <f t="shared" si="39"/>
        <v>0.10887251680535873</v>
      </c>
      <c r="CD150" s="125">
        <f t="shared" si="40"/>
        <v>0.12534509378538228</v>
      </c>
      <c r="CE150" s="125">
        <f t="shared" si="42"/>
        <v>0.10283834392988069</v>
      </c>
      <c r="CF150" s="126">
        <f t="shared" si="43"/>
        <v>0.11247333708105367</v>
      </c>
      <c r="CH150" s="4">
        <v>148</v>
      </c>
      <c r="CI150" s="129">
        <v>0</v>
      </c>
      <c r="CJ150" s="125">
        <v>0.27085566789919158</v>
      </c>
      <c r="CK150" s="125">
        <v>0</v>
      </c>
      <c r="CL150" s="125">
        <v>5.6424912311261378E-2</v>
      </c>
      <c r="CM150" s="125">
        <v>5.6032510154474698E-2</v>
      </c>
      <c r="CN150" s="125">
        <v>5.3093056952153224E-2</v>
      </c>
      <c r="CO150" s="125">
        <v>0</v>
      </c>
      <c r="CP150" s="125">
        <v>0</v>
      </c>
      <c r="CQ150" s="125">
        <v>5.6612087189922326E-2</v>
      </c>
      <c r="CR150" s="125">
        <v>3.3787440914021485E-2</v>
      </c>
      <c r="CS150" s="125">
        <v>5.6032510154474698E-2</v>
      </c>
      <c r="CT150" s="125">
        <v>0</v>
      </c>
      <c r="CU150" s="126">
        <v>6.9386455949769985E-2</v>
      </c>
    </row>
    <row r="151" spans="1:99" x14ac:dyDescent="0.25">
      <c r="A151" t="s">
        <v>221</v>
      </c>
      <c r="B151" s="2" t="s">
        <v>4</v>
      </c>
      <c r="C151" s="1">
        <v>15127</v>
      </c>
      <c r="D151" s="19">
        <v>38</v>
      </c>
      <c r="E151" s="18">
        <v>0</v>
      </c>
      <c r="F151" s="19">
        <v>0</v>
      </c>
      <c r="G151" s="19">
        <v>0</v>
      </c>
      <c r="H151" s="19">
        <v>0</v>
      </c>
      <c r="I151" s="19">
        <f>SUM(E151:H151)/Variables!$E$3</f>
        <v>0</v>
      </c>
      <c r="J151" s="4">
        <v>10736</v>
      </c>
      <c r="K151">
        <v>22437</v>
      </c>
      <c r="L151">
        <v>287100</v>
      </c>
      <c r="M151">
        <v>42261</v>
      </c>
      <c r="N151" s="6">
        <f>SUM(J151:M151)/Variables!$E$3</f>
        <v>0.28704423629640774</v>
      </c>
      <c r="O151" s="4">
        <v>0</v>
      </c>
      <c r="P151">
        <v>1093</v>
      </c>
      <c r="Q151">
        <v>68217</v>
      </c>
      <c r="R151">
        <v>17525</v>
      </c>
      <c r="S151" s="6">
        <f>SUM(O151:R151)/Variables!$E$3</f>
        <v>6.8753513487834428E-2</v>
      </c>
      <c r="T151" s="12">
        <v>586.099999999999</v>
      </c>
      <c r="U151" s="6">
        <v>3205.4</v>
      </c>
      <c r="V151" s="6">
        <v>133237.4</v>
      </c>
      <c r="W151" s="6">
        <v>23961.200000000001</v>
      </c>
      <c r="X151" s="6">
        <f>SUM(T151:W151)/Variables!$E$3</f>
        <v>0.12746743838035141</v>
      </c>
      <c r="Y151" s="12">
        <v>575.70000000000005</v>
      </c>
      <c r="Z151" s="6">
        <v>3188.2</v>
      </c>
      <c r="AA151" s="6">
        <v>130664.9</v>
      </c>
      <c r="AB151" s="6">
        <v>23880.799999999999</v>
      </c>
      <c r="AC151" s="6">
        <f>SUM(Y151:AB151)/Variables!$E$3</f>
        <v>0.12534509378538228</v>
      </c>
      <c r="AD151" s="4">
        <v>696.70000000000095</v>
      </c>
      <c r="AE151" s="2">
        <v>3518.6</v>
      </c>
      <c r="AF151" s="2">
        <v>109034.7</v>
      </c>
      <c r="AG151" s="2">
        <v>21940.2</v>
      </c>
      <c r="AH151" s="6">
        <f>SUM(AD151:AG151)/Variables!$E$3</f>
        <v>0.10703980237373219</v>
      </c>
      <c r="AI151" s="4">
        <v>250.5</v>
      </c>
      <c r="AJ151" s="2">
        <v>2319.8000000000002</v>
      </c>
      <c r="AK151" s="2">
        <v>101011.5</v>
      </c>
      <c r="AL151" s="2">
        <v>18545.5</v>
      </c>
      <c r="AM151" s="6">
        <f>SUM(AI151:AL151)/Variables!$E$3</f>
        <v>9.6696965138282964E-2</v>
      </c>
      <c r="AN151" s="4">
        <v>96.300000000000196</v>
      </c>
      <c r="AO151" s="2">
        <v>2010.8</v>
      </c>
      <c r="AP151" s="2">
        <v>101949.2</v>
      </c>
      <c r="AQ151" s="2">
        <v>23042.1</v>
      </c>
      <c r="AR151" s="6">
        <f>SUM(AN151:AQ151)/Variables!$E$3</f>
        <v>0.10063294246193556</v>
      </c>
      <c r="AS151" s="4">
        <v>1150.3</v>
      </c>
      <c r="AT151" s="2">
        <v>4085.5</v>
      </c>
      <c r="AU151" s="2">
        <v>135530.20000000001</v>
      </c>
      <c r="AV151" s="2">
        <v>29464.400000000001</v>
      </c>
      <c r="AW151" s="6">
        <f>SUM(AS151:AV151)/Variables!$E$3</f>
        <v>0.13478364832659007</v>
      </c>
      <c r="AX151" s="4">
        <v>149.30000000000001</v>
      </c>
      <c r="AY151" s="2">
        <v>2178.5</v>
      </c>
      <c r="AZ151" s="2">
        <v>110360.6</v>
      </c>
      <c r="BA151" s="2">
        <v>24816.5</v>
      </c>
      <c r="BB151" s="6">
        <f>SUM(AX151:BA151)/Variables!$E$3</f>
        <v>0.10887251680535873</v>
      </c>
      <c r="BC151" s="12">
        <f t="shared" si="44"/>
        <v>575.70000000000005</v>
      </c>
      <c r="BD151" s="110">
        <f t="shared" si="44"/>
        <v>3188.2</v>
      </c>
      <c r="BE151" s="110">
        <f t="shared" si="44"/>
        <v>130664.9</v>
      </c>
      <c r="BF151" s="110">
        <f t="shared" si="41"/>
        <v>23880.799999999999</v>
      </c>
      <c r="BG151" s="6">
        <f>SUM(BC151:BF151)/Variables!$E$3</f>
        <v>0.12534509378538228</v>
      </c>
      <c r="BH151" s="4">
        <v>119.900000000001</v>
      </c>
      <c r="BI151">
        <v>2089.9</v>
      </c>
      <c r="BJ151">
        <v>107827.5</v>
      </c>
      <c r="BK151">
        <v>19846.5</v>
      </c>
      <c r="BL151" s="6">
        <f>SUM(BH151:BK151)/Variables!$E$3</f>
        <v>0.10283834392988069</v>
      </c>
      <c r="BM151" s="110">
        <v>485.70000000000101</v>
      </c>
      <c r="BN151" s="110">
        <v>2886.2</v>
      </c>
      <c r="BO151" s="110">
        <v>114105</v>
      </c>
      <c r="BP151" s="110">
        <v>24575.8</v>
      </c>
      <c r="BQ151" s="6">
        <f>SUM(BM151:BP151)/Variables!$E$3</f>
        <v>0.11247333708105367</v>
      </c>
      <c r="BS151" s="4">
        <v>149</v>
      </c>
      <c r="BT151" s="125">
        <f t="shared" si="30"/>
        <v>0</v>
      </c>
      <c r="BU151" s="125">
        <f t="shared" si="31"/>
        <v>0</v>
      </c>
      <c r="BV151" s="125">
        <f t="shared" si="32"/>
        <v>0</v>
      </c>
      <c r="BW151" s="125">
        <f t="shared" si="33"/>
        <v>0</v>
      </c>
      <c r="BX151" s="125">
        <f t="shared" si="34"/>
        <v>0</v>
      </c>
      <c r="BY151" s="125">
        <f t="shared" si="35"/>
        <v>0</v>
      </c>
      <c r="BZ151" s="125">
        <f t="shared" si="36"/>
        <v>0</v>
      </c>
      <c r="CA151" s="125">
        <f t="shared" si="37"/>
        <v>0</v>
      </c>
      <c r="CB151" s="125">
        <f t="shared" si="38"/>
        <v>0</v>
      </c>
      <c r="CC151" s="125">
        <f t="shared" si="39"/>
        <v>0</v>
      </c>
      <c r="CD151" s="125">
        <f t="shared" si="40"/>
        <v>0</v>
      </c>
      <c r="CE151" s="125">
        <f t="shared" si="42"/>
        <v>0</v>
      </c>
      <c r="CF151" s="126">
        <f t="shared" si="43"/>
        <v>0</v>
      </c>
      <c r="CH151" s="4">
        <v>149</v>
      </c>
      <c r="CI151" s="129">
        <v>0</v>
      </c>
      <c r="CJ151" s="125">
        <v>0</v>
      </c>
      <c r="CK151" s="125">
        <v>0</v>
      </c>
      <c r="CL151" s="125">
        <v>0</v>
      </c>
      <c r="CM151" s="125">
        <v>0</v>
      </c>
      <c r="CN151" s="125">
        <v>0</v>
      </c>
      <c r="CO151" s="125">
        <v>0</v>
      </c>
      <c r="CP151" s="125">
        <v>0</v>
      </c>
      <c r="CQ151" s="125">
        <v>0</v>
      </c>
      <c r="CR151" s="125">
        <v>0</v>
      </c>
      <c r="CS151" s="125">
        <v>0</v>
      </c>
      <c r="CT151" s="125">
        <v>0</v>
      </c>
      <c r="CU151" s="126">
        <v>0</v>
      </c>
    </row>
    <row r="152" spans="1:99" x14ac:dyDescent="0.25">
      <c r="A152" t="s">
        <v>221</v>
      </c>
      <c r="B152" s="2" t="s">
        <v>1</v>
      </c>
      <c r="C152" s="1">
        <v>15219</v>
      </c>
      <c r="D152" s="19">
        <v>0</v>
      </c>
      <c r="E152" s="18">
        <v>0</v>
      </c>
      <c r="F152" s="19">
        <v>0</v>
      </c>
      <c r="G152" s="19">
        <v>0</v>
      </c>
      <c r="H152" s="19">
        <v>0</v>
      </c>
      <c r="I152" s="19">
        <f>SUM(E152:H152)/Variables!$E$3</f>
        <v>0</v>
      </c>
      <c r="J152" s="4">
        <v>0</v>
      </c>
      <c r="K152">
        <v>0</v>
      </c>
      <c r="L152">
        <v>0</v>
      </c>
      <c r="M152">
        <v>0</v>
      </c>
      <c r="N152" s="6">
        <f>SUM(J152:M152)/Variables!$E$3</f>
        <v>0</v>
      </c>
      <c r="O152" s="4">
        <v>0</v>
      </c>
      <c r="P152">
        <v>0</v>
      </c>
      <c r="Q152">
        <v>0</v>
      </c>
      <c r="R152">
        <v>0</v>
      </c>
      <c r="S152" s="6">
        <f>SUM(O152:R152)/Variables!$E$3</f>
        <v>0</v>
      </c>
      <c r="T152" s="12">
        <v>0</v>
      </c>
      <c r="U152" s="6">
        <v>0</v>
      </c>
      <c r="V152" s="6">
        <v>0</v>
      </c>
      <c r="W152" s="6">
        <v>0</v>
      </c>
      <c r="X152" s="6">
        <f>SUM(T152:W152)/Variables!$E$3</f>
        <v>0</v>
      </c>
      <c r="Y152" s="12">
        <v>0</v>
      </c>
      <c r="Z152" s="6">
        <v>0</v>
      </c>
      <c r="AA152" s="6">
        <v>0</v>
      </c>
      <c r="AB152" s="6">
        <v>0</v>
      </c>
      <c r="AC152" s="6">
        <f>SUM(Y152:AB152)/Variables!$E$3</f>
        <v>0</v>
      </c>
      <c r="AD152" s="4">
        <v>0</v>
      </c>
      <c r="AE152" s="2">
        <v>0</v>
      </c>
      <c r="AF152" s="2">
        <v>0</v>
      </c>
      <c r="AG152" s="2">
        <v>0</v>
      </c>
      <c r="AH152" s="6">
        <f>SUM(AD152:AG152)/Variables!$E$3</f>
        <v>0</v>
      </c>
      <c r="AI152" s="4">
        <v>0</v>
      </c>
      <c r="AJ152" s="2">
        <v>0</v>
      </c>
      <c r="AK152" s="2">
        <v>0</v>
      </c>
      <c r="AL152" s="2">
        <v>0</v>
      </c>
      <c r="AM152" s="6">
        <f>SUM(AI152:AL152)/Variables!$E$3</f>
        <v>0</v>
      </c>
      <c r="AN152" s="4">
        <v>0</v>
      </c>
      <c r="AO152" s="2">
        <v>0</v>
      </c>
      <c r="AP152" s="2">
        <v>0</v>
      </c>
      <c r="AQ152" s="2">
        <v>0</v>
      </c>
      <c r="AR152" s="6">
        <f>SUM(AN152:AQ152)/Variables!$E$3</f>
        <v>0</v>
      </c>
      <c r="AS152" s="4">
        <v>0</v>
      </c>
      <c r="AT152" s="2">
        <v>0</v>
      </c>
      <c r="AU152" s="2">
        <v>0</v>
      </c>
      <c r="AV152" s="2">
        <v>0</v>
      </c>
      <c r="AW152" s="6">
        <f>SUM(AS152:AV152)/Variables!$E$3</f>
        <v>0</v>
      </c>
      <c r="AX152" s="4">
        <v>0</v>
      </c>
      <c r="AY152" s="2">
        <v>0</v>
      </c>
      <c r="AZ152" s="2">
        <v>0</v>
      </c>
      <c r="BA152" s="2">
        <v>0</v>
      </c>
      <c r="BB152" s="6">
        <f>SUM(AX152:BA152)/Variables!$E$3</f>
        <v>0</v>
      </c>
      <c r="BC152" s="12">
        <f t="shared" si="44"/>
        <v>0</v>
      </c>
      <c r="BD152" s="110">
        <f t="shared" si="44"/>
        <v>0</v>
      </c>
      <c r="BE152" s="110">
        <f t="shared" si="44"/>
        <v>0</v>
      </c>
      <c r="BF152" s="110">
        <f t="shared" si="41"/>
        <v>0</v>
      </c>
      <c r="BG152" s="6">
        <f>SUM(BC152:BF152)/Variables!$E$3</f>
        <v>0</v>
      </c>
      <c r="BH152" s="4">
        <v>0</v>
      </c>
      <c r="BI152">
        <v>0</v>
      </c>
      <c r="BJ152">
        <v>0</v>
      </c>
      <c r="BK152">
        <v>0</v>
      </c>
      <c r="BL152" s="6">
        <f>SUM(BH152:BK152)/Variables!$E$3</f>
        <v>0</v>
      </c>
      <c r="BM152" s="110">
        <v>0</v>
      </c>
      <c r="BN152" s="110">
        <v>0</v>
      </c>
      <c r="BO152" s="110">
        <v>0</v>
      </c>
      <c r="BP152" s="110">
        <v>0</v>
      </c>
      <c r="BQ152" s="6">
        <f>SUM(BM152:BP152)/Variables!$E$3</f>
        <v>0</v>
      </c>
      <c r="BS152" s="4">
        <v>150</v>
      </c>
      <c r="BT152" s="125">
        <f t="shared" si="30"/>
        <v>0</v>
      </c>
      <c r="BU152" s="125">
        <f t="shared" si="31"/>
        <v>0</v>
      </c>
      <c r="BV152" s="125">
        <f t="shared" si="32"/>
        <v>0</v>
      </c>
      <c r="BW152" s="125">
        <f t="shared" si="33"/>
        <v>0</v>
      </c>
      <c r="BX152" s="125">
        <f t="shared" si="34"/>
        <v>0</v>
      </c>
      <c r="BY152" s="125">
        <f t="shared" si="35"/>
        <v>0</v>
      </c>
      <c r="BZ152" s="125">
        <f t="shared" si="36"/>
        <v>0</v>
      </c>
      <c r="CA152" s="125">
        <f t="shared" si="37"/>
        <v>0</v>
      </c>
      <c r="CB152" s="125">
        <f t="shared" si="38"/>
        <v>0</v>
      </c>
      <c r="CC152" s="125">
        <f t="shared" si="39"/>
        <v>0</v>
      </c>
      <c r="CD152" s="125">
        <f t="shared" si="40"/>
        <v>0</v>
      </c>
      <c r="CE152" s="125">
        <f t="shared" si="42"/>
        <v>0</v>
      </c>
      <c r="CF152" s="126">
        <f t="shared" si="43"/>
        <v>0</v>
      </c>
      <c r="CH152" s="4">
        <v>150</v>
      </c>
      <c r="CI152" s="129">
        <v>0</v>
      </c>
      <c r="CJ152" s="125">
        <v>0</v>
      </c>
      <c r="CK152" s="125">
        <v>0</v>
      </c>
      <c r="CL152" s="125">
        <v>0</v>
      </c>
      <c r="CM152" s="125">
        <v>0</v>
      </c>
      <c r="CN152" s="125">
        <v>0</v>
      </c>
      <c r="CO152" s="125">
        <v>0</v>
      </c>
      <c r="CP152" s="125">
        <v>0</v>
      </c>
      <c r="CQ152" s="125">
        <v>0</v>
      </c>
      <c r="CR152" s="125">
        <v>0</v>
      </c>
      <c r="CS152" s="125">
        <v>0</v>
      </c>
      <c r="CT152" s="125">
        <v>0</v>
      </c>
      <c r="CU152" s="126">
        <v>0</v>
      </c>
    </row>
    <row r="153" spans="1:99" x14ac:dyDescent="0.25">
      <c r="A153" t="s">
        <v>221</v>
      </c>
      <c r="B153" s="2" t="s">
        <v>2</v>
      </c>
      <c r="C153" s="1">
        <v>15310</v>
      </c>
      <c r="D153" s="19">
        <v>11.785714285714301</v>
      </c>
      <c r="E153" s="18">
        <v>0</v>
      </c>
      <c r="F153" s="19">
        <v>0</v>
      </c>
      <c r="G153" s="19">
        <v>0</v>
      </c>
      <c r="H153" s="19">
        <v>0</v>
      </c>
      <c r="I153" s="19">
        <f>SUM(E153:H153)/Variables!$E$3</f>
        <v>0</v>
      </c>
      <c r="J153" s="4">
        <v>0</v>
      </c>
      <c r="K153">
        <v>0</v>
      </c>
      <c r="L153">
        <v>0</v>
      </c>
      <c r="M153">
        <v>0</v>
      </c>
      <c r="N153" s="6">
        <f>SUM(J153:M153)/Variables!$E$3</f>
        <v>0</v>
      </c>
      <c r="O153" s="4">
        <v>0</v>
      </c>
      <c r="P153">
        <v>0</v>
      </c>
      <c r="Q153">
        <v>0</v>
      </c>
      <c r="R153">
        <v>0</v>
      </c>
      <c r="S153" s="6">
        <f>SUM(O153:R153)/Variables!$E$3</f>
        <v>0</v>
      </c>
      <c r="T153" s="12">
        <v>0</v>
      </c>
      <c r="U153" s="6">
        <v>0</v>
      </c>
      <c r="V153" s="6">
        <v>0</v>
      </c>
      <c r="W153" s="6">
        <v>0</v>
      </c>
      <c r="X153" s="6">
        <f>SUM(T153:W153)/Variables!$E$3</f>
        <v>0</v>
      </c>
      <c r="Y153" s="12">
        <v>0</v>
      </c>
      <c r="Z153" s="6">
        <v>0</v>
      </c>
      <c r="AA153" s="6">
        <v>0</v>
      </c>
      <c r="AB153" s="6">
        <v>0</v>
      </c>
      <c r="AC153" s="6">
        <f>SUM(Y153:AB153)/Variables!$E$3</f>
        <v>0</v>
      </c>
      <c r="AD153" s="4">
        <v>0</v>
      </c>
      <c r="AE153" s="2">
        <v>0</v>
      </c>
      <c r="AF153" s="2">
        <v>0</v>
      </c>
      <c r="AG153" s="2">
        <v>0</v>
      </c>
      <c r="AH153" s="6">
        <f>SUM(AD153:AG153)/Variables!$E$3</f>
        <v>0</v>
      </c>
      <c r="AI153" s="4">
        <v>0</v>
      </c>
      <c r="AJ153" s="2">
        <v>0</v>
      </c>
      <c r="AK153" s="2">
        <v>0</v>
      </c>
      <c r="AL153" s="2">
        <v>0</v>
      </c>
      <c r="AM153" s="6">
        <f>SUM(AI153:AL153)/Variables!$E$3</f>
        <v>0</v>
      </c>
      <c r="AN153" s="4">
        <v>0</v>
      </c>
      <c r="AO153" s="2">
        <v>0</v>
      </c>
      <c r="AP153" s="2">
        <v>0</v>
      </c>
      <c r="AQ153" s="2">
        <v>0</v>
      </c>
      <c r="AR153" s="6">
        <f>SUM(AN153:AQ153)/Variables!$E$3</f>
        <v>0</v>
      </c>
      <c r="AS153" s="4">
        <v>0</v>
      </c>
      <c r="AT153" s="2">
        <v>0</v>
      </c>
      <c r="AU153" s="2">
        <v>0</v>
      </c>
      <c r="AV153" s="2">
        <v>0</v>
      </c>
      <c r="AW153" s="6">
        <f>SUM(AS153:AV153)/Variables!$E$3</f>
        <v>0</v>
      </c>
      <c r="AX153" s="4">
        <v>0</v>
      </c>
      <c r="AY153" s="2">
        <v>0</v>
      </c>
      <c r="AZ153" s="2">
        <v>0</v>
      </c>
      <c r="BA153" s="2">
        <v>0</v>
      </c>
      <c r="BB153" s="6">
        <f>SUM(AX153:BA153)/Variables!$E$3</f>
        <v>0</v>
      </c>
      <c r="BC153" s="12">
        <f t="shared" si="44"/>
        <v>0</v>
      </c>
      <c r="BD153" s="110">
        <f t="shared" si="44"/>
        <v>0</v>
      </c>
      <c r="BE153" s="110">
        <f t="shared" si="44"/>
        <v>0</v>
      </c>
      <c r="BF153" s="110">
        <f t="shared" si="41"/>
        <v>0</v>
      </c>
      <c r="BG153" s="6">
        <f>SUM(BC153:BF153)/Variables!$E$3</f>
        <v>0</v>
      </c>
      <c r="BH153" s="4">
        <v>0</v>
      </c>
      <c r="BI153">
        <v>0</v>
      </c>
      <c r="BJ153">
        <v>0</v>
      </c>
      <c r="BK153">
        <v>0</v>
      </c>
      <c r="BL153" s="6">
        <f>SUM(BH153:BK153)/Variables!$E$3</f>
        <v>0</v>
      </c>
      <c r="BM153" s="110">
        <v>0</v>
      </c>
      <c r="BN153" s="110">
        <v>0</v>
      </c>
      <c r="BO153" s="110">
        <v>0</v>
      </c>
      <c r="BP153" s="110">
        <v>0</v>
      </c>
      <c r="BQ153" s="6">
        <f>SUM(BM153:BP153)/Variables!$E$3</f>
        <v>0</v>
      </c>
      <c r="BS153" s="4">
        <v>151</v>
      </c>
      <c r="BT153" s="125">
        <f t="shared" si="30"/>
        <v>0</v>
      </c>
      <c r="BU153" s="125">
        <f t="shared" si="31"/>
        <v>0.11271031441262401</v>
      </c>
      <c r="BV153" s="125">
        <f t="shared" si="32"/>
        <v>1.9052407382481255E-2</v>
      </c>
      <c r="BW153" s="125">
        <f t="shared" si="33"/>
        <v>3.491096524913103E-2</v>
      </c>
      <c r="BX153" s="125">
        <f t="shared" si="34"/>
        <v>3.4765437572744043E-2</v>
      </c>
      <c r="BY153" s="125">
        <f t="shared" si="35"/>
        <v>2.9066738453986177E-2</v>
      </c>
      <c r="BZ153" s="125">
        <f t="shared" si="36"/>
        <v>2.5477319693742624E-2</v>
      </c>
      <c r="CA153" s="125">
        <f t="shared" si="37"/>
        <v>3.1111410224942401E-2</v>
      </c>
      <c r="CB153" s="125">
        <f t="shared" si="38"/>
        <v>4.1822104688081459E-2</v>
      </c>
      <c r="CC153" s="125">
        <f t="shared" si="39"/>
        <v>3.3236763553155607E-2</v>
      </c>
      <c r="CD153" s="125">
        <f t="shared" si="40"/>
        <v>3.4765437572744043E-2</v>
      </c>
      <c r="CE153" s="125">
        <f t="shared" si="42"/>
        <v>3.4247381214419746E-2</v>
      </c>
      <c r="CF153" s="126">
        <f t="shared" si="43"/>
        <v>3.2274998218513214E-2</v>
      </c>
      <c r="CH153" s="4">
        <v>151</v>
      </c>
      <c r="CI153" s="129">
        <v>0</v>
      </c>
      <c r="CJ153" s="125">
        <v>0</v>
      </c>
      <c r="CK153" s="125">
        <v>0</v>
      </c>
      <c r="CL153" s="125">
        <v>0</v>
      </c>
      <c r="CM153" s="125">
        <v>0</v>
      </c>
      <c r="CN153" s="125">
        <v>0</v>
      </c>
      <c r="CO153" s="125">
        <v>0</v>
      </c>
      <c r="CP153" s="125">
        <v>0</v>
      </c>
      <c r="CQ153" s="125">
        <v>0</v>
      </c>
      <c r="CR153" s="125">
        <v>0</v>
      </c>
      <c r="CS153" s="125">
        <v>0</v>
      </c>
      <c r="CT153" s="125">
        <v>0</v>
      </c>
      <c r="CU153" s="126">
        <v>0</v>
      </c>
    </row>
    <row r="154" spans="1:99" x14ac:dyDescent="0.25">
      <c r="A154" t="s">
        <v>222</v>
      </c>
      <c r="B154" s="2" t="s">
        <v>3</v>
      </c>
      <c r="C154" s="1">
        <v>15400</v>
      </c>
      <c r="D154" s="19">
        <v>81.8857142857143</v>
      </c>
      <c r="E154" s="18">
        <v>0</v>
      </c>
      <c r="F154" s="19">
        <v>0</v>
      </c>
      <c r="G154" s="19">
        <v>0</v>
      </c>
      <c r="H154" s="19">
        <v>0</v>
      </c>
      <c r="I154" s="19">
        <f>SUM(E154:H154)/Variables!$E$3</f>
        <v>0</v>
      </c>
      <c r="J154" s="4">
        <v>0</v>
      </c>
      <c r="K154">
        <v>0</v>
      </c>
      <c r="L154">
        <v>76218</v>
      </c>
      <c r="M154">
        <v>66134</v>
      </c>
      <c r="N154" s="6">
        <f>SUM(J154:M154)/Variables!$E$3</f>
        <v>0.11271031441262401</v>
      </c>
      <c r="O154" s="4">
        <v>0</v>
      </c>
      <c r="P154">
        <v>0</v>
      </c>
      <c r="Q154">
        <v>1694</v>
      </c>
      <c r="R154">
        <v>22369</v>
      </c>
      <c r="S154" s="6">
        <f>SUM(O154:R154)/Variables!$E$3</f>
        <v>1.9052407382481255E-2</v>
      </c>
      <c r="T154" s="12">
        <v>0</v>
      </c>
      <c r="U154" s="6">
        <v>0</v>
      </c>
      <c r="V154" s="6">
        <v>12566.9</v>
      </c>
      <c r="W154" s="6">
        <v>31525.3</v>
      </c>
      <c r="X154" s="6">
        <f>SUM(T154:W154)/Variables!$E$3</f>
        <v>3.491096524913103E-2</v>
      </c>
      <c r="Y154" s="12">
        <v>0</v>
      </c>
      <c r="Z154" s="6">
        <v>0</v>
      </c>
      <c r="AA154" s="6">
        <v>12257</v>
      </c>
      <c r="AB154" s="6">
        <v>31651.4</v>
      </c>
      <c r="AC154" s="6">
        <f>SUM(Y154:AB154)/Variables!$E$3</f>
        <v>3.4765437572744043E-2</v>
      </c>
      <c r="AD154" s="4">
        <v>0</v>
      </c>
      <c r="AE154" s="2">
        <v>0</v>
      </c>
      <c r="AF154" s="2">
        <v>9051.5</v>
      </c>
      <c r="AG154" s="2">
        <v>27659.5</v>
      </c>
      <c r="AH154" s="6">
        <f>SUM(AD154:AG154)/Variables!$E$3</f>
        <v>2.9066738453986177E-2</v>
      </c>
      <c r="AI154" s="4">
        <v>0</v>
      </c>
      <c r="AJ154" s="2">
        <v>0</v>
      </c>
      <c r="AK154" s="2">
        <v>8216.1</v>
      </c>
      <c r="AL154" s="2">
        <v>23961.5</v>
      </c>
      <c r="AM154" s="6">
        <f>SUM(AI154:AL154)/Variables!$E$3</f>
        <v>2.5477319693742624E-2</v>
      </c>
      <c r="AN154" s="4">
        <v>0</v>
      </c>
      <c r="AO154" s="2">
        <v>0</v>
      </c>
      <c r="AP154" s="2">
        <v>9037.7000000000007</v>
      </c>
      <c r="AQ154" s="2">
        <v>30255.7</v>
      </c>
      <c r="AR154" s="6">
        <f>SUM(AN154:AQ154)/Variables!$E$3</f>
        <v>3.1111410224942401E-2</v>
      </c>
      <c r="AS154" s="4">
        <v>0</v>
      </c>
      <c r="AT154" s="2">
        <v>0</v>
      </c>
      <c r="AU154" s="2">
        <v>13459.1</v>
      </c>
      <c r="AV154" s="2">
        <v>39361.800000000003</v>
      </c>
      <c r="AW154" s="6">
        <f>SUM(AS154:AV154)/Variables!$E$3</f>
        <v>4.1822104688081459E-2</v>
      </c>
      <c r="AX154" s="4">
        <v>0</v>
      </c>
      <c r="AY154" s="2">
        <v>0</v>
      </c>
      <c r="AZ154" s="2">
        <v>10346</v>
      </c>
      <c r="BA154" s="2">
        <v>31631.7</v>
      </c>
      <c r="BB154" s="6">
        <f>SUM(AX154:BA154)/Variables!$E$3</f>
        <v>3.3236763553155607E-2</v>
      </c>
      <c r="BC154" s="12">
        <f t="shared" si="44"/>
        <v>0</v>
      </c>
      <c r="BD154" s="110">
        <f t="shared" si="44"/>
        <v>0</v>
      </c>
      <c r="BE154" s="110">
        <f t="shared" si="44"/>
        <v>12257</v>
      </c>
      <c r="BF154" s="110">
        <f t="shared" si="41"/>
        <v>31651.4</v>
      </c>
      <c r="BG154" s="6">
        <f>SUM(BC154:BF154)/Variables!$E$3</f>
        <v>3.4765437572744043E-2</v>
      </c>
      <c r="BH154" s="4">
        <v>0</v>
      </c>
      <c r="BI154">
        <v>0</v>
      </c>
      <c r="BJ154">
        <v>9723.5</v>
      </c>
      <c r="BK154">
        <v>33530.6</v>
      </c>
      <c r="BL154" s="6">
        <f>SUM(BH154:BK154)/Variables!$E$3</f>
        <v>3.4247381214419746E-2</v>
      </c>
      <c r="BM154" s="110">
        <v>0</v>
      </c>
      <c r="BN154" s="110">
        <v>0</v>
      </c>
      <c r="BO154" s="110">
        <v>9650.5</v>
      </c>
      <c r="BP154" s="110">
        <v>31112.5</v>
      </c>
      <c r="BQ154" s="6">
        <f>SUM(BM154:BP154)/Variables!$E$3</f>
        <v>3.2274998218513214E-2</v>
      </c>
      <c r="BS154" s="4">
        <v>152</v>
      </c>
      <c r="BT154" s="125">
        <f t="shared" si="30"/>
        <v>0</v>
      </c>
      <c r="BU154" s="125">
        <f t="shared" si="31"/>
        <v>0.33648564121647834</v>
      </c>
      <c r="BV154" s="125">
        <f t="shared" si="32"/>
        <v>9.4539940933815791E-2</v>
      </c>
      <c r="BW154" s="125">
        <f t="shared" si="33"/>
        <v>0.18166628397691195</v>
      </c>
      <c r="BX154" s="125">
        <f t="shared" si="34"/>
        <v>0.18037070760655272</v>
      </c>
      <c r="BY154" s="125">
        <f t="shared" si="35"/>
        <v>0.16572324404785468</v>
      </c>
      <c r="BZ154" s="125">
        <f t="shared" si="36"/>
        <v>0.14512545625856102</v>
      </c>
      <c r="CA154" s="125">
        <f t="shared" si="37"/>
        <v>0.15158607748279873</v>
      </c>
      <c r="CB154" s="125">
        <f t="shared" si="38"/>
        <v>0.2008563804939073</v>
      </c>
      <c r="CC154" s="125">
        <f t="shared" si="39"/>
        <v>0.1586546211767314</v>
      </c>
      <c r="CD154" s="125">
        <f t="shared" si="40"/>
        <v>0.18037070760655272</v>
      </c>
      <c r="CE154" s="125">
        <f t="shared" si="42"/>
        <v>0.16430312195662672</v>
      </c>
      <c r="CF154" s="126">
        <f t="shared" si="43"/>
        <v>0.16642332876744867</v>
      </c>
      <c r="CH154" s="4">
        <v>152</v>
      </c>
      <c r="CI154" s="129">
        <v>0</v>
      </c>
      <c r="CJ154" s="125">
        <v>0.41714344531627329</v>
      </c>
      <c r="CK154" s="125">
        <v>7.8575443986096491E-2</v>
      </c>
      <c r="CL154" s="125">
        <v>0.12952370960973561</v>
      </c>
      <c r="CM154" s="125">
        <v>0.12880505783893775</v>
      </c>
      <c r="CN154" s="125">
        <v>0.11217317635135671</v>
      </c>
      <c r="CO154" s="125">
        <v>9.8393811510779972E-2</v>
      </c>
      <c r="CP154" s="125">
        <v>9.9033563211110134E-2</v>
      </c>
      <c r="CQ154" s="125">
        <v>0.15291174118559925</v>
      </c>
      <c r="CR154" s="125">
        <v>0.1020999374500194</v>
      </c>
      <c r="CS154" s="125">
        <v>0.12880505783893775</v>
      </c>
      <c r="CT154" s="125">
        <v>0.10521033420692168</v>
      </c>
      <c r="CU154" s="126">
        <v>0.10738865707566964</v>
      </c>
    </row>
    <row r="155" spans="1:99" x14ac:dyDescent="0.25">
      <c r="A155" t="s">
        <v>222</v>
      </c>
      <c r="B155" s="2" t="s">
        <v>4</v>
      </c>
      <c r="C155" s="1">
        <v>15492</v>
      </c>
      <c r="D155" s="19">
        <v>97.857142857142904</v>
      </c>
      <c r="E155" s="18">
        <v>0</v>
      </c>
      <c r="F155" s="19">
        <v>0</v>
      </c>
      <c r="G155" s="19">
        <v>0</v>
      </c>
      <c r="H155" s="19">
        <v>0</v>
      </c>
      <c r="I155" s="19">
        <f>SUM(E155:H155)/Variables!$E$3</f>
        <v>0</v>
      </c>
      <c r="J155" s="4">
        <v>47045</v>
      </c>
      <c r="K155">
        <v>46670</v>
      </c>
      <c r="L155">
        <v>288321</v>
      </c>
      <c r="M155">
        <v>42942</v>
      </c>
      <c r="N155" s="6">
        <f>SUM(J155:M155)/Variables!$E$3</f>
        <v>0.33648564121647834</v>
      </c>
      <c r="O155" s="4">
        <v>2456</v>
      </c>
      <c r="P155">
        <v>5438</v>
      </c>
      <c r="Q155">
        <v>92643</v>
      </c>
      <c r="R155">
        <v>18866</v>
      </c>
      <c r="S155" s="6">
        <f>SUM(O155:R155)/Variables!$E$3</f>
        <v>9.4539940933815791E-2</v>
      </c>
      <c r="T155" s="12">
        <v>8918</v>
      </c>
      <c r="U155" s="6">
        <v>13125</v>
      </c>
      <c r="V155" s="6">
        <v>179332.5</v>
      </c>
      <c r="W155" s="6">
        <v>28067.200000000001</v>
      </c>
      <c r="X155" s="6">
        <f>SUM(T155:W155)/Variables!$E$3</f>
        <v>0.18166628397691195</v>
      </c>
      <c r="Y155" s="12">
        <v>8982.6</v>
      </c>
      <c r="Z155" s="6">
        <v>13199.7</v>
      </c>
      <c r="AA155" s="6">
        <v>177446.1</v>
      </c>
      <c r="AB155" s="6">
        <v>28178</v>
      </c>
      <c r="AC155" s="6">
        <f>SUM(Y155:AB155)/Variables!$E$3</f>
        <v>0.18037070760655272</v>
      </c>
      <c r="AD155" s="4">
        <v>9672.5</v>
      </c>
      <c r="AE155" s="2">
        <v>13962.8</v>
      </c>
      <c r="AF155" s="2">
        <v>161831.20000000001</v>
      </c>
      <c r="AG155" s="2">
        <v>23840.3</v>
      </c>
      <c r="AH155" s="6">
        <f>SUM(AD155:AG155)/Variables!$E$3</f>
        <v>0.16572324404785468</v>
      </c>
      <c r="AI155" s="4">
        <v>7914.4</v>
      </c>
      <c r="AJ155" s="2">
        <v>11863.5</v>
      </c>
      <c r="AK155" s="2">
        <v>142964.29999999999</v>
      </c>
      <c r="AL155" s="2">
        <v>20549.8</v>
      </c>
      <c r="AM155" s="6">
        <f>SUM(AI155:AL155)/Variables!$E$3</f>
        <v>0.14512545625856102</v>
      </c>
      <c r="AN155" s="4">
        <v>8105.7</v>
      </c>
      <c r="AO155" s="2">
        <v>12047.7</v>
      </c>
      <c r="AP155" s="2">
        <v>144691.29999999999</v>
      </c>
      <c r="AQ155" s="2">
        <v>26607</v>
      </c>
      <c r="AR155" s="6">
        <f>SUM(AN155:AQ155)/Variables!$E$3</f>
        <v>0.15158607748279873</v>
      </c>
      <c r="AS155" s="4">
        <v>14485.7</v>
      </c>
      <c r="AT155" s="2">
        <v>18270.7</v>
      </c>
      <c r="AU155" s="2">
        <v>185989.5</v>
      </c>
      <c r="AV155" s="2">
        <v>34933.699999999997</v>
      </c>
      <c r="AW155" s="6">
        <f>SUM(AS155:AV155)/Variables!$E$3</f>
        <v>0.2008563804939073</v>
      </c>
      <c r="AX155" s="4">
        <v>8566.4</v>
      </c>
      <c r="AY155" s="2">
        <v>12473.8</v>
      </c>
      <c r="AZ155" s="2">
        <v>151918.29999999999</v>
      </c>
      <c r="BA155" s="2">
        <v>27420.7</v>
      </c>
      <c r="BB155" s="6">
        <f>SUM(AX155:BA155)/Variables!$E$3</f>
        <v>0.1586546211767314</v>
      </c>
      <c r="BC155" s="12">
        <f t="shared" si="44"/>
        <v>8982.6</v>
      </c>
      <c r="BD155" s="110">
        <f t="shared" si="44"/>
        <v>13199.7</v>
      </c>
      <c r="BE155" s="110">
        <f t="shared" si="44"/>
        <v>177446.1</v>
      </c>
      <c r="BF155" s="110">
        <f t="shared" si="41"/>
        <v>28178</v>
      </c>
      <c r="BG155" s="6">
        <f>SUM(BC155:BF155)/Variables!$E$3</f>
        <v>0.18037070760655272</v>
      </c>
      <c r="BH155" s="4">
        <v>9567.9</v>
      </c>
      <c r="BI155">
        <v>13464.9</v>
      </c>
      <c r="BJ155">
        <v>155477.6</v>
      </c>
      <c r="BK155">
        <v>29002.799999999999</v>
      </c>
      <c r="BL155" s="6">
        <f>SUM(BH155:BK155)/Variables!$E$3</f>
        <v>0.16430312195662672</v>
      </c>
      <c r="BM155" s="110">
        <v>10030.700000000001</v>
      </c>
      <c r="BN155" s="110">
        <v>13955</v>
      </c>
      <c r="BO155" s="110">
        <v>158773.4</v>
      </c>
      <c r="BP155" s="110">
        <v>27431.9</v>
      </c>
      <c r="BQ155" s="6">
        <f>SUM(BM155:BP155)/Variables!$E$3</f>
        <v>0.16642332876744867</v>
      </c>
      <c r="BS155" s="4">
        <v>153</v>
      </c>
      <c r="BT155" s="125">
        <f t="shared" si="30"/>
        <v>0</v>
      </c>
      <c r="BU155" s="125">
        <f t="shared" si="31"/>
        <v>0</v>
      </c>
      <c r="BV155" s="125">
        <f t="shared" si="32"/>
        <v>0</v>
      </c>
      <c r="BW155" s="125">
        <f t="shared" si="33"/>
        <v>0</v>
      </c>
      <c r="BX155" s="125">
        <f t="shared" si="34"/>
        <v>0</v>
      </c>
      <c r="BY155" s="125">
        <f t="shared" si="35"/>
        <v>0</v>
      </c>
      <c r="BZ155" s="125">
        <f t="shared" si="36"/>
        <v>0</v>
      </c>
      <c r="CA155" s="125">
        <f t="shared" si="37"/>
        <v>0</v>
      </c>
      <c r="CB155" s="125">
        <f t="shared" si="38"/>
        <v>0</v>
      </c>
      <c r="CC155" s="125">
        <f t="shared" si="39"/>
        <v>0</v>
      </c>
      <c r="CD155" s="125">
        <f t="shared" si="40"/>
        <v>0</v>
      </c>
      <c r="CE155" s="125">
        <f t="shared" si="42"/>
        <v>0</v>
      </c>
      <c r="CF155" s="126">
        <f t="shared" si="43"/>
        <v>0</v>
      </c>
      <c r="CH155" s="4">
        <v>153</v>
      </c>
      <c r="CI155" s="129">
        <v>0</v>
      </c>
      <c r="CJ155" s="125">
        <v>0</v>
      </c>
      <c r="CK155" s="125">
        <v>0</v>
      </c>
      <c r="CL155" s="125">
        <v>0</v>
      </c>
      <c r="CM155" s="125">
        <v>0</v>
      </c>
      <c r="CN155" s="125">
        <v>0</v>
      </c>
      <c r="CO155" s="125">
        <v>0</v>
      </c>
      <c r="CP155" s="125">
        <v>0</v>
      </c>
      <c r="CQ155" s="125">
        <v>0</v>
      </c>
      <c r="CR155" s="125">
        <v>0</v>
      </c>
      <c r="CS155" s="125">
        <v>0</v>
      </c>
      <c r="CT155" s="125">
        <v>0</v>
      </c>
      <c r="CU155" s="126">
        <v>0</v>
      </c>
    </row>
    <row r="156" spans="1:99" x14ac:dyDescent="0.25">
      <c r="A156" t="s">
        <v>222</v>
      </c>
      <c r="B156" s="2" t="s">
        <v>1</v>
      </c>
      <c r="C156" s="1">
        <v>15584</v>
      </c>
      <c r="D156" s="19">
        <v>70.928571428571402</v>
      </c>
      <c r="E156" s="18">
        <v>0</v>
      </c>
      <c r="F156" s="19">
        <v>0</v>
      </c>
      <c r="G156" s="19">
        <v>0</v>
      </c>
      <c r="H156" s="19">
        <v>0</v>
      </c>
      <c r="I156" s="19">
        <f>SUM(E156:H156)/Variables!$E$3</f>
        <v>0</v>
      </c>
      <c r="J156" s="4">
        <v>0</v>
      </c>
      <c r="K156">
        <v>0</v>
      </c>
      <c r="L156">
        <v>0</v>
      </c>
      <c r="M156">
        <v>0</v>
      </c>
      <c r="N156" s="6">
        <f>SUM(J156:M156)/Variables!$E$3</f>
        <v>0</v>
      </c>
      <c r="O156" s="4">
        <v>0</v>
      </c>
      <c r="P156">
        <v>0</v>
      </c>
      <c r="Q156">
        <v>0</v>
      </c>
      <c r="R156">
        <v>0</v>
      </c>
      <c r="S156" s="6">
        <f>SUM(O156:R156)/Variables!$E$3</f>
        <v>0</v>
      </c>
      <c r="T156" s="12">
        <v>0</v>
      </c>
      <c r="U156" s="6">
        <v>0</v>
      </c>
      <c r="V156" s="6">
        <v>0</v>
      </c>
      <c r="W156" s="6">
        <v>0</v>
      </c>
      <c r="X156" s="6">
        <f>SUM(T156:W156)/Variables!$E$3</f>
        <v>0</v>
      </c>
      <c r="Y156" s="12">
        <v>0</v>
      </c>
      <c r="Z156" s="6">
        <v>0</v>
      </c>
      <c r="AA156" s="6">
        <v>0</v>
      </c>
      <c r="AB156" s="6">
        <v>0</v>
      </c>
      <c r="AC156" s="6">
        <f>SUM(Y156:AB156)/Variables!$E$3</f>
        <v>0</v>
      </c>
      <c r="AD156" s="4">
        <v>0</v>
      </c>
      <c r="AE156" s="2">
        <v>0</v>
      </c>
      <c r="AF156" s="2">
        <v>0</v>
      </c>
      <c r="AG156" s="2">
        <v>0</v>
      </c>
      <c r="AH156" s="6">
        <f>SUM(AD156:AG156)/Variables!$E$3</f>
        <v>0</v>
      </c>
      <c r="AI156" s="4">
        <v>0</v>
      </c>
      <c r="AJ156" s="2">
        <v>0</v>
      </c>
      <c r="AK156" s="2">
        <v>0</v>
      </c>
      <c r="AL156" s="2">
        <v>0</v>
      </c>
      <c r="AM156" s="6">
        <f>SUM(AI156:AL156)/Variables!$E$3</f>
        <v>0</v>
      </c>
      <c r="AN156" s="4">
        <v>0</v>
      </c>
      <c r="AO156" s="2">
        <v>0</v>
      </c>
      <c r="AP156" s="2">
        <v>0</v>
      </c>
      <c r="AQ156" s="2">
        <v>0</v>
      </c>
      <c r="AR156" s="6">
        <f>SUM(AN156:AQ156)/Variables!$E$3</f>
        <v>0</v>
      </c>
      <c r="AS156" s="4">
        <v>0</v>
      </c>
      <c r="AT156" s="2">
        <v>0</v>
      </c>
      <c r="AU156" s="2">
        <v>0</v>
      </c>
      <c r="AV156" s="2">
        <v>0</v>
      </c>
      <c r="AW156" s="6">
        <f>SUM(AS156:AV156)/Variables!$E$3</f>
        <v>0</v>
      </c>
      <c r="AX156" s="4">
        <v>0</v>
      </c>
      <c r="AY156" s="2">
        <v>0</v>
      </c>
      <c r="AZ156" s="2">
        <v>0</v>
      </c>
      <c r="BA156" s="2">
        <v>0</v>
      </c>
      <c r="BB156" s="6">
        <f>SUM(AX156:BA156)/Variables!$E$3</f>
        <v>0</v>
      </c>
      <c r="BC156" s="12">
        <f t="shared" si="44"/>
        <v>0</v>
      </c>
      <c r="BD156" s="110">
        <f t="shared" si="44"/>
        <v>0</v>
      </c>
      <c r="BE156" s="110">
        <f t="shared" si="44"/>
        <v>0</v>
      </c>
      <c r="BF156" s="110">
        <f t="shared" si="41"/>
        <v>0</v>
      </c>
      <c r="BG156" s="6">
        <f>SUM(BC156:BF156)/Variables!$E$3</f>
        <v>0</v>
      </c>
      <c r="BH156" s="4">
        <v>0</v>
      </c>
      <c r="BI156">
        <v>0</v>
      </c>
      <c r="BJ156">
        <v>0</v>
      </c>
      <c r="BK156">
        <v>0</v>
      </c>
      <c r="BL156" s="6">
        <f>SUM(BH156:BK156)/Variables!$E$3</f>
        <v>0</v>
      </c>
      <c r="BM156" s="110">
        <v>0</v>
      </c>
      <c r="BN156" s="110">
        <v>0</v>
      </c>
      <c r="BO156" s="110">
        <v>0</v>
      </c>
      <c r="BP156" s="110">
        <v>0</v>
      </c>
      <c r="BQ156" s="6">
        <f>SUM(BM156:BP156)/Variables!$E$3</f>
        <v>0</v>
      </c>
      <c r="BS156" s="4">
        <v>154</v>
      </c>
      <c r="BT156" s="125">
        <f t="shared" si="30"/>
        <v>0</v>
      </c>
      <c r="BU156" s="125">
        <f t="shared" si="31"/>
        <v>0</v>
      </c>
      <c r="BV156" s="125">
        <f t="shared" si="32"/>
        <v>0</v>
      </c>
      <c r="BW156" s="125">
        <f t="shared" si="33"/>
        <v>0</v>
      </c>
      <c r="BX156" s="125">
        <f t="shared" si="34"/>
        <v>0</v>
      </c>
      <c r="BY156" s="125">
        <f t="shared" si="35"/>
        <v>0</v>
      </c>
      <c r="BZ156" s="125">
        <f t="shared" si="36"/>
        <v>0</v>
      </c>
      <c r="CA156" s="125">
        <f t="shared" si="37"/>
        <v>0</v>
      </c>
      <c r="CB156" s="125">
        <f t="shared" si="38"/>
        <v>0</v>
      </c>
      <c r="CC156" s="125">
        <f t="shared" si="39"/>
        <v>0</v>
      </c>
      <c r="CD156" s="125">
        <f t="shared" si="40"/>
        <v>0</v>
      </c>
      <c r="CE156" s="125">
        <f t="shared" si="42"/>
        <v>0</v>
      </c>
      <c r="CF156" s="126">
        <f t="shared" si="43"/>
        <v>0</v>
      </c>
      <c r="CH156" s="4">
        <v>154</v>
      </c>
      <c r="CI156" s="129">
        <v>0</v>
      </c>
      <c r="CJ156" s="125">
        <v>0</v>
      </c>
      <c r="CK156" s="125">
        <v>0</v>
      </c>
      <c r="CL156" s="125">
        <v>0</v>
      </c>
      <c r="CM156" s="125">
        <v>0</v>
      </c>
      <c r="CN156" s="125">
        <v>0</v>
      </c>
      <c r="CO156" s="125">
        <v>0</v>
      </c>
      <c r="CP156" s="125">
        <v>0</v>
      </c>
      <c r="CQ156" s="125">
        <v>0</v>
      </c>
      <c r="CR156" s="125">
        <v>0</v>
      </c>
      <c r="CS156" s="125">
        <v>0</v>
      </c>
      <c r="CT156" s="125">
        <v>0</v>
      </c>
      <c r="CU156" s="126">
        <v>0</v>
      </c>
    </row>
    <row r="157" spans="1:99" x14ac:dyDescent="0.25">
      <c r="A157" t="s">
        <v>222</v>
      </c>
      <c r="B157" s="2" t="s">
        <v>2</v>
      </c>
      <c r="C157" s="1">
        <v>15675</v>
      </c>
      <c r="D157" s="19">
        <v>78.119047619047606</v>
      </c>
      <c r="E157" s="18">
        <v>0</v>
      </c>
      <c r="F157" s="19">
        <v>0</v>
      </c>
      <c r="G157" s="19">
        <v>0</v>
      </c>
      <c r="H157" s="19">
        <v>0</v>
      </c>
      <c r="I157" s="19">
        <f>SUM(E157:H157)/Variables!$E$3</f>
        <v>0</v>
      </c>
      <c r="J157" s="4">
        <v>0</v>
      </c>
      <c r="K157">
        <v>0</v>
      </c>
      <c r="L157">
        <v>0</v>
      </c>
      <c r="M157">
        <v>0</v>
      </c>
      <c r="N157" s="6">
        <f>SUM(J157:M157)/Variables!$E$3</f>
        <v>0</v>
      </c>
      <c r="O157" s="4">
        <v>0</v>
      </c>
      <c r="P157">
        <v>0</v>
      </c>
      <c r="Q157">
        <v>0</v>
      </c>
      <c r="R157">
        <v>0</v>
      </c>
      <c r="S157" s="6">
        <f>SUM(O157:R157)/Variables!$E$3</f>
        <v>0</v>
      </c>
      <c r="T157" s="12">
        <v>0</v>
      </c>
      <c r="U157" s="6">
        <v>0</v>
      </c>
      <c r="V157" s="6">
        <v>0</v>
      </c>
      <c r="W157" s="6">
        <v>0</v>
      </c>
      <c r="X157" s="6">
        <f>SUM(T157:W157)/Variables!$E$3</f>
        <v>0</v>
      </c>
      <c r="Y157" s="12">
        <v>0</v>
      </c>
      <c r="Z157" s="6">
        <v>0</v>
      </c>
      <c r="AA157" s="6">
        <v>0</v>
      </c>
      <c r="AB157" s="6">
        <v>0</v>
      </c>
      <c r="AC157" s="6">
        <f>SUM(Y157:AB157)/Variables!$E$3</f>
        <v>0</v>
      </c>
      <c r="AD157" s="4">
        <v>0</v>
      </c>
      <c r="AE157" s="2">
        <v>0</v>
      </c>
      <c r="AF157" s="2">
        <v>0</v>
      </c>
      <c r="AG157" s="2">
        <v>0</v>
      </c>
      <c r="AH157" s="6">
        <f>SUM(AD157:AG157)/Variables!$E$3</f>
        <v>0</v>
      </c>
      <c r="AI157" s="4">
        <v>0</v>
      </c>
      <c r="AJ157" s="2">
        <v>0</v>
      </c>
      <c r="AK157" s="2">
        <v>0</v>
      </c>
      <c r="AL157" s="2">
        <v>0</v>
      </c>
      <c r="AM157" s="6">
        <f>SUM(AI157:AL157)/Variables!$E$3</f>
        <v>0</v>
      </c>
      <c r="AN157" s="4">
        <v>0</v>
      </c>
      <c r="AO157" s="2">
        <v>0</v>
      </c>
      <c r="AP157" s="2">
        <v>0</v>
      </c>
      <c r="AQ157" s="2">
        <v>0</v>
      </c>
      <c r="AR157" s="6">
        <f>SUM(AN157:AQ157)/Variables!$E$3</f>
        <v>0</v>
      </c>
      <c r="AS157" s="4">
        <v>0</v>
      </c>
      <c r="AT157" s="2">
        <v>0</v>
      </c>
      <c r="AU157" s="2">
        <v>0</v>
      </c>
      <c r="AV157" s="2">
        <v>0</v>
      </c>
      <c r="AW157" s="6">
        <f>SUM(AS157:AV157)/Variables!$E$3</f>
        <v>0</v>
      </c>
      <c r="AX157" s="4">
        <v>0</v>
      </c>
      <c r="AY157" s="2">
        <v>0</v>
      </c>
      <c r="AZ157" s="2">
        <v>0</v>
      </c>
      <c r="BA157" s="2">
        <v>0</v>
      </c>
      <c r="BB157" s="6">
        <f>SUM(AX157:BA157)/Variables!$E$3</f>
        <v>0</v>
      </c>
      <c r="BC157" s="12">
        <f t="shared" si="44"/>
        <v>0</v>
      </c>
      <c r="BD157" s="110">
        <f t="shared" si="44"/>
        <v>0</v>
      </c>
      <c r="BE157" s="110">
        <f t="shared" si="44"/>
        <v>0</v>
      </c>
      <c r="BF157" s="110">
        <f t="shared" si="41"/>
        <v>0</v>
      </c>
      <c r="BG157" s="6">
        <f>SUM(BC157:BF157)/Variables!$E$3</f>
        <v>0</v>
      </c>
      <c r="BH157" s="4">
        <v>0</v>
      </c>
      <c r="BI157">
        <v>0</v>
      </c>
      <c r="BJ157">
        <v>0</v>
      </c>
      <c r="BK157">
        <v>0</v>
      </c>
      <c r="BL157" s="6">
        <f>SUM(BH157:BK157)/Variables!$E$3</f>
        <v>0</v>
      </c>
      <c r="BM157" s="110">
        <v>0</v>
      </c>
      <c r="BN157" s="110">
        <v>0</v>
      </c>
      <c r="BO157" s="110">
        <v>0</v>
      </c>
      <c r="BP157" s="110">
        <v>0</v>
      </c>
      <c r="BQ157" s="6">
        <f>SUM(BM157:BP157)/Variables!$E$3</f>
        <v>0</v>
      </c>
      <c r="BS157" s="4">
        <v>155</v>
      </c>
      <c r="BT157" s="125">
        <f t="shared" si="30"/>
        <v>0</v>
      </c>
      <c r="BU157" s="125">
        <f t="shared" si="31"/>
        <v>0.18920577360074109</v>
      </c>
      <c r="BV157" s="125">
        <f t="shared" si="32"/>
        <v>0</v>
      </c>
      <c r="BW157" s="125">
        <f t="shared" si="33"/>
        <v>3.3823783244522919E-2</v>
      </c>
      <c r="BX157" s="125">
        <f t="shared" si="34"/>
        <v>3.2135408831423844E-2</v>
      </c>
      <c r="BY157" s="125">
        <f t="shared" si="35"/>
        <v>1.3714518721446725E-2</v>
      </c>
      <c r="BZ157" s="125">
        <f t="shared" si="36"/>
        <v>1.0838803157586362E-2</v>
      </c>
      <c r="CA157" s="125">
        <f t="shared" si="37"/>
        <v>1.4609854393146424E-2</v>
      </c>
      <c r="CB157" s="125">
        <f t="shared" si="38"/>
        <v>3.8009010364294257E-2</v>
      </c>
      <c r="CC157" s="125">
        <f t="shared" si="39"/>
        <v>2.2476345814297818E-2</v>
      </c>
      <c r="CD157" s="125">
        <f t="shared" si="40"/>
        <v>3.2135408831423844E-2</v>
      </c>
      <c r="CE157" s="125">
        <f t="shared" si="42"/>
        <v>1.685682388617487E-2</v>
      </c>
      <c r="CF157" s="126">
        <f t="shared" si="43"/>
        <v>2.3067166010815602E-2</v>
      </c>
      <c r="CH157" s="4">
        <v>155</v>
      </c>
      <c r="CI157" s="129">
        <v>0</v>
      </c>
      <c r="CJ157" s="125">
        <v>0.1765204000031671</v>
      </c>
      <c r="CK157" s="125">
        <v>0</v>
      </c>
      <c r="CL157" s="125">
        <v>0</v>
      </c>
      <c r="CM157" s="125">
        <v>0</v>
      </c>
      <c r="CN157" s="125">
        <v>0</v>
      </c>
      <c r="CO157" s="125">
        <v>0</v>
      </c>
      <c r="CP157" s="125">
        <v>0</v>
      </c>
      <c r="CQ157" s="125">
        <v>0</v>
      </c>
      <c r="CR157" s="125">
        <v>0</v>
      </c>
      <c r="CS157" s="125">
        <v>0</v>
      </c>
      <c r="CT157" s="125">
        <v>0</v>
      </c>
      <c r="CU157" s="126">
        <v>0</v>
      </c>
    </row>
    <row r="158" spans="1:99" x14ac:dyDescent="0.25">
      <c r="A158" t="s">
        <v>223</v>
      </c>
      <c r="B158" s="2" t="s">
        <v>3</v>
      </c>
      <c r="C158" s="1">
        <v>15765</v>
      </c>
      <c r="D158" s="19">
        <v>188.01428571428599</v>
      </c>
      <c r="E158" s="18">
        <v>0</v>
      </c>
      <c r="F158" s="19">
        <v>0</v>
      </c>
      <c r="G158" s="19">
        <v>0</v>
      </c>
      <c r="H158" s="19">
        <v>0</v>
      </c>
      <c r="I158" s="19">
        <f>SUM(E158:H158)/Variables!$E$3</f>
        <v>0</v>
      </c>
      <c r="J158" s="4">
        <v>852</v>
      </c>
      <c r="K158">
        <v>11445</v>
      </c>
      <c r="L158">
        <v>205970</v>
      </c>
      <c r="M158">
        <v>20698</v>
      </c>
      <c r="N158" s="6">
        <f>SUM(J158:M158)/Variables!$E$3</f>
        <v>0.18920577360074109</v>
      </c>
      <c r="O158" s="4">
        <v>0</v>
      </c>
      <c r="P158">
        <v>0</v>
      </c>
      <c r="Q158">
        <v>0</v>
      </c>
      <c r="R158">
        <v>0</v>
      </c>
      <c r="S158" s="6">
        <f>SUM(O158:R158)/Variables!$E$3</f>
        <v>0</v>
      </c>
      <c r="T158" s="12">
        <v>0</v>
      </c>
      <c r="U158" s="6">
        <v>0</v>
      </c>
      <c r="V158" s="6">
        <v>42380.5</v>
      </c>
      <c r="W158" s="6">
        <v>338.599999999999</v>
      </c>
      <c r="X158" s="6">
        <f>SUM(T158:W158)/Variables!$E$3</f>
        <v>3.3823783244522919E-2</v>
      </c>
      <c r="Y158" s="12">
        <v>0</v>
      </c>
      <c r="Z158" s="6">
        <v>0</v>
      </c>
      <c r="AA158" s="6">
        <v>40184</v>
      </c>
      <c r="AB158" s="6">
        <v>402.69999999999902</v>
      </c>
      <c r="AC158" s="6">
        <f>SUM(Y158:AB158)/Variables!$E$3</f>
        <v>3.2135408831423844E-2</v>
      </c>
      <c r="AD158" s="4">
        <v>0</v>
      </c>
      <c r="AE158" s="2">
        <v>0</v>
      </c>
      <c r="AF158" s="2">
        <v>15478.3</v>
      </c>
      <c r="AG158" s="2">
        <v>1843</v>
      </c>
      <c r="AH158" s="6">
        <f>SUM(AD158:AG158)/Variables!$E$3</f>
        <v>1.3714518721446725E-2</v>
      </c>
      <c r="AI158" s="4">
        <v>0</v>
      </c>
      <c r="AJ158" s="2">
        <v>0</v>
      </c>
      <c r="AK158" s="2">
        <v>13689.3</v>
      </c>
      <c r="AL158" s="2">
        <v>0</v>
      </c>
      <c r="AM158" s="6">
        <f>SUM(AI158:AL158)/Variables!$E$3</f>
        <v>1.0838803157586362E-2</v>
      </c>
      <c r="AN158" s="4">
        <v>0</v>
      </c>
      <c r="AO158" s="2">
        <v>0</v>
      </c>
      <c r="AP158" s="2">
        <v>16407.7</v>
      </c>
      <c r="AQ158" s="2">
        <v>2044.4</v>
      </c>
      <c r="AR158" s="6">
        <f>SUM(AN158:AQ158)/Variables!$E$3</f>
        <v>1.4609854393146424E-2</v>
      </c>
      <c r="AS158" s="4">
        <v>0</v>
      </c>
      <c r="AT158" s="2">
        <v>0</v>
      </c>
      <c r="AU158" s="2">
        <v>43719.1</v>
      </c>
      <c r="AV158" s="2">
        <v>4285.8999999999996</v>
      </c>
      <c r="AW158" s="6">
        <f>SUM(AS158:AV158)/Variables!$E$3</f>
        <v>3.8009010364294257E-2</v>
      </c>
      <c r="AX158" s="4">
        <v>0</v>
      </c>
      <c r="AY158" s="2">
        <v>0</v>
      </c>
      <c r="AZ158" s="2">
        <v>25009.4</v>
      </c>
      <c r="BA158" s="2">
        <v>3378</v>
      </c>
      <c r="BB158" s="6">
        <f>SUM(AX158:BA158)/Variables!$E$3</f>
        <v>2.2476345814297818E-2</v>
      </c>
      <c r="BC158" s="12">
        <f t="shared" si="44"/>
        <v>0</v>
      </c>
      <c r="BD158" s="110">
        <f t="shared" si="44"/>
        <v>0</v>
      </c>
      <c r="BE158" s="110">
        <f t="shared" si="44"/>
        <v>40184</v>
      </c>
      <c r="BF158" s="110">
        <f t="shared" si="41"/>
        <v>402.69999999999902</v>
      </c>
      <c r="BG158" s="6">
        <f>SUM(BC158:BF158)/Variables!$E$3</f>
        <v>3.2135408831423844E-2</v>
      </c>
      <c r="BH158" s="4">
        <v>0</v>
      </c>
      <c r="BI158">
        <v>0</v>
      </c>
      <c r="BJ158">
        <v>21255.3</v>
      </c>
      <c r="BK158">
        <v>34.699999999999797</v>
      </c>
      <c r="BL158" s="6">
        <f>SUM(BH158:BK158)/Variables!$E$3</f>
        <v>1.685682388617487E-2</v>
      </c>
      <c r="BM158" s="110">
        <v>0</v>
      </c>
      <c r="BN158" s="110">
        <v>0</v>
      </c>
      <c r="BO158" s="110">
        <v>26108.3</v>
      </c>
      <c r="BP158" s="110">
        <v>3025.3</v>
      </c>
      <c r="BQ158" s="6">
        <f>SUM(BM158:BP158)/Variables!$E$3</f>
        <v>2.3067166010815602E-2</v>
      </c>
      <c r="BS158" s="4">
        <v>156</v>
      </c>
      <c r="BT158" s="125">
        <f t="shared" si="30"/>
        <v>0</v>
      </c>
      <c r="BU158" s="125">
        <f t="shared" si="31"/>
        <v>0</v>
      </c>
      <c r="BV158" s="125">
        <f t="shared" si="32"/>
        <v>0</v>
      </c>
      <c r="BW158" s="125">
        <f t="shared" si="33"/>
        <v>0</v>
      </c>
      <c r="BX158" s="125">
        <f t="shared" si="34"/>
        <v>0</v>
      </c>
      <c r="BY158" s="125">
        <f t="shared" si="35"/>
        <v>0</v>
      </c>
      <c r="BZ158" s="125">
        <f t="shared" si="36"/>
        <v>0</v>
      </c>
      <c r="CA158" s="125">
        <f t="shared" si="37"/>
        <v>0</v>
      </c>
      <c r="CB158" s="125">
        <f t="shared" si="38"/>
        <v>0</v>
      </c>
      <c r="CC158" s="125">
        <f t="shared" si="39"/>
        <v>0</v>
      </c>
      <c r="CD158" s="125">
        <f t="shared" si="40"/>
        <v>0</v>
      </c>
      <c r="CE158" s="125">
        <f t="shared" si="42"/>
        <v>0</v>
      </c>
      <c r="CF158" s="126">
        <f t="shared" si="43"/>
        <v>0</v>
      </c>
      <c r="CH158" s="4">
        <v>156</v>
      </c>
      <c r="CI158" s="129">
        <v>0</v>
      </c>
      <c r="CJ158" s="125">
        <v>0</v>
      </c>
      <c r="CK158" s="125">
        <v>0</v>
      </c>
      <c r="CL158" s="125">
        <v>0</v>
      </c>
      <c r="CM158" s="125">
        <v>0</v>
      </c>
      <c r="CN158" s="125">
        <v>0</v>
      </c>
      <c r="CO158" s="125">
        <v>0</v>
      </c>
      <c r="CP158" s="125">
        <v>0</v>
      </c>
      <c r="CQ158" s="125">
        <v>0</v>
      </c>
      <c r="CR158" s="125">
        <v>0</v>
      </c>
      <c r="CS158" s="125">
        <v>0</v>
      </c>
      <c r="CT158" s="125">
        <v>0</v>
      </c>
      <c r="CU158" s="126">
        <v>0</v>
      </c>
    </row>
    <row r="159" spans="1:99" x14ac:dyDescent="0.25">
      <c r="A159" t="s">
        <v>223</v>
      </c>
      <c r="B159" s="2" t="s">
        <v>4</v>
      </c>
      <c r="C159" s="1">
        <v>15857</v>
      </c>
      <c r="D159" s="19">
        <v>16.4914285714286</v>
      </c>
      <c r="E159" s="18">
        <v>0</v>
      </c>
      <c r="F159" s="19">
        <v>0</v>
      </c>
      <c r="G159" s="19">
        <v>0</v>
      </c>
      <c r="H159" s="19">
        <v>0</v>
      </c>
      <c r="I159" s="19">
        <f>SUM(E159:H159)/Variables!$E$3</f>
        <v>0</v>
      </c>
      <c r="J159" s="4">
        <v>0</v>
      </c>
      <c r="K159">
        <v>0</v>
      </c>
      <c r="L159">
        <v>0</v>
      </c>
      <c r="M159">
        <v>0</v>
      </c>
      <c r="N159" s="6">
        <f>SUM(J159:M159)/Variables!$E$3</f>
        <v>0</v>
      </c>
      <c r="O159" s="4">
        <v>0</v>
      </c>
      <c r="P159">
        <v>0</v>
      </c>
      <c r="Q159">
        <v>0</v>
      </c>
      <c r="R159">
        <v>0</v>
      </c>
      <c r="S159" s="6">
        <f>SUM(O159:R159)/Variables!$E$3</f>
        <v>0</v>
      </c>
      <c r="T159" s="12">
        <v>0</v>
      </c>
      <c r="U159" s="6">
        <v>0</v>
      </c>
      <c r="V159" s="6">
        <v>0</v>
      </c>
      <c r="W159" s="6">
        <v>0</v>
      </c>
      <c r="X159" s="6">
        <f>SUM(T159:W159)/Variables!$E$3</f>
        <v>0</v>
      </c>
      <c r="Y159" s="12">
        <v>0</v>
      </c>
      <c r="Z159" s="6">
        <v>0</v>
      </c>
      <c r="AA159" s="6">
        <v>0</v>
      </c>
      <c r="AB159" s="6">
        <v>0</v>
      </c>
      <c r="AC159" s="6">
        <f>SUM(Y159:AB159)/Variables!$E$3</f>
        <v>0</v>
      </c>
      <c r="AD159" s="4">
        <v>0</v>
      </c>
      <c r="AE159" s="2">
        <v>0</v>
      </c>
      <c r="AF159" s="2">
        <v>0</v>
      </c>
      <c r="AG159" s="2">
        <v>0</v>
      </c>
      <c r="AH159" s="6">
        <f>SUM(AD159:AG159)/Variables!$E$3</f>
        <v>0</v>
      </c>
      <c r="AI159" s="4">
        <v>0</v>
      </c>
      <c r="AJ159" s="2">
        <v>0</v>
      </c>
      <c r="AK159" s="2">
        <v>0</v>
      </c>
      <c r="AL159" s="2">
        <v>0</v>
      </c>
      <c r="AM159" s="6">
        <f>SUM(AI159:AL159)/Variables!$E$3</f>
        <v>0</v>
      </c>
      <c r="AN159" s="4">
        <v>0</v>
      </c>
      <c r="AO159" s="2">
        <v>0</v>
      </c>
      <c r="AP159" s="2">
        <v>0</v>
      </c>
      <c r="AQ159" s="2">
        <v>0</v>
      </c>
      <c r="AR159" s="6">
        <f>SUM(AN159:AQ159)/Variables!$E$3</f>
        <v>0</v>
      </c>
      <c r="AS159" s="4">
        <v>0</v>
      </c>
      <c r="AT159" s="2">
        <v>0</v>
      </c>
      <c r="AU159" s="2">
        <v>0</v>
      </c>
      <c r="AV159" s="2">
        <v>0</v>
      </c>
      <c r="AW159" s="6">
        <f>SUM(AS159:AV159)/Variables!$E$3</f>
        <v>0</v>
      </c>
      <c r="AX159" s="4">
        <v>0</v>
      </c>
      <c r="AY159" s="2">
        <v>0</v>
      </c>
      <c r="AZ159" s="2">
        <v>0</v>
      </c>
      <c r="BA159" s="2">
        <v>0</v>
      </c>
      <c r="BB159" s="6">
        <f>SUM(AX159:BA159)/Variables!$E$3</f>
        <v>0</v>
      </c>
      <c r="BC159" s="12">
        <f t="shared" si="44"/>
        <v>0</v>
      </c>
      <c r="BD159" s="110">
        <f t="shared" si="44"/>
        <v>0</v>
      </c>
      <c r="BE159" s="110">
        <f t="shared" si="44"/>
        <v>0</v>
      </c>
      <c r="BF159" s="110">
        <f t="shared" si="41"/>
        <v>0</v>
      </c>
      <c r="BG159" s="6">
        <f>SUM(BC159:BF159)/Variables!$E$3</f>
        <v>0</v>
      </c>
      <c r="BH159" s="4">
        <v>0</v>
      </c>
      <c r="BI159">
        <v>0</v>
      </c>
      <c r="BJ159">
        <v>0</v>
      </c>
      <c r="BK159">
        <v>0</v>
      </c>
      <c r="BL159" s="6">
        <f>SUM(BH159:BK159)/Variables!$E$3</f>
        <v>0</v>
      </c>
      <c r="BM159" s="110">
        <v>0</v>
      </c>
      <c r="BN159" s="110">
        <v>0</v>
      </c>
      <c r="BO159" s="110">
        <v>0</v>
      </c>
      <c r="BP159" s="110">
        <v>0</v>
      </c>
      <c r="BQ159" s="6">
        <f>SUM(BM159:BP159)/Variables!$E$3</f>
        <v>0</v>
      </c>
      <c r="BS159" s="4">
        <v>157</v>
      </c>
      <c r="BT159" s="125">
        <f t="shared" si="30"/>
        <v>0</v>
      </c>
      <c r="BU159" s="125">
        <f t="shared" si="31"/>
        <v>0</v>
      </c>
      <c r="BV159" s="125">
        <f t="shared" si="32"/>
        <v>0</v>
      </c>
      <c r="BW159" s="125">
        <f t="shared" si="33"/>
        <v>0</v>
      </c>
      <c r="BX159" s="125">
        <f t="shared" si="34"/>
        <v>0</v>
      </c>
      <c r="BY159" s="125">
        <f t="shared" si="35"/>
        <v>0</v>
      </c>
      <c r="BZ159" s="125">
        <f t="shared" si="36"/>
        <v>0</v>
      </c>
      <c r="CA159" s="125">
        <f t="shared" si="37"/>
        <v>0</v>
      </c>
      <c r="CB159" s="125">
        <f t="shared" si="38"/>
        <v>0</v>
      </c>
      <c r="CC159" s="125">
        <f t="shared" si="39"/>
        <v>0</v>
      </c>
      <c r="CD159" s="125">
        <f t="shared" si="40"/>
        <v>0</v>
      </c>
      <c r="CE159" s="125">
        <f t="shared" si="42"/>
        <v>0</v>
      </c>
      <c r="CF159" s="126">
        <f t="shared" si="43"/>
        <v>0</v>
      </c>
      <c r="CH159" s="4">
        <v>157</v>
      </c>
      <c r="CI159" s="129">
        <v>0</v>
      </c>
      <c r="CJ159" s="125">
        <v>0</v>
      </c>
      <c r="CK159" s="125">
        <v>0</v>
      </c>
      <c r="CL159" s="125">
        <v>0</v>
      </c>
      <c r="CM159" s="125">
        <v>0</v>
      </c>
      <c r="CN159" s="125">
        <v>0</v>
      </c>
      <c r="CO159" s="125">
        <v>0</v>
      </c>
      <c r="CP159" s="125">
        <v>0</v>
      </c>
      <c r="CQ159" s="125">
        <v>0</v>
      </c>
      <c r="CR159" s="125">
        <v>0</v>
      </c>
      <c r="CS159" s="125">
        <v>0</v>
      </c>
      <c r="CT159" s="125">
        <v>0</v>
      </c>
      <c r="CU159" s="126">
        <v>0</v>
      </c>
    </row>
    <row r="160" spans="1:99" x14ac:dyDescent="0.25">
      <c r="A160" t="s">
        <v>223</v>
      </c>
      <c r="B160" s="2" t="s">
        <v>1</v>
      </c>
      <c r="C160" s="1">
        <v>15949</v>
      </c>
      <c r="D160" s="19">
        <v>43.514285714285698</v>
      </c>
      <c r="E160" s="18">
        <v>0</v>
      </c>
      <c r="F160" s="19">
        <v>0</v>
      </c>
      <c r="G160" s="19">
        <v>0</v>
      </c>
      <c r="H160" s="19">
        <v>0</v>
      </c>
      <c r="I160" s="19">
        <f>SUM(E160:H160)/Variables!$E$3</f>
        <v>0</v>
      </c>
      <c r="J160" s="4">
        <v>0</v>
      </c>
      <c r="K160">
        <v>0</v>
      </c>
      <c r="L160">
        <v>0</v>
      </c>
      <c r="M160">
        <v>0</v>
      </c>
      <c r="N160" s="6">
        <f>SUM(J160:M160)/Variables!$E$3</f>
        <v>0</v>
      </c>
      <c r="O160" s="4">
        <v>0</v>
      </c>
      <c r="P160">
        <v>0</v>
      </c>
      <c r="Q160">
        <v>0</v>
      </c>
      <c r="R160">
        <v>0</v>
      </c>
      <c r="S160" s="6">
        <f>SUM(O160:R160)/Variables!$E$3</f>
        <v>0</v>
      </c>
      <c r="T160" s="12">
        <v>0</v>
      </c>
      <c r="U160" s="6">
        <v>0</v>
      </c>
      <c r="V160" s="6">
        <v>0</v>
      </c>
      <c r="W160" s="6">
        <v>0</v>
      </c>
      <c r="X160" s="6">
        <f>SUM(T160:W160)/Variables!$E$3</f>
        <v>0</v>
      </c>
      <c r="Y160" s="12">
        <v>0</v>
      </c>
      <c r="Z160" s="6">
        <v>0</v>
      </c>
      <c r="AA160" s="6">
        <v>0</v>
      </c>
      <c r="AB160" s="6">
        <v>0</v>
      </c>
      <c r="AC160" s="6">
        <f>SUM(Y160:AB160)/Variables!$E$3</f>
        <v>0</v>
      </c>
      <c r="AD160" s="4">
        <v>0</v>
      </c>
      <c r="AE160" s="2">
        <v>0</v>
      </c>
      <c r="AF160" s="2">
        <v>0</v>
      </c>
      <c r="AG160" s="2">
        <v>0</v>
      </c>
      <c r="AH160" s="6">
        <f>SUM(AD160:AG160)/Variables!$E$3</f>
        <v>0</v>
      </c>
      <c r="AI160" s="4">
        <v>0</v>
      </c>
      <c r="AJ160" s="2">
        <v>0</v>
      </c>
      <c r="AK160" s="2">
        <v>0</v>
      </c>
      <c r="AL160" s="2">
        <v>0</v>
      </c>
      <c r="AM160" s="6">
        <f>SUM(AI160:AL160)/Variables!$E$3</f>
        <v>0</v>
      </c>
      <c r="AN160" s="4">
        <v>0</v>
      </c>
      <c r="AO160" s="2">
        <v>0</v>
      </c>
      <c r="AP160" s="2">
        <v>0</v>
      </c>
      <c r="AQ160" s="2">
        <v>0</v>
      </c>
      <c r="AR160" s="6">
        <f>SUM(AN160:AQ160)/Variables!$E$3</f>
        <v>0</v>
      </c>
      <c r="AS160" s="4">
        <v>0</v>
      </c>
      <c r="AT160" s="2">
        <v>0</v>
      </c>
      <c r="AU160" s="2">
        <v>0</v>
      </c>
      <c r="AV160" s="2">
        <v>0</v>
      </c>
      <c r="AW160" s="6">
        <f>SUM(AS160:AV160)/Variables!$E$3</f>
        <v>0</v>
      </c>
      <c r="AX160" s="4">
        <v>0</v>
      </c>
      <c r="AY160" s="2">
        <v>0</v>
      </c>
      <c r="AZ160" s="2">
        <v>0</v>
      </c>
      <c r="BA160" s="2">
        <v>0</v>
      </c>
      <c r="BB160" s="6">
        <f>SUM(AX160:BA160)/Variables!$E$3</f>
        <v>0</v>
      </c>
      <c r="BC160" s="12">
        <f t="shared" si="44"/>
        <v>0</v>
      </c>
      <c r="BD160" s="110">
        <f t="shared" si="44"/>
        <v>0</v>
      </c>
      <c r="BE160" s="110">
        <f t="shared" si="44"/>
        <v>0</v>
      </c>
      <c r="BF160" s="110">
        <f t="shared" si="41"/>
        <v>0</v>
      </c>
      <c r="BG160" s="6">
        <f>SUM(BC160:BF160)/Variables!$E$3</f>
        <v>0</v>
      </c>
      <c r="BH160" s="4">
        <v>0</v>
      </c>
      <c r="BI160">
        <v>0</v>
      </c>
      <c r="BJ160">
        <v>0</v>
      </c>
      <c r="BK160">
        <v>0</v>
      </c>
      <c r="BL160" s="6">
        <f>SUM(BH160:BK160)/Variables!$E$3</f>
        <v>0</v>
      </c>
      <c r="BM160" s="110">
        <v>0</v>
      </c>
      <c r="BN160" s="110">
        <v>0</v>
      </c>
      <c r="BO160" s="110">
        <v>0</v>
      </c>
      <c r="BP160" s="110">
        <v>0</v>
      </c>
      <c r="BQ160" s="6">
        <f>SUM(BM160:BP160)/Variables!$E$3</f>
        <v>0</v>
      </c>
      <c r="BS160" s="4">
        <v>158</v>
      </c>
      <c r="BT160" s="125">
        <f t="shared" si="30"/>
        <v>0</v>
      </c>
      <c r="BU160" s="125">
        <f t="shared" si="31"/>
        <v>0</v>
      </c>
      <c r="BV160" s="125">
        <f t="shared" si="32"/>
        <v>0</v>
      </c>
      <c r="BW160" s="125">
        <f t="shared" si="33"/>
        <v>0</v>
      </c>
      <c r="BX160" s="125">
        <f t="shared" si="34"/>
        <v>0</v>
      </c>
      <c r="BY160" s="125">
        <f t="shared" si="35"/>
        <v>0</v>
      </c>
      <c r="BZ160" s="125">
        <f t="shared" si="36"/>
        <v>0</v>
      </c>
      <c r="CA160" s="125">
        <f t="shared" si="37"/>
        <v>0</v>
      </c>
      <c r="CB160" s="125">
        <f t="shared" si="38"/>
        <v>0</v>
      </c>
      <c r="CC160" s="125">
        <f t="shared" si="39"/>
        <v>0</v>
      </c>
      <c r="CD160" s="125">
        <f t="shared" si="40"/>
        <v>0</v>
      </c>
      <c r="CE160" s="125">
        <f t="shared" si="42"/>
        <v>0</v>
      </c>
      <c r="CF160" s="126">
        <f t="shared" si="43"/>
        <v>0</v>
      </c>
      <c r="CH160" s="4">
        <v>158</v>
      </c>
      <c r="CI160" s="129">
        <v>0</v>
      </c>
      <c r="CJ160" s="125">
        <v>0</v>
      </c>
      <c r="CK160" s="125">
        <v>0</v>
      </c>
      <c r="CL160" s="125">
        <v>0</v>
      </c>
      <c r="CM160" s="125">
        <v>0</v>
      </c>
      <c r="CN160" s="125">
        <v>0</v>
      </c>
      <c r="CO160" s="125">
        <v>0</v>
      </c>
      <c r="CP160" s="125">
        <v>0</v>
      </c>
      <c r="CQ160" s="125">
        <v>0</v>
      </c>
      <c r="CR160" s="125">
        <v>0</v>
      </c>
      <c r="CS160" s="125">
        <v>0</v>
      </c>
      <c r="CT160" s="125">
        <v>0</v>
      </c>
      <c r="CU160" s="126">
        <v>0</v>
      </c>
    </row>
    <row r="161" spans="1:99" x14ac:dyDescent="0.25">
      <c r="A161" t="s">
        <v>223</v>
      </c>
      <c r="B161" s="2" t="s">
        <v>2</v>
      </c>
      <c r="C161" s="1">
        <v>16040</v>
      </c>
      <c r="D161" s="19">
        <v>51.085714285714303</v>
      </c>
      <c r="E161" s="18">
        <v>0</v>
      </c>
      <c r="F161" s="19">
        <v>0</v>
      </c>
      <c r="G161" s="19">
        <v>0</v>
      </c>
      <c r="H161" s="19">
        <v>0</v>
      </c>
      <c r="I161" s="19">
        <f>SUM(E161:H161)/Variables!$E$3</f>
        <v>0</v>
      </c>
      <c r="J161" s="4">
        <v>0</v>
      </c>
      <c r="K161">
        <v>0</v>
      </c>
      <c r="L161">
        <v>0</v>
      </c>
      <c r="M161">
        <v>0</v>
      </c>
      <c r="N161" s="6">
        <f>SUM(J161:M161)/Variables!$E$3</f>
        <v>0</v>
      </c>
      <c r="O161" s="4">
        <v>0</v>
      </c>
      <c r="P161">
        <v>0</v>
      </c>
      <c r="Q161">
        <v>0</v>
      </c>
      <c r="R161">
        <v>0</v>
      </c>
      <c r="S161" s="6">
        <f>SUM(O161:R161)/Variables!$E$3</f>
        <v>0</v>
      </c>
      <c r="T161" s="12">
        <v>0</v>
      </c>
      <c r="U161" s="6">
        <v>0</v>
      </c>
      <c r="V161" s="6">
        <v>0</v>
      </c>
      <c r="W161" s="6">
        <v>0</v>
      </c>
      <c r="X161" s="6">
        <f>SUM(T161:W161)/Variables!$E$3</f>
        <v>0</v>
      </c>
      <c r="Y161" s="12">
        <v>0</v>
      </c>
      <c r="Z161" s="6">
        <v>0</v>
      </c>
      <c r="AA161" s="6">
        <v>0</v>
      </c>
      <c r="AB161" s="6">
        <v>0</v>
      </c>
      <c r="AC161" s="6">
        <f>SUM(Y161:AB161)/Variables!$E$3</f>
        <v>0</v>
      </c>
      <c r="AD161" s="4">
        <v>0</v>
      </c>
      <c r="AE161" s="2">
        <v>0</v>
      </c>
      <c r="AF161" s="2">
        <v>0</v>
      </c>
      <c r="AG161" s="2">
        <v>0</v>
      </c>
      <c r="AH161" s="6">
        <f>SUM(AD161:AG161)/Variables!$E$3</f>
        <v>0</v>
      </c>
      <c r="AI161" s="4">
        <v>0</v>
      </c>
      <c r="AJ161" s="2">
        <v>0</v>
      </c>
      <c r="AK161" s="2">
        <v>0</v>
      </c>
      <c r="AL161" s="2">
        <v>0</v>
      </c>
      <c r="AM161" s="6">
        <f>SUM(AI161:AL161)/Variables!$E$3</f>
        <v>0</v>
      </c>
      <c r="AN161" s="4">
        <v>0</v>
      </c>
      <c r="AO161" s="2">
        <v>0</v>
      </c>
      <c r="AP161" s="2">
        <v>0</v>
      </c>
      <c r="AQ161" s="2">
        <v>0</v>
      </c>
      <c r="AR161" s="6">
        <f>SUM(AN161:AQ161)/Variables!$E$3</f>
        <v>0</v>
      </c>
      <c r="AS161" s="4">
        <v>0</v>
      </c>
      <c r="AT161" s="2">
        <v>0</v>
      </c>
      <c r="AU161" s="2">
        <v>0</v>
      </c>
      <c r="AV161" s="2">
        <v>0</v>
      </c>
      <c r="AW161" s="6">
        <f>SUM(AS161:AV161)/Variables!$E$3</f>
        <v>0</v>
      </c>
      <c r="AX161" s="4">
        <v>0</v>
      </c>
      <c r="AY161" s="2">
        <v>0</v>
      </c>
      <c r="AZ161" s="2">
        <v>0</v>
      </c>
      <c r="BA161" s="2">
        <v>0</v>
      </c>
      <c r="BB161" s="6">
        <f>SUM(AX161:BA161)/Variables!$E$3</f>
        <v>0</v>
      </c>
      <c r="BC161" s="12">
        <f t="shared" si="44"/>
        <v>0</v>
      </c>
      <c r="BD161" s="110">
        <f t="shared" si="44"/>
        <v>0</v>
      </c>
      <c r="BE161" s="110">
        <f t="shared" si="44"/>
        <v>0</v>
      </c>
      <c r="BF161" s="110">
        <f t="shared" si="41"/>
        <v>0</v>
      </c>
      <c r="BG161" s="6">
        <f>SUM(BC161:BF161)/Variables!$E$3</f>
        <v>0</v>
      </c>
      <c r="BH161" s="4">
        <v>0</v>
      </c>
      <c r="BI161">
        <v>0</v>
      </c>
      <c r="BJ161">
        <v>0</v>
      </c>
      <c r="BK161">
        <v>0</v>
      </c>
      <c r="BL161" s="6">
        <f>SUM(BH161:BK161)/Variables!$E$3</f>
        <v>0</v>
      </c>
      <c r="BM161" s="110">
        <v>0</v>
      </c>
      <c r="BN161" s="110">
        <v>0</v>
      </c>
      <c r="BO161" s="110">
        <v>0</v>
      </c>
      <c r="BP161" s="110">
        <v>0</v>
      </c>
      <c r="BQ161" s="6">
        <f>SUM(BM161:BP161)/Variables!$E$3</f>
        <v>0</v>
      </c>
      <c r="BS161" s="4">
        <v>159</v>
      </c>
      <c r="BT161" s="125">
        <f t="shared" si="30"/>
        <v>0</v>
      </c>
      <c r="BU161" s="125">
        <f t="shared" si="31"/>
        <v>6.0538879959461276E-3</v>
      </c>
      <c r="BV161" s="125">
        <f t="shared" si="32"/>
        <v>0</v>
      </c>
      <c r="BW161" s="125">
        <f t="shared" si="33"/>
        <v>0</v>
      </c>
      <c r="BX161" s="125">
        <f t="shared" si="34"/>
        <v>0</v>
      </c>
      <c r="BY161" s="125">
        <f t="shared" si="35"/>
        <v>0</v>
      </c>
      <c r="BZ161" s="125">
        <f t="shared" si="36"/>
        <v>0</v>
      </c>
      <c r="CA161" s="125">
        <f t="shared" si="37"/>
        <v>0</v>
      </c>
      <c r="CB161" s="125">
        <f t="shared" si="38"/>
        <v>0</v>
      </c>
      <c r="CC161" s="125">
        <f t="shared" si="39"/>
        <v>0</v>
      </c>
      <c r="CD161" s="125">
        <f t="shared" si="40"/>
        <v>0</v>
      </c>
      <c r="CE161" s="125">
        <f t="shared" si="42"/>
        <v>0</v>
      </c>
      <c r="CF161" s="126">
        <f t="shared" si="43"/>
        <v>0</v>
      </c>
      <c r="CH161" s="4">
        <v>159</v>
      </c>
      <c r="CI161" s="129">
        <v>0</v>
      </c>
      <c r="CJ161" s="125">
        <v>0</v>
      </c>
      <c r="CK161" s="125">
        <v>0</v>
      </c>
      <c r="CL161" s="125">
        <v>0</v>
      </c>
      <c r="CM161" s="125">
        <v>0</v>
      </c>
      <c r="CN161" s="125">
        <v>0</v>
      </c>
      <c r="CO161" s="125">
        <v>0</v>
      </c>
      <c r="CP161" s="125">
        <v>0</v>
      </c>
      <c r="CQ161" s="125">
        <v>0</v>
      </c>
      <c r="CR161" s="125">
        <v>0</v>
      </c>
      <c r="CS161" s="125">
        <v>0</v>
      </c>
      <c r="CT161" s="125">
        <v>0</v>
      </c>
      <c r="CU161" s="126">
        <v>0</v>
      </c>
    </row>
    <row r="162" spans="1:99" x14ac:dyDescent="0.25">
      <c r="A162" t="s">
        <v>224</v>
      </c>
      <c r="B162" s="2" t="s">
        <v>3</v>
      </c>
      <c r="C162" s="1">
        <v>16130</v>
      </c>
      <c r="D162" s="19">
        <v>17.8571428571429</v>
      </c>
      <c r="E162" s="18">
        <v>0</v>
      </c>
      <c r="F162" s="19">
        <v>0</v>
      </c>
      <c r="G162" s="19">
        <v>0</v>
      </c>
      <c r="H162" s="19">
        <v>0</v>
      </c>
      <c r="I162" s="19">
        <f>SUM(E162:H162)/Variables!$E$3</f>
        <v>0</v>
      </c>
      <c r="J162" s="4">
        <v>0</v>
      </c>
      <c r="K162">
        <v>0</v>
      </c>
      <c r="L162">
        <v>7646</v>
      </c>
      <c r="M162">
        <v>0</v>
      </c>
      <c r="N162" s="6">
        <f>SUM(J162:M162)/Variables!$E$3</f>
        <v>6.0538879959461276E-3</v>
      </c>
      <c r="O162" s="4">
        <v>0</v>
      </c>
      <c r="P162">
        <v>0</v>
      </c>
      <c r="Q162">
        <v>0</v>
      </c>
      <c r="R162">
        <v>0</v>
      </c>
      <c r="S162" s="6">
        <f>SUM(O162:R162)/Variables!$E$3</f>
        <v>0</v>
      </c>
      <c r="T162" s="12">
        <v>0</v>
      </c>
      <c r="U162" s="6">
        <v>0</v>
      </c>
      <c r="V162" s="6">
        <v>0</v>
      </c>
      <c r="W162" s="6">
        <v>0</v>
      </c>
      <c r="X162" s="6">
        <f>SUM(T162:W162)/Variables!$E$3</f>
        <v>0</v>
      </c>
      <c r="Y162" s="12">
        <v>0</v>
      </c>
      <c r="Z162" s="6">
        <v>0</v>
      </c>
      <c r="AA162" s="6">
        <v>0</v>
      </c>
      <c r="AB162" s="6">
        <v>0</v>
      </c>
      <c r="AC162" s="6">
        <f>SUM(Y162:AB162)/Variables!$E$3</f>
        <v>0</v>
      </c>
      <c r="AD162" s="4">
        <v>0</v>
      </c>
      <c r="AE162" s="2">
        <v>0</v>
      </c>
      <c r="AF162" s="2">
        <v>0</v>
      </c>
      <c r="AG162" s="2">
        <v>0</v>
      </c>
      <c r="AH162" s="6">
        <f>SUM(AD162:AG162)/Variables!$E$3</f>
        <v>0</v>
      </c>
      <c r="AI162" s="4">
        <v>0</v>
      </c>
      <c r="AJ162" s="2">
        <v>0</v>
      </c>
      <c r="AK162" s="2">
        <v>0</v>
      </c>
      <c r="AL162" s="2">
        <v>0</v>
      </c>
      <c r="AM162" s="6">
        <f>SUM(AI162:AL162)/Variables!$E$3</f>
        <v>0</v>
      </c>
      <c r="AN162" s="4">
        <v>0</v>
      </c>
      <c r="AO162" s="2">
        <v>0</v>
      </c>
      <c r="AP162" s="2">
        <v>0</v>
      </c>
      <c r="AQ162" s="2">
        <v>0</v>
      </c>
      <c r="AR162" s="6">
        <f>SUM(AN162:AQ162)/Variables!$E$3</f>
        <v>0</v>
      </c>
      <c r="AS162" s="4">
        <v>0</v>
      </c>
      <c r="AT162" s="2">
        <v>0</v>
      </c>
      <c r="AU162" s="2">
        <v>0</v>
      </c>
      <c r="AV162" s="2">
        <v>0</v>
      </c>
      <c r="AW162" s="6">
        <f>SUM(AS162:AV162)/Variables!$E$3</f>
        <v>0</v>
      </c>
      <c r="AX162" s="4">
        <v>0</v>
      </c>
      <c r="AY162" s="2">
        <v>0</v>
      </c>
      <c r="AZ162" s="2">
        <v>0</v>
      </c>
      <c r="BA162" s="2">
        <v>0</v>
      </c>
      <c r="BB162" s="6">
        <f>SUM(AX162:BA162)/Variables!$E$3</f>
        <v>0</v>
      </c>
      <c r="BC162" s="12">
        <f t="shared" si="44"/>
        <v>0</v>
      </c>
      <c r="BD162" s="110">
        <f t="shared" si="44"/>
        <v>0</v>
      </c>
      <c r="BE162" s="110">
        <f t="shared" si="44"/>
        <v>0</v>
      </c>
      <c r="BF162" s="110">
        <f t="shared" si="41"/>
        <v>0</v>
      </c>
      <c r="BG162" s="6">
        <f>SUM(BC162:BF162)/Variables!$E$3</f>
        <v>0</v>
      </c>
      <c r="BH162" s="4">
        <v>0</v>
      </c>
      <c r="BI162">
        <v>0</v>
      </c>
      <c r="BJ162">
        <v>0</v>
      </c>
      <c r="BK162">
        <v>0</v>
      </c>
      <c r="BL162" s="6">
        <f>SUM(BH162:BK162)/Variables!$E$3</f>
        <v>0</v>
      </c>
      <c r="BM162" s="110">
        <v>0</v>
      </c>
      <c r="BN162" s="110">
        <v>0</v>
      </c>
      <c r="BO162" s="110">
        <v>0</v>
      </c>
      <c r="BP162" s="110">
        <v>0</v>
      </c>
      <c r="BQ162" s="6">
        <f>SUM(BM162:BP162)/Variables!$E$3</f>
        <v>0</v>
      </c>
      <c r="BS162" s="4">
        <v>160</v>
      </c>
      <c r="BT162" s="125">
        <f t="shared" si="30"/>
        <v>0</v>
      </c>
      <c r="BU162" s="125">
        <f t="shared" si="31"/>
        <v>0</v>
      </c>
      <c r="BV162" s="125">
        <f t="shared" si="32"/>
        <v>0</v>
      </c>
      <c r="BW162" s="125">
        <f t="shared" si="33"/>
        <v>0</v>
      </c>
      <c r="BX162" s="125">
        <f t="shared" si="34"/>
        <v>0</v>
      </c>
      <c r="BY162" s="125">
        <f t="shared" si="35"/>
        <v>0</v>
      </c>
      <c r="BZ162" s="125">
        <f t="shared" si="36"/>
        <v>0</v>
      </c>
      <c r="CA162" s="125">
        <f t="shared" si="37"/>
        <v>0</v>
      </c>
      <c r="CB162" s="125">
        <f t="shared" si="38"/>
        <v>0</v>
      </c>
      <c r="CC162" s="125">
        <f t="shared" si="39"/>
        <v>0</v>
      </c>
      <c r="CD162" s="125">
        <f t="shared" si="40"/>
        <v>0</v>
      </c>
      <c r="CE162" s="125">
        <f t="shared" si="42"/>
        <v>0</v>
      </c>
      <c r="CF162" s="126">
        <f t="shared" si="43"/>
        <v>0</v>
      </c>
      <c r="CH162" s="4">
        <v>160</v>
      </c>
      <c r="CI162" s="129">
        <v>0</v>
      </c>
      <c r="CJ162" s="125">
        <v>0</v>
      </c>
      <c r="CK162" s="125">
        <v>0</v>
      </c>
      <c r="CL162" s="125">
        <v>0</v>
      </c>
      <c r="CM162" s="125">
        <v>0</v>
      </c>
      <c r="CN162" s="125">
        <v>0</v>
      </c>
      <c r="CO162" s="125">
        <v>0</v>
      </c>
      <c r="CP162" s="125">
        <v>0</v>
      </c>
      <c r="CQ162" s="125">
        <v>0</v>
      </c>
      <c r="CR162" s="125">
        <v>0</v>
      </c>
      <c r="CS162" s="125">
        <v>0</v>
      </c>
      <c r="CT162" s="125">
        <v>0</v>
      </c>
      <c r="CU162" s="126">
        <v>0</v>
      </c>
    </row>
    <row r="163" spans="1:99" x14ac:dyDescent="0.25">
      <c r="A163" t="s">
        <v>224</v>
      </c>
      <c r="B163" s="2" t="s">
        <v>4</v>
      </c>
      <c r="C163" s="1">
        <v>16223</v>
      </c>
      <c r="D163" s="19">
        <v>0</v>
      </c>
      <c r="E163" s="18">
        <v>0</v>
      </c>
      <c r="F163" s="19">
        <v>0</v>
      </c>
      <c r="G163" s="19">
        <v>0</v>
      </c>
      <c r="H163" s="19">
        <v>0</v>
      </c>
      <c r="I163" s="19">
        <f>SUM(E163:H163)/Variables!$E$3</f>
        <v>0</v>
      </c>
      <c r="J163" s="4">
        <v>0</v>
      </c>
      <c r="K163">
        <v>0</v>
      </c>
      <c r="L163">
        <v>0</v>
      </c>
      <c r="M163">
        <v>0</v>
      </c>
      <c r="N163" s="6">
        <f>SUM(J163:M163)/Variables!$E$3</f>
        <v>0</v>
      </c>
      <c r="O163" s="4">
        <v>0</v>
      </c>
      <c r="P163">
        <v>0</v>
      </c>
      <c r="Q163">
        <v>0</v>
      </c>
      <c r="R163">
        <v>0</v>
      </c>
      <c r="S163" s="6">
        <f>SUM(O163:R163)/Variables!$E$3</f>
        <v>0</v>
      </c>
      <c r="T163" s="12">
        <v>0</v>
      </c>
      <c r="U163" s="6">
        <v>0</v>
      </c>
      <c r="V163" s="6">
        <v>0</v>
      </c>
      <c r="W163" s="6">
        <v>0</v>
      </c>
      <c r="X163" s="6">
        <f>SUM(T163:W163)/Variables!$E$3</f>
        <v>0</v>
      </c>
      <c r="Y163" s="12">
        <v>0</v>
      </c>
      <c r="Z163" s="6">
        <v>0</v>
      </c>
      <c r="AA163" s="6">
        <v>0</v>
      </c>
      <c r="AB163" s="6">
        <v>0</v>
      </c>
      <c r="AC163" s="6">
        <f>SUM(Y163:AB163)/Variables!$E$3</f>
        <v>0</v>
      </c>
      <c r="AD163" s="4">
        <v>0</v>
      </c>
      <c r="AE163" s="2">
        <v>0</v>
      </c>
      <c r="AF163" s="2">
        <v>0</v>
      </c>
      <c r="AG163" s="2">
        <v>0</v>
      </c>
      <c r="AH163" s="6">
        <f>SUM(AD163:AG163)/Variables!$E$3</f>
        <v>0</v>
      </c>
      <c r="AI163" s="4">
        <v>0</v>
      </c>
      <c r="AJ163" s="2">
        <v>0</v>
      </c>
      <c r="AK163" s="2">
        <v>0</v>
      </c>
      <c r="AL163" s="2">
        <v>0</v>
      </c>
      <c r="AM163" s="6">
        <f>SUM(AI163:AL163)/Variables!$E$3</f>
        <v>0</v>
      </c>
      <c r="AN163" s="4">
        <v>0</v>
      </c>
      <c r="AO163" s="2">
        <v>0</v>
      </c>
      <c r="AP163" s="2">
        <v>0</v>
      </c>
      <c r="AQ163" s="2">
        <v>0</v>
      </c>
      <c r="AR163" s="6">
        <f>SUM(AN163:AQ163)/Variables!$E$3</f>
        <v>0</v>
      </c>
      <c r="AS163" s="4">
        <v>0</v>
      </c>
      <c r="AT163" s="2">
        <v>0</v>
      </c>
      <c r="AU163" s="2">
        <v>0</v>
      </c>
      <c r="AV163" s="2">
        <v>0</v>
      </c>
      <c r="AW163" s="6">
        <f>SUM(AS163:AV163)/Variables!$E$3</f>
        <v>0</v>
      </c>
      <c r="AX163" s="4">
        <v>0</v>
      </c>
      <c r="AY163" s="2">
        <v>0</v>
      </c>
      <c r="AZ163" s="2">
        <v>0</v>
      </c>
      <c r="BA163" s="2">
        <v>0</v>
      </c>
      <c r="BB163" s="6">
        <f>SUM(AX163:BA163)/Variables!$E$3</f>
        <v>0</v>
      </c>
      <c r="BC163" s="12">
        <f t="shared" si="44"/>
        <v>0</v>
      </c>
      <c r="BD163" s="110">
        <f t="shared" si="44"/>
        <v>0</v>
      </c>
      <c r="BE163" s="110">
        <f t="shared" si="44"/>
        <v>0</v>
      </c>
      <c r="BF163" s="110">
        <f t="shared" si="41"/>
        <v>0</v>
      </c>
      <c r="BG163" s="6">
        <f>SUM(BC163:BF163)/Variables!$E$3</f>
        <v>0</v>
      </c>
      <c r="BH163" s="4">
        <v>0</v>
      </c>
      <c r="BI163">
        <v>0</v>
      </c>
      <c r="BJ163">
        <v>0</v>
      </c>
      <c r="BK163">
        <v>0</v>
      </c>
      <c r="BL163" s="6">
        <f>SUM(BH163:BK163)/Variables!$E$3</f>
        <v>0</v>
      </c>
      <c r="BM163" s="110">
        <v>0</v>
      </c>
      <c r="BN163" s="110">
        <v>0</v>
      </c>
      <c r="BO163" s="110">
        <v>0</v>
      </c>
      <c r="BP163" s="110">
        <v>0</v>
      </c>
      <c r="BQ163" s="6">
        <f>SUM(BM163:BP163)/Variables!$E$3</f>
        <v>0</v>
      </c>
      <c r="BS163" s="4">
        <v>161</v>
      </c>
      <c r="BT163" s="125">
        <f t="shared" si="30"/>
        <v>0</v>
      </c>
      <c r="BU163" s="125">
        <f t="shared" si="31"/>
        <v>0</v>
      </c>
      <c r="BV163" s="125">
        <f t="shared" si="32"/>
        <v>0</v>
      </c>
      <c r="BW163" s="125">
        <f t="shared" si="33"/>
        <v>0</v>
      </c>
      <c r="BX163" s="125">
        <f t="shared" si="34"/>
        <v>0</v>
      </c>
      <c r="BY163" s="125">
        <f t="shared" si="35"/>
        <v>0</v>
      </c>
      <c r="BZ163" s="125">
        <f t="shared" si="36"/>
        <v>0</v>
      </c>
      <c r="CA163" s="125">
        <f t="shared" si="37"/>
        <v>0</v>
      </c>
      <c r="CB163" s="125">
        <f t="shared" si="38"/>
        <v>0</v>
      </c>
      <c r="CC163" s="125">
        <f t="shared" si="39"/>
        <v>0</v>
      </c>
      <c r="CD163" s="125">
        <f t="shared" si="40"/>
        <v>0</v>
      </c>
      <c r="CE163" s="125">
        <f t="shared" si="42"/>
        <v>0</v>
      </c>
      <c r="CF163" s="126">
        <f t="shared" si="43"/>
        <v>0</v>
      </c>
      <c r="CH163" s="4">
        <v>161</v>
      </c>
      <c r="CI163" s="129">
        <v>0</v>
      </c>
      <c r="CJ163" s="125">
        <v>0</v>
      </c>
      <c r="CK163" s="125">
        <v>0</v>
      </c>
      <c r="CL163" s="125">
        <v>0</v>
      </c>
      <c r="CM163" s="125">
        <v>0</v>
      </c>
      <c r="CN163" s="125">
        <v>0</v>
      </c>
      <c r="CO163" s="125">
        <v>0</v>
      </c>
      <c r="CP163" s="125">
        <v>0</v>
      </c>
      <c r="CQ163" s="125">
        <v>0</v>
      </c>
      <c r="CR163" s="125">
        <v>0</v>
      </c>
      <c r="CS163" s="125">
        <v>0</v>
      </c>
      <c r="CT163" s="125">
        <v>0</v>
      </c>
      <c r="CU163" s="126">
        <v>0</v>
      </c>
    </row>
    <row r="164" spans="1:99" x14ac:dyDescent="0.25">
      <c r="A164" t="s">
        <v>224</v>
      </c>
      <c r="B164" s="2" t="s">
        <v>1</v>
      </c>
      <c r="C164" s="1">
        <v>16315</v>
      </c>
      <c r="D164" s="19">
        <v>74.314285714285703</v>
      </c>
      <c r="E164" s="18">
        <v>0</v>
      </c>
      <c r="F164" s="19">
        <v>0</v>
      </c>
      <c r="G164" s="19">
        <v>0</v>
      </c>
      <c r="H164" s="19">
        <v>0</v>
      </c>
      <c r="I164" s="19">
        <f>SUM(E164:H164)/Variables!$E$3</f>
        <v>0</v>
      </c>
      <c r="J164" s="4">
        <v>0</v>
      </c>
      <c r="K164">
        <v>0</v>
      </c>
      <c r="L164">
        <v>0</v>
      </c>
      <c r="M164">
        <v>0</v>
      </c>
      <c r="N164" s="6">
        <f>SUM(J164:M164)/Variables!$E$3</f>
        <v>0</v>
      </c>
      <c r="O164" s="4">
        <v>0</v>
      </c>
      <c r="P164">
        <v>0</v>
      </c>
      <c r="Q164">
        <v>0</v>
      </c>
      <c r="R164">
        <v>0</v>
      </c>
      <c r="S164" s="6">
        <f>SUM(O164:R164)/Variables!$E$3</f>
        <v>0</v>
      </c>
      <c r="T164" s="12">
        <v>0</v>
      </c>
      <c r="U164" s="6">
        <v>0</v>
      </c>
      <c r="V164" s="6">
        <v>0</v>
      </c>
      <c r="W164" s="6">
        <v>0</v>
      </c>
      <c r="X164" s="6">
        <f>SUM(T164:W164)/Variables!$E$3</f>
        <v>0</v>
      </c>
      <c r="Y164" s="12">
        <v>0</v>
      </c>
      <c r="Z164" s="6">
        <v>0</v>
      </c>
      <c r="AA164" s="6">
        <v>0</v>
      </c>
      <c r="AB164" s="6">
        <v>0</v>
      </c>
      <c r="AC164" s="6">
        <f>SUM(Y164:AB164)/Variables!$E$3</f>
        <v>0</v>
      </c>
      <c r="AD164" s="4">
        <v>0</v>
      </c>
      <c r="AE164" s="2">
        <v>0</v>
      </c>
      <c r="AF164" s="2">
        <v>0</v>
      </c>
      <c r="AG164" s="2">
        <v>0</v>
      </c>
      <c r="AH164" s="6">
        <f>SUM(AD164:AG164)/Variables!$E$3</f>
        <v>0</v>
      </c>
      <c r="AI164" s="4">
        <v>0</v>
      </c>
      <c r="AJ164" s="2">
        <v>0</v>
      </c>
      <c r="AK164" s="2">
        <v>0</v>
      </c>
      <c r="AL164" s="2">
        <v>0</v>
      </c>
      <c r="AM164" s="6">
        <f>SUM(AI164:AL164)/Variables!$E$3</f>
        <v>0</v>
      </c>
      <c r="AN164" s="4">
        <v>0</v>
      </c>
      <c r="AO164" s="2">
        <v>0</v>
      </c>
      <c r="AP164" s="2">
        <v>0</v>
      </c>
      <c r="AQ164" s="2">
        <v>0</v>
      </c>
      <c r="AR164" s="6">
        <f>SUM(AN164:AQ164)/Variables!$E$3</f>
        <v>0</v>
      </c>
      <c r="AS164" s="4">
        <v>0</v>
      </c>
      <c r="AT164" s="2">
        <v>0</v>
      </c>
      <c r="AU164" s="2">
        <v>0</v>
      </c>
      <c r="AV164" s="2">
        <v>0</v>
      </c>
      <c r="AW164" s="6">
        <f>SUM(AS164:AV164)/Variables!$E$3</f>
        <v>0</v>
      </c>
      <c r="AX164" s="4">
        <v>0</v>
      </c>
      <c r="AY164" s="2">
        <v>0</v>
      </c>
      <c r="AZ164" s="2">
        <v>0</v>
      </c>
      <c r="BA164" s="2">
        <v>0</v>
      </c>
      <c r="BB164" s="6">
        <f>SUM(AX164:BA164)/Variables!$E$3</f>
        <v>0</v>
      </c>
      <c r="BC164" s="12">
        <f t="shared" si="44"/>
        <v>0</v>
      </c>
      <c r="BD164" s="110">
        <f t="shared" si="44"/>
        <v>0</v>
      </c>
      <c r="BE164" s="110">
        <f t="shared" si="44"/>
        <v>0</v>
      </c>
      <c r="BF164" s="110">
        <f t="shared" si="41"/>
        <v>0</v>
      </c>
      <c r="BG164" s="6">
        <f>SUM(BC164:BF164)/Variables!$E$3</f>
        <v>0</v>
      </c>
      <c r="BH164" s="4">
        <v>0</v>
      </c>
      <c r="BI164">
        <v>0</v>
      </c>
      <c r="BJ164">
        <v>0</v>
      </c>
      <c r="BK164">
        <v>0</v>
      </c>
      <c r="BL164" s="6">
        <f>SUM(BH164:BK164)/Variables!$E$3</f>
        <v>0</v>
      </c>
      <c r="BM164" s="110">
        <v>0</v>
      </c>
      <c r="BN164" s="110">
        <v>0</v>
      </c>
      <c r="BO164" s="110">
        <v>0</v>
      </c>
      <c r="BP164" s="110">
        <v>0</v>
      </c>
      <c r="BQ164" s="6">
        <f>SUM(BM164:BP164)/Variables!$E$3</f>
        <v>0</v>
      </c>
      <c r="BS164" s="4">
        <v>162</v>
      </c>
      <c r="BT164" s="125">
        <f t="shared" si="30"/>
        <v>0</v>
      </c>
      <c r="BU164" s="125">
        <f t="shared" si="31"/>
        <v>0</v>
      </c>
      <c r="BV164" s="125">
        <f t="shared" si="32"/>
        <v>0</v>
      </c>
      <c r="BW164" s="125">
        <f t="shared" si="33"/>
        <v>0</v>
      </c>
      <c r="BX164" s="125">
        <f t="shared" si="34"/>
        <v>0</v>
      </c>
      <c r="BY164" s="125">
        <f t="shared" si="35"/>
        <v>0</v>
      </c>
      <c r="BZ164" s="125">
        <f t="shared" si="36"/>
        <v>0</v>
      </c>
      <c r="CA164" s="125">
        <f t="shared" si="37"/>
        <v>0</v>
      </c>
      <c r="CB164" s="125">
        <f t="shared" si="38"/>
        <v>0</v>
      </c>
      <c r="CC164" s="125">
        <f t="shared" si="39"/>
        <v>0</v>
      </c>
      <c r="CD164" s="125">
        <f t="shared" si="40"/>
        <v>0</v>
      </c>
      <c r="CE164" s="125">
        <f t="shared" si="42"/>
        <v>0</v>
      </c>
      <c r="CF164" s="126">
        <f t="shared" si="43"/>
        <v>0</v>
      </c>
      <c r="CH164" s="4">
        <v>162</v>
      </c>
      <c r="CI164" s="129">
        <v>0</v>
      </c>
      <c r="CJ164" s="125">
        <v>0</v>
      </c>
      <c r="CK164" s="125">
        <v>0</v>
      </c>
      <c r="CL164" s="125">
        <v>0</v>
      </c>
      <c r="CM164" s="125">
        <v>0</v>
      </c>
      <c r="CN164" s="125">
        <v>0</v>
      </c>
      <c r="CO164" s="125">
        <v>0</v>
      </c>
      <c r="CP164" s="125">
        <v>0</v>
      </c>
      <c r="CQ164" s="125">
        <v>0</v>
      </c>
      <c r="CR164" s="125">
        <v>0</v>
      </c>
      <c r="CS164" s="125">
        <v>0</v>
      </c>
      <c r="CT164" s="125">
        <v>0</v>
      </c>
      <c r="CU164" s="126">
        <v>0</v>
      </c>
    </row>
    <row r="165" spans="1:99" x14ac:dyDescent="0.25">
      <c r="A165" t="s">
        <v>224</v>
      </c>
      <c r="B165" s="2" t="s">
        <v>2</v>
      </c>
      <c r="C165" s="1">
        <v>16406</v>
      </c>
      <c r="D165" s="19">
        <v>12.9142857142857</v>
      </c>
      <c r="E165" s="18">
        <v>0</v>
      </c>
      <c r="F165" s="19">
        <v>0</v>
      </c>
      <c r="G165" s="19">
        <v>0</v>
      </c>
      <c r="H165" s="19">
        <v>0</v>
      </c>
      <c r="I165" s="19">
        <f>SUM(E165:H165)/Variables!$E$3</f>
        <v>0</v>
      </c>
      <c r="J165" s="4">
        <v>0</v>
      </c>
      <c r="K165">
        <v>0</v>
      </c>
      <c r="L165">
        <v>0</v>
      </c>
      <c r="M165">
        <v>0</v>
      </c>
      <c r="N165" s="6">
        <f>SUM(J165:M165)/Variables!$E$3</f>
        <v>0</v>
      </c>
      <c r="O165" s="4">
        <v>0</v>
      </c>
      <c r="P165">
        <v>0</v>
      </c>
      <c r="Q165">
        <v>0</v>
      </c>
      <c r="R165">
        <v>0</v>
      </c>
      <c r="S165" s="6">
        <f>SUM(O165:R165)/Variables!$E$3</f>
        <v>0</v>
      </c>
      <c r="T165" s="12">
        <v>0</v>
      </c>
      <c r="U165" s="6">
        <v>0</v>
      </c>
      <c r="V165" s="6">
        <v>0</v>
      </c>
      <c r="W165" s="6">
        <v>0</v>
      </c>
      <c r="X165" s="6">
        <f>SUM(T165:W165)/Variables!$E$3</f>
        <v>0</v>
      </c>
      <c r="Y165" s="12">
        <v>0</v>
      </c>
      <c r="Z165" s="6">
        <v>0</v>
      </c>
      <c r="AA165" s="6">
        <v>0</v>
      </c>
      <c r="AB165" s="6">
        <v>0</v>
      </c>
      <c r="AC165" s="6">
        <f>SUM(Y165:AB165)/Variables!$E$3</f>
        <v>0</v>
      </c>
      <c r="AD165" s="4">
        <v>0</v>
      </c>
      <c r="AE165" s="2">
        <v>0</v>
      </c>
      <c r="AF165" s="2">
        <v>0</v>
      </c>
      <c r="AG165" s="2">
        <v>0</v>
      </c>
      <c r="AH165" s="6">
        <f>SUM(AD165:AG165)/Variables!$E$3</f>
        <v>0</v>
      </c>
      <c r="AI165" s="4">
        <v>0</v>
      </c>
      <c r="AJ165" s="2">
        <v>0</v>
      </c>
      <c r="AK165" s="2">
        <v>0</v>
      </c>
      <c r="AL165" s="2">
        <v>0</v>
      </c>
      <c r="AM165" s="6">
        <f>SUM(AI165:AL165)/Variables!$E$3</f>
        <v>0</v>
      </c>
      <c r="AN165" s="4">
        <v>0</v>
      </c>
      <c r="AO165" s="2">
        <v>0</v>
      </c>
      <c r="AP165" s="2">
        <v>0</v>
      </c>
      <c r="AQ165" s="2">
        <v>0</v>
      </c>
      <c r="AR165" s="6">
        <f>SUM(AN165:AQ165)/Variables!$E$3</f>
        <v>0</v>
      </c>
      <c r="AS165" s="4">
        <v>0</v>
      </c>
      <c r="AT165" s="2">
        <v>0</v>
      </c>
      <c r="AU165" s="2">
        <v>0</v>
      </c>
      <c r="AV165" s="2">
        <v>0</v>
      </c>
      <c r="AW165" s="6">
        <f>SUM(AS165:AV165)/Variables!$E$3</f>
        <v>0</v>
      </c>
      <c r="AX165" s="4">
        <v>0</v>
      </c>
      <c r="AY165" s="2">
        <v>0</v>
      </c>
      <c r="AZ165" s="2">
        <v>0</v>
      </c>
      <c r="BA165" s="2">
        <v>0</v>
      </c>
      <c r="BB165" s="6">
        <f>SUM(AX165:BA165)/Variables!$E$3</f>
        <v>0</v>
      </c>
      <c r="BC165" s="12">
        <f t="shared" si="44"/>
        <v>0</v>
      </c>
      <c r="BD165" s="110">
        <f t="shared" si="44"/>
        <v>0</v>
      </c>
      <c r="BE165" s="110">
        <f t="shared" si="44"/>
        <v>0</v>
      </c>
      <c r="BF165" s="110">
        <f t="shared" si="41"/>
        <v>0</v>
      </c>
      <c r="BG165" s="6">
        <f>SUM(BC165:BF165)/Variables!$E$3</f>
        <v>0</v>
      </c>
      <c r="BH165" s="4">
        <v>0</v>
      </c>
      <c r="BI165">
        <v>0</v>
      </c>
      <c r="BJ165">
        <v>0</v>
      </c>
      <c r="BK165">
        <v>0</v>
      </c>
      <c r="BL165" s="6">
        <f>SUM(BH165:BK165)/Variables!$E$3</f>
        <v>0</v>
      </c>
      <c r="BM165" s="110">
        <v>0</v>
      </c>
      <c r="BN165" s="110">
        <v>0</v>
      </c>
      <c r="BO165" s="110">
        <v>0</v>
      </c>
      <c r="BP165" s="110">
        <v>0</v>
      </c>
      <c r="BQ165" s="6">
        <f>SUM(BM165:BP165)/Variables!$E$3</f>
        <v>0</v>
      </c>
      <c r="BS165" s="4">
        <v>163</v>
      </c>
      <c r="BT165" s="125">
        <f t="shared" si="30"/>
        <v>0</v>
      </c>
      <c r="BU165" s="125">
        <f t="shared" si="31"/>
        <v>0</v>
      </c>
      <c r="BV165" s="125">
        <f t="shared" si="32"/>
        <v>0</v>
      </c>
      <c r="BW165" s="125">
        <f t="shared" si="33"/>
        <v>0</v>
      </c>
      <c r="BX165" s="125">
        <f t="shared" si="34"/>
        <v>0</v>
      </c>
      <c r="BY165" s="125">
        <f t="shared" si="35"/>
        <v>0</v>
      </c>
      <c r="BZ165" s="125">
        <f t="shared" si="36"/>
        <v>0</v>
      </c>
      <c r="CA165" s="125">
        <f t="shared" si="37"/>
        <v>0</v>
      </c>
      <c r="CB165" s="125">
        <f t="shared" si="38"/>
        <v>0</v>
      </c>
      <c r="CC165" s="125">
        <f t="shared" si="39"/>
        <v>0</v>
      </c>
      <c r="CD165" s="125">
        <f t="shared" si="40"/>
        <v>0</v>
      </c>
      <c r="CE165" s="125">
        <f t="shared" si="42"/>
        <v>0</v>
      </c>
      <c r="CF165" s="126">
        <f t="shared" si="43"/>
        <v>0</v>
      </c>
      <c r="CH165" s="4">
        <v>163</v>
      </c>
      <c r="CI165" s="129">
        <v>0</v>
      </c>
      <c r="CJ165" s="125">
        <v>0</v>
      </c>
      <c r="CK165" s="125">
        <v>0</v>
      </c>
      <c r="CL165" s="125">
        <v>0</v>
      </c>
      <c r="CM165" s="125">
        <v>0</v>
      </c>
      <c r="CN165" s="125">
        <v>0</v>
      </c>
      <c r="CO165" s="125">
        <v>0</v>
      </c>
      <c r="CP165" s="125">
        <v>0</v>
      </c>
      <c r="CQ165" s="125">
        <v>0</v>
      </c>
      <c r="CR165" s="125">
        <v>0</v>
      </c>
      <c r="CS165" s="125">
        <v>0</v>
      </c>
      <c r="CT165" s="125">
        <v>0</v>
      </c>
      <c r="CU165" s="126">
        <v>0</v>
      </c>
    </row>
    <row r="166" spans="1:99" x14ac:dyDescent="0.25">
      <c r="A166" t="s">
        <v>225</v>
      </c>
      <c r="B166" s="2" t="s">
        <v>3</v>
      </c>
      <c r="C166" s="1">
        <v>16496</v>
      </c>
      <c r="D166" s="19">
        <v>65.042857142857201</v>
      </c>
      <c r="E166" s="18">
        <v>0</v>
      </c>
      <c r="F166" s="19">
        <v>0</v>
      </c>
      <c r="G166" s="19">
        <v>0</v>
      </c>
      <c r="H166" s="19">
        <v>0</v>
      </c>
      <c r="I166" s="19">
        <f>SUM(E166:H166)/Variables!$E$3</f>
        <v>0</v>
      </c>
      <c r="J166" s="4">
        <v>0</v>
      </c>
      <c r="K166">
        <v>0</v>
      </c>
      <c r="L166">
        <v>0</v>
      </c>
      <c r="M166">
        <v>0</v>
      </c>
      <c r="N166" s="6">
        <f>SUM(J166:M166)/Variables!$E$3</f>
        <v>0</v>
      </c>
      <c r="O166" s="4">
        <v>0</v>
      </c>
      <c r="P166">
        <v>0</v>
      </c>
      <c r="Q166">
        <v>0</v>
      </c>
      <c r="R166">
        <v>0</v>
      </c>
      <c r="S166" s="6">
        <f>SUM(O166:R166)/Variables!$E$3</f>
        <v>0</v>
      </c>
      <c r="T166" s="12">
        <v>0</v>
      </c>
      <c r="U166" s="6">
        <v>0</v>
      </c>
      <c r="V166" s="6">
        <v>0</v>
      </c>
      <c r="W166" s="6">
        <v>0</v>
      </c>
      <c r="X166" s="6">
        <f>SUM(T166:W166)/Variables!$E$3</f>
        <v>0</v>
      </c>
      <c r="Y166" s="12">
        <v>0</v>
      </c>
      <c r="Z166" s="6">
        <v>0</v>
      </c>
      <c r="AA166" s="6">
        <v>0</v>
      </c>
      <c r="AB166" s="6">
        <v>0</v>
      </c>
      <c r="AC166" s="6">
        <f>SUM(Y166:AB166)/Variables!$E$3</f>
        <v>0</v>
      </c>
      <c r="AD166" s="4">
        <v>0</v>
      </c>
      <c r="AE166" s="2">
        <v>0</v>
      </c>
      <c r="AF166" s="2">
        <v>0</v>
      </c>
      <c r="AG166" s="2">
        <v>0</v>
      </c>
      <c r="AH166" s="6">
        <f>SUM(AD166:AG166)/Variables!$E$3</f>
        <v>0</v>
      </c>
      <c r="AI166" s="4">
        <v>0</v>
      </c>
      <c r="AJ166" s="2">
        <v>0</v>
      </c>
      <c r="AK166" s="2">
        <v>0</v>
      </c>
      <c r="AL166" s="2">
        <v>0</v>
      </c>
      <c r="AM166" s="6">
        <f>SUM(AI166:AL166)/Variables!$E$3</f>
        <v>0</v>
      </c>
      <c r="AN166" s="4">
        <v>0</v>
      </c>
      <c r="AO166" s="2">
        <v>0</v>
      </c>
      <c r="AP166" s="2">
        <v>0</v>
      </c>
      <c r="AQ166" s="2">
        <v>0</v>
      </c>
      <c r="AR166" s="6">
        <f>SUM(AN166:AQ166)/Variables!$E$3</f>
        <v>0</v>
      </c>
      <c r="AS166" s="4">
        <v>0</v>
      </c>
      <c r="AT166" s="2">
        <v>0</v>
      </c>
      <c r="AU166" s="2">
        <v>0</v>
      </c>
      <c r="AV166" s="2">
        <v>0</v>
      </c>
      <c r="AW166" s="6">
        <f>SUM(AS166:AV166)/Variables!$E$3</f>
        <v>0</v>
      </c>
      <c r="AX166" s="4">
        <v>0</v>
      </c>
      <c r="AY166" s="2">
        <v>0</v>
      </c>
      <c r="AZ166" s="2">
        <v>0</v>
      </c>
      <c r="BA166" s="2">
        <v>0</v>
      </c>
      <c r="BB166" s="6">
        <f>SUM(AX166:BA166)/Variables!$E$3</f>
        <v>0</v>
      </c>
      <c r="BC166" s="12">
        <f t="shared" si="44"/>
        <v>0</v>
      </c>
      <c r="BD166" s="110">
        <f t="shared" si="44"/>
        <v>0</v>
      </c>
      <c r="BE166" s="110">
        <f t="shared" si="44"/>
        <v>0</v>
      </c>
      <c r="BF166" s="110">
        <f t="shared" si="41"/>
        <v>0</v>
      </c>
      <c r="BG166" s="6">
        <f>SUM(BC166:BF166)/Variables!$E$3</f>
        <v>0</v>
      </c>
      <c r="BH166" s="4">
        <v>0</v>
      </c>
      <c r="BI166">
        <v>0</v>
      </c>
      <c r="BJ166">
        <v>0</v>
      </c>
      <c r="BK166">
        <v>0</v>
      </c>
      <c r="BL166" s="6">
        <f>SUM(BH166:BK166)/Variables!$E$3</f>
        <v>0</v>
      </c>
      <c r="BM166" s="110">
        <v>0</v>
      </c>
      <c r="BN166" s="110">
        <v>0</v>
      </c>
      <c r="BO166" s="110">
        <v>0</v>
      </c>
      <c r="BP166" s="110">
        <v>0</v>
      </c>
      <c r="BQ166" s="6">
        <f>SUM(BM166:BP166)/Variables!$E$3</f>
        <v>0</v>
      </c>
      <c r="BS166" s="4">
        <v>164</v>
      </c>
      <c r="BT166" s="125">
        <f t="shared" si="30"/>
        <v>0</v>
      </c>
      <c r="BU166" s="125">
        <f t="shared" si="31"/>
        <v>1.4318403154419275E-2</v>
      </c>
      <c r="BV166" s="125">
        <f t="shared" si="32"/>
        <v>0</v>
      </c>
      <c r="BW166" s="125">
        <f t="shared" si="33"/>
        <v>0</v>
      </c>
      <c r="BX166" s="125">
        <f t="shared" si="34"/>
        <v>0</v>
      </c>
      <c r="BY166" s="125">
        <f t="shared" si="35"/>
        <v>0</v>
      </c>
      <c r="BZ166" s="125">
        <f t="shared" si="36"/>
        <v>0</v>
      </c>
      <c r="CA166" s="125">
        <f t="shared" si="37"/>
        <v>0</v>
      </c>
      <c r="CB166" s="125">
        <f t="shared" si="38"/>
        <v>0</v>
      </c>
      <c r="CC166" s="125">
        <f t="shared" si="39"/>
        <v>0</v>
      </c>
      <c r="CD166" s="125">
        <f t="shared" si="40"/>
        <v>0</v>
      </c>
      <c r="CE166" s="125">
        <f t="shared" si="42"/>
        <v>0</v>
      </c>
      <c r="CF166" s="126">
        <f t="shared" si="43"/>
        <v>0</v>
      </c>
      <c r="CH166" s="4">
        <v>164</v>
      </c>
      <c r="CI166" s="129">
        <v>0</v>
      </c>
      <c r="CJ166" s="125">
        <v>0</v>
      </c>
      <c r="CK166" s="125">
        <v>0</v>
      </c>
      <c r="CL166" s="125">
        <v>0</v>
      </c>
      <c r="CM166" s="125">
        <v>0</v>
      </c>
      <c r="CN166" s="125">
        <v>0</v>
      </c>
      <c r="CO166" s="125">
        <v>0</v>
      </c>
      <c r="CP166" s="125">
        <v>0</v>
      </c>
      <c r="CQ166" s="125">
        <v>0</v>
      </c>
      <c r="CR166" s="125">
        <v>0</v>
      </c>
      <c r="CS166" s="125">
        <v>0</v>
      </c>
      <c r="CT166" s="125">
        <v>0</v>
      </c>
      <c r="CU166" s="126">
        <v>0</v>
      </c>
    </row>
    <row r="167" spans="1:99" x14ac:dyDescent="0.25">
      <c r="A167" t="s">
        <v>225</v>
      </c>
      <c r="B167" s="2" t="s">
        <v>4</v>
      </c>
      <c r="C167" s="1">
        <v>16588</v>
      </c>
      <c r="D167" s="19">
        <v>51.0833333333333</v>
      </c>
      <c r="E167" s="18">
        <v>0</v>
      </c>
      <c r="F167" s="19">
        <v>0</v>
      </c>
      <c r="G167" s="19">
        <v>0</v>
      </c>
      <c r="H167" s="19">
        <v>0</v>
      </c>
      <c r="I167" s="19">
        <f>SUM(E167:H167)/Variables!$E$3</f>
        <v>0</v>
      </c>
      <c r="J167" s="4">
        <v>0</v>
      </c>
      <c r="K167">
        <v>0</v>
      </c>
      <c r="L167">
        <v>18084</v>
      </c>
      <c r="M167">
        <v>0</v>
      </c>
      <c r="N167" s="6">
        <f>SUM(J167:M167)/Variables!$E$3</f>
        <v>1.4318403154419275E-2</v>
      </c>
      <c r="O167" s="4">
        <v>0</v>
      </c>
      <c r="P167">
        <v>0</v>
      </c>
      <c r="Q167">
        <v>0</v>
      </c>
      <c r="R167">
        <v>0</v>
      </c>
      <c r="S167" s="6">
        <f>SUM(O167:R167)/Variables!$E$3</f>
        <v>0</v>
      </c>
      <c r="T167" s="12">
        <v>0</v>
      </c>
      <c r="U167" s="6">
        <v>0</v>
      </c>
      <c r="V167" s="6">
        <v>0</v>
      </c>
      <c r="W167" s="6">
        <v>0</v>
      </c>
      <c r="X167" s="6">
        <f>SUM(T167:W167)/Variables!$E$3</f>
        <v>0</v>
      </c>
      <c r="Y167" s="12">
        <v>0</v>
      </c>
      <c r="Z167" s="6">
        <v>0</v>
      </c>
      <c r="AA167" s="6">
        <v>0</v>
      </c>
      <c r="AB167" s="6">
        <v>0</v>
      </c>
      <c r="AC167" s="6">
        <f>SUM(Y167:AB167)/Variables!$E$3</f>
        <v>0</v>
      </c>
      <c r="AD167" s="4">
        <v>0</v>
      </c>
      <c r="AE167" s="2">
        <v>0</v>
      </c>
      <c r="AF167" s="2">
        <v>0</v>
      </c>
      <c r="AG167" s="2">
        <v>0</v>
      </c>
      <c r="AH167" s="6">
        <f>SUM(AD167:AG167)/Variables!$E$3</f>
        <v>0</v>
      </c>
      <c r="AI167" s="4">
        <v>0</v>
      </c>
      <c r="AJ167" s="2">
        <v>0</v>
      </c>
      <c r="AK167" s="2">
        <v>0</v>
      </c>
      <c r="AL167" s="2">
        <v>0</v>
      </c>
      <c r="AM167" s="6">
        <f>SUM(AI167:AL167)/Variables!$E$3</f>
        <v>0</v>
      </c>
      <c r="AN167" s="4">
        <v>0</v>
      </c>
      <c r="AO167" s="2">
        <v>0</v>
      </c>
      <c r="AP167" s="2">
        <v>0</v>
      </c>
      <c r="AQ167" s="2">
        <v>0</v>
      </c>
      <c r="AR167" s="6">
        <f>SUM(AN167:AQ167)/Variables!$E$3</f>
        <v>0</v>
      </c>
      <c r="AS167" s="4">
        <v>0</v>
      </c>
      <c r="AT167" s="2">
        <v>0</v>
      </c>
      <c r="AU167" s="2">
        <v>0</v>
      </c>
      <c r="AV167" s="2">
        <v>0</v>
      </c>
      <c r="AW167" s="6">
        <f>SUM(AS167:AV167)/Variables!$E$3</f>
        <v>0</v>
      </c>
      <c r="AX167" s="4">
        <v>0</v>
      </c>
      <c r="AY167" s="2">
        <v>0</v>
      </c>
      <c r="AZ167" s="2">
        <v>0</v>
      </c>
      <c r="BA167" s="2">
        <v>0</v>
      </c>
      <c r="BB167" s="6">
        <f>SUM(AX167:BA167)/Variables!$E$3</f>
        <v>0</v>
      </c>
      <c r="BC167" s="12">
        <f t="shared" si="44"/>
        <v>0</v>
      </c>
      <c r="BD167" s="110">
        <f t="shared" si="44"/>
        <v>0</v>
      </c>
      <c r="BE167" s="110">
        <f t="shared" si="44"/>
        <v>0</v>
      </c>
      <c r="BF167" s="110">
        <f t="shared" si="41"/>
        <v>0</v>
      </c>
      <c r="BG167" s="6">
        <f>SUM(BC167:BF167)/Variables!$E$3</f>
        <v>0</v>
      </c>
      <c r="BH167" s="4">
        <v>0</v>
      </c>
      <c r="BI167">
        <v>0</v>
      </c>
      <c r="BJ167">
        <v>0</v>
      </c>
      <c r="BK167">
        <v>0</v>
      </c>
      <c r="BL167" s="6">
        <f>SUM(BH167:BK167)/Variables!$E$3</f>
        <v>0</v>
      </c>
      <c r="BM167" s="110">
        <v>0</v>
      </c>
      <c r="BN167" s="110">
        <v>0</v>
      </c>
      <c r="BO167" s="110">
        <v>0</v>
      </c>
      <c r="BP167" s="110">
        <v>0</v>
      </c>
      <c r="BQ167" s="6">
        <f>SUM(BM167:BP167)/Variables!$E$3</f>
        <v>0</v>
      </c>
      <c r="BS167" s="4">
        <v>165</v>
      </c>
      <c r="BT167" s="125">
        <f t="shared" si="30"/>
        <v>0</v>
      </c>
      <c r="BU167" s="125">
        <f t="shared" si="31"/>
        <v>2.770409900315917E-3</v>
      </c>
      <c r="BV167" s="125">
        <f t="shared" si="32"/>
        <v>0</v>
      </c>
      <c r="BW167" s="125">
        <f t="shared" si="33"/>
        <v>0</v>
      </c>
      <c r="BX167" s="125">
        <f t="shared" si="34"/>
        <v>0</v>
      </c>
      <c r="BY167" s="125">
        <f t="shared" si="35"/>
        <v>0</v>
      </c>
      <c r="BZ167" s="125">
        <f t="shared" si="36"/>
        <v>0</v>
      </c>
      <c r="CA167" s="125">
        <f t="shared" si="37"/>
        <v>0</v>
      </c>
      <c r="CB167" s="125">
        <f t="shared" si="38"/>
        <v>0</v>
      </c>
      <c r="CC167" s="125">
        <f t="shared" si="39"/>
        <v>0</v>
      </c>
      <c r="CD167" s="125">
        <f t="shared" si="40"/>
        <v>0</v>
      </c>
      <c r="CE167" s="125">
        <f t="shared" si="42"/>
        <v>0</v>
      </c>
      <c r="CF167" s="126">
        <f t="shared" si="43"/>
        <v>0</v>
      </c>
      <c r="CH167" s="4">
        <v>165</v>
      </c>
      <c r="CI167" s="129">
        <v>0</v>
      </c>
      <c r="CJ167" s="125">
        <v>0</v>
      </c>
      <c r="CK167" s="125">
        <v>0</v>
      </c>
      <c r="CL167" s="125">
        <v>0</v>
      </c>
      <c r="CM167" s="125">
        <v>0</v>
      </c>
      <c r="CN167" s="125">
        <v>0</v>
      </c>
      <c r="CO167" s="125">
        <v>0</v>
      </c>
      <c r="CP167" s="125">
        <v>0</v>
      </c>
      <c r="CQ167" s="125">
        <v>0</v>
      </c>
      <c r="CR167" s="125">
        <v>0</v>
      </c>
      <c r="CS167" s="125">
        <v>0</v>
      </c>
      <c r="CT167" s="125">
        <v>0</v>
      </c>
      <c r="CU167" s="126">
        <v>0</v>
      </c>
    </row>
    <row r="168" spans="1:99" x14ac:dyDescent="0.25">
      <c r="A168" t="s">
        <v>225</v>
      </c>
      <c r="B168" s="2" t="s">
        <v>1</v>
      </c>
      <c r="C168" s="1">
        <v>16680</v>
      </c>
      <c r="D168" s="19">
        <v>84.757142857142796</v>
      </c>
      <c r="E168" s="18">
        <v>0</v>
      </c>
      <c r="F168" s="19">
        <v>0</v>
      </c>
      <c r="G168" s="19">
        <v>0</v>
      </c>
      <c r="H168" s="19">
        <v>0</v>
      </c>
      <c r="I168" s="19">
        <f>SUM(E168:H168)/Variables!$E$3</f>
        <v>0</v>
      </c>
      <c r="J168" s="4">
        <v>0</v>
      </c>
      <c r="K168">
        <v>0</v>
      </c>
      <c r="L168">
        <v>3499</v>
      </c>
      <c r="M168">
        <v>0</v>
      </c>
      <c r="N168" s="6">
        <f>SUM(J168:M168)/Variables!$E$3</f>
        <v>2.770409900315917E-3</v>
      </c>
      <c r="O168" s="4">
        <v>0</v>
      </c>
      <c r="P168">
        <v>0</v>
      </c>
      <c r="Q168">
        <v>0</v>
      </c>
      <c r="R168">
        <v>0</v>
      </c>
      <c r="S168" s="6">
        <f>SUM(O168:R168)/Variables!$E$3</f>
        <v>0</v>
      </c>
      <c r="T168" s="12">
        <v>0</v>
      </c>
      <c r="U168" s="6">
        <v>0</v>
      </c>
      <c r="V168" s="6">
        <v>0</v>
      </c>
      <c r="W168" s="6">
        <v>0</v>
      </c>
      <c r="X168" s="6">
        <f>SUM(T168:W168)/Variables!$E$3</f>
        <v>0</v>
      </c>
      <c r="Y168" s="12">
        <v>0</v>
      </c>
      <c r="Z168" s="6">
        <v>0</v>
      </c>
      <c r="AA168" s="6">
        <v>0</v>
      </c>
      <c r="AB168" s="6">
        <v>0</v>
      </c>
      <c r="AC168" s="6">
        <f>SUM(Y168:AB168)/Variables!$E$3</f>
        <v>0</v>
      </c>
      <c r="AD168" s="4">
        <v>0</v>
      </c>
      <c r="AE168" s="2">
        <v>0</v>
      </c>
      <c r="AF168" s="2">
        <v>0</v>
      </c>
      <c r="AG168" s="2">
        <v>0</v>
      </c>
      <c r="AH168" s="6">
        <f>SUM(AD168:AG168)/Variables!$E$3</f>
        <v>0</v>
      </c>
      <c r="AI168" s="4">
        <v>0</v>
      </c>
      <c r="AJ168" s="2">
        <v>0</v>
      </c>
      <c r="AK168" s="2">
        <v>0</v>
      </c>
      <c r="AL168" s="2">
        <v>0</v>
      </c>
      <c r="AM168" s="6">
        <f>SUM(AI168:AL168)/Variables!$E$3</f>
        <v>0</v>
      </c>
      <c r="AN168" s="4">
        <v>0</v>
      </c>
      <c r="AO168" s="2">
        <v>0</v>
      </c>
      <c r="AP168" s="2">
        <v>0</v>
      </c>
      <c r="AQ168" s="2">
        <v>0</v>
      </c>
      <c r="AR168" s="6">
        <f>SUM(AN168:AQ168)/Variables!$E$3</f>
        <v>0</v>
      </c>
      <c r="AS168" s="4">
        <v>0</v>
      </c>
      <c r="AT168" s="2">
        <v>0</v>
      </c>
      <c r="AU168" s="2">
        <v>0</v>
      </c>
      <c r="AV168" s="2">
        <v>0</v>
      </c>
      <c r="AW168" s="6">
        <f>SUM(AS168:AV168)/Variables!$E$3</f>
        <v>0</v>
      </c>
      <c r="AX168" s="4">
        <v>0</v>
      </c>
      <c r="AY168" s="2">
        <v>0</v>
      </c>
      <c r="AZ168" s="2">
        <v>0</v>
      </c>
      <c r="BA168" s="2">
        <v>0</v>
      </c>
      <c r="BB168" s="6">
        <f>SUM(AX168:BA168)/Variables!$E$3</f>
        <v>0</v>
      </c>
      <c r="BC168" s="12">
        <f t="shared" si="44"/>
        <v>0</v>
      </c>
      <c r="BD168" s="110">
        <f t="shared" si="44"/>
        <v>0</v>
      </c>
      <c r="BE168" s="110">
        <f t="shared" si="44"/>
        <v>0</v>
      </c>
      <c r="BF168" s="110">
        <f t="shared" si="41"/>
        <v>0</v>
      </c>
      <c r="BG168" s="6">
        <f>SUM(BC168:BF168)/Variables!$E$3</f>
        <v>0</v>
      </c>
      <c r="BH168" s="4">
        <v>0</v>
      </c>
      <c r="BI168">
        <v>0</v>
      </c>
      <c r="BJ168">
        <v>0</v>
      </c>
      <c r="BK168">
        <v>0</v>
      </c>
      <c r="BL168" s="6">
        <f>SUM(BH168:BK168)/Variables!$E$3</f>
        <v>0</v>
      </c>
      <c r="BM168" s="110">
        <v>0</v>
      </c>
      <c r="BN168" s="110">
        <v>0</v>
      </c>
      <c r="BO168" s="110">
        <v>0</v>
      </c>
      <c r="BP168" s="110">
        <v>0</v>
      </c>
      <c r="BQ168" s="6">
        <f>SUM(BM168:BP168)/Variables!$E$3</f>
        <v>0</v>
      </c>
      <c r="BS168" s="4">
        <v>166</v>
      </c>
      <c r="BT168" s="125">
        <f t="shared" si="30"/>
        <v>0</v>
      </c>
      <c r="BU168" s="125">
        <f t="shared" si="31"/>
        <v>0</v>
      </c>
      <c r="BV168" s="125">
        <f t="shared" si="32"/>
        <v>0</v>
      </c>
      <c r="BW168" s="125">
        <f t="shared" si="33"/>
        <v>0</v>
      </c>
      <c r="BX168" s="125">
        <f t="shared" si="34"/>
        <v>0</v>
      </c>
      <c r="BY168" s="125">
        <f t="shared" si="35"/>
        <v>0</v>
      </c>
      <c r="BZ168" s="125">
        <f t="shared" si="36"/>
        <v>0</v>
      </c>
      <c r="CA168" s="125">
        <f t="shared" si="37"/>
        <v>0</v>
      </c>
      <c r="CB168" s="125">
        <f t="shared" si="38"/>
        <v>0</v>
      </c>
      <c r="CC168" s="125">
        <f t="shared" si="39"/>
        <v>0</v>
      </c>
      <c r="CD168" s="125">
        <f t="shared" si="40"/>
        <v>0</v>
      </c>
      <c r="CE168" s="125">
        <f t="shared" si="42"/>
        <v>0</v>
      </c>
      <c r="CF168" s="126">
        <f t="shared" si="43"/>
        <v>0</v>
      </c>
      <c r="CH168" s="4">
        <v>166</v>
      </c>
      <c r="CI168" s="129">
        <v>0</v>
      </c>
      <c r="CJ168" s="125">
        <v>0</v>
      </c>
      <c r="CK168" s="125">
        <v>0</v>
      </c>
      <c r="CL168" s="125">
        <v>0</v>
      </c>
      <c r="CM168" s="125">
        <v>0</v>
      </c>
      <c r="CN168" s="125">
        <v>0</v>
      </c>
      <c r="CO168" s="125">
        <v>0</v>
      </c>
      <c r="CP168" s="125">
        <v>0</v>
      </c>
      <c r="CQ168" s="125">
        <v>0</v>
      </c>
      <c r="CR168" s="125">
        <v>0</v>
      </c>
      <c r="CS168" s="125">
        <v>0</v>
      </c>
      <c r="CT168" s="125">
        <v>0</v>
      </c>
      <c r="CU168" s="126">
        <v>0</v>
      </c>
    </row>
    <row r="169" spans="1:99" x14ac:dyDescent="0.25">
      <c r="A169" t="s">
        <v>225</v>
      </c>
      <c r="B169" s="2" t="s">
        <v>2</v>
      </c>
      <c r="C169" s="1">
        <v>16771</v>
      </c>
      <c r="D169" s="19">
        <v>15.0142857142857</v>
      </c>
      <c r="E169" s="18">
        <v>0</v>
      </c>
      <c r="F169" s="19">
        <v>0</v>
      </c>
      <c r="G169" s="19">
        <v>0</v>
      </c>
      <c r="H169" s="19">
        <v>0</v>
      </c>
      <c r="I169" s="19">
        <f>SUM(E169:H169)/Variables!$E$3</f>
        <v>0</v>
      </c>
      <c r="J169" s="4">
        <v>0</v>
      </c>
      <c r="K169">
        <v>0</v>
      </c>
      <c r="L169">
        <v>0</v>
      </c>
      <c r="M169">
        <v>0</v>
      </c>
      <c r="N169" s="6">
        <f>SUM(J169:M169)/Variables!$E$3</f>
        <v>0</v>
      </c>
      <c r="O169" s="4">
        <v>0</v>
      </c>
      <c r="P169">
        <v>0</v>
      </c>
      <c r="Q169">
        <v>0</v>
      </c>
      <c r="R169">
        <v>0</v>
      </c>
      <c r="S169" s="6">
        <f>SUM(O169:R169)/Variables!$E$3</f>
        <v>0</v>
      </c>
      <c r="T169" s="12">
        <v>0</v>
      </c>
      <c r="U169" s="6">
        <v>0</v>
      </c>
      <c r="V169" s="6">
        <v>0</v>
      </c>
      <c r="W169" s="6">
        <v>0</v>
      </c>
      <c r="X169" s="6">
        <f>SUM(T169:W169)/Variables!$E$3</f>
        <v>0</v>
      </c>
      <c r="Y169" s="12">
        <v>0</v>
      </c>
      <c r="Z169" s="6">
        <v>0</v>
      </c>
      <c r="AA169" s="6">
        <v>0</v>
      </c>
      <c r="AB169" s="6">
        <v>0</v>
      </c>
      <c r="AC169" s="6">
        <f>SUM(Y169:AB169)/Variables!$E$3</f>
        <v>0</v>
      </c>
      <c r="AD169" s="4">
        <v>0</v>
      </c>
      <c r="AE169" s="2">
        <v>0</v>
      </c>
      <c r="AF169" s="2">
        <v>0</v>
      </c>
      <c r="AG169" s="2">
        <v>0</v>
      </c>
      <c r="AH169" s="6">
        <f>SUM(AD169:AG169)/Variables!$E$3</f>
        <v>0</v>
      </c>
      <c r="AI169" s="4">
        <v>0</v>
      </c>
      <c r="AJ169" s="2">
        <v>0</v>
      </c>
      <c r="AK169" s="2">
        <v>0</v>
      </c>
      <c r="AL169" s="2">
        <v>0</v>
      </c>
      <c r="AM169" s="6">
        <f>SUM(AI169:AL169)/Variables!$E$3</f>
        <v>0</v>
      </c>
      <c r="AN169" s="4">
        <v>0</v>
      </c>
      <c r="AO169" s="2">
        <v>0</v>
      </c>
      <c r="AP169" s="2">
        <v>0</v>
      </c>
      <c r="AQ169" s="2">
        <v>0</v>
      </c>
      <c r="AR169" s="6">
        <f>SUM(AN169:AQ169)/Variables!$E$3</f>
        <v>0</v>
      </c>
      <c r="AS169" s="4">
        <v>0</v>
      </c>
      <c r="AT169" s="2">
        <v>0</v>
      </c>
      <c r="AU169" s="2">
        <v>0</v>
      </c>
      <c r="AV169" s="2">
        <v>0</v>
      </c>
      <c r="AW169" s="6">
        <f>SUM(AS169:AV169)/Variables!$E$3</f>
        <v>0</v>
      </c>
      <c r="AX169" s="4">
        <v>0</v>
      </c>
      <c r="AY169" s="2">
        <v>0</v>
      </c>
      <c r="AZ169" s="2">
        <v>0</v>
      </c>
      <c r="BA169" s="2">
        <v>0</v>
      </c>
      <c r="BB169" s="6">
        <f>SUM(AX169:BA169)/Variables!$E$3</f>
        <v>0</v>
      </c>
      <c r="BC169" s="12">
        <f t="shared" si="44"/>
        <v>0</v>
      </c>
      <c r="BD169" s="110">
        <f t="shared" si="44"/>
        <v>0</v>
      </c>
      <c r="BE169" s="110">
        <f t="shared" si="44"/>
        <v>0</v>
      </c>
      <c r="BF169" s="110">
        <f t="shared" si="41"/>
        <v>0</v>
      </c>
      <c r="BG169" s="6">
        <f>SUM(BC169:BF169)/Variables!$E$3</f>
        <v>0</v>
      </c>
      <c r="BH169" s="4">
        <v>0</v>
      </c>
      <c r="BI169">
        <v>0</v>
      </c>
      <c r="BJ169">
        <v>0</v>
      </c>
      <c r="BK169">
        <v>0</v>
      </c>
      <c r="BL169" s="6">
        <f>SUM(BH169:BK169)/Variables!$E$3</f>
        <v>0</v>
      </c>
      <c r="BM169" s="110">
        <v>0</v>
      </c>
      <c r="BN169" s="110">
        <v>0</v>
      </c>
      <c r="BO169" s="110">
        <v>0</v>
      </c>
      <c r="BP169" s="110">
        <v>0</v>
      </c>
      <c r="BQ169" s="6">
        <f>SUM(BM169:BP169)/Variables!$E$3</f>
        <v>0</v>
      </c>
      <c r="BS169" s="4">
        <v>167</v>
      </c>
      <c r="BT169" s="125">
        <f t="shared" si="30"/>
        <v>0</v>
      </c>
      <c r="BU169" s="125">
        <f t="shared" si="31"/>
        <v>7.78050499212187E-2</v>
      </c>
      <c r="BV169" s="125">
        <f t="shared" si="32"/>
        <v>0</v>
      </c>
      <c r="BW169" s="125">
        <f t="shared" si="33"/>
        <v>2.8553670258671883E-3</v>
      </c>
      <c r="BX169" s="125">
        <f t="shared" si="34"/>
        <v>2.6161727329590892E-3</v>
      </c>
      <c r="BY169" s="125">
        <f t="shared" si="35"/>
        <v>0</v>
      </c>
      <c r="BZ169" s="125">
        <f t="shared" si="36"/>
        <v>5.0863427263873819E-4</v>
      </c>
      <c r="CA169" s="125">
        <f t="shared" si="37"/>
        <v>1.0751470716316043E-3</v>
      </c>
      <c r="CB169" s="125">
        <f t="shared" si="38"/>
        <v>4.5217301799697542E-3</v>
      </c>
      <c r="CC169" s="125">
        <f t="shared" si="39"/>
        <v>2.7797528088108381E-3</v>
      </c>
      <c r="CD169" s="125">
        <f t="shared" si="40"/>
        <v>2.6161727329590892E-3</v>
      </c>
      <c r="CE169" s="125">
        <f t="shared" si="42"/>
        <v>7.5907172661699698E-4</v>
      </c>
      <c r="CF169" s="126">
        <f t="shared" si="43"/>
        <v>1.3030190262789097E-3</v>
      </c>
      <c r="CH169" s="4">
        <v>167</v>
      </c>
      <c r="CI169" s="129">
        <v>0</v>
      </c>
      <c r="CJ169" s="125">
        <v>0</v>
      </c>
      <c r="CK169" s="125">
        <v>0</v>
      </c>
      <c r="CL169" s="125">
        <v>0</v>
      </c>
      <c r="CM169" s="125">
        <v>0</v>
      </c>
      <c r="CN169" s="125">
        <v>0</v>
      </c>
      <c r="CO169" s="125">
        <v>0</v>
      </c>
      <c r="CP169" s="125">
        <v>0</v>
      </c>
      <c r="CQ169" s="125">
        <v>0</v>
      </c>
      <c r="CR169" s="125">
        <v>0</v>
      </c>
      <c r="CS169" s="125">
        <v>0</v>
      </c>
      <c r="CT169" s="125">
        <v>0</v>
      </c>
      <c r="CU169" s="126">
        <v>0</v>
      </c>
    </row>
    <row r="170" spans="1:99" x14ac:dyDescent="0.25">
      <c r="A170" t="s">
        <v>226</v>
      </c>
      <c r="B170" s="2" t="s">
        <v>3</v>
      </c>
      <c r="C170" s="1">
        <v>16861</v>
      </c>
      <c r="D170" s="19">
        <v>99.285714285714306</v>
      </c>
      <c r="E170" s="18">
        <v>0</v>
      </c>
      <c r="F170" s="19">
        <v>0</v>
      </c>
      <c r="G170" s="19">
        <v>0</v>
      </c>
      <c r="H170" s="19">
        <v>0</v>
      </c>
      <c r="I170" s="19">
        <f>SUM(E170:H170)/Variables!$E$3</f>
        <v>0</v>
      </c>
      <c r="J170" s="4">
        <v>0</v>
      </c>
      <c r="K170">
        <v>0</v>
      </c>
      <c r="L170">
        <v>98267</v>
      </c>
      <c r="M170">
        <v>0</v>
      </c>
      <c r="N170" s="6">
        <f>SUM(J170:M170)/Variables!$E$3</f>
        <v>7.78050499212187E-2</v>
      </c>
      <c r="O170" s="4">
        <v>0</v>
      </c>
      <c r="P170">
        <v>0</v>
      </c>
      <c r="Q170">
        <v>0</v>
      </c>
      <c r="R170">
        <v>0</v>
      </c>
      <c r="S170" s="6">
        <f>SUM(O170:R170)/Variables!$E$3</f>
        <v>0</v>
      </c>
      <c r="T170" s="12">
        <v>0</v>
      </c>
      <c r="U170" s="6">
        <v>0</v>
      </c>
      <c r="V170" s="6">
        <v>3606.3</v>
      </c>
      <c r="W170" s="6">
        <v>0</v>
      </c>
      <c r="X170" s="6">
        <f>SUM(T170:W170)/Variables!$E$3</f>
        <v>2.8553670258671883E-3</v>
      </c>
      <c r="Y170" s="12">
        <v>0</v>
      </c>
      <c r="Z170" s="6">
        <v>0</v>
      </c>
      <c r="AA170" s="6">
        <v>3304.2</v>
      </c>
      <c r="AB170" s="6">
        <v>0</v>
      </c>
      <c r="AC170" s="6">
        <f>SUM(Y170:AB170)/Variables!$E$3</f>
        <v>2.6161727329590892E-3</v>
      </c>
      <c r="AD170" s="4">
        <v>0</v>
      </c>
      <c r="AE170" s="2">
        <v>0</v>
      </c>
      <c r="AF170" s="2">
        <v>0</v>
      </c>
      <c r="AG170" s="2">
        <v>0</v>
      </c>
      <c r="AH170" s="6">
        <f>SUM(AD170:AG170)/Variables!$E$3</f>
        <v>0</v>
      </c>
      <c r="AI170" s="4">
        <v>0</v>
      </c>
      <c r="AJ170" s="2">
        <v>0</v>
      </c>
      <c r="AK170" s="2">
        <v>642.4</v>
      </c>
      <c r="AL170" s="2">
        <v>0</v>
      </c>
      <c r="AM170" s="6">
        <f>SUM(AI170:AL170)/Variables!$E$3</f>
        <v>5.0863427263873819E-4</v>
      </c>
      <c r="AN170" s="4">
        <v>0</v>
      </c>
      <c r="AO170" s="2">
        <v>0</v>
      </c>
      <c r="AP170" s="2">
        <v>1357.9</v>
      </c>
      <c r="AQ170" s="2">
        <v>0</v>
      </c>
      <c r="AR170" s="6">
        <f>SUM(AN170:AQ170)/Variables!$E$3</f>
        <v>1.0751470716316043E-3</v>
      </c>
      <c r="AS170" s="4">
        <v>0</v>
      </c>
      <c r="AT170" s="2">
        <v>0</v>
      </c>
      <c r="AU170" s="2">
        <v>5710.9</v>
      </c>
      <c r="AV170" s="2">
        <v>0</v>
      </c>
      <c r="AW170" s="6">
        <f>SUM(AS170:AV170)/Variables!$E$3</f>
        <v>4.5217301799697542E-3</v>
      </c>
      <c r="AX170" s="4">
        <v>0</v>
      </c>
      <c r="AY170" s="2">
        <v>0</v>
      </c>
      <c r="AZ170" s="2">
        <v>3510.8</v>
      </c>
      <c r="BA170" s="2">
        <v>0</v>
      </c>
      <c r="BB170" s="6">
        <f>SUM(AX170:BA170)/Variables!$E$3</f>
        <v>2.7797528088108381E-3</v>
      </c>
      <c r="BC170" s="12">
        <f t="shared" si="44"/>
        <v>0</v>
      </c>
      <c r="BD170" s="110">
        <f t="shared" si="44"/>
        <v>0</v>
      </c>
      <c r="BE170" s="110">
        <f t="shared" si="44"/>
        <v>3304.2</v>
      </c>
      <c r="BF170" s="110">
        <f t="shared" si="41"/>
        <v>0</v>
      </c>
      <c r="BG170" s="6">
        <f>SUM(BC170:BF170)/Variables!$E$3</f>
        <v>2.6161727329590892E-3</v>
      </c>
      <c r="BH170" s="4">
        <v>0</v>
      </c>
      <c r="BI170">
        <v>0</v>
      </c>
      <c r="BJ170">
        <v>958.70000000000095</v>
      </c>
      <c r="BK170">
        <v>0</v>
      </c>
      <c r="BL170" s="6">
        <f>SUM(BH170:BK170)/Variables!$E$3</f>
        <v>7.5907172661699698E-4</v>
      </c>
      <c r="BM170" s="110">
        <v>0</v>
      </c>
      <c r="BN170" s="110">
        <v>0</v>
      </c>
      <c r="BO170" s="110">
        <v>1645.7</v>
      </c>
      <c r="BP170" s="110">
        <v>0</v>
      </c>
      <c r="BQ170" s="6">
        <f>SUM(BM170:BP170)/Variables!$E$3</f>
        <v>1.3030190262789097E-3</v>
      </c>
      <c r="BS170" s="4">
        <v>168</v>
      </c>
      <c r="BT170" s="125">
        <f t="shared" si="30"/>
        <v>0</v>
      </c>
      <c r="BU170" s="125">
        <f t="shared" si="31"/>
        <v>0</v>
      </c>
      <c r="BV170" s="125">
        <f t="shared" si="32"/>
        <v>0</v>
      </c>
      <c r="BW170" s="125">
        <f t="shared" si="33"/>
        <v>0</v>
      </c>
      <c r="BX170" s="125">
        <f t="shared" si="34"/>
        <v>0</v>
      </c>
      <c r="BY170" s="125">
        <f t="shared" si="35"/>
        <v>0</v>
      </c>
      <c r="BZ170" s="125">
        <f t="shared" si="36"/>
        <v>0</v>
      </c>
      <c r="CA170" s="125">
        <f t="shared" si="37"/>
        <v>0</v>
      </c>
      <c r="CB170" s="125">
        <f t="shared" si="38"/>
        <v>0</v>
      </c>
      <c r="CC170" s="125">
        <f t="shared" si="39"/>
        <v>0</v>
      </c>
      <c r="CD170" s="125">
        <f t="shared" si="40"/>
        <v>0</v>
      </c>
      <c r="CE170" s="125">
        <f t="shared" si="42"/>
        <v>0</v>
      </c>
      <c r="CF170" s="126">
        <f t="shared" si="43"/>
        <v>0</v>
      </c>
      <c r="CH170" s="4">
        <v>168</v>
      </c>
      <c r="CI170" s="129">
        <v>0</v>
      </c>
      <c r="CJ170" s="125">
        <v>0</v>
      </c>
      <c r="CK170" s="125">
        <v>0</v>
      </c>
      <c r="CL170" s="125">
        <v>0</v>
      </c>
      <c r="CM170" s="125">
        <v>0</v>
      </c>
      <c r="CN170" s="125">
        <v>0</v>
      </c>
      <c r="CO170" s="125">
        <v>0</v>
      </c>
      <c r="CP170" s="125">
        <v>0</v>
      </c>
      <c r="CQ170" s="125">
        <v>0</v>
      </c>
      <c r="CR170" s="125">
        <v>0</v>
      </c>
      <c r="CS170" s="125">
        <v>0</v>
      </c>
      <c r="CT170" s="125">
        <v>0</v>
      </c>
      <c r="CU170" s="126">
        <v>0</v>
      </c>
    </row>
    <row r="171" spans="1:99" x14ac:dyDescent="0.25">
      <c r="A171" t="s">
        <v>226</v>
      </c>
      <c r="B171" s="2" t="s">
        <v>4</v>
      </c>
      <c r="C171" s="1">
        <v>16953</v>
      </c>
      <c r="D171" s="19">
        <v>46.028571428571396</v>
      </c>
      <c r="E171" s="18">
        <v>0</v>
      </c>
      <c r="F171" s="19">
        <v>0</v>
      </c>
      <c r="G171" s="19">
        <v>0</v>
      </c>
      <c r="H171" s="19">
        <v>0</v>
      </c>
      <c r="I171" s="19">
        <f>SUM(E171:H171)/Variables!$E$3</f>
        <v>0</v>
      </c>
      <c r="J171" s="4">
        <v>0</v>
      </c>
      <c r="K171">
        <v>0</v>
      </c>
      <c r="L171">
        <v>0</v>
      </c>
      <c r="M171">
        <v>0</v>
      </c>
      <c r="N171" s="6">
        <f>SUM(J171:M171)/Variables!$E$3</f>
        <v>0</v>
      </c>
      <c r="O171" s="4">
        <v>0</v>
      </c>
      <c r="P171">
        <v>0</v>
      </c>
      <c r="Q171">
        <v>0</v>
      </c>
      <c r="R171">
        <v>0</v>
      </c>
      <c r="S171" s="6">
        <f>SUM(O171:R171)/Variables!$E$3</f>
        <v>0</v>
      </c>
      <c r="T171" s="12">
        <v>0</v>
      </c>
      <c r="U171" s="6">
        <v>0</v>
      </c>
      <c r="V171" s="6">
        <v>0</v>
      </c>
      <c r="W171" s="6">
        <v>0</v>
      </c>
      <c r="X171" s="6">
        <f>SUM(T171:W171)/Variables!$E$3</f>
        <v>0</v>
      </c>
      <c r="Y171" s="12">
        <v>0</v>
      </c>
      <c r="Z171" s="6">
        <v>0</v>
      </c>
      <c r="AA171" s="6">
        <v>0</v>
      </c>
      <c r="AB171" s="6">
        <v>0</v>
      </c>
      <c r="AC171" s="6">
        <f>SUM(Y171:AB171)/Variables!$E$3</f>
        <v>0</v>
      </c>
      <c r="AD171" s="4">
        <v>0</v>
      </c>
      <c r="AE171" s="2">
        <v>0</v>
      </c>
      <c r="AF171" s="2">
        <v>0</v>
      </c>
      <c r="AG171" s="2">
        <v>0</v>
      </c>
      <c r="AH171" s="6">
        <f>SUM(AD171:AG171)/Variables!$E$3</f>
        <v>0</v>
      </c>
      <c r="AI171" s="4">
        <v>0</v>
      </c>
      <c r="AJ171" s="2">
        <v>0</v>
      </c>
      <c r="AK171" s="2">
        <v>0</v>
      </c>
      <c r="AL171" s="2">
        <v>0</v>
      </c>
      <c r="AM171" s="6">
        <f>SUM(AI171:AL171)/Variables!$E$3</f>
        <v>0</v>
      </c>
      <c r="AN171" s="4">
        <v>0</v>
      </c>
      <c r="AO171" s="2">
        <v>0</v>
      </c>
      <c r="AP171" s="2">
        <v>0</v>
      </c>
      <c r="AQ171" s="2">
        <v>0</v>
      </c>
      <c r="AR171" s="6">
        <f>SUM(AN171:AQ171)/Variables!$E$3</f>
        <v>0</v>
      </c>
      <c r="AS171" s="4">
        <v>0</v>
      </c>
      <c r="AT171" s="2">
        <v>0</v>
      </c>
      <c r="AU171" s="2">
        <v>0</v>
      </c>
      <c r="AV171" s="2">
        <v>0</v>
      </c>
      <c r="AW171" s="6">
        <f>SUM(AS171:AV171)/Variables!$E$3</f>
        <v>0</v>
      </c>
      <c r="AX171" s="4">
        <v>0</v>
      </c>
      <c r="AY171" s="2">
        <v>0</v>
      </c>
      <c r="AZ171" s="2">
        <v>0</v>
      </c>
      <c r="BA171" s="2">
        <v>0</v>
      </c>
      <c r="BB171" s="6">
        <f>SUM(AX171:BA171)/Variables!$E$3</f>
        <v>0</v>
      </c>
      <c r="BC171" s="12">
        <f t="shared" si="44"/>
        <v>0</v>
      </c>
      <c r="BD171" s="110">
        <f t="shared" si="44"/>
        <v>0</v>
      </c>
      <c r="BE171" s="110">
        <f t="shared" si="44"/>
        <v>0</v>
      </c>
      <c r="BF171" s="110">
        <f t="shared" si="41"/>
        <v>0</v>
      </c>
      <c r="BG171" s="6">
        <f>SUM(BC171:BF171)/Variables!$E$3</f>
        <v>0</v>
      </c>
      <c r="BH171" s="4">
        <v>0</v>
      </c>
      <c r="BI171">
        <v>0</v>
      </c>
      <c r="BJ171">
        <v>0</v>
      </c>
      <c r="BK171">
        <v>0</v>
      </c>
      <c r="BL171" s="6">
        <f>SUM(BH171:BK171)/Variables!$E$3</f>
        <v>0</v>
      </c>
      <c r="BM171" s="110">
        <v>0</v>
      </c>
      <c r="BN171" s="110">
        <v>0</v>
      </c>
      <c r="BO171" s="110">
        <v>0</v>
      </c>
      <c r="BP171" s="110">
        <v>0</v>
      </c>
      <c r="BQ171" s="6">
        <f>SUM(BM171:BP171)/Variables!$E$3</f>
        <v>0</v>
      </c>
      <c r="BS171" s="4">
        <v>169</v>
      </c>
      <c r="BT171" s="125">
        <f t="shared" si="30"/>
        <v>0</v>
      </c>
      <c r="BU171" s="125">
        <f t="shared" si="31"/>
        <v>0</v>
      </c>
      <c r="BV171" s="125">
        <f t="shared" si="32"/>
        <v>0</v>
      </c>
      <c r="BW171" s="125">
        <f t="shared" si="33"/>
        <v>0</v>
      </c>
      <c r="BX171" s="125">
        <f t="shared" si="34"/>
        <v>0</v>
      </c>
      <c r="BY171" s="125">
        <f t="shared" si="35"/>
        <v>0</v>
      </c>
      <c r="BZ171" s="125">
        <f t="shared" si="36"/>
        <v>0</v>
      </c>
      <c r="CA171" s="125">
        <f t="shared" si="37"/>
        <v>0</v>
      </c>
      <c r="CB171" s="125">
        <f t="shared" si="38"/>
        <v>0</v>
      </c>
      <c r="CC171" s="125">
        <f t="shared" si="39"/>
        <v>0</v>
      </c>
      <c r="CD171" s="125">
        <f t="shared" si="40"/>
        <v>0</v>
      </c>
      <c r="CE171" s="125">
        <f t="shared" si="42"/>
        <v>0</v>
      </c>
      <c r="CF171" s="126">
        <f t="shared" si="43"/>
        <v>0</v>
      </c>
      <c r="CH171" s="4">
        <v>169</v>
      </c>
      <c r="CI171" s="129">
        <v>0</v>
      </c>
      <c r="CJ171" s="125">
        <v>0</v>
      </c>
      <c r="CK171" s="125">
        <v>0</v>
      </c>
      <c r="CL171" s="125">
        <v>0</v>
      </c>
      <c r="CM171" s="125">
        <v>0</v>
      </c>
      <c r="CN171" s="125">
        <v>0</v>
      </c>
      <c r="CO171" s="125">
        <v>0</v>
      </c>
      <c r="CP171" s="125">
        <v>0</v>
      </c>
      <c r="CQ171" s="125">
        <v>0</v>
      </c>
      <c r="CR171" s="125">
        <v>0</v>
      </c>
      <c r="CS171" s="125">
        <v>0</v>
      </c>
      <c r="CT171" s="125">
        <v>0</v>
      </c>
      <c r="CU171" s="126">
        <v>0</v>
      </c>
    </row>
    <row r="172" spans="1:99" x14ac:dyDescent="0.25">
      <c r="A172" t="s">
        <v>226</v>
      </c>
      <c r="B172" s="2" t="s">
        <v>1</v>
      </c>
      <c r="C172" s="1">
        <v>17045</v>
      </c>
      <c r="D172" s="19">
        <v>17.399999999999999</v>
      </c>
      <c r="E172" s="18">
        <v>0</v>
      </c>
      <c r="F172" s="19">
        <v>0</v>
      </c>
      <c r="G172" s="19">
        <v>0</v>
      </c>
      <c r="H172" s="19">
        <v>0</v>
      </c>
      <c r="I172" s="19">
        <f>SUM(E172:H172)/Variables!$E$3</f>
        <v>0</v>
      </c>
      <c r="J172" s="4">
        <v>0</v>
      </c>
      <c r="K172">
        <v>0</v>
      </c>
      <c r="L172">
        <v>0</v>
      </c>
      <c r="M172">
        <v>0</v>
      </c>
      <c r="N172" s="6">
        <f>SUM(J172:M172)/Variables!$E$3</f>
        <v>0</v>
      </c>
      <c r="O172" s="4">
        <v>0</v>
      </c>
      <c r="P172">
        <v>0</v>
      </c>
      <c r="Q172">
        <v>0</v>
      </c>
      <c r="R172">
        <v>0</v>
      </c>
      <c r="S172" s="6">
        <f>SUM(O172:R172)/Variables!$E$3</f>
        <v>0</v>
      </c>
      <c r="T172" s="12">
        <v>0</v>
      </c>
      <c r="U172" s="6">
        <v>0</v>
      </c>
      <c r="V172" s="6">
        <v>0</v>
      </c>
      <c r="W172" s="6">
        <v>0</v>
      </c>
      <c r="X172" s="6">
        <f>SUM(T172:W172)/Variables!$E$3</f>
        <v>0</v>
      </c>
      <c r="Y172" s="12">
        <v>0</v>
      </c>
      <c r="Z172" s="6">
        <v>0</v>
      </c>
      <c r="AA172" s="6">
        <v>0</v>
      </c>
      <c r="AB172" s="6">
        <v>0</v>
      </c>
      <c r="AC172" s="6">
        <f>SUM(Y172:AB172)/Variables!$E$3</f>
        <v>0</v>
      </c>
      <c r="AD172" s="4">
        <v>0</v>
      </c>
      <c r="AE172" s="2">
        <v>0</v>
      </c>
      <c r="AF172" s="2">
        <v>0</v>
      </c>
      <c r="AG172" s="2">
        <v>0</v>
      </c>
      <c r="AH172" s="6">
        <f>SUM(AD172:AG172)/Variables!$E$3</f>
        <v>0</v>
      </c>
      <c r="AI172" s="4">
        <v>0</v>
      </c>
      <c r="AJ172" s="2">
        <v>0</v>
      </c>
      <c r="AK172" s="2">
        <v>0</v>
      </c>
      <c r="AL172" s="2">
        <v>0</v>
      </c>
      <c r="AM172" s="6">
        <f>SUM(AI172:AL172)/Variables!$E$3</f>
        <v>0</v>
      </c>
      <c r="AN172" s="4">
        <v>0</v>
      </c>
      <c r="AO172" s="2">
        <v>0</v>
      </c>
      <c r="AP172" s="2">
        <v>0</v>
      </c>
      <c r="AQ172" s="2">
        <v>0</v>
      </c>
      <c r="AR172" s="6">
        <f>SUM(AN172:AQ172)/Variables!$E$3</f>
        <v>0</v>
      </c>
      <c r="AS172" s="4">
        <v>0</v>
      </c>
      <c r="AT172" s="2">
        <v>0</v>
      </c>
      <c r="AU172" s="2">
        <v>0</v>
      </c>
      <c r="AV172" s="2">
        <v>0</v>
      </c>
      <c r="AW172" s="6">
        <f>SUM(AS172:AV172)/Variables!$E$3</f>
        <v>0</v>
      </c>
      <c r="AX172" s="4">
        <v>0</v>
      </c>
      <c r="AY172" s="2">
        <v>0</v>
      </c>
      <c r="AZ172" s="2">
        <v>0</v>
      </c>
      <c r="BA172" s="2">
        <v>0</v>
      </c>
      <c r="BB172" s="6">
        <f>SUM(AX172:BA172)/Variables!$E$3</f>
        <v>0</v>
      </c>
      <c r="BC172" s="12">
        <f t="shared" si="44"/>
        <v>0</v>
      </c>
      <c r="BD172" s="110">
        <f t="shared" si="44"/>
        <v>0</v>
      </c>
      <c r="BE172" s="110">
        <f t="shared" si="44"/>
        <v>0</v>
      </c>
      <c r="BF172" s="110">
        <f t="shared" si="41"/>
        <v>0</v>
      </c>
      <c r="BG172" s="6">
        <f>SUM(BC172:BF172)/Variables!$E$3</f>
        <v>0</v>
      </c>
      <c r="BH172" s="4">
        <v>0</v>
      </c>
      <c r="BI172">
        <v>0</v>
      </c>
      <c r="BJ172">
        <v>0</v>
      </c>
      <c r="BK172">
        <v>0</v>
      </c>
      <c r="BL172" s="6">
        <f>SUM(BH172:BK172)/Variables!$E$3</f>
        <v>0</v>
      </c>
      <c r="BM172" s="110">
        <v>0</v>
      </c>
      <c r="BN172" s="110">
        <v>0</v>
      </c>
      <c r="BO172" s="110">
        <v>0</v>
      </c>
      <c r="BP172" s="110">
        <v>0</v>
      </c>
      <c r="BQ172" s="6">
        <f>SUM(BM172:BP172)/Variables!$E$3</f>
        <v>0</v>
      </c>
      <c r="BS172" s="4">
        <v>170</v>
      </c>
      <c r="BT172" s="125">
        <f t="shared" si="30"/>
        <v>0</v>
      </c>
      <c r="BU172" s="125">
        <f t="shared" si="31"/>
        <v>0</v>
      </c>
      <c r="BV172" s="125">
        <f t="shared" si="32"/>
        <v>0</v>
      </c>
      <c r="BW172" s="125">
        <f t="shared" si="33"/>
        <v>0</v>
      </c>
      <c r="BX172" s="125">
        <f t="shared" si="34"/>
        <v>0</v>
      </c>
      <c r="BY172" s="125">
        <f t="shared" si="35"/>
        <v>0</v>
      </c>
      <c r="BZ172" s="125">
        <f t="shared" si="36"/>
        <v>0</v>
      </c>
      <c r="CA172" s="125">
        <f t="shared" si="37"/>
        <v>0</v>
      </c>
      <c r="CB172" s="125">
        <f t="shared" si="38"/>
        <v>0</v>
      </c>
      <c r="CC172" s="125">
        <f t="shared" si="39"/>
        <v>0</v>
      </c>
      <c r="CD172" s="125">
        <f t="shared" si="40"/>
        <v>0</v>
      </c>
      <c r="CE172" s="125">
        <f t="shared" si="42"/>
        <v>0</v>
      </c>
      <c r="CF172" s="126">
        <f t="shared" si="43"/>
        <v>0</v>
      </c>
      <c r="CH172" s="4">
        <v>170</v>
      </c>
      <c r="CI172" s="129">
        <v>0</v>
      </c>
      <c r="CJ172" s="125">
        <v>0</v>
      </c>
      <c r="CK172" s="125">
        <v>0</v>
      </c>
      <c r="CL172" s="125">
        <v>0</v>
      </c>
      <c r="CM172" s="125">
        <v>0</v>
      </c>
      <c r="CN172" s="125">
        <v>0</v>
      </c>
      <c r="CO172" s="125">
        <v>0</v>
      </c>
      <c r="CP172" s="125">
        <v>0</v>
      </c>
      <c r="CQ172" s="125">
        <v>0</v>
      </c>
      <c r="CR172" s="125">
        <v>0</v>
      </c>
      <c r="CS172" s="125">
        <v>0</v>
      </c>
      <c r="CT172" s="125">
        <v>0</v>
      </c>
      <c r="CU172" s="126">
        <v>0</v>
      </c>
    </row>
    <row r="173" spans="1:99" x14ac:dyDescent="0.25">
      <c r="A173" t="s">
        <v>226</v>
      </c>
      <c r="B173" s="2" t="s">
        <v>2</v>
      </c>
      <c r="C173" s="1">
        <v>17136</v>
      </c>
      <c r="D173" s="19">
        <v>76.971428571428604</v>
      </c>
      <c r="E173" s="18">
        <v>0</v>
      </c>
      <c r="F173" s="19">
        <v>0</v>
      </c>
      <c r="G173" s="19">
        <v>0</v>
      </c>
      <c r="H173" s="19">
        <v>0</v>
      </c>
      <c r="I173" s="19">
        <f>SUM(E173:H173)/Variables!$E$3</f>
        <v>0</v>
      </c>
      <c r="J173" s="4">
        <v>0</v>
      </c>
      <c r="K173">
        <v>0</v>
      </c>
      <c r="L173">
        <v>0</v>
      </c>
      <c r="M173">
        <v>0</v>
      </c>
      <c r="N173" s="6">
        <f>SUM(J173:M173)/Variables!$E$3</f>
        <v>0</v>
      </c>
      <c r="O173" s="4">
        <v>0</v>
      </c>
      <c r="P173">
        <v>0</v>
      </c>
      <c r="Q173">
        <v>0</v>
      </c>
      <c r="R173">
        <v>0</v>
      </c>
      <c r="S173" s="6">
        <f>SUM(O173:R173)/Variables!$E$3</f>
        <v>0</v>
      </c>
      <c r="T173" s="12">
        <v>0</v>
      </c>
      <c r="U173" s="6">
        <v>0</v>
      </c>
      <c r="V173" s="6">
        <v>0</v>
      </c>
      <c r="W173" s="6">
        <v>0</v>
      </c>
      <c r="X173" s="6">
        <f>SUM(T173:W173)/Variables!$E$3</f>
        <v>0</v>
      </c>
      <c r="Y173" s="12">
        <v>0</v>
      </c>
      <c r="Z173" s="6">
        <v>0</v>
      </c>
      <c r="AA173" s="6">
        <v>0</v>
      </c>
      <c r="AB173" s="6">
        <v>0</v>
      </c>
      <c r="AC173" s="6">
        <f>SUM(Y173:AB173)/Variables!$E$3</f>
        <v>0</v>
      </c>
      <c r="AD173" s="4">
        <v>0</v>
      </c>
      <c r="AE173" s="2">
        <v>0</v>
      </c>
      <c r="AF173" s="2">
        <v>0</v>
      </c>
      <c r="AG173" s="2">
        <v>0</v>
      </c>
      <c r="AH173" s="6">
        <f>SUM(AD173:AG173)/Variables!$E$3</f>
        <v>0</v>
      </c>
      <c r="AI173" s="4">
        <v>0</v>
      </c>
      <c r="AJ173" s="2">
        <v>0</v>
      </c>
      <c r="AK173" s="2">
        <v>0</v>
      </c>
      <c r="AL173" s="2">
        <v>0</v>
      </c>
      <c r="AM173" s="6">
        <f>SUM(AI173:AL173)/Variables!$E$3</f>
        <v>0</v>
      </c>
      <c r="AN173" s="4">
        <v>0</v>
      </c>
      <c r="AO173" s="2">
        <v>0</v>
      </c>
      <c r="AP173" s="2">
        <v>0</v>
      </c>
      <c r="AQ173" s="2">
        <v>0</v>
      </c>
      <c r="AR173" s="6">
        <f>SUM(AN173:AQ173)/Variables!$E$3</f>
        <v>0</v>
      </c>
      <c r="AS173" s="4">
        <v>0</v>
      </c>
      <c r="AT173" s="2">
        <v>0</v>
      </c>
      <c r="AU173" s="2">
        <v>0</v>
      </c>
      <c r="AV173" s="2">
        <v>0</v>
      </c>
      <c r="AW173" s="6">
        <f>SUM(AS173:AV173)/Variables!$E$3</f>
        <v>0</v>
      </c>
      <c r="AX173" s="4">
        <v>0</v>
      </c>
      <c r="AY173" s="2">
        <v>0</v>
      </c>
      <c r="AZ173" s="2">
        <v>0</v>
      </c>
      <c r="BA173" s="2">
        <v>0</v>
      </c>
      <c r="BB173" s="6">
        <f>SUM(AX173:BA173)/Variables!$E$3</f>
        <v>0</v>
      </c>
      <c r="BC173" s="12">
        <f t="shared" si="44"/>
        <v>0</v>
      </c>
      <c r="BD173" s="110">
        <f t="shared" si="44"/>
        <v>0</v>
      </c>
      <c r="BE173" s="110">
        <f t="shared" si="44"/>
        <v>0</v>
      </c>
      <c r="BF173" s="110">
        <f t="shared" si="41"/>
        <v>0</v>
      </c>
      <c r="BG173" s="6">
        <f>SUM(BC173:BF173)/Variables!$E$3</f>
        <v>0</v>
      </c>
      <c r="BH173" s="4">
        <v>0</v>
      </c>
      <c r="BI173">
        <v>0</v>
      </c>
      <c r="BJ173">
        <v>0</v>
      </c>
      <c r="BK173">
        <v>0</v>
      </c>
      <c r="BL173" s="6">
        <f>SUM(BH173:BK173)/Variables!$E$3</f>
        <v>0</v>
      </c>
      <c r="BM173" s="110">
        <v>0</v>
      </c>
      <c r="BN173" s="110">
        <v>0</v>
      </c>
      <c r="BO173" s="110">
        <v>0</v>
      </c>
      <c r="BP173" s="110">
        <v>0</v>
      </c>
      <c r="BQ173" s="6">
        <f>SUM(BM173:BP173)/Variables!$E$3</f>
        <v>0</v>
      </c>
      <c r="BS173" s="4">
        <v>171</v>
      </c>
      <c r="BT173" s="125">
        <f t="shared" si="30"/>
        <v>0</v>
      </c>
      <c r="BU173" s="125">
        <f t="shared" si="31"/>
        <v>4.1154720148219699E-2</v>
      </c>
      <c r="BV173" s="125">
        <f t="shared" si="32"/>
        <v>0</v>
      </c>
      <c r="BW173" s="125">
        <f t="shared" si="33"/>
        <v>3.0425419045281435E-3</v>
      </c>
      <c r="BX173" s="125">
        <f t="shared" si="34"/>
        <v>2.866610186937347E-3</v>
      </c>
      <c r="BY173" s="125">
        <f t="shared" si="35"/>
        <v>1.9612190120270152E-4</v>
      </c>
      <c r="BZ173" s="125">
        <f t="shared" si="36"/>
        <v>1.2308094284198608E-3</v>
      </c>
      <c r="CA173" s="125">
        <f t="shared" si="37"/>
        <v>1.2525039786538295E-3</v>
      </c>
      <c r="CB173" s="125">
        <f t="shared" si="38"/>
        <v>3.1170476409156053E-3</v>
      </c>
      <c r="CC173" s="125">
        <f t="shared" si="39"/>
        <v>1.969295085471777E-3</v>
      </c>
      <c r="CD173" s="125">
        <f t="shared" si="40"/>
        <v>2.866610186937347E-3</v>
      </c>
      <c r="CE173" s="125">
        <f t="shared" si="42"/>
        <v>1.6194902572466924E-3</v>
      </c>
      <c r="CF173" s="126">
        <f t="shared" si="43"/>
        <v>1.893601691224792E-3</v>
      </c>
      <c r="CH173" s="4">
        <v>171</v>
      </c>
      <c r="CI173" s="129">
        <v>0</v>
      </c>
      <c r="CJ173" s="125">
        <v>0</v>
      </c>
      <c r="CK173" s="125">
        <v>0</v>
      </c>
      <c r="CL173" s="125">
        <v>0</v>
      </c>
      <c r="CM173" s="125">
        <v>0</v>
      </c>
      <c r="CN173" s="125">
        <v>0</v>
      </c>
      <c r="CO173" s="125">
        <v>0</v>
      </c>
      <c r="CP173" s="125">
        <v>0</v>
      </c>
      <c r="CQ173" s="125">
        <v>0</v>
      </c>
      <c r="CR173" s="125">
        <v>0</v>
      </c>
      <c r="CS173" s="125">
        <v>0</v>
      </c>
      <c r="CT173" s="125">
        <v>0</v>
      </c>
      <c r="CU173" s="126">
        <v>0</v>
      </c>
    </row>
    <row r="174" spans="1:99" x14ac:dyDescent="0.25">
      <c r="A174" t="s">
        <v>227</v>
      </c>
      <c r="B174" s="2" t="s">
        <v>3</v>
      </c>
      <c r="C174" s="1">
        <v>17226</v>
      </c>
      <c r="D174" s="19">
        <v>158.50714285714301</v>
      </c>
      <c r="E174" s="18">
        <v>0</v>
      </c>
      <c r="F174" s="19">
        <v>0</v>
      </c>
      <c r="G174" s="19">
        <v>0</v>
      </c>
      <c r="H174" s="19">
        <v>0</v>
      </c>
      <c r="I174" s="19">
        <f>SUM(E174:H174)/Variables!$E$3</f>
        <v>0</v>
      </c>
      <c r="J174" s="4">
        <v>0</v>
      </c>
      <c r="K174">
        <v>0</v>
      </c>
      <c r="L174">
        <v>47988</v>
      </c>
      <c r="M174">
        <v>3990</v>
      </c>
      <c r="N174" s="6">
        <f>SUM(J174:M174)/Variables!$E$3</f>
        <v>4.1154720148219699E-2</v>
      </c>
      <c r="O174" s="4">
        <v>0</v>
      </c>
      <c r="P174">
        <v>0</v>
      </c>
      <c r="Q174">
        <v>0</v>
      </c>
      <c r="R174">
        <v>0</v>
      </c>
      <c r="S174" s="6">
        <f>SUM(O174:R174)/Variables!$E$3</f>
        <v>0</v>
      </c>
      <c r="T174" s="12">
        <v>0</v>
      </c>
      <c r="U174" s="6">
        <v>0</v>
      </c>
      <c r="V174" s="6">
        <v>3842.7</v>
      </c>
      <c r="W174" s="6">
        <v>0</v>
      </c>
      <c r="X174" s="6">
        <f>SUM(T174:W174)/Variables!$E$3</f>
        <v>3.0425419045281435E-3</v>
      </c>
      <c r="Y174" s="12">
        <v>0</v>
      </c>
      <c r="Z174" s="6">
        <v>0</v>
      </c>
      <c r="AA174" s="6">
        <v>3620.5</v>
      </c>
      <c r="AB174" s="6">
        <v>0</v>
      </c>
      <c r="AC174" s="6">
        <f>SUM(Y174:AB174)/Variables!$E$3</f>
        <v>2.866610186937347E-3</v>
      </c>
      <c r="AD174" s="4">
        <v>0</v>
      </c>
      <c r="AE174" s="2">
        <v>0</v>
      </c>
      <c r="AF174" s="2">
        <v>247.7</v>
      </c>
      <c r="AG174" s="2">
        <v>0</v>
      </c>
      <c r="AH174" s="6">
        <f>SUM(AD174:AG174)/Variables!$E$3</f>
        <v>1.9612190120270152E-4</v>
      </c>
      <c r="AI174" s="4">
        <v>0</v>
      </c>
      <c r="AJ174" s="2">
        <v>0</v>
      </c>
      <c r="AK174" s="2">
        <v>1554.5</v>
      </c>
      <c r="AL174" s="2">
        <v>0</v>
      </c>
      <c r="AM174" s="6">
        <f>SUM(AI174:AL174)/Variables!$E$3</f>
        <v>1.2308094284198608E-3</v>
      </c>
      <c r="AN174" s="4">
        <v>0</v>
      </c>
      <c r="AO174" s="2">
        <v>0</v>
      </c>
      <c r="AP174" s="2">
        <v>1581.9</v>
      </c>
      <c r="AQ174" s="2">
        <v>0</v>
      </c>
      <c r="AR174" s="6">
        <f>SUM(AN174:AQ174)/Variables!$E$3</f>
        <v>1.2525039786538295E-3</v>
      </c>
      <c r="AS174" s="4">
        <v>0</v>
      </c>
      <c r="AT174" s="2">
        <v>0</v>
      </c>
      <c r="AU174" s="2">
        <v>3936.8</v>
      </c>
      <c r="AV174" s="2">
        <v>0</v>
      </c>
      <c r="AW174" s="6">
        <f>SUM(AS174:AV174)/Variables!$E$3</f>
        <v>3.1170476409156053E-3</v>
      </c>
      <c r="AX174" s="4">
        <v>0</v>
      </c>
      <c r="AY174" s="2">
        <v>0</v>
      </c>
      <c r="AZ174" s="2">
        <v>2487.1999999999998</v>
      </c>
      <c r="BA174" s="2">
        <v>0</v>
      </c>
      <c r="BB174" s="6">
        <f>SUM(AX174:BA174)/Variables!$E$3</f>
        <v>1.969295085471777E-3</v>
      </c>
      <c r="BC174" s="12">
        <f t="shared" si="44"/>
        <v>0</v>
      </c>
      <c r="BD174" s="110">
        <f t="shared" si="44"/>
        <v>0</v>
      </c>
      <c r="BE174" s="110">
        <f t="shared" si="44"/>
        <v>3620.5</v>
      </c>
      <c r="BF174" s="110">
        <f t="shared" si="41"/>
        <v>0</v>
      </c>
      <c r="BG174" s="6">
        <f>SUM(BC174:BF174)/Variables!$E$3</f>
        <v>2.866610186937347E-3</v>
      </c>
      <c r="BH174" s="4">
        <v>0</v>
      </c>
      <c r="BI174">
        <v>0</v>
      </c>
      <c r="BJ174">
        <v>2045.4</v>
      </c>
      <c r="BK174">
        <v>0</v>
      </c>
      <c r="BL174" s="6">
        <f>SUM(BH174:BK174)/Variables!$E$3</f>
        <v>1.6194902572466924E-3</v>
      </c>
      <c r="BM174" s="110">
        <v>0</v>
      </c>
      <c r="BN174" s="110">
        <v>0</v>
      </c>
      <c r="BO174" s="110">
        <v>2391.6</v>
      </c>
      <c r="BP174" s="110">
        <v>0</v>
      </c>
      <c r="BQ174" s="6">
        <f>SUM(BM174:BP174)/Variables!$E$3</f>
        <v>1.893601691224792E-3</v>
      </c>
      <c r="BS174" s="4">
        <v>172</v>
      </c>
      <c r="BT174" s="125">
        <f t="shared" si="30"/>
        <v>0</v>
      </c>
      <c r="BU174" s="125">
        <f t="shared" si="31"/>
        <v>0.24954671058361508</v>
      </c>
      <c r="BV174" s="125">
        <f t="shared" si="32"/>
        <v>4.0462711502070481E-2</v>
      </c>
      <c r="BW174" s="125">
        <f t="shared" si="33"/>
        <v>9.5066548428728651E-2</v>
      </c>
      <c r="BX174" s="125">
        <f t="shared" si="34"/>
        <v>9.3889183603987361E-2</v>
      </c>
      <c r="BY174" s="125">
        <f t="shared" si="35"/>
        <v>7.9644019350905398E-2</v>
      </c>
      <c r="BZ174" s="125">
        <f t="shared" si="36"/>
        <v>6.8657234024022351E-2</v>
      </c>
      <c r="CA174" s="125">
        <f t="shared" si="37"/>
        <v>7.4907481452743091E-2</v>
      </c>
      <c r="CB174" s="125">
        <f t="shared" si="38"/>
        <v>0.1101081560424073</v>
      </c>
      <c r="CC174" s="125">
        <f t="shared" si="39"/>
        <v>8.0565166786752074E-2</v>
      </c>
      <c r="CD174" s="125">
        <f t="shared" si="40"/>
        <v>9.3889183603987361E-2</v>
      </c>
      <c r="CE174" s="125">
        <f t="shared" si="42"/>
        <v>8.335735041449259E-2</v>
      </c>
      <c r="CF174" s="126">
        <f t="shared" si="43"/>
        <v>8.4859341720837062E-2</v>
      </c>
      <c r="CH174" s="4">
        <v>172</v>
      </c>
      <c r="CI174" s="129">
        <v>0</v>
      </c>
      <c r="CJ174" s="125">
        <v>0.21457889611160816</v>
      </c>
      <c r="CK174" s="125">
        <v>0</v>
      </c>
      <c r="CL174" s="125">
        <v>3.7739016144229171E-2</v>
      </c>
      <c r="CM174" s="125">
        <v>3.7403621564699639E-2</v>
      </c>
      <c r="CN174" s="125">
        <v>0</v>
      </c>
      <c r="CO174" s="125">
        <v>0</v>
      </c>
      <c r="CP174" s="125">
        <v>0</v>
      </c>
      <c r="CQ174" s="125">
        <v>7.7956595064093928E-2</v>
      </c>
      <c r="CR174" s="125">
        <v>0</v>
      </c>
      <c r="CS174" s="125">
        <v>3.7403621564699639E-2</v>
      </c>
      <c r="CT174" s="125">
        <v>0</v>
      </c>
      <c r="CU174" s="126">
        <v>0</v>
      </c>
    </row>
    <row r="175" spans="1:99" x14ac:dyDescent="0.25">
      <c r="A175" t="s">
        <v>227</v>
      </c>
      <c r="B175" s="2" t="s">
        <v>4</v>
      </c>
      <c r="C175" s="1">
        <v>17318</v>
      </c>
      <c r="D175" s="19">
        <v>89.8</v>
      </c>
      <c r="E175" s="18">
        <v>0</v>
      </c>
      <c r="F175" s="19">
        <v>0</v>
      </c>
      <c r="G175" s="19">
        <v>0</v>
      </c>
      <c r="H175" s="19">
        <v>0</v>
      </c>
      <c r="I175" s="19">
        <f>SUM(E175:H175)/Variables!$E$3</f>
        <v>0</v>
      </c>
      <c r="J175" s="4">
        <v>14807</v>
      </c>
      <c r="K175">
        <v>19287</v>
      </c>
      <c r="L175">
        <v>238809</v>
      </c>
      <c r="M175">
        <v>42272</v>
      </c>
      <c r="N175" s="6">
        <f>SUM(J175:M175)/Variables!$E$3</f>
        <v>0.24954671058361508</v>
      </c>
      <c r="O175" s="4">
        <v>0</v>
      </c>
      <c r="P175">
        <v>0</v>
      </c>
      <c r="Q175">
        <v>35284</v>
      </c>
      <c r="R175">
        <v>15820</v>
      </c>
      <c r="S175" s="6">
        <f>SUM(O175:R175)/Variables!$E$3</f>
        <v>4.0462711502070481E-2</v>
      </c>
      <c r="T175" s="12">
        <v>0</v>
      </c>
      <c r="U175" s="6">
        <v>1498.4</v>
      </c>
      <c r="V175" s="6">
        <v>93607.4</v>
      </c>
      <c r="W175" s="6">
        <v>24962.3</v>
      </c>
      <c r="X175" s="6">
        <f>SUM(T175:W175)/Variables!$E$3</f>
        <v>9.5066548428728651E-2</v>
      </c>
      <c r="Y175" s="12">
        <v>0</v>
      </c>
      <c r="Z175" s="6">
        <v>1539.4</v>
      </c>
      <c r="AA175" s="6">
        <v>91929.9</v>
      </c>
      <c r="AB175" s="6">
        <v>25111.8</v>
      </c>
      <c r="AC175" s="6">
        <f>SUM(Y175:AB175)/Variables!$E$3</f>
        <v>9.3889183603987361E-2</v>
      </c>
      <c r="AD175" s="4">
        <v>388</v>
      </c>
      <c r="AE175" s="2">
        <v>2357.1</v>
      </c>
      <c r="AF175" s="2">
        <v>76041.399999999994</v>
      </c>
      <c r="AG175" s="2">
        <v>21803.1</v>
      </c>
      <c r="AH175" s="6">
        <f>SUM(AD175:AG175)/Variables!$E$3</f>
        <v>7.9644019350905398E-2</v>
      </c>
      <c r="AI175" s="4">
        <v>305.8</v>
      </c>
      <c r="AJ175" s="2">
        <v>1713.4</v>
      </c>
      <c r="AK175" s="2">
        <v>67250.899999999994</v>
      </c>
      <c r="AL175" s="2">
        <v>17443.3</v>
      </c>
      <c r="AM175" s="6">
        <f>SUM(AI175:AL175)/Variables!$E$3</f>
        <v>6.8657234024022351E-2</v>
      </c>
      <c r="AN175" s="4">
        <v>331.099999999999</v>
      </c>
      <c r="AO175" s="2">
        <v>1766.4</v>
      </c>
      <c r="AP175" s="2">
        <v>68465.8</v>
      </c>
      <c r="AQ175" s="2">
        <v>24044.1</v>
      </c>
      <c r="AR175" s="6">
        <f>SUM(AN175:AQ175)/Variables!$E$3</f>
        <v>7.4907481452743091E-2</v>
      </c>
      <c r="AS175" s="4">
        <v>2774.8</v>
      </c>
      <c r="AT175" s="2">
        <v>5363.6</v>
      </c>
      <c r="AU175" s="2">
        <v>97673.7</v>
      </c>
      <c r="AV175" s="2">
        <v>33253.4</v>
      </c>
      <c r="AW175" s="6">
        <f>SUM(AS175:AV175)/Variables!$E$3</f>
        <v>0.1101081560424073</v>
      </c>
      <c r="AX175" s="4">
        <v>439.2</v>
      </c>
      <c r="AY175" s="2">
        <v>2002.5</v>
      </c>
      <c r="AZ175" s="2">
        <v>73902.100000000006</v>
      </c>
      <c r="BA175" s="2">
        <v>25409.200000000001</v>
      </c>
      <c r="BB175" s="6">
        <f>SUM(AX175:BA175)/Variables!$E$3</f>
        <v>8.0565166786752074E-2</v>
      </c>
      <c r="BC175" s="12">
        <f t="shared" si="44"/>
        <v>0</v>
      </c>
      <c r="BD175" s="110">
        <f t="shared" si="44"/>
        <v>1539.4</v>
      </c>
      <c r="BE175" s="110">
        <f t="shared" si="44"/>
        <v>91929.9</v>
      </c>
      <c r="BF175" s="110">
        <f t="shared" si="41"/>
        <v>25111.8</v>
      </c>
      <c r="BG175" s="6">
        <f>SUM(BC175:BF175)/Variables!$E$3</f>
        <v>9.3889183603987361E-2</v>
      </c>
      <c r="BH175" s="4">
        <v>676.5</v>
      </c>
      <c r="BI175">
        <v>2530.4</v>
      </c>
      <c r="BJ175">
        <v>75686.5</v>
      </c>
      <c r="BK175">
        <v>26386.1</v>
      </c>
      <c r="BL175" s="6">
        <f>SUM(BH175:BK175)/Variables!$E$3</f>
        <v>8.335735041449259E-2</v>
      </c>
      <c r="BM175" s="110">
        <v>937.4</v>
      </c>
      <c r="BN175" s="110">
        <v>2831.3</v>
      </c>
      <c r="BO175" s="110">
        <v>78029.100000000006</v>
      </c>
      <c r="BP175" s="110">
        <v>25378.7</v>
      </c>
      <c r="BQ175" s="6">
        <f>SUM(BM175:BP175)/Variables!$E$3</f>
        <v>8.4859341720837062E-2</v>
      </c>
      <c r="BS175" s="4">
        <v>173</v>
      </c>
      <c r="BT175" s="125">
        <f t="shared" si="30"/>
        <v>0</v>
      </c>
      <c r="BU175" s="125">
        <f t="shared" si="31"/>
        <v>0</v>
      </c>
      <c r="BV175" s="125">
        <f t="shared" si="32"/>
        <v>0</v>
      </c>
      <c r="BW175" s="125">
        <f t="shared" si="33"/>
        <v>0</v>
      </c>
      <c r="BX175" s="125">
        <f t="shared" si="34"/>
        <v>0</v>
      </c>
      <c r="BY175" s="125">
        <f t="shared" si="35"/>
        <v>0</v>
      </c>
      <c r="BZ175" s="125">
        <f t="shared" si="36"/>
        <v>0</v>
      </c>
      <c r="CA175" s="125">
        <f t="shared" si="37"/>
        <v>0</v>
      </c>
      <c r="CB175" s="125">
        <f t="shared" si="38"/>
        <v>0</v>
      </c>
      <c r="CC175" s="125">
        <f t="shared" si="39"/>
        <v>0</v>
      </c>
      <c r="CD175" s="125">
        <f t="shared" si="40"/>
        <v>0</v>
      </c>
      <c r="CE175" s="125">
        <f t="shared" si="42"/>
        <v>0</v>
      </c>
      <c r="CF175" s="126">
        <f t="shared" si="43"/>
        <v>0</v>
      </c>
      <c r="CH175" s="4">
        <v>173</v>
      </c>
      <c r="CI175" s="129">
        <v>0</v>
      </c>
      <c r="CJ175" s="125">
        <v>0</v>
      </c>
      <c r="CK175" s="125">
        <v>0</v>
      </c>
      <c r="CL175" s="125">
        <v>0</v>
      </c>
      <c r="CM175" s="125">
        <v>0</v>
      </c>
      <c r="CN175" s="125">
        <v>0</v>
      </c>
      <c r="CO175" s="125">
        <v>0</v>
      </c>
      <c r="CP175" s="125">
        <v>0</v>
      </c>
      <c r="CQ175" s="125">
        <v>0</v>
      </c>
      <c r="CR175" s="125">
        <v>0</v>
      </c>
      <c r="CS175" s="125">
        <v>0</v>
      </c>
      <c r="CT175" s="125">
        <v>0</v>
      </c>
      <c r="CU175" s="126">
        <v>0</v>
      </c>
    </row>
    <row r="176" spans="1:99" x14ac:dyDescent="0.25">
      <c r="A176" t="s">
        <v>227</v>
      </c>
      <c r="B176" s="2" t="s">
        <v>1</v>
      </c>
      <c r="C176" s="1">
        <v>17410</v>
      </c>
      <c r="D176" s="19">
        <v>65.210714285714303</v>
      </c>
      <c r="E176" s="18">
        <v>0</v>
      </c>
      <c r="F176" s="19">
        <v>0</v>
      </c>
      <c r="G176" s="19">
        <v>0</v>
      </c>
      <c r="H176" s="19">
        <v>0</v>
      </c>
      <c r="I176" s="19">
        <f>SUM(E176:H176)/Variables!$E$3</f>
        <v>0</v>
      </c>
      <c r="J176" s="4">
        <v>0</v>
      </c>
      <c r="K176">
        <v>0</v>
      </c>
      <c r="L176">
        <v>0</v>
      </c>
      <c r="M176">
        <v>0</v>
      </c>
      <c r="N176" s="6">
        <f>SUM(J176:M176)/Variables!$E$3</f>
        <v>0</v>
      </c>
      <c r="O176" s="4">
        <v>0</v>
      </c>
      <c r="P176">
        <v>0</v>
      </c>
      <c r="Q176">
        <v>0</v>
      </c>
      <c r="R176">
        <v>0</v>
      </c>
      <c r="S176" s="6">
        <f>SUM(O176:R176)/Variables!$E$3</f>
        <v>0</v>
      </c>
      <c r="T176" s="12">
        <v>0</v>
      </c>
      <c r="U176" s="6">
        <v>0</v>
      </c>
      <c r="V176" s="6">
        <v>0</v>
      </c>
      <c r="W176" s="6">
        <v>0</v>
      </c>
      <c r="X176" s="6">
        <f>SUM(T176:W176)/Variables!$E$3</f>
        <v>0</v>
      </c>
      <c r="Y176" s="12">
        <v>0</v>
      </c>
      <c r="Z176" s="6">
        <v>0</v>
      </c>
      <c r="AA176" s="6">
        <v>0</v>
      </c>
      <c r="AB176" s="6">
        <v>0</v>
      </c>
      <c r="AC176" s="6">
        <f>SUM(Y176:AB176)/Variables!$E$3</f>
        <v>0</v>
      </c>
      <c r="AD176" s="4">
        <v>0</v>
      </c>
      <c r="AE176" s="2">
        <v>0</v>
      </c>
      <c r="AF176" s="2">
        <v>0</v>
      </c>
      <c r="AG176" s="2">
        <v>0</v>
      </c>
      <c r="AH176" s="6">
        <f>SUM(AD176:AG176)/Variables!$E$3</f>
        <v>0</v>
      </c>
      <c r="AI176" s="4">
        <v>0</v>
      </c>
      <c r="AJ176" s="2">
        <v>0</v>
      </c>
      <c r="AK176" s="2">
        <v>0</v>
      </c>
      <c r="AL176" s="2">
        <v>0</v>
      </c>
      <c r="AM176" s="6">
        <f>SUM(AI176:AL176)/Variables!$E$3</f>
        <v>0</v>
      </c>
      <c r="AN176" s="4">
        <v>0</v>
      </c>
      <c r="AO176" s="2">
        <v>0</v>
      </c>
      <c r="AP176" s="2">
        <v>0</v>
      </c>
      <c r="AQ176" s="2">
        <v>0</v>
      </c>
      <c r="AR176" s="6">
        <f>SUM(AN176:AQ176)/Variables!$E$3</f>
        <v>0</v>
      </c>
      <c r="AS176" s="4">
        <v>0</v>
      </c>
      <c r="AT176" s="2">
        <v>0</v>
      </c>
      <c r="AU176" s="2">
        <v>0</v>
      </c>
      <c r="AV176" s="2">
        <v>0</v>
      </c>
      <c r="AW176" s="6">
        <f>SUM(AS176:AV176)/Variables!$E$3</f>
        <v>0</v>
      </c>
      <c r="AX176" s="4">
        <v>0</v>
      </c>
      <c r="AY176" s="2">
        <v>0</v>
      </c>
      <c r="AZ176" s="2">
        <v>0</v>
      </c>
      <c r="BA176" s="2">
        <v>0</v>
      </c>
      <c r="BB176" s="6">
        <f>SUM(AX176:BA176)/Variables!$E$3</f>
        <v>0</v>
      </c>
      <c r="BC176" s="12">
        <f t="shared" si="44"/>
        <v>0</v>
      </c>
      <c r="BD176" s="110">
        <f t="shared" si="44"/>
        <v>0</v>
      </c>
      <c r="BE176" s="110">
        <f t="shared" si="44"/>
        <v>0</v>
      </c>
      <c r="BF176" s="110">
        <f t="shared" si="41"/>
        <v>0</v>
      </c>
      <c r="BG176" s="6">
        <f>SUM(BC176:BF176)/Variables!$E$3</f>
        <v>0</v>
      </c>
      <c r="BH176" s="4">
        <v>0</v>
      </c>
      <c r="BI176">
        <v>0</v>
      </c>
      <c r="BJ176">
        <v>0</v>
      </c>
      <c r="BK176">
        <v>0</v>
      </c>
      <c r="BL176" s="6">
        <f>SUM(BH176:BK176)/Variables!$E$3</f>
        <v>0</v>
      </c>
      <c r="BM176" s="110">
        <v>0</v>
      </c>
      <c r="BN176" s="110">
        <v>0</v>
      </c>
      <c r="BO176" s="110">
        <v>0</v>
      </c>
      <c r="BP176" s="110">
        <v>0</v>
      </c>
      <c r="BQ176" s="6">
        <f>SUM(BM176:BP176)/Variables!$E$3</f>
        <v>0</v>
      </c>
      <c r="BS176" s="4">
        <v>174</v>
      </c>
      <c r="BT176" s="125">
        <f t="shared" si="30"/>
        <v>0</v>
      </c>
      <c r="BU176" s="125">
        <f t="shared" si="31"/>
        <v>0</v>
      </c>
      <c r="BV176" s="125">
        <f t="shared" si="32"/>
        <v>0</v>
      </c>
      <c r="BW176" s="125">
        <f t="shared" si="33"/>
        <v>0</v>
      </c>
      <c r="BX176" s="125">
        <f t="shared" si="34"/>
        <v>0</v>
      </c>
      <c r="BY176" s="125">
        <f t="shared" si="35"/>
        <v>0</v>
      </c>
      <c r="BZ176" s="125">
        <f t="shared" si="36"/>
        <v>0</v>
      </c>
      <c r="CA176" s="125">
        <f t="shared" si="37"/>
        <v>0</v>
      </c>
      <c r="CB176" s="125">
        <f t="shared" si="38"/>
        <v>0</v>
      </c>
      <c r="CC176" s="125">
        <f t="shared" si="39"/>
        <v>0</v>
      </c>
      <c r="CD176" s="125">
        <f t="shared" si="40"/>
        <v>0</v>
      </c>
      <c r="CE176" s="125">
        <f t="shared" si="42"/>
        <v>0</v>
      </c>
      <c r="CF176" s="126">
        <f t="shared" si="43"/>
        <v>0</v>
      </c>
      <c r="CH176" s="4">
        <v>174</v>
      </c>
      <c r="CI176" s="129">
        <v>0</v>
      </c>
      <c r="CJ176" s="125">
        <v>0</v>
      </c>
      <c r="CK176" s="125">
        <v>0</v>
      </c>
      <c r="CL176" s="125">
        <v>0</v>
      </c>
      <c r="CM176" s="125">
        <v>0</v>
      </c>
      <c r="CN176" s="125">
        <v>0</v>
      </c>
      <c r="CO176" s="125">
        <v>0</v>
      </c>
      <c r="CP176" s="125">
        <v>0</v>
      </c>
      <c r="CQ176" s="125">
        <v>0</v>
      </c>
      <c r="CR176" s="125">
        <v>0</v>
      </c>
      <c r="CS176" s="125">
        <v>0</v>
      </c>
      <c r="CT176" s="125">
        <v>0</v>
      </c>
      <c r="CU176" s="126">
        <v>0</v>
      </c>
    </row>
    <row r="177" spans="1:99" x14ac:dyDescent="0.25">
      <c r="A177" t="s">
        <v>227</v>
      </c>
      <c r="B177" s="2" t="s">
        <v>2</v>
      </c>
      <c r="C177" s="1">
        <v>17501</v>
      </c>
      <c r="D177" s="19">
        <v>120.28</v>
      </c>
      <c r="E177" s="18">
        <v>0</v>
      </c>
      <c r="F177" s="19">
        <v>0</v>
      </c>
      <c r="G177" s="19">
        <v>0</v>
      </c>
      <c r="H177" s="19">
        <v>0</v>
      </c>
      <c r="I177" s="19">
        <f>SUM(E177:H177)/Variables!$E$3</f>
        <v>0</v>
      </c>
      <c r="J177" s="4">
        <v>0</v>
      </c>
      <c r="K177">
        <v>0</v>
      </c>
      <c r="L177">
        <v>0</v>
      </c>
      <c r="M177">
        <v>0</v>
      </c>
      <c r="N177" s="6">
        <f>SUM(J177:M177)/Variables!$E$3</f>
        <v>0</v>
      </c>
      <c r="O177" s="4">
        <v>0</v>
      </c>
      <c r="P177">
        <v>0</v>
      </c>
      <c r="Q177">
        <v>0</v>
      </c>
      <c r="R177">
        <v>0</v>
      </c>
      <c r="S177" s="6">
        <f>SUM(O177:R177)/Variables!$E$3</f>
        <v>0</v>
      </c>
      <c r="T177" s="12">
        <v>0</v>
      </c>
      <c r="U177" s="6">
        <v>0</v>
      </c>
      <c r="V177" s="6">
        <v>0</v>
      </c>
      <c r="W177" s="6">
        <v>0</v>
      </c>
      <c r="X177" s="6">
        <f>SUM(T177:W177)/Variables!$E$3</f>
        <v>0</v>
      </c>
      <c r="Y177" s="12">
        <v>0</v>
      </c>
      <c r="Z177" s="6">
        <v>0</v>
      </c>
      <c r="AA177" s="6">
        <v>0</v>
      </c>
      <c r="AB177" s="6">
        <v>0</v>
      </c>
      <c r="AC177" s="6">
        <f>SUM(Y177:AB177)/Variables!$E$3</f>
        <v>0</v>
      </c>
      <c r="AD177" s="4">
        <v>0</v>
      </c>
      <c r="AE177" s="2">
        <v>0</v>
      </c>
      <c r="AF177" s="2">
        <v>0</v>
      </c>
      <c r="AG177" s="2">
        <v>0</v>
      </c>
      <c r="AH177" s="6">
        <f>SUM(AD177:AG177)/Variables!$E$3</f>
        <v>0</v>
      </c>
      <c r="AI177" s="4">
        <v>0</v>
      </c>
      <c r="AJ177" s="2">
        <v>0</v>
      </c>
      <c r="AK177" s="2">
        <v>0</v>
      </c>
      <c r="AL177" s="2">
        <v>0</v>
      </c>
      <c r="AM177" s="6">
        <f>SUM(AI177:AL177)/Variables!$E$3</f>
        <v>0</v>
      </c>
      <c r="AN177" s="4">
        <v>0</v>
      </c>
      <c r="AO177" s="2">
        <v>0</v>
      </c>
      <c r="AP177" s="2">
        <v>0</v>
      </c>
      <c r="AQ177" s="2">
        <v>0</v>
      </c>
      <c r="AR177" s="6">
        <f>SUM(AN177:AQ177)/Variables!$E$3</f>
        <v>0</v>
      </c>
      <c r="AS177" s="4">
        <v>0</v>
      </c>
      <c r="AT177" s="2">
        <v>0</v>
      </c>
      <c r="AU177" s="2">
        <v>0</v>
      </c>
      <c r="AV177" s="2">
        <v>0</v>
      </c>
      <c r="AW177" s="6">
        <f>SUM(AS177:AV177)/Variables!$E$3</f>
        <v>0</v>
      </c>
      <c r="AX177" s="4">
        <v>0</v>
      </c>
      <c r="AY177" s="2">
        <v>0</v>
      </c>
      <c r="AZ177" s="2">
        <v>0</v>
      </c>
      <c r="BA177" s="2">
        <v>0</v>
      </c>
      <c r="BB177" s="6">
        <f>SUM(AX177:BA177)/Variables!$E$3</f>
        <v>0</v>
      </c>
      <c r="BC177" s="12">
        <f t="shared" si="44"/>
        <v>0</v>
      </c>
      <c r="BD177" s="110">
        <f t="shared" si="44"/>
        <v>0</v>
      </c>
      <c r="BE177" s="110">
        <f t="shared" si="44"/>
        <v>0</v>
      </c>
      <c r="BF177" s="110">
        <f t="shared" si="41"/>
        <v>0</v>
      </c>
      <c r="BG177" s="6">
        <f>SUM(BC177:BF177)/Variables!$E$3</f>
        <v>0</v>
      </c>
      <c r="BH177" s="4">
        <v>0</v>
      </c>
      <c r="BI177">
        <v>0</v>
      </c>
      <c r="BJ177">
        <v>0</v>
      </c>
      <c r="BK177">
        <v>0</v>
      </c>
      <c r="BL177" s="6">
        <f>SUM(BH177:BK177)/Variables!$E$3</f>
        <v>0</v>
      </c>
      <c r="BM177" s="110">
        <v>0</v>
      </c>
      <c r="BN177" s="110">
        <v>0</v>
      </c>
      <c r="BO177" s="110">
        <v>0</v>
      </c>
      <c r="BP177" s="110">
        <v>0</v>
      </c>
      <c r="BQ177" s="6">
        <f>SUM(BM177:BP177)/Variables!$E$3</f>
        <v>0</v>
      </c>
      <c r="BS177" s="4">
        <v>175</v>
      </c>
      <c r="BT177" s="125">
        <f t="shared" si="30"/>
        <v>0</v>
      </c>
      <c r="BU177" s="125">
        <f t="shared" si="31"/>
        <v>0.15647471476417074</v>
      </c>
      <c r="BV177" s="125">
        <f t="shared" si="32"/>
        <v>0</v>
      </c>
      <c r="BW177" s="125">
        <f t="shared" si="33"/>
        <v>1.0914417374642712E-2</v>
      </c>
      <c r="BX177" s="125">
        <f t="shared" si="34"/>
        <v>9.5792524089660259E-3</v>
      </c>
      <c r="BY177" s="125">
        <f t="shared" si="35"/>
        <v>0</v>
      </c>
      <c r="BZ177" s="125">
        <f t="shared" si="36"/>
        <v>0</v>
      </c>
      <c r="CA177" s="125">
        <f t="shared" si="37"/>
        <v>4.7981377524762984E-5</v>
      </c>
      <c r="CB177" s="125">
        <f t="shared" si="38"/>
        <v>1.1078076627685096E-2</v>
      </c>
      <c r="CC177" s="125">
        <f t="shared" si="39"/>
        <v>3.0822096770362394E-3</v>
      </c>
      <c r="CD177" s="125">
        <f t="shared" si="40"/>
        <v>9.5792524089660259E-3</v>
      </c>
      <c r="CE177" s="125">
        <f t="shared" si="42"/>
        <v>1.0904282694241443E-3</v>
      </c>
      <c r="CF177" s="126">
        <f t="shared" si="43"/>
        <v>2.9929769831906826E-3</v>
      </c>
      <c r="CH177" s="4">
        <v>175</v>
      </c>
      <c r="CI177" s="129">
        <v>0</v>
      </c>
      <c r="CJ177" s="125">
        <v>9.9589070380604758E-2</v>
      </c>
      <c r="CK177" s="125">
        <v>0</v>
      </c>
      <c r="CL177" s="125">
        <v>0</v>
      </c>
      <c r="CM177" s="125">
        <v>0</v>
      </c>
      <c r="CN177" s="125">
        <v>0</v>
      </c>
      <c r="CO177" s="125">
        <v>0</v>
      </c>
      <c r="CP177" s="125">
        <v>0</v>
      </c>
      <c r="CQ177" s="125">
        <v>0</v>
      </c>
      <c r="CR177" s="125">
        <v>0</v>
      </c>
      <c r="CS177" s="125">
        <v>0</v>
      </c>
      <c r="CT177" s="125">
        <v>0</v>
      </c>
      <c r="CU177" s="126">
        <v>0</v>
      </c>
    </row>
    <row r="178" spans="1:99" x14ac:dyDescent="0.25">
      <c r="A178" t="s">
        <v>228</v>
      </c>
      <c r="B178" s="2" t="s">
        <v>3</v>
      </c>
      <c r="C178" s="1">
        <v>17591</v>
      </c>
      <c r="D178" s="19">
        <v>140.19761904761901</v>
      </c>
      <c r="E178" s="18">
        <v>0</v>
      </c>
      <c r="F178" s="19">
        <v>0</v>
      </c>
      <c r="G178" s="19">
        <v>0</v>
      </c>
      <c r="H178" s="19">
        <v>0</v>
      </c>
      <c r="I178" s="19">
        <f>SUM(E178:H178)/Variables!$E$3</f>
        <v>0</v>
      </c>
      <c r="J178" s="4">
        <v>0</v>
      </c>
      <c r="K178">
        <v>4225</v>
      </c>
      <c r="L178">
        <v>187175</v>
      </c>
      <c r="M178">
        <v>6226</v>
      </c>
      <c r="N178" s="6">
        <f>SUM(J178:M178)/Variables!$E$3</f>
        <v>0.15647471476417074</v>
      </c>
      <c r="O178" s="4">
        <v>0</v>
      </c>
      <c r="P178">
        <v>0</v>
      </c>
      <c r="Q178">
        <v>0</v>
      </c>
      <c r="R178">
        <v>0</v>
      </c>
      <c r="S178" s="6">
        <f>SUM(O178:R178)/Variables!$E$3</f>
        <v>0</v>
      </c>
      <c r="T178" s="12">
        <v>0</v>
      </c>
      <c r="U178" s="6">
        <v>0</v>
      </c>
      <c r="V178" s="6">
        <v>13784.8</v>
      </c>
      <c r="W178" s="6">
        <v>0</v>
      </c>
      <c r="X178" s="6">
        <f>SUM(T178:W178)/Variables!$E$3</f>
        <v>1.0914417374642712E-2</v>
      </c>
      <c r="Y178" s="12">
        <v>0</v>
      </c>
      <c r="Z178" s="6">
        <v>0</v>
      </c>
      <c r="AA178" s="6">
        <v>12098.5</v>
      </c>
      <c r="AB178" s="6">
        <v>0</v>
      </c>
      <c r="AC178" s="6">
        <f>SUM(Y178:AB178)/Variables!$E$3</f>
        <v>9.5792524089660259E-3</v>
      </c>
      <c r="AD178" s="4">
        <v>0</v>
      </c>
      <c r="AE178" s="2">
        <v>0</v>
      </c>
      <c r="AF178" s="2">
        <v>0</v>
      </c>
      <c r="AG178" s="2">
        <v>0</v>
      </c>
      <c r="AH178" s="6">
        <f>SUM(AD178:AG178)/Variables!$E$3</f>
        <v>0</v>
      </c>
      <c r="AI178" s="4">
        <v>0</v>
      </c>
      <c r="AJ178" s="2">
        <v>0</v>
      </c>
      <c r="AK178" s="2">
        <v>0</v>
      </c>
      <c r="AL178" s="2">
        <v>0</v>
      </c>
      <c r="AM178" s="6">
        <f>SUM(AI178:AL178)/Variables!$E$3</f>
        <v>0</v>
      </c>
      <c r="AN178" s="4">
        <v>0</v>
      </c>
      <c r="AO178" s="2">
        <v>0</v>
      </c>
      <c r="AP178" s="2">
        <v>60.600000000000399</v>
      </c>
      <c r="AQ178" s="2">
        <v>0</v>
      </c>
      <c r="AR178" s="6">
        <f>SUM(AN178:AQ178)/Variables!$E$3</f>
        <v>4.7981377524762984E-5</v>
      </c>
      <c r="AS178" s="4">
        <v>0</v>
      </c>
      <c r="AT178" s="2">
        <v>0</v>
      </c>
      <c r="AU178" s="2">
        <v>13991.5</v>
      </c>
      <c r="AV178" s="2">
        <v>0</v>
      </c>
      <c r="AW178" s="6">
        <f>SUM(AS178:AV178)/Variables!$E$3</f>
        <v>1.1078076627685096E-2</v>
      </c>
      <c r="AX178" s="4">
        <v>0</v>
      </c>
      <c r="AY178" s="2">
        <v>0</v>
      </c>
      <c r="AZ178" s="2">
        <v>3892.8</v>
      </c>
      <c r="BA178" s="2">
        <v>0</v>
      </c>
      <c r="BB178" s="6">
        <f>SUM(AX178:BA178)/Variables!$E$3</f>
        <v>3.0822096770362394E-3</v>
      </c>
      <c r="BC178" s="12">
        <f t="shared" si="44"/>
        <v>0</v>
      </c>
      <c r="BD178" s="110">
        <f t="shared" si="44"/>
        <v>0</v>
      </c>
      <c r="BE178" s="110">
        <f t="shared" si="44"/>
        <v>12098.5</v>
      </c>
      <c r="BF178" s="110">
        <f t="shared" si="41"/>
        <v>0</v>
      </c>
      <c r="BG178" s="6">
        <f>SUM(BC178:BF178)/Variables!$E$3</f>
        <v>9.5792524089660259E-3</v>
      </c>
      <c r="BH178" s="4">
        <v>0</v>
      </c>
      <c r="BI178">
        <v>0</v>
      </c>
      <c r="BJ178">
        <v>1377.2</v>
      </c>
      <c r="BK178">
        <v>0</v>
      </c>
      <c r="BL178" s="6">
        <f>SUM(BH178:BK178)/Variables!$E$3</f>
        <v>1.0904282694241443E-3</v>
      </c>
      <c r="BM178" s="110">
        <v>0</v>
      </c>
      <c r="BN178" s="110">
        <v>0</v>
      </c>
      <c r="BO178" s="110">
        <v>3780.1</v>
      </c>
      <c r="BP178" s="110">
        <v>0</v>
      </c>
      <c r="BQ178" s="6">
        <f>SUM(BM178:BP178)/Variables!$E$3</f>
        <v>2.9929769831906826E-3</v>
      </c>
      <c r="BS178" s="4">
        <v>176</v>
      </c>
      <c r="BT178" s="125">
        <f t="shared" si="30"/>
        <v>0</v>
      </c>
      <c r="BU178" s="125">
        <f t="shared" si="31"/>
        <v>0</v>
      </c>
      <c r="BV178" s="125">
        <f t="shared" si="32"/>
        <v>0</v>
      </c>
      <c r="BW178" s="125">
        <f t="shared" si="33"/>
        <v>0</v>
      </c>
      <c r="BX178" s="125">
        <f t="shared" si="34"/>
        <v>0</v>
      </c>
      <c r="BY178" s="125">
        <f t="shared" si="35"/>
        <v>0</v>
      </c>
      <c r="BZ178" s="125">
        <f t="shared" si="36"/>
        <v>0</v>
      </c>
      <c r="CA178" s="125">
        <f t="shared" si="37"/>
        <v>0</v>
      </c>
      <c r="CB178" s="125">
        <f t="shared" si="38"/>
        <v>0</v>
      </c>
      <c r="CC178" s="125">
        <f t="shared" si="39"/>
        <v>0</v>
      </c>
      <c r="CD178" s="125">
        <f t="shared" si="40"/>
        <v>0</v>
      </c>
      <c r="CE178" s="125">
        <f t="shared" si="42"/>
        <v>0</v>
      </c>
      <c r="CF178" s="126">
        <f t="shared" si="43"/>
        <v>0</v>
      </c>
      <c r="CH178" s="4">
        <v>176</v>
      </c>
      <c r="CI178" s="129">
        <v>0</v>
      </c>
      <c r="CJ178" s="125">
        <v>0</v>
      </c>
      <c r="CK178" s="125">
        <v>0</v>
      </c>
      <c r="CL178" s="125">
        <v>0</v>
      </c>
      <c r="CM178" s="125">
        <v>0</v>
      </c>
      <c r="CN178" s="125">
        <v>0</v>
      </c>
      <c r="CO178" s="125">
        <v>0</v>
      </c>
      <c r="CP178" s="125">
        <v>0</v>
      </c>
      <c r="CQ178" s="125">
        <v>0</v>
      </c>
      <c r="CR178" s="125">
        <v>0</v>
      </c>
      <c r="CS178" s="125">
        <v>0</v>
      </c>
      <c r="CT178" s="125">
        <v>0</v>
      </c>
      <c r="CU178" s="126">
        <v>0</v>
      </c>
    </row>
    <row r="179" spans="1:99" x14ac:dyDescent="0.25">
      <c r="A179" t="s">
        <v>228</v>
      </c>
      <c r="B179" s="2" t="s">
        <v>4</v>
      </c>
      <c r="C179" s="1">
        <v>17684</v>
      </c>
      <c r="D179" s="19">
        <v>123.02380952381</v>
      </c>
      <c r="E179" s="18">
        <v>0</v>
      </c>
      <c r="F179" s="19">
        <v>0</v>
      </c>
      <c r="G179" s="19">
        <v>0</v>
      </c>
      <c r="H179" s="19">
        <v>0</v>
      </c>
      <c r="I179" s="19">
        <f>SUM(E179:H179)/Variables!$E$3</f>
        <v>0</v>
      </c>
      <c r="J179" s="4">
        <v>0</v>
      </c>
      <c r="K179">
        <v>0</v>
      </c>
      <c r="L179">
        <v>0</v>
      </c>
      <c r="M179">
        <v>0</v>
      </c>
      <c r="N179" s="6">
        <f>SUM(J179:M179)/Variables!$E$3</f>
        <v>0</v>
      </c>
      <c r="O179" s="4">
        <v>0</v>
      </c>
      <c r="P179">
        <v>0</v>
      </c>
      <c r="Q179">
        <v>0</v>
      </c>
      <c r="R179">
        <v>0</v>
      </c>
      <c r="S179" s="6">
        <f>SUM(O179:R179)/Variables!$E$3</f>
        <v>0</v>
      </c>
      <c r="T179" s="12">
        <v>0</v>
      </c>
      <c r="U179" s="6">
        <v>0</v>
      </c>
      <c r="V179" s="6">
        <v>0</v>
      </c>
      <c r="W179" s="6">
        <v>0</v>
      </c>
      <c r="X179" s="6">
        <f>SUM(T179:W179)/Variables!$E$3</f>
        <v>0</v>
      </c>
      <c r="Y179" s="12">
        <v>0</v>
      </c>
      <c r="Z179" s="6">
        <v>0</v>
      </c>
      <c r="AA179" s="6">
        <v>0</v>
      </c>
      <c r="AB179" s="6">
        <v>0</v>
      </c>
      <c r="AC179" s="6">
        <f>SUM(Y179:AB179)/Variables!$E$3</f>
        <v>0</v>
      </c>
      <c r="AD179" s="4">
        <v>0</v>
      </c>
      <c r="AE179" s="2">
        <v>0</v>
      </c>
      <c r="AF179" s="2">
        <v>0</v>
      </c>
      <c r="AG179" s="2">
        <v>0</v>
      </c>
      <c r="AH179" s="6">
        <f>SUM(AD179:AG179)/Variables!$E$3</f>
        <v>0</v>
      </c>
      <c r="AI179" s="4">
        <v>0</v>
      </c>
      <c r="AJ179" s="2">
        <v>0</v>
      </c>
      <c r="AK179" s="2">
        <v>0</v>
      </c>
      <c r="AL179" s="2">
        <v>0</v>
      </c>
      <c r="AM179" s="6">
        <f>SUM(AI179:AL179)/Variables!$E$3</f>
        <v>0</v>
      </c>
      <c r="AN179" s="4">
        <v>0</v>
      </c>
      <c r="AO179" s="2">
        <v>0</v>
      </c>
      <c r="AP179" s="2">
        <v>0</v>
      </c>
      <c r="AQ179" s="2">
        <v>0</v>
      </c>
      <c r="AR179" s="6">
        <f>SUM(AN179:AQ179)/Variables!$E$3</f>
        <v>0</v>
      </c>
      <c r="AS179" s="4">
        <v>0</v>
      </c>
      <c r="AT179" s="2">
        <v>0</v>
      </c>
      <c r="AU179" s="2">
        <v>0</v>
      </c>
      <c r="AV179" s="2">
        <v>0</v>
      </c>
      <c r="AW179" s="6">
        <f>SUM(AS179:AV179)/Variables!$E$3</f>
        <v>0</v>
      </c>
      <c r="AX179" s="4">
        <v>0</v>
      </c>
      <c r="AY179" s="2">
        <v>0</v>
      </c>
      <c r="AZ179" s="2">
        <v>0</v>
      </c>
      <c r="BA179" s="2">
        <v>0</v>
      </c>
      <c r="BB179" s="6">
        <f>SUM(AX179:BA179)/Variables!$E$3</f>
        <v>0</v>
      </c>
      <c r="BC179" s="12">
        <f t="shared" si="44"/>
        <v>0</v>
      </c>
      <c r="BD179" s="110">
        <f t="shared" si="44"/>
        <v>0</v>
      </c>
      <c r="BE179" s="110">
        <f t="shared" si="44"/>
        <v>0</v>
      </c>
      <c r="BF179" s="110">
        <f t="shared" si="41"/>
        <v>0</v>
      </c>
      <c r="BG179" s="6">
        <f>SUM(BC179:BF179)/Variables!$E$3</f>
        <v>0</v>
      </c>
      <c r="BH179" s="4">
        <v>0</v>
      </c>
      <c r="BI179">
        <v>0</v>
      </c>
      <c r="BJ179">
        <v>0</v>
      </c>
      <c r="BK179">
        <v>0</v>
      </c>
      <c r="BL179" s="6">
        <f>SUM(BH179:BK179)/Variables!$E$3</f>
        <v>0</v>
      </c>
      <c r="BM179" s="110">
        <v>0</v>
      </c>
      <c r="BN179" s="110">
        <v>0</v>
      </c>
      <c r="BO179" s="110">
        <v>0</v>
      </c>
      <c r="BP179" s="110">
        <v>0</v>
      </c>
      <c r="BQ179" s="6">
        <f>SUM(BM179:BP179)/Variables!$E$3</f>
        <v>0</v>
      </c>
      <c r="BS179" s="4">
        <v>177</v>
      </c>
      <c r="BT179" s="125">
        <f t="shared" si="30"/>
        <v>0</v>
      </c>
      <c r="BU179" s="125">
        <f t="shared" si="31"/>
        <v>1.7035764337009793E-2</v>
      </c>
      <c r="BV179" s="125">
        <f t="shared" si="32"/>
        <v>0</v>
      </c>
      <c r="BW179" s="125">
        <f t="shared" si="33"/>
        <v>0</v>
      </c>
      <c r="BX179" s="125">
        <f t="shared" si="34"/>
        <v>0</v>
      </c>
      <c r="BY179" s="125">
        <f t="shared" si="35"/>
        <v>0</v>
      </c>
      <c r="BZ179" s="125">
        <f t="shared" si="36"/>
        <v>0</v>
      </c>
      <c r="CA179" s="125">
        <f t="shared" si="37"/>
        <v>0</v>
      </c>
      <c r="CB179" s="125">
        <f t="shared" si="38"/>
        <v>0</v>
      </c>
      <c r="CC179" s="125">
        <f t="shared" si="39"/>
        <v>0</v>
      </c>
      <c r="CD179" s="125">
        <f t="shared" si="40"/>
        <v>0</v>
      </c>
      <c r="CE179" s="125">
        <f t="shared" si="42"/>
        <v>0</v>
      </c>
      <c r="CF179" s="126">
        <f t="shared" si="43"/>
        <v>0</v>
      </c>
      <c r="CH179" s="4">
        <v>177</v>
      </c>
      <c r="CI179" s="129">
        <v>0</v>
      </c>
      <c r="CJ179" s="125">
        <v>0</v>
      </c>
      <c r="CK179" s="125">
        <v>0</v>
      </c>
      <c r="CL179" s="125">
        <v>0</v>
      </c>
      <c r="CM179" s="125">
        <v>0</v>
      </c>
      <c r="CN179" s="125">
        <v>0</v>
      </c>
      <c r="CO179" s="125">
        <v>0</v>
      </c>
      <c r="CP179" s="125">
        <v>0</v>
      </c>
      <c r="CQ179" s="125">
        <v>0</v>
      </c>
      <c r="CR179" s="125">
        <v>0</v>
      </c>
      <c r="CS179" s="125">
        <v>0</v>
      </c>
      <c r="CT179" s="125">
        <v>0</v>
      </c>
      <c r="CU179" s="126">
        <v>0</v>
      </c>
    </row>
    <row r="180" spans="1:99" x14ac:dyDescent="0.25">
      <c r="A180" t="s">
        <v>228</v>
      </c>
      <c r="B180" s="2" t="s">
        <v>1</v>
      </c>
      <c r="C180" s="1">
        <v>17776</v>
      </c>
      <c r="D180" s="19">
        <v>126.342857142857</v>
      </c>
      <c r="E180" s="18">
        <v>0</v>
      </c>
      <c r="F180" s="19">
        <v>0</v>
      </c>
      <c r="G180" s="19">
        <v>0</v>
      </c>
      <c r="H180" s="19">
        <v>0</v>
      </c>
      <c r="I180" s="19">
        <f>SUM(E180:H180)/Variables!$E$3</f>
        <v>0</v>
      </c>
      <c r="J180" s="4">
        <v>0</v>
      </c>
      <c r="K180">
        <v>0</v>
      </c>
      <c r="L180">
        <v>21516</v>
      </c>
      <c r="M180">
        <v>0</v>
      </c>
      <c r="N180" s="6">
        <f>SUM(J180:M180)/Variables!$E$3</f>
        <v>1.7035764337009793E-2</v>
      </c>
      <c r="O180" s="4">
        <v>0</v>
      </c>
      <c r="P180">
        <v>0</v>
      </c>
      <c r="Q180">
        <v>0</v>
      </c>
      <c r="R180">
        <v>0</v>
      </c>
      <c r="S180" s="6">
        <f>SUM(O180:R180)/Variables!$E$3</f>
        <v>0</v>
      </c>
      <c r="T180" s="12">
        <v>0</v>
      </c>
      <c r="U180" s="6">
        <v>0</v>
      </c>
      <c r="V180" s="6">
        <v>0</v>
      </c>
      <c r="W180" s="6">
        <v>0</v>
      </c>
      <c r="X180" s="6">
        <f>SUM(T180:W180)/Variables!$E$3</f>
        <v>0</v>
      </c>
      <c r="Y180" s="12">
        <v>0</v>
      </c>
      <c r="Z180" s="6">
        <v>0</v>
      </c>
      <c r="AA180" s="6">
        <v>0</v>
      </c>
      <c r="AB180" s="6">
        <v>0</v>
      </c>
      <c r="AC180" s="6">
        <f>SUM(Y180:AB180)/Variables!$E$3</f>
        <v>0</v>
      </c>
      <c r="AD180" s="4">
        <v>0</v>
      </c>
      <c r="AE180" s="2">
        <v>0</v>
      </c>
      <c r="AF180" s="2">
        <v>0</v>
      </c>
      <c r="AG180" s="2">
        <v>0</v>
      </c>
      <c r="AH180" s="6">
        <f>SUM(AD180:AG180)/Variables!$E$3</f>
        <v>0</v>
      </c>
      <c r="AI180" s="4">
        <v>0</v>
      </c>
      <c r="AJ180" s="2">
        <v>0</v>
      </c>
      <c r="AK180" s="2">
        <v>0</v>
      </c>
      <c r="AL180" s="2">
        <v>0</v>
      </c>
      <c r="AM180" s="6">
        <f>SUM(AI180:AL180)/Variables!$E$3</f>
        <v>0</v>
      </c>
      <c r="AN180" s="4">
        <v>0</v>
      </c>
      <c r="AO180" s="2">
        <v>0</v>
      </c>
      <c r="AP180" s="2">
        <v>0</v>
      </c>
      <c r="AQ180" s="2">
        <v>0</v>
      </c>
      <c r="AR180" s="6">
        <f>SUM(AN180:AQ180)/Variables!$E$3</f>
        <v>0</v>
      </c>
      <c r="AS180" s="4">
        <v>0</v>
      </c>
      <c r="AT180" s="2">
        <v>0</v>
      </c>
      <c r="AU180" s="2">
        <v>0</v>
      </c>
      <c r="AV180" s="2">
        <v>0</v>
      </c>
      <c r="AW180" s="6">
        <f>SUM(AS180:AV180)/Variables!$E$3</f>
        <v>0</v>
      </c>
      <c r="AX180" s="4">
        <v>0</v>
      </c>
      <c r="AY180" s="2">
        <v>0</v>
      </c>
      <c r="AZ180" s="2">
        <v>0</v>
      </c>
      <c r="BA180" s="2">
        <v>0</v>
      </c>
      <c r="BB180" s="6">
        <f>SUM(AX180:BA180)/Variables!$E$3</f>
        <v>0</v>
      </c>
      <c r="BC180" s="12">
        <f t="shared" si="44"/>
        <v>0</v>
      </c>
      <c r="BD180" s="110">
        <f t="shared" si="44"/>
        <v>0</v>
      </c>
      <c r="BE180" s="110">
        <f t="shared" si="44"/>
        <v>0</v>
      </c>
      <c r="BF180" s="110">
        <f t="shared" si="41"/>
        <v>0</v>
      </c>
      <c r="BG180" s="6">
        <f>SUM(BC180:BF180)/Variables!$E$3</f>
        <v>0</v>
      </c>
      <c r="BH180" s="4">
        <v>0</v>
      </c>
      <c r="BI180">
        <v>0</v>
      </c>
      <c r="BJ180">
        <v>0</v>
      </c>
      <c r="BK180">
        <v>0</v>
      </c>
      <c r="BL180" s="6">
        <f>SUM(BH180:BK180)/Variables!$E$3</f>
        <v>0</v>
      </c>
      <c r="BM180" s="110">
        <v>0</v>
      </c>
      <c r="BN180" s="110">
        <v>0</v>
      </c>
      <c r="BO180" s="110">
        <v>0</v>
      </c>
      <c r="BP180" s="110">
        <v>0</v>
      </c>
      <c r="BQ180" s="6">
        <f>SUM(BM180:BP180)/Variables!$E$3</f>
        <v>0</v>
      </c>
      <c r="BS180" s="4">
        <v>178</v>
      </c>
      <c r="BT180" s="125">
        <f t="shared" si="30"/>
        <v>0</v>
      </c>
      <c r="BU180" s="125">
        <f t="shared" si="31"/>
        <v>0</v>
      </c>
      <c r="BV180" s="125">
        <f t="shared" si="32"/>
        <v>0</v>
      </c>
      <c r="BW180" s="125">
        <f t="shared" si="33"/>
        <v>0</v>
      </c>
      <c r="BX180" s="125">
        <f t="shared" si="34"/>
        <v>0</v>
      </c>
      <c r="BY180" s="125">
        <f t="shared" si="35"/>
        <v>0</v>
      </c>
      <c r="BZ180" s="125">
        <f t="shared" si="36"/>
        <v>0</v>
      </c>
      <c r="CA180" s="125">
        <f t="shared" si="37"/>
        <v>0</v>
      </c>
      <c r="CB180" s="125">
        <f t="shared" si="38"/>
        <v>0</v>
      </c>
      <c r="CC180" s="125">
        <f t="shared" si="39"/>
        <v>0</v>
      </c>
      <c r="CD180" s="125">
        <f t="shared" si="40"/>
        <v>0</v>
      </c>
      <c r="CE180" s="125">
        <f t="shared" si="42"/>
        <v>0</v>
      </c>
      <c r="CF180" s="126">
        <f t="shared" si="43"/>
        <v>0</v>
      </c>
      <c r="CH180" s="4">
        <v>178</v>
      </c>
      <c r="CI180" s="129">
        <v>0</v>
      </c>
      <c r="CJ180" s="125">
        <v>0</v>
      </c>
      <c r="CK180" s="125">
        <v>0</v>
      </c>
      <c r="CL180" s="125">
        <v>0</v>
      </c>
      <c r="CM180" s="125">
        <v>0</v>
      </c>
      <c r="CN180" s="125">
        <v>0</v>
      </c>
      <c r="CO180" s="125">
        <v>0</v>
      </c>
      <c r="CP180" s="125">
        <v>0</v>
      </c>
      <c r="CQ180" s="125">
        <v>0</v>
      </c>
      <c r="CR180" s="125">
        <v>0</v>
      </c>
      <c r="CS180" s="125">
        <v>0</v>
      </c>
      <c r="CT180" s="125">
        <v>0</v>
      </c>
      <c r="CU180" s="126">
        <v>0</v>
      </c>
    </row>
    <row r="181" spans="1:99" x14ac:dyDescent="0.25">
      <c r="A181" t="s">
        <v>228</v>
      </c>
      <c r="B181" s="2" t="s">
        <v>2</v>
      </c>
      <c r="C181" s="1">
        <v>17867</v>
      </c>
      <c r="D181" s="19">
        <v>45.971428571428604</v>
      </c>
      <c r="E181" s="18">
        <v>0</v>
      </c>
      <c r="F181" s="19">
        <v>0</v>
      </c>
      <c r="G181" s="19">
        <v>0</v>
      </c>
      <c r="H181" s="19">
        <v>0</v>
      </c>
      <c r="I181" s="19">
        <f>SUM(E181:H181)/Variables!$E$3</f>
        <v>0</v>
      </c>
      <c r="J181" s="4">
        <v>0</v>
      </c>
      <c r="K181">
        <v>0</v>
      </c>
      <c r="L181">
        <v>0</v>
      </c>
      <c r="M181">
        <v>0</v>
      </c>
      <c r="N181" s="6">
        <f>SUM(J181:M181)/Variables!$E$3</f>
        <v>0</v>
      </c>
      <c r="O181" s="4">
        <v>0</v>
      </c>
      <c r="P181">
        <v>0</v>
      </c>
      <c r="Q181">
        <v>0</v>
      </c>
      <c r="R181">
        <v>0</v>
      </c>
      <c r="S181" s="6">
        <f>SUM(O181:R181)/Variables!$E$3</f>
        <v>0</v>
      </c>
      <c r="T181" s="12">
        <v>0</v>
      </c>
      <c r="U181" s="6">
        <v>0</v>
      </c>
      <c r="V181" s="6">
        <v>0</v>
      </c>
      <c r="W181" s="6">
        <v>0</v>
      </c>
      <c r="X181" s="6">
        <f>SUM(T181:W181)/Variables!$E$3</f>
        <v>0</v>
      </c>
      <c r="Y181" s="12">
        <v>0</v>
      </c>
      <c r="Z181" s="6">
        <v>0</v>
      </c>
      <c r="AA181" s="6">
        <v>0</v>
      </c>
      <c r="AB181" s="6">
        <v>0</v>
      </c>
      <c r="AC181" s="6">
        <f>SUM(Y181:AB181)/Variables!$E$3</f>
        <v>0</v>
      </c>
      <c r="AD181" s="4">
        <v>0</v>
      </c>
      <c r="AE181" s="2">
        <v>0</v>
      </c>
      <c r="AF181" s="2">
        <v>0</v>
      </c>
      <c r="AG181" s="2">
        <v>0</v>
      </c>
      <c r="AH181" s="6">
        <f>SUM(AD181:AG181)/Variables!$E$3</f>
        <v>0</v>
      </c>
      <c r="AI181" s="4">
        <v>0</v>
      </c>
      <c r="AJ181" s="2">
        <v>0</v>
      </c>
      <c r="AK181" s="2">
        <v>0</v>
      </c>
      <c r="AL181" s="2">
        <v>0</v>
      </c>
      <c r="AM181" s="6">
        <f>SUM(AI181:AL181)/Variables!$E$3</f>
        <v>0</v>
      </c>
      <c r="AN181" s="4">
        <v>0</v>
      </c>
      <c r="AO181" s="2">
        <v>0</v>
      </c>
      <c r="AP181" s="2">
        <v>0</v>
      </c>
      <c r="AQ181" s="2">
        <v>0</v>
      </c>
      <c r="AR181" s="6">
        <f>SUM(AN181:AQ181)/Variables!$E$3</f>
        <v>0</v>
      </c>
      <c r="AS181" s="4">
        <v>0</v>
      </c>
      <c r="AT181" s="2">
        <v>0</v>
      </c>
      <c r="AU181" s="2">
        <v>0</v>
      </c>
      <c r="AV181" s="2">
        <v>0</v>
      </c>
      <c r="AW181" s="6">
        <f>SUM(AS181:AV181)/Variables!$E$3</f>
        <v>0</v>
      </c>
      <c r="AX181" s="4">
        <v>0</v>
      </c>
      <c r="AY181" s="2">
        <v>0</v>
      </c>
      <c r="AZ181" s="2">
        <v>0</v>
      </c>
      <c r="BA181" s="2">
        <v>0</v>
      </c>
      <c r="BB181" s="6">
        <f>SUM(AX181:BA181)/Variables!$E$3</f>
        <v>0</v>
      </c>
      <c r="BC181" s="12">
        <f t="shared" si="44"/>
        <v>0</v>
      </c>
      <c r="BD181" s="110">
        <f t="shared" si="44"/>
        <v>0</v>
      </c>
      <c r="BE181" s="110">
        <f t="shared" si="44"/>
        <v>0</v>
      </c>
      <c r="BF181" s="110">
        <f t="shared" si="41"/>
        <v>0</v>
      </c>
      <c r="BG181" s="6">
        <f>SUM(BC181:BF181)/Variables!$E$3</f>
        <v>0</v>
      </c>
      <c r="BH181" s="4">
        <v>0</v>
      </c>
      <c r="BI181">
        <v>0</v>
      </c>
      <c r="BJ181">
        <v>0</v>
      </c>
      <c r="BK181">
        <v>0</v>
      </c>
      <c r="BL181" s="6">
        <f>SUM(BH181:BK181)/Variables!$E$3</f>
        <v>0</v>
      </c>
      <c r="BM181" s="110">
        <v>0</v>
      </c>
      <c r="BN181" s="110">
        <v>0</v>
      </c>
      <c r="BO181" s="110">
        <v>0</v>
      </c>
      <c r="BP181" s="110">
        <v>0</v>
      </c>
      <c r="BQ181" s="6">
        <f>SUM(BM181:BP181)/Variables!$E$3</f>
        <v>0</v>
      </c>
      <c r="BS181" s="4">
        <v>179</v>
      </c>
      <c r="BT181" s="125">
        <f t="shared" si="30"/>
        <v>0</v>
      </c>
      <c r="BU181" s="125">
        <f t="shared" si="31"/>
        <v>0</v>
      </c>
      <c r="BV181" s="125">
        <f t="shared" si="32"/>
        <v>0</v>
      </c>
      <c r="BW181" s="125">
        <f t="shared" si="33"/>
        <v>0</v>
      </c>
      <c r="BX181" s="125">
        <f t="shared" si="34"/>
        <v>0</v>
      </c>
      <c r="BY181" s="125">
        <f t="shared" si="35"/>
        <v>0</v>
      </c>
      <c r="BZ181" s="125">
        <f t="shared" si="36"/>
        <v>0</v>
      </c>
      <c r="CA181" s="125">
        <f t="shared" si="37"/>
        <v>0</v>
      </c>
      <c r="CB181" s="125">
        <f t="shared" si="38"/>
        <v>0</v>
      </c>
      <c r="CC181" s="125">
        <f t="shared" si="39"/>
        <v>0</v>
      </c>
      <c r="CD181" s="125">
        <f t="shared" si="40"/>
        <v>0</v>
      </c>
      <c r="CE181" s="125">
        <f t="shared" si="42"/>
        <v>0</v>
      </c>
      <c r="CF181" s="126">
        <f t="shared" si="43"/>
        <v>0</v>
      </c>
      <c r="CH181" s="4">
        <v>179</v>
      </c>
      <c r="CI181" s="129">
        <v>0</v>
      </c>
      <c r="CJ181" s="125">
        <v>0</v>
      </c>
      <c r="CK181" s="125">
        <v>0</v>
      </c>
      <c r="CL181" s="125">
        <v>0</v>
      </c>
      <c r="CM181" s="125">
        <v>0</v>
      </c>
      <c r="CN181" s="125">
        <v>0</v>
      </c>
      <c r="CO181" s="125">
        <v>0</v>
      </c>
      <c r="CP181" s="125">
        <v>0</v>
      </c>
      <c r="CQ181" s="125">
        <v>0</v>
      </c>
      <c r="CR181" s="125">
        <v>0</v>
      </c>
      <c r="CS181" s="125">
        <v>0</v>
      </c>
      <c r="CT181" s="125">
        <v>0</v>
      </c>
      <c r="CU181" s="126">
        <v>0</v>
      </c>
    </row>
    <row r="182" spans="1:99" x14ac:dyDescent="0.25">
      <c r="A182" t="s">
        <v>229</v>
      </c>
      <c r="B182" s="2" t="s">
        <v>3</v>
      </c>
      <c r="C182" s="1">
        <v>17957</v>
      </c>
      <c r="D182" s="19">
        <v>105.211904761905</v>
      </c>
      <c r="E182" s="18">
        <v>0</v>
      </c>
      <c r="F182" s="19">
        <v>0</v>
      </c>
      <c r="G182" s="19">
        <v>0</v>
      </c>
      <c r="H182" s="19">
        <v>0</v>
      </c>
      <c r="I182" s="19">
        <f>SUM(E182:H182)/Variables!$E$3</f>
        <v>0</v>
      </c>
      <c r="J182" s="4">
        <v>0</v>
      </c>
      <c r="K182">
        <v>0</v>
      </c>
      <c r="L182">
        <v>0</v>
      </c>
      <c r="M182">
        <v>0</v>
      </c>
      <c r="N182" s="6">
        <f>SUM(J182:M182)/Variables!$E$3</f>
        <v>0</v>
      </c>
      <c r="O182" s="4">
        <v>0</v>
      </c>
      <c r="P182">
        <v>0</v>
      </c>
      <c r="Q182">
        <v>0</v>
      </c>
      <c r="R182">
        <v>0</v>
      </c>
      <c r="S182" s="6">
        <f>SUM(O182:R182)/Variables!$E$3</f>
        <v>0</v>
      </c>
      <c r="T182" s="12">
        <v>0</v>
      </c>
      <c r="U182" s="6">
        <v>0</v>
      </c>
      <c r="V182" s="6">
        <v>0</v>
      </c>
      <c r="W182" s="6">
        <v>0</v>
      </c>
      <c r="X182" s="6">
        <f>SUM(T182:W182)/Variables!$E$3</f>
        <v>0</v>
      </c>
      <c r="Y182" s="12">
        <v>0</v>
      </c>
      <c r="Z182" s="6">
        <v>0</v>
      </c>
      <c r="AA182" s="6">
        <v>0</v>
      </c>
      <c r="AB182" s="6">
        <v>0</v>
      </c>
      <c r="AC182" s="6">
        <f>SUM(Y182:AB182)/Variables!$E$3</f>
        <v>0</v>
      </c>
      <c r="AD182" s="4">
        <v>0</v>
      </c>
      <c r="AE182" s="2">
        <v>0</v>
      </c>
      <c r="AF182" s="2">
        <v>0</v>
      </c>
      <c r="AG182" s="2">
        <v>0</v>
      </c>
      <c r="AH182" s="6">
        <f>SUM(AD182:AG182)/Variables!$E$3</f>
        <v>0</v>
      </c>
      <c r="AI182" s="4">
        <v>0</v>
      </c>
      <c r="AJ182" s="2">
        <v>0</v>
      </c>
      <c r="AK182" s="2">
        <v>0</v>
      </c>
      <c r="AL182" s="2">
        <v>0</v>
      </c>
      <c r="AM182" s="6">
        <f>SUM(AI182:AL182)/Variables!$E$3</f>
        <v>0</v>
      </c>
      <c r="AN182" s="4">
        <v>0</v>
      </c>
      <c r="AO182" s="2">
        <v>0</v>
      </c>
      <c r="AP182" s="2">
        <v>0</v>
      </c>
      <c r="AQ182" s="2">
        <v>0</v>
      </c>
      <c r="AR182" s="6">
        <f>SUM(AN182:AQ182)/Variables!$E$3</f>
        <v>0</v>
      </c>
      <c r="AS182" s="4">
        <v>0</v>
      </c>
      <c r="AT182" s="2">
        <v>0</v>
      </c>
      <c r="AU182" s="2">
        <v>0</v>
      </c>
      <c r="AV182" s="2">
        <v>0</v>
      </c>
      <c r="AW182" s="6">
        <f>SUM(AS182:AV182)/Variables!$E$3</f>
        <v>0</v>
      </c>
      <c r="AX182" s="4">
        <v>0</v>
      </c>
      <c r="AY182" s="2">
        <v>0</v>
      </c>
      <c r="AZ182" s="2">
        <v>0</v>
      </c>
      <c r="BA182" s="2">
        <v>0</v>
      </c>
      <c r="BB182" s="6">
        <f>SUM(AX182:BA182)/Variables!$E$3</f>
        <v>0</v>
      </c>
      <c r="BC182" s="12">
        <f t="shared" si="44"/>
        <v>0</v>
      </c>
      <c r="BD182" s="110">
        <f t="shared" si="44"/>
        <v>0</v>
      </c>
      <c r="BE182" s="110">
        <f t="shared" si="44"/>
        <v>0</v>
      </c>
      <c r="BF182" s="110">
        <f t="shared" si="41"/>
        <v>0</v>
      </c>
      <c r="BG182" s="6">
        <f>SUM(BC182:BF182)/Variables!$E$3</f>
        <v>0</v>
      </c>
      <c r="BH182" s="4">
        <v>0</v>
      </c>
      <c r="BI182">
        <v>0</v>
      </c>
      <c r="BJ182">
        <v>0</v>
      </c>
      <c r="BK182">
        <v>0</v>
      </c>
      <c r="BL182" s="6">
        <f>SUM(BH182:BK182)/Variables!$E$3</f>
        <v>0</v>
      </c>
      <c r="BM182" s="110">
        <v>0</v>
      </c>
      <c r="BN182" s="110">
        <v>0</v>
      </c>
      <c r="BO182" s="110">
        <v>0</v>
      </c>
      <c r="BP182" s="110">
        <v>0</v>
      </c>
      <c r="BQ182" s="6">
        <f>SUM(BM182:BP182)/Variables!$E$3</f>
        <v>0</v>
      </c>
      <c r="BS182" s="4">
        <v>180</v>
      </c>
      <c r="BT182" s="125">
        <f t="shared" si="30"/>
        <v>0</v>
      </c>
      <c r="BU182" s="125">
        <f t="shared" si="31"/>
        <v>4.0803965193706999E-2</v>
      </c>
      <c r="BV182" s="125">
        <f t="shared" si="32"/>
        <v>0</v>
      </c>
      <c r="BW182" s="125">
        <f t="shared" si="33"/>
        <v>4.2489647582324482E-3</v>
      </c>
      <c r="BX182" s="125">
        <f t="shared" si="34"/>
        <v>3.8635301942216487E-3</v>
      </c>
      <c r="BY182" s="125">
        <f t="shared" si="35"/>
        <v>0</v>
      </c>
      <c r="BZ182" s="125">
        <f t="shared" si="36"/>
        <v>7.798953277539806E-5</v>
      </c>
      <c r="CA182" s="125">
        <f t="shared" si="37"/>
        <v>3.121164854828613E-4</v>
      </c>
      <c r="CB182" s="125">
        <f t="shared" si="38"/>
        <v>4.2894243026468937E-3</v>
      </c>
      <c r="CC182" s="125">
        <f t="shared" si="39"/>
        <v>1.6900371341024077E-3</v>
      </c>
      <c r="CD182" s="125">
        <f t="shared" si="40"/>
        <v>3.8635301942216487E-3</v>
      </c>
      <c r="CE182" s="125">
        <f t="shared" si="42"/>
        <v>1.1167150967149385E-3</v>
      </c>
      <c r="CF182" s="126">
        <f t="shared" si="43"/>
        <v>1.7356431959081227E-3</v>
      </c>
      <c r="CH182" s="4">
        <v>180</v>
      </c>
      <c r="CI182" s="129">
        <v>0</v>
      </c>
      <c r="CJ182" s="125">
        <v>0</v>
      </c>
      <c r="CK182" s="125">
        <v>0</v>
      </c>
      <c r="CL182" s="125">
        <v>0</v>
      </c>
      <c r="CM182" s="125">
        <v>0</v>
      </c>
      <c r="CN182" s="125">
        <v>0</v>
      </c>
      <c r="CO182" s="125">
        <v>0</v>
      </c>
      <c r="CP182" s="125">
        <v>0</v>
      </c>
      <c r="CQ182" s="125">
        <v>0</v>
      </c>
      <c r="CR182" s="125">
        <v>0</v>
      </c>
      <c r="CS182" s="125">
        <v>0</v>
      </c>
      <c r="CT182" s="125">
        <v>0</v>
      </c>
      <c r="CU182" s="126">
        <v>0</v>
      </c>
    </row>
    <row r="183" spans="1:99" x14ac:dyDescent="0.25">
      <c r="A183" t="s">
        <v>229</v>
      </c>
      <c r="B183" s="2" t="s">
        <v>4</v>
      </c>
      <c r="C183" s="1">
        <v>18049</v>
      </c>
      <c r="D183" s="19">
        <v>148.728571428571</v>
      </c>
      <c r="E183" s="18">
        <v>0</v>
      </c>
      <c r="F183" s="19">
        <v>0</v>
      </c>
      <c r="G183" s="19">
        <v>0</v>
      </c>
      <c r="H183" s="19">
        <v>0</v>
      </c>
      <c r="I183" s="19">
        <f>SUM(E183:H183)/Variables!$E$3</f>
        <v>0</v>
      </c>
      <c r="J183" s="4">
        <v>0</v>
      </c>
      <c r="K183">
        <v>0</v>
      </c>
      <c r="L183">
        <v>51363</v>
      </c>
      <c r="M183">
        <v>172</v>
      </c>
      <c r="N183" s="6">
        <f>SUM(J183:M183)/Variables!$E$3</f>
        <v>4.0803965193706999E-2</v>
      </c>
      <c r="O183" s="4">
        <v>0</v>
      </c>
      <c r="P183">
        <v>0</v>
      </c>
      <c r="Q183">
        <v>0</v>
      </c>
      <c r="R183">
        <v>0</v>
      </c>
      <c r="S183" s="6">
        <f>SUM(O183:R183)/Variables!$E$3</f>
        <v>0</v>
      </c>
      <c r="T183" s="12">
        <v>0</v>
      </c>
      <c r="U183" s="6">
        <v>0</v>
      </c>
      <c r="V183" s="6">
        <v>5366.4</v>
      </c>
      <c r="W183" s="6">
        <v>0</v>
      </c>
      <c r="X183" s="6">
        <f>SUM(T183:W183)/Variables!$E$3</f>
        <v>4.2489647582324482E-3</v>
      </c>
      <c r="Y183" s="12">
        <v>0</v>
      </c>
      <c r="Z183" s="6">
        <v>0</v>
      </c>
      <c r="AA183" s="6">
        <v>4879.6000000000004</v>
      </c>
      <c r="AB183" s="6">
        <v>0</v>
      </c>
      <c r="AC183" s="6">
        <f>SUM(Y183:AB183)/Variables!$E$3</f>
        <v>3.8635301942216487E-3</v>
      </c>
      <c r="AD183" s="4">
        <v>0</v>
      </c>
      <c r="AE183" s="2">
        <v>0</v>
      </c>
      <c r="AF183" s="2">
        <v>0</v>
      </c>
      <c r="AG183" s="2">
        <v>0</v>
      </c>
      <c r="AH183" s="6">
        <f>SUM(AD183:AG183)/Variables!$E$3</f>
        <v>0</v>
      </c>
      <c r="AI183" s="4">
        <v>0</v>
      </c>
      <c r="AJ183" s="2">
        <v>0</v>
      </c>
      <c r="AK183" s="2">
        <v>98.5</v>
      </c>
      <c r="AL183" s="2">
        <v>0</v>
      </c>
      <c r="AM183" s="6">
        <f>SUM(AI183:AL183)/Variables!$E$3</f>
        <v>7.798953277539806E-5</v>
      </c>
      <c r="AN183" s="4">
        <v>0</v>
      </c>
      <c r="AO183" s="2">
        <v>0</v>
      </c>
      <c r="AP183" s="2">
        <v>394.19999999999902</v>
      </c>
      <c r="AQ183" s="2">
        <v>0</v>
      </c>
      <c r="AR183" s="6">
        <f>SUM(AN183:AQ183)/Variables!$E$3</f>
        <v>3.121164854828613E-4</v>
      </c>
      <c r="AS183" s="4">
        <v>0</v>
      </c>
      <c r="AT183" s="2">
        <v>0</v>
      </c>
      <c r="AU183" s="2">
        <v>5417.5</v>
      </c>
      <c r="AV183" s="2">
        <v>0</v>
      </c>
      <c r="AW183" s="6">
        <f>SUM(AS183:AV183)/Variables!$E$3</f>
        <v>4.2894243026468937E-3</v>
      </c>
      <c r="AX183" s="4">
        <v>0</v>
      </c>
      <c r="AY183" s="2">
        <v>0</v>
      </c>
      <c r="AZ183" s="2">
        <v>2134.5</v>
      </c>
      <c r="BA183" s="2">
        <v>0</v>
      </c>
      <c r="BB183" s="6">
        <f>SUM(AX183:BA183)/Variables!$E$3</f>
        <v>1.6900371341024077E-3</v>
      </c>
      <c r="BC183" s="12">
        <f t="shared" si="44"/>
        <v>0</v>
      </c>
      <c r="BD183" s="110">
        <f t="shared" si="44"/>
        <v>0</v>
      </c>
      <c r="BE183" s="110">
        <f t="shared" si="44"/>
        <v>4879.6000000000004</v>
      </c>
      <c r="BF183" s="110">
        <f t="shared" si="41"/>
        <v>0</v>
      </c>
      <c r="BG183" s="6">
        <f>SUM(BC183:BF183)/Variables!$E$3</f>
        <v>3.8635301942216487E-3</v>
      </c>
      <c r="BH183" s="4">
        <v>0</v>
      </c>
      <c r="BI183">
        <v>0</v>
      </c>
      <c r="BJ183">
        <v>1410.4</v>
      </c>
      <c r="BK183">
        <v>0</v>
      </c>
      <c r="BL183" s="6">
        <f>SUM(BH183:BK183)/Variables!$E$3</f>
        <v>1.1167150967149385E-3</v>
      </c>
      <c r="BM183" s="110">
        <v>0</v>
      </c>
      <c r="BN183" s="110">
        <v>0</v>
      </c>
      <c r="BO183" s="110">
        <v>2192.1</v>
      </c>
      <c r="BP183" s="110">
        <v>0</v>
      </c>
      <c r="BQ183" s="6">
        <f>SUM(BM183:BP183)/Variables!$E$3</f>
        <v>1.7356431959081227E-3</v>
      </c>
      <c r="BS183" s="4">
        <v>181</v>
      </c>
      <c r="BT183" s="125">
        <f t="shared" si="30"/>
        <v>0</v>
      </c>
      <c r="BU183" s="125">
        <f t="shared" si="31"/>
        <v>0</v>
      </c>
      <c r="BV183" s="125">
        <f t="shared" si="32"/>
        <v>0</v>
      </c>
      <c r="BW183" s="125">
        <f t="shared" si="33"/>
        <v>0</v>
      </c>
      <c r="BX183" s="125">
        <f t="shared" si="34"/>
        <v>0</v>
      </c>
      <c r="BY183" s="125">
        <f t="shared" si="35"/>
        <v>0</v>
      </c>
      <c r="BZ183" s="125">
        <f t="shared" si="36"/>
        <v>0</v>
      </c>
      <c r="CA183" s="125">
        <f t="shared" si="37"/>
        <v>0</v>
      </c>
      <c r="CB183" s="125">
        <f t="shared" si="38"/>
        <v>0</v>
      </c>
      <c r="CC183" s="125">
        <f t="shared" si="39"/>
        <v>0</v>
      </c>
      <c r="CD183" s="125">
        <f t="shared" si="40"/>
        <v>0</v>
      </c>
      <c r="CE183" s="125">
        <f t="shared" si="42"/>
        <v>0</v>
      </c>
      <c r="CF183" s="126">
        <f t="shared" si="43"/>
        <v>0</v>
      </c>
      <c r="CH183" s="4">
        <v>181</v>
      </c>
      <c r="CI183" s="129">
        <v>0</v>
      </c>
      <c r="CJ183" s="125">
        <v>0</v>
      </c>
      <c r="CK183" s="125">
        <v>0</v>
      </c>
      <c r="CL183" s="125">
        <v>0</v>
      </c>
      <c r="CM183" s="125">
        <v>0</v>
      </c>
      <c r="CN183" s="125">
        <v>0</v>
      </c>
      <c r="CO183" s="125">
        <v>0</v>
      </c>
      <c r="CP183" s="125">
        <v>0</v>
      </c>
      <c r="CQ183" s="125">
        <v>0</v>
      </c>
      <c r="CR183" s="125">
        <v>0</v>
      </c>
      <c r="CS183" s="125">
        <v>0</v>
      </c>
      <c r="CT183" s="125">
        <v>0</v>
      </c>
      <c r="CU183" s="126">
        <v>0</v>
      </c>
    </row>
    <row r="184" spans="1:99" x14ac:dyDescent="0.25">
      <c r="A184" t="s">
        <v>229</v>
      </c>
      <c r="B184" s="2" t="s">
        <v>1</v>
      </c>
      <c r="C184" s="1">
        <v>18141</v>
      </c>
      <c r="D184" s="19">
        <v>38.6142857142857</v>
      </c>
      <c r="E184" s="18">
        <v>0</v>
      </c>
      <c r="F184" s="19">
        <v>0</v>
      </c>
      <c r="G184" s="19">
        <v>0</v>
      </c>
      <c r="H184" s="19">
        <v>0</v>
      </c>
      <c r="I184" s="19">
        <f>SUM(E184:H184)/Variables!$E$3</f>
        <v>0</v>
      </c>
      <c r="J184" s="4">
        <v>0</v>
      </c>
      <c r="K184">
        <v>0</v>
      </c>
      <c r="L184">
        <v>0</v>
      </c>
      <c r="M184">
        <v>0</v>
      </c>
      <c r="N184" s="6">
        <f>SUM(J184:M184)/Variables!$E$3</f>
        <v>0</v>
      </c>
      <c r="O184" s="4">
        <v>0</v>
      </c>
      <c r="P184">
        <v>0</v>
      </c>
      <c r="Q184">
        <v>0</v>
      </c>
      <c r="R184">
        <v>0</v>
      </c>
      <c r="S184" s="6">
        <f>SUM(O184:R184)/Variables!$E$3</f>
        <v>0</v>
      </c>
      <c r="T184" s="12">
        <v>0</v>
      </c>
      <c r="U184" s="6">
        <v>0</v>
      </c>
      <c r="V184" s="6">
        <v>0</v>
      </c>
      <c r="W184" s="6">
        <v>0</v>
      </c>
      <c r="X184" s="6">
        <f>SUM(T184:W184)/Variables!$E$3</f>
        <v>0</v>
      </c>
      <c r="Y184" s="12">
        <v>0</v>
      </c>
      <c r="Z184" s="6">
        <v>0</v>
      </c>
      <c r="AA184" s="6">
        <v>0</v>
      </c>
      <c r="AB184" s="6">
        <v>0</v>
      </c>
      <c r="AC184" s="6">
        <f>SUM(Y184:AB184)/Variables!$E$3</f>
        <v>0</v>
      </c>
      <c r="AD184" s="4">
        <v>0</v>
      </c>
      <c r="AE184" s="2">
        <v>0</v>
      </c>
      <c r="AF184" s="2">
        <v>0</v>
      </c>
      <c r="AG184" s="2">
        <v>0</v>
      </c>
      <c r="AH184" s="6">
        <f>SUM(AD184:AG184)/Variables!$E$3</f>
        <v>0</v>
      </c>
      <c r="AI184" s="4">
        <v>0</v>
      </c>
      <c r="AJ184" s="2">
        <v>0</v>
      </c>
      <c r="AK184" s="2">
        <v>0</v>
      </c>
      <c r="AL184" s="2">
        <v>0</v>
      </c>
      <c r="AM184" s="6">
        <f>SUM(AI184:AL184)/Variables!$E$3</f>
        <v>0</v>
      </c>
      <c r="AN184" s="4">
        <v>0</v>
      </c>
      <c r="AO184" s="2">
        <v>0</v>
      </c>
      <c r="AP184" s="2">
        <v>0</v>
      </c>
      <c r="AQ184" s="2">
        <v>0</v>
      </c>
      <c r="AR184" s="6">
        <f>SUM(AN184:AQ184)/Variables!$E$3</f>
        <v>0</v>
      </c>
      <c r="AS184" s="4">
        <v>0</v>
      </c>
      <c r="AT184" s="2">
        <v>0</v>
      </c>
      <c r="AU184" s="2">
        <v>0</v>
      </c>
      <c r="AV184" s="2">
        <v>0</v>
      </c>
      <c r="AW184" s="6">
        <f>SUM(AS184:AV184)/Variables!$E$3</f>
        <v>0</v>
      </c>
      <c r="AX184" s="4">
        <v>0</v>
      </c>
      <c r="AY184" s="2">
        <v>0</v>
      </c>
      <c r="AZ184" s="2">
        <v>0</v>
      </c>
      <c r="BA184" s="2">
        <v>0</v>
      </c>
      <c r="BB184" s="6">
        <f>SUM(AX184:BA184)/Variables!$E$3</f>
        <v>0</v>
      </c>
      <c r="BC184" s="12">
        <f t="shared" si="44"/>
        <v>0</v>
      </c>
      <c r="BD184" s="110">
        <f t="shared" si="44"/>
        <v>0</v>
      </c>
      <c r="BE184" s="110">
        <f t="shared" si="44"/>
        <v>0</v>
      </c>
      <c r="BF184" s="110">
        <f t="shared" si="41"/>
        <v>0</v>
      </c>
      <c r="BG184" s="6">
        <f>SUM(BC184:BF184)/Variables!$E$3</f>
        <v>0</v>
      </c>
      <c r="BH184" s="4">
        <v>0</v>
      </c>
      <c r="BI184">
        <v>0</v>
      </c>
      <c r="BJ184">
        <v>0</v>
      </c>
      <c r="BK184">
        <v>0</v>
      </c>
      <c r="BL184" s="6">
        <f>SUM(BH184:BK184)/Variables!$E$3</f>
        <v>0</v>
      </c>
      <c r="BM184" s="110">
        <v>0</v>
      </c>
      <c r="BN184" s="110">
        <v>0</v>
      </c>
      <c r="BO184" s="110">
        <v>0</v>
      </c>
      <c r="BP184" s="110">
        <v>0</v>
      </c>
      <c r="BQ184" s="6">
        <f>SUM(BM184:BP184)/Variables!$E$3</f>
        <v>0</v>
      </c>
      <c r="BS184" s="4">
        <v>182</v>
      </c>
      <c r="BT184" s="125">
        <f t="shared" si="30"/>
        <v>0</v>
      </c>
      <c r="BU184" s="125">
        <f t="shared" si="31"/>
        <v>0.15117617716688175</v>
      </c>
      <c r="BV184" s="125">
        <f t="shared" si="32"/>
        <v>1.7716688176470121E-2</v>
      </c>
      <c r="BW184" s="125">
        <f t="shared" si="33"/>
        <v>5.2236834812627184E-2</v>
      </c>
      <c r="BX184" s="125">
        <f t="shared" si="34"/>
        <v>5.1480771819254312E-2</v>
      </c>
      <c r="BY184" s="125">
        <f t="shared" si="35"/>
        <v>4.0185432980466992E-2</v>
      </c>
      <c r="BZ184" s="125">
        <f t="shared" si="36"/>
        <v>3.4845089826522777E-2</v>
      </c>
      <c r="CA184" s="125">
        <f t="shared" si="37"/>
        <v>3.8492782999073626E-2</v>
      </c>
      <c r="CB184" s="125">
        <f t="shared" si="38"/>
        <v>5.7083666537343924E-2</v>
      </c>
      <c r="CC184" s="125">
        <f t="shared" si="39"/>
        <v>4.2709047577573857E-2</v>
      </c>
      <c r="CD184" s="125">
        <f t="shared" si="40"/>
        <v>5.1480771819254312E-2</v>
      </c>
      <c r="CE184" s="125">
        <f t="shared" si="42"/>
        <v>4.300841653536449E-2</v>
      </c>
      <c r="CF184" s="126">
        <f t="shared" si="43"/>
        <v>4.4072082914354029E-2</v>
      </c>
      <c r="CH184" s="4">
        <v>182</v>
      </c>
      <c r="CI184" s="129">
        <v>0</v>
      </c>
      <c r="CJ184" s="125">
        <v>0.12698437834028772</v>
      </c>
      <c r="CK184" s="125">
        <v>0</v>
      </c>
      <c r="CL184" s="125">
        <v>0</v>
      </c>
      <c r="CM184" s="125">
        <v>0</v>
      </c>
      <c r="CN184" s="125">
        <v>0</v>
      </c>
      <c r="CO184" s="125">
        <v>0</v>
      </c>
      <c r="CP184" s="125">
        <v>0</v>
      </c>
      <c r="CQ184" s="125">
        <v>0</v>
      </c>
      <c r="CR184" s="125">
        <v>0</v>
      </c>
      <c r="CS184" s="125">
        <v>0</v>
      </c>
      <c r="CT184" s="125">
        <v>0</v>
      </c>
      <c r="CU184" s="126">
        <v>0</v>
      </c>
    </row>
    <row r="185" spans="1:99" x14ac:dyDescent="0.25">
      <c r="A185" t="s">
        <v>229</v>
      </c>
      <c r="B185" s="2" t="s">
        <v>2</v>
      </c>
      <c r="C185" s="1">
        <v>18232</v>
      </c>
      <c r="D185" s="19">
        <v>113.657142857143</v>
      </c>
      <c r="E185" s="18">
        <v>0</v>
      </c>
      <c r="F185" s="19">
        <v>0</v>
      </c>
      <c r="G185" s="19">
        <v>0</v>
      </c>
      <c r="H185" s="19">
        <v>0</v>
      </c>
      <c r="I185" s="19">
        <f>SUM(E185:H185)/Variables!$E$3</f>
        <v>0</v>
      </c>
      <c r="J185" s="4">
        <v>5099</v>
      </c>
      <c r="K185">
        <v>11135</v>
      </c>
      <c r="L185">
        <v>148437</v>
      </c>
      <c r="M185">
        <v>26263</v>
      </c>
      <c r="N185" s="6">
        <f>SUM(J185:M185)/Variables!$E$3</f>
        <v>0.15117617716688175</v>
      </c>
      <c r="O185" s="4">
        <v>0</v>
      </c>
      <c r="P185">
        <v>0</v>
      </c>
      <c r="Q185">
        <v>16879</v>
      </c>
      <c r="R185">
        <v>5497</v>
      </c>
      <c r="S185" s="6">
        <f>SUM(O185:R185)/Variables!$E$3</f>
        <v>1.7716688176470121E-2</v>
      </c>
      <c r="T185" s="12">
        <v>0</v>
      </c>
      <c r="U185" s="6">
        <v>0</v>
      </c>
      <c r="V185" s="6">
        <v>54875.1</v>
      </c>
      <c r="W185" s="6">
        <v>11099.5</v>
      </c>
      <c r="X185" s="6">
        <f>SUM(T185:W185)/Variables!$E$3</f>
        <v>5.2236834812627184E-2</v>
      </c>
      <c r="Y185" s="12">
        <v>0</v>
      </c>
      <c r="Z185" s="6">
        <v>0</v>
      </c>
      <c r="AA185" s="6">
        <v>53814.3</v>
      </c>
      <c r="AB185" s="6">
        <v>11205.4</v>
      </c>
      <c r="AC185" s="6">
        <f>SUM(Y185:AB185)/Variables!$E$3</f>
        <v>5.1480771819254312E-2</v>
      </c>
      <c r="AD185" s="4">
        <v>0</v>
      </c>
      <c r="AE185" s="2">
        <v>0</v>
      </c>
      <c r="AF185" s="2">
        <v>41165.9</v>
      </c>
      <c r="AG185" s="2">
        <v>9587.9</v>
      </c>
      <c r="AH185" s="6">
        <f>SUM(AD185:AG185)/Variables!$E$3</f>
        <v>4.0185432980466992E-2</v>
      </c>
      <c r="AI185" s="4">
        <v>0</v>
      </c>
      <c r="AJ185" s="2">
        <v>0</v>
      </c>
      <c r="AK185" s="2">
        <v>37321.9</v>
      </c>
      <c r="AL185" s="2">
        <v>6687.1</v>
      </c>
      <c r="AM185" s="6">
        <f>SUM(AI185:AL185)/Variables!$E$3</f>
        <v>3.4845089826522777E-2</v>
      </c>
      <c r="AN185" s="4">
        <v>0</v>
      </c>
      <c r="AO185" s="2">
        <v>0</v>
      </c>
      <c r="AP185" s="2">
        <v>38298.800000000003</v>
      </c>
      <c r="AQ185" s="2">
        <v>10317.200000000001</v>
      </c>
      <c r="AR185" s="6">
        <f>SUM(AN185:AQ185)/Variables!$E$3</f>
        <v>3.8492782999073626E-2</v>
      </c>
      <c r="AS185" s="4">
        <v>0</v>
      </c>
      <c r="AT185" s="2">
        <v>69.7</v>
      </c>
      <c r="AU185" s="2">
        <v>56451.8</v>
      </c>
      <c r="AV185" s="2">
        <v>15574.6</v>
      </c>
      <c r="AW185" s="6">
        <f>SUM(AS185:AV185)/Variables!$E$3</f>
        <v>5.7083666537343924E-2</v>
      </c>
      <c r="AX185" s="4">
        <v>0</v>
      </c>
      <c r="AY185" s="2">
        <v>0</v>
      </c>
      <c r="AZ185" s="2">
        <v>42656.3</v>
      </c>
      <c r="BA185" s="2">
        <v>11284.8</v>
      </c>
      <c r="BB185" s="6">
        <f>SUM(AX185:BA185)/Variables!$E$3</f>
        <v>4.2709047577573857E-2</v>
      </c>
      <c r="BC185" s="12">
        <f t="shared" si="44"/>
        <v>0</v>
      </c>
      <c r="BD185" s="110">
        <f t="shared" si="44"/>
        <v>0</v>
      </c>
      <c r="BE185" s="110">
        <f t="shared" si="44"/>
        <v>53814.3</v>
      </c>
      <c r="BF185" s="110">
        <f t="shared" si="41"/>
        <v>11205.4</v>
      </c>
      <c r="BG185" s="6">
        <f>SUM(BC185:BF185)/Variables!$E$3</f>
        <v>5.1480771819254312E-2</v>
      </c>
      <c r="BH185" s="4">
        <v>0</v>
      </c>
      <c r="BI185">
        <v>0</v>
      </c>
      <c r="BJ185">
        <v>43233.599999999999</v>
      </c>
      <c r="BK185">
        <v>11085.6</v>
      </c>
      <c r="BL185" s="6">
        <f>SUM(BH185:BK185)/Variables!$E$3</f>
        <v>4.300841653536449E-2</v>
      </c>
      <c r="BM185" s="110">
        <v>0</v>
      </c>
      <c r="BN185" s="110">
        <v>0</v>
      </c>
      <c r="BO185" s="110">
        <v>44545</v>
      </c>
      <c r="BP185" s="110">
        <v>11117.6</v>
      </c>
      <c r="BQ185" s="6">
        <f>SUM(BM185:BP185)/Variables!$E$3</f>
        <v>4.4072082914354029E-2</v>
      </c>
      <c r="BS185" s="4">
        <v>183</v>
      </c>
      <c r="BT185" s="125">
        <f t="shared" si="30"/>
        <v>0</v>
      </c>
      <c r="BU185" s="125">
        <f t="shared" si="31"/>
        <v>1.6124434872801845E-2</v>
      </c>
      <c r="BV185" s="125">
        <f t="shared" si="32"/>
        <v>2.6682713243968679E-4</v>
      </c>
      <c r="BW185" s="125">
        <f t="shared" si="33"/>
        <v>2.3247214942319419E-3</v>
      </c>
      <c r="BX185" s="125">
        <f t="shared" si="34"/>
        <v>2.3337476939643228E-3</v>
      </c>
      <c r="BY185" s="125">
        <f t="shared" si="35"/>
        <v>2.0643868914243181E-3</v>
      </c>
      <c r="BZ185" s="125">
        <f t="shared" si="36"/>
        <v>9.141006658801732E-4</v>
      </c>
      <c r="CA185" s="125">
        <f t="shared" si="37"/>
        <v>2.2381808248679719E-3</v>
      </c>
      <c r="CB185" s="125">
        <f t="shared" si="38"/>
        <v>3.9211711890038718E-3</v>
      </c>
      <c r="CC185" s="125">
        <f t="shared" si="39"/>
        <v>2.7737353423225837E-3</v>
      </c>
      <c r="CD185" s="125">
        <f t="shared" si="40"/>
        <v>2.3337476939643228E-3</v>
      </c>
      <c r="CE185" s="125">
        <f t="shared" si="42"/>
        <v>1.6146604486179622E-3</v>
      </c>
      <c r="CF185" s="126">
        <f t="shared" si="43"/>
        <v>2.6607494912865501E-3</v>
      </c>
      <c r="CH185" s="4">
        <v>183</v>
      </c>
      <c r="CI185" s="129">
        <v>0</v>
      </c>
      <c r="CJ185" s="125">
        <v>0</v>
      </c>
      <c r="CK185" s="125">
        <v>0</v>
      </c>
      <c r="CL185" s="125">
        <v>0</v>
      </c>
      <c r="CM185" s="125">
        <v>0</v>
      </c>
      <c r="CN185" s="125">
        <v>0</v>
      </c>
      <c r="CO185" s="125">
        <v>0</v>
      </c>
      <c r="CP185" s="125">
        <v>0</v>
      </c>
      <c r="CQ185" s="125">
        <v>0</v>
      </c>
      <c r="CR185" s="125">
        <v>0</v>
      </c>
      <c r="CS185" s="125">
        <v>0</v>
      </c>
      <c r="CT185" s="125">
        <v>0</v>
      </c>
      <c r="CU185" s="126">
        <v>0</v>
      </c>
    </row>
    <row r="186" spans="1:99" x14ac:dyDescent="0.25">
      <c r="A186" t="s">
        <v>230</v>
      </c>
      <c r="B186" s="2" t="s">
        <v>3</v>
      </c>
      <c r="C186" s="1">
        <v>18322</v>
      </c>
      <c r="D186" s="19">
        <v>173.5</v>
      </c>
      <c r="E186" s="18">
        <v>0</v>
      </c>
      <c r="F186" s="19">
        <v>0</v>
      </c>
      <c r="G186" s="19">
        <v>0</v>
      </c>
      <c r="H186" s="19">
        <v>0</v>
      </c>
      <c r="I186" s="19">
        <f>SUM(E186:H186)/Variables!$E$3</f>
        <v>0</v>
      </c>
      <c r="J186" s="4">
        <v>0</v>
      </c>
      <c r="K186">
        <v>0</v>
      </c>
      <c r="L186">
        <v>9165</v>
      </c>
      <c r="M186">
        <v>11200</v>
      </c>
      <c r="N186" s="6">
        <f>SUM(J186:M186)/Variables!$E$3</f>
        <v>1.6124434872801845E-2</v>
      </c>
      <c r="O186" s="4">
        <v>0</v>
      </c>
      <c r="P186">
        <v>0</v>
      </c>
      <c r="Q186">
        <v>0</v>
      </c>
      <c r="R186">
        <v>337</v>
      </c>
      <c r="S186" s="6">
        <f>SUM(O186:R186)/Variables!$E$3</f>
        <v>2.6682713243968679E-4</v>
      </c>
      <c r="T186" s="12">
        <v>0</v>
      </c>
      <c r="U186" s="6">
        <v>0</v>
      </c>
      <c r="V186" s="6">
        <v>820.3</v>
      </c>
      <c r="W186" s="6">
        <v>2115.8000000000002</v>
      </c>
      <c r="X186" s="6">
        <f>SUM(T186:W186)/Variables!$E$3</f>
        <v>2.3247214942319419E-3</v>
      </c>
      <c r="Y186" s="12">
        <v>0</v>
      </c>
      <c r="Z186" s="6">
        <v>0</v>
      </c>
      <c r="AA186" s="6">
        <v>771.8</v>
      </c>
      <c r="AB186" s="6">
        <v>2175.6999999999998</v>
      </c>
      <c r="AC186" s="6">
        <f>SUM(Y186:AB186)/Variables!$E$3</f>
        <v>2.3337476939643228E-3</v>
      </c>
      <c r="AD186" s="4">
        <v>0</v>
      </c>
      <c r="AE186" s="2">
        <v>0</v>
      </c>
      <c r="AF186" s="2">
        <v>121.6</v>
      </c>
      <c r="AG186" s="2">
        <v>2485.6999999999998</v>
      </c>
      <c r="AH186" s="6">
        <f>SUM(AD186:AG186)/Variables!$E$3</f>
        <v>2.0643868914243181E-3</v>
      </c>
      <c r="AI186" s="4">
        <v>0</v>
      </c>
      <c r="AJ186" s="2">
        <v>0</v>
      </c>
      <c r="AK186" s="2">
        <v>235</v>
      </c>
      <c r="AL186" s="2">
        <v>919.5</v>
      </c>
      <c r="AM186" s="6">
        <f>SUM(AI186:AL186)/Variables!$E$3</f>
        <v>9.141006658801732E-4</v>
      </c>
      <c r="AN186" s="4">
        <v>0</v>
      </c>
      <c r="AO186" s="2">
        <v>0</v>
      </c>
      <c r="AP186" s="2">
        <v>360.6</v>
      </c>
      <c r="AQ186" s="2">
        <v>2466.1999999999998</v>
      </c>
      <c r="AR186" s="6">
        <f>SUM(AN186:AQ186)/Variables!$E$3</f>
        <v>2.2381808248679719E-3</v>
      </c>
      <c r="AS186" s="4">
        <v>0</v>
      </c>
      <c r="AT186" s="2">
        <v>0</v>
      </c>
      <c r="AU186" s="2">
        <v>828</v>
      </c>
      <c r="AV186" s="2">
        <v>4124.3999999999996</v>
      </c>
      <c r="AW186" s="6">
        <f>SUM(AS186:AV186)/Variables!$E$3</f>
        <v>3.9211711890038718E-3</v>
      </c>
      <c r="AX186" s="4">
        <v>0</v>
      </c>
      <c r="AY186" s="2">
        <v>0</v>
      </c>
      <c r="AZ186" s="2">
        <v>516</v>
      </c>
      <c r="BA186" s="2">
        <v>2987.2</v>
      </c>
      <c r="BB186" s="6">
        <f>SUM(AX186:BA186)/Variables!$E$3</f>
        <v>2.7737353423225837E-3</v>
      </c>
      <c r="BC186" s="12">
        <f t="shared" si="44"/>
        <v>0</v>
      </c>
      <c r="BD186" s="110">
        <f t="shared" si="44"/>
        <v>0</v>
      </c>
      <c r="BE186" s="110">
        <f t="shared" si="44"/>
        <v>771.8</v>
      </c>
      <c r="BF186" s="110">
        <f t="shared" si="41"/>
        <v>2175.6999999999998</v>
      </c>
      <c r="BG186" s="6">
        <f>SUM(BC186:BF186)/Variables!$E$3</f>
        <v>2.3337476939643228E-3</v>
      </c>
      <c r="BH186" s="4">
        <v>0</v>
      </c>
      <c r="BI186">
        <v>0</v>
      </c>
      <c r="BJ186">
        <v>416.2</v>
      </c>
      <c r="BK186">
        <v>1623.1</v>
      </c>
      <c r="BL186" s="6">
        <f>SUM(BH186:BK186)/Variables!$E$3</f>
        <v>1.6146604486179622E-3</v>
      </c>
      <c r="BM186" s="110">
        <v>0</v>
      </c>
      <c r="BN186" s="110">
        <v>0</v>
      </c>
      <c r="BO186" s="110">
        <v>472</v>
      </c>
      <c r="BP186" s="110">
        <v>2888.5</v>
      </c>
      <c r="BQ186" s="6">
        <f>SUM(BM186:BP186)/Variables!$E$3</f>
        <v>2.6607494912865501E-3</v>
      </c>
      <c r="BS186" s="4">
        <v>184</v>
      </c>
      <c r="BT186" s="125">
        <f t="shared" si="30"/>
        <v>0</v>
      </c>
      <c r="BU186" s="125">
        <f t="shared" si="31"/>
        <v>0.32417042098512261</v>
      </c>
      <c r="BV186" s="125">
        <f t="shared" si="32"/>
        <v>3.4439702610471974E-2</v>
      </c>
      <c r="BW186" s="125">
        <f t="shared" si="33"/>
        <v>0.10446321823609055</v>
      </c>
      <c r="BX186" s="125">
        <f t="shared" si="34"/>
        <v>0.10210310453764479</v>
      </c>
      <c r="BY186" s="125">
        <f t="shared" si="35"/>
        <v>7.5894345956816767E-2</v>
      </c>
      <c r="BZ186" s="125">
        <f t="shared" si="36"/>
        <v>6.5172804218560726E-2</v>
      </c>
      <c r="CA186" s="125">
        <f t="shared" si="37"/>
        <v>7.3594406923253544E-2</v>
      </c>
      <c r="CB186" s="125">
        <f t="shared" si="38"/>
        <v>0.11450019398411707</v>
      </c>
      <c r="CC186" s="125">
        <f t="shared" si="39"/>
        <v>8.3839222796696727E-2</v>
      </c>
      <c r="CD186" s="125">
        <f t="shared" si="40"/>
        <v>0.10210310453764479</v>
      </c>
      <c r="CE186" s="125">
        <f t="shared" si="42"/>
        <v>7.6604644534002633E-2</v>
      </c>
      <c r="CF186" s="126">
        <f t="shared" si="43"/>
        <v>8.6034172875478029E-2</v>
      </c>
      <c r="CH186" s="4">
        <v>184</v>
      </c>
      <c r="CI186" s="129">
        <v>0</v>
      </c>
      <c r="CJ186" s="125">
        <v>0.28368870695729975</v>
      </c>
      <c r="CK186" s="125">
        <v>0</v>
      </c>
      <c r="CL186" s="125">
        <v>0</v>
      </c>
      <c r="CM186" s="125">
        <v>0</v>
      </c>
      <c r="CN186" s="125">
        <v>0</v>
      </c>
      <c r="CO186" s="125">
        <v>0</v>
      </c>
      <c r="CP186" s="125">
        <v>0</v>
      </c>
      <c r="CQ186" s="125">
        <v>0</v>
      </c>
      <c r="CR186" s="125">
        <v>0</v>
      </c>
      <c r="CS186" s="125">
        <v>0</v>
      </c>
      <c r="CT186" s="125">
        <v>0</v>
      </c>
      <c r="CU186" s="126">
        <v>0</v>
      </c>
    </row>
    <row r="187" spans="1:99" x14ac:dyDescent="0.25">
      <c r="A187" t="s">
        <v>230</v>
      </c>
      <c r="B187" s="2" t="s">
        <v>4</v>
      </c>
      <c r="C187" s="1">
        <v>18414</v>
      </c>
      <c r="D187" s="19">
        <v>226.94285714285701</v>
      </c>
      <c r="E187" s="18">
        <v>0</v>
      </c>
      <c r="F187" s="19">
        <v>0</v>
      </c>
      <c r="G187" s="19">
        <v>0</v>
      </c>
      <c r="H187" s="19">
        <v>0</v>
      </c>
      <c r="I187" s="19">
        <f>SUM(E187:H187)/Variables!$E$3</f>
        <v>0</v>
      </c>
      <c r="J187" s="4">
        <v>14152</v>
      </c>
      <c r="K187">
        <v>24512</v>
      </c>
      <c r="L187">
        <v>331656</v>
      </c>
      <c r="M187">
        <v>39104</v>
      </c>
      <c r="N187" s="6">
        <f>SUM(J187:M187)/Variables!$E$3</f>
        <v>0.32417042098512261</v>
      </c>
      <c r="O187" s="4">
        <v>0</v>
      </c>
      <c r="P187">
        <v>0</v>
      </c>
      <c r="Q187">
        <v>37113</v>
      </c>
      <c r="R187">
        <v>6384</v>
      </c>
      <c r="S187" s="6">
        <f>SUM(O187:R187)/Variables!$E$3</f>
        <v>3.4439702610471974E-2</v>
      </c>
      <c r="T187" s="12">
        <v>0</v>
      </c>
      <c r="U187" s="6">
        <v>179.6</v>
      </c>
      <c r="V187" s="6">
        <v>116838.5</v>
      </c>
      <c r="W187" s="6">
        <v>14917.9</v>
      </c>
      <c r="X187" s="6">
        <f>SUM(T187:W187)/Variables!$E$3</f>
        <v>0.10446321823609055</v>
      </c>
      <c r="Y187" s="12">
        <v>0</v>
      </c>
      <c r="Z187" s="6">
        <v>205.6</v>
      </c>
      <c r="AA187" s="6">
        <v>113699.9</v>
      </c>
      <c r="AB187" s="6">
        <v>15049.7</v>
      </c>
      <c r="AC187" s="6">
        <f>SUM(Y187:AB187)/Variables!$E$3</f>
        <v>0.10210310453764479</v>
      </c>
      <c r="AD187" s="4">
        <v>0</v>
      </c>
      <c r="AE187" s="2">
        <v>527.20000000000005</v>
      </c>
      <c r="AF187" s="2">
        <v>80722.100000000006</v>
      </c>
      <c r="AG187" s="2">
        <v>14604.5</v>
      </c>
      <c r="AH187" s="6">
        <f>SUM(AD187:AG187)/Variables!$E$3</f>
        <v>7.5894345956816767E-2</v>
      </c>
      <c r="AI187" s="4">
        <v>0</v>
      </c>
      <c r="AJ187" s="2">
        <v>0</v>
      </c>
      <c r="AK187" s="2">
        <v>73325</v>
      </c>
      <c r="AL187" s="2">
        <v>8987.6</v>
      </c>
      <c r="AM187" s="6">
        <f>SUM(AI187:AL187)/Variables!$E$3</f>
        <v>6.5172804218560726E-2</v>
      </c>
      <c r="AN187" s="4">
        <v>0</v>
      </c>
      <c r="AO187" s="2">
        <v>0</v>
      </c>
      <c r="AP187" s="2">
        <v>77829.100000000006</v>
      </c>
      <c r="AQ187" s="2">
        <v>15119.9</v>
      </c>
      <c r="AR187" s="6">
        <f>SUM(AN187:AQ187)/Variables!$E$3</f>
        <v>7.3594406923253544E-2</v>
      </c>
      <c r="AS187" s="4">
        <v>63.699999999999797</v>
      </c>
      <c r="AT187" s="2">
        <v>1937.4</v>
      </c>
      <c r="AU187" s="2">
        <v>121094.39999999999</v>
      </c>
      <c r="AV187" s="2">
        <v>21517.1</v>
      </c>
      <c r="AW187" s="6">
        <f>SUM(AS187:AV187)/Variables!$E$3</f>
        <v>0.11450019398411707</v>
      </c>
      <c r="AX187" s="4">
        <v>0</v>
      </c>
      <c r="AY187" s="2">
        <v>0</v>
      </c>
      <c r="AZ187" s="2">
        <v>89082.4</v>
      </c>
      <c r="BA187" s="2">
        <v>16805.7</v>
      </c>
      <c r="BB187" s="6">
        <f>SUM(AX187:BA187)/Variables!$E$3</f>
        <v>8.3839222796696727E-2</v>
      </c>
      <c r="BC187" s="12">
        <f t="shared" si="44"/>
        <v>0</v>
      </c>
      <c r="BD187" s="110">
        <f t="shared" si="44"/>
        <v>205.6</v>
      </c>
      <c r="BE187" s="110">
        <f t="shared" si="44"/>
        <v>113699.9</v>
      </c>
      <c r="BF187" s="110">
        <f t="shared" si="41"/>
        <v>15049.7</v>
      </c>
      <c r="BG187" s="6">
        <f>SUM(BC187:BF187)/Variables!$E$3</f>
        <v>0.10210310453764479</v>
      </c>
      <c r="BH187" s="4">
        <v>0</v>
      </c>
      <c r="BI187">
        <v>0</v>
      </c>
      <c r="BJ187">
        <v>84210.2</v>
      </c>
      <c r="BK187">
        <v>12540.7</v>
      </c>
      <c r="BL187" s="6">
        <f>SUM(BH187:BK187)/Variables!$E$3</f>
        <v>7.6604644534002633E-2</v>
      </c>
      <c r="BM187" s="110">
        <v>0</v>
      </c>
      <c r="BN187" s="110">
        <v>135</v>
      </c>
      <c r="BO187" s="110">
        <v>92058.9</v>
      </c>
      <c r="BP187" s="110">
        <v>16466.400000000001</v>
      </c>
      <c r="BQ187" s="6">
        <f>SUM(BM187:BP187)/Variables!$E$3</f>
        <v>8.6034172875478029E-2</v>
      </c>
      <c r="BS187" s="4">
        <v>185</v>
      </c>
      <c r="BT187" s="125">
        <f t="shared" si="30"/>
        <v>0</v>
      </c>
      <c r="BU187" s="125">
        <f t="shared" si="31"/>
        <v>1.1345592601683308</v>
      </c>
      <c r="BV187" s="125">
        <f t="shared" si="32"/>
        <v>0.7515118884551738</v>
      </c>
      <c r="BW187" s="125">
        <f t="shared" si="33"/>
        <v>0.80325845810338947</v>
      </c>
      <c r="BX187" s="125">
        <f t="shared" si="34"/>
        <v>0.79962834226715973</v>
      </c>
      <c r="BY187" s="125">
        <f t="shared" si="35"/>
        <v>0.76047324206842493</v>
      </c>
      <c r="BZ187" s="125">
        <f t="shared" si="36"/>
        <v>0.78844598927940845</v>
      </c>
      <c r="CA187" s="125">
        <f t="shared" si="37"/>
        <v>0.81033571128829218</v>
      </c>
      <c r="CB187" s="125">
        <f t="shared" si="38"/>
        <v>0.87566283185140015</v>
      </c>
      <c r="CC187" s="125">
        <f t="shared" si="39"/>
        <v>0.82561223762658453</v>
      </c>
      <c r="CD187" s="125">
        <f t="shared" si="40"/>
        <v>0.79962834226715973</v>
      </c>
      <c r="CE187" s="125">
        <f t="shared" si="42"/>
        <v>0.81968812104608901</v>
      </c>
      <c r="CF187" s="126">
        <f t="shared" si="43"/>
        <v>0.83085353011504437</v>
      </c>
      <c r="CH187" s="4">
        <v>185</v>
      </c>
      <c r="CI187" s="129">
        <v>0</v>
      </c>
      <c r="CJ187" s="125">
        <v>1.602199146469885</v>
      </c>
      <c r="CK187" s="125">
        <v>0.59510209898732369</v>
      </c>
      <c r="CL187" s="125">
        <v>1.4899465553963216</v>
      </c>
      <c r="CM187" s="125">
        <v>1.4890708556678993</v>
      </c>
      <c r="CN187" s="125">
        <v>1.8243269147024124</v>
      </c>
      <c r="CO187" s="125">
        <v>2.0932018464120854</v>
      </c>
      <c r="CP187" s="125">
        <v>2.0982135250477043</v>
      </c>
      <c r="CQ187" s="125">
        <v>1.6338442901368975</v>
      </c>
      <c r="CR187" s="125">
        <v>2.174309258188901</v>
      </c>
      <c r="CS187" s="125">
        <v>1.4890708556678993</v>
      </c>
      <c r="CT187" s="125">
        <v>2.1731837148354303</v>
      </c>
      <c r="CU187" s="126">
        <v>2.1742387113120452</v>
      </c>
    </row>
    <row r="188" spans="1:99" x14ac:dyDescent="0.25">
      <c r="A188" t="s">
        <v>230</v>
      </c>
      <c r="B188" s="2" t="s">
        <v>1</v>
      </c>
      <c r="C188" s="1">
        <v>18506</v>
      </c>
      <c r="D188" s="19">
        <v>205.48333333333301</v>
      </c>
      <c r="E188" s="18">
        <v>0</v>
      </c>
      <c r="F188" s="19">
        <v>0</v>
      </c>
      <c r="G188" s="19">
        <v>0</v>
      </c>
      <c r="H188" s="19">
        <v>0</v>
      </c>
      <c r="I188" s="19">
        <f>SUM(E188:H188)/Variables!$E$3</f>
        <v>0</v>
      </c>
      <c r="J188" s="4">
        <v>99627</v>
      </c>
      <c r="K188">
        <v>112664</v>
      </c>
      <c r="L188">
        <v>970090</v>
      </c>
      <c r="M188">
        <v>250556</v>
      </c>
      <c r="N188" s="6">
        <f>SUM(J188:M188)/Variables!$E$3</f>
        <v>1.1345592601683308</v>
      </c>
      <c r="O188" s="4">
        <v>63025</v>
      </c>
      <c r="P188">
        <v>61837</v>
      </c>
      <c r="Q188">
        <v>648277</v>
      </c>
      <c r="R188">
        <v>176013</v>
      </c>
      <c r="S188" s="6">
        <f>SUM(O188:R188)/Variables!$E$3</f>
        <v>0.7515118884551738</v>
      </c>
      <c r="T188" s="12">
        <v>60741.4</v>
      </c>
      <c r="U188" s="6">
        <v>62057.2</v>
      </c>
      <c r="V188" s="6">
        <v>697304.5</v>
      </c>
      <c r="W188" s="6">
        <v>194404.3</v>
      </c>
      <c r="X188" s="6">
        <f>SUM(T188:W188)/Variables!$E$3</f>
        <v>0.80325845810338947</v>
      </c>
      <c r="Y188" s="12">
        <v>60723.6</v>
      </c>
      <c r="Z188" s="6">
        <v>62068.3</v>
      </c>
      <c r="AA188" s="6">
        <v>692590.5</v>
      </c>
      <c r="AB188" s="6">
        <v>194540.2</v>
      </c>
      <c r="AC188" s="6">
        <f>SUM(Y188:AB188)/Variables!$E$3</f>
        <v>0.79962834226715973</v>
      </c>
      <c r="AD188" s="4">
        <v>61276.6</v>
      </c>
      <c r="AE188" s="2">
        <v>62726.5</v>
      </c>
      <c r="AF188" s="2">
        <v>650367.1</v>
      </c>
      <c r="AG188" s="2">
        <v>186099.9</v>
      </c>
      <c r="AH188" s="6">
        <f>SUM(AD188:AG188)/Variables!$E$3</f>
        <v>0.76047324206842493</v>
      </c>
      <c r="AI188" s="4">
        <v>61218.3</v>
      </c>
      <c r="AJ188" s="2">
        <v>60843.9</v>
      </c>
      <c r="AK188" s="2">
        <v>696509.3</v>
      </c>
      <c r="AL188" s="2">
        <v>177227.9</v>
      </c>
      <c r="AM188" s="6">
        <f>SUM(AI188:AL188)/Variables!$E$3</f>
        <v>0.78844598927940845</v>
      </c>
      <c r="AN188" s="4">
        <v>61747.9</v>
      </c>
      <c r="AO188" s="2">
        <v>61252.9</v>
      </c>
      <c r="AP188" s="2">
        <v>698931.8</v>
      </c>
      <c r="AQ188" s="2">
        <v>201513.3</v>
      </c>
      <c r="AR188" s="6">
        <f>SUM(AN188:AQ188)/Variables!$E$3</f>
        <v>0.81033571128829218</v>
      </c>
      <c r="AS188" s="4">
        <v>66269.7</v>
      </c>
      <c r="AT188" s="2">
        <v>66850</v>
      </c>
      <c r="AU188" s="2">
        <v>750653.8</v>
      </c>
      <c r="AV188" s="2">
        <v>222179.9</v>
      </c>
      <c r="AW188" s="6">
        <f>SUM(AS188:AV188)/Variables!$E$3</f>
        <v>0.87566283185140015</v>
      </c>
      <c r="AX188" s="4">
        <v>62125.8</v>
      </c>
      <c r="AY188" s="2">
        <v>61934.7</v>
      </c>
      <c r="AZ188" s="2">
        <v>715549.6</v>
      </c>
      <c r="BA188" s="2">
        <v>203129.9</v>
      </c>
      <c r="BB188" s="6">
        <f>SUM(AX188:BA188)/Variables!$E$3</f>
        <v>0.82561223762658453</v>
      </c>
      <c r="BC188" s="12">
        <f t="shared" si="44"/>
        <v>60723.6</v>
      </c>
      <c r="BD188" s="110">
        <f t="shared" si="44"/>
        <v>62068.3</v>
      </c>
      <c r="BE188" s="110">
        <f t="shared" si="44"/>
        <v>692590.5</v>
      </c>
      <c r="BF188" s="110">
        <f t="shared" si="41"/>
        <v>194540.2</v>
      </c>
      <c r="BG188" s="6">
        <f>SUM(BC188:BF188)/Variables!$E$3</f>
        <v>0.79962834226715973</v>
      </c>
      <c r="BH188" s="4">
        <v>62040.2</v>
      </c>
      <c r="BI188">
        <v>61821.3</v>
      </c>
      <c r="BJ188">
        <v>711275.4</v>
      </c>
      <c r="BK188">
        <v>200121</v>
      </c>
      <c r="BL188" s="6">
        <f>SUM(BH188:BK188)/Variables!$E$3</f>
        <v>0.81968812104608901</v>
      </c>
      <c r="BM188" s="110">
        <v>62464.6</v>
      </c>
      <c r="BN188" s="110">
        <v>62706.7</v>
      </c>
      <c r="BO188" s="110">
        <v>720847</v>
      </c>
      <c r="BP188" s="110">
        <v>203341.4</v>
      </c>
      <c r="BQ188" s="6">
        <f>SUM(BM188:BP188)/Variables!$E$3</f>
        <v>0.83085353011504437</v>
      </c>
      <c r="BS188" s="4">
        <v>186</v>
      </c>
      <c r="BT188" s="125">
        <f t="shared" si="30"/>
        <v>0</v>
      </c>
      <c r="BU188" s="125">
        <f t="shared" si="31"/>
        <v>0.12185765524667654</v>
      </c>
      <c r="BV188" s="125">
        <f t="shared" si="32"/>
        <v>4.4898217721438809E-2</v>
      </c>
      <c r="BW188" s="125">
        <f t="shared" si="33"/>
        <v>6.446100127475278E-2</v>
      </c>
      <c r="BX188" s="125">
        <f t="shared" si="34"/>
        <v>6.4392117118900388E-2</v>
      </c>
      <c r="BY188" s="125">
        <f t="shared" si="35"/>
        <v>6.3257507977101959E-2</v>
      </c>
      <c r="BZ188" s="125">
        <f t="shared" si="36"/>
        <v>4.8728731027165698E-2</v>
      </c>
      <c r="CA188" s="125">
        <f t="shared" si="37"/>
        <v>5.0254317136319365E-2</v>
      </c>
      <c r="CB188" s="125">
        <f t="shared" si="38"/>
        <v>4.4934164165987063E-2</v>
      </c>
      <c r="CC188" s="125">
        <f t="shared" si="39"/>
        <v>3.5119913855216588E-2</v>
      </c>
      <c r="CD188" s="125">
        <f t="shared" si="40"/>
        <v>6.4392117118900388E-2</v>
      </c>
      <c r="CE188" s="125">
        <f t="shared" si="42"/>
        <v>3.4589901741106426E-2</v>
      </c>
      <c r="CF188" s="126">
        <f t="shared" si="43"/>
        <v>3.6027838700227244E-2</v>
      </c>
      <c r="CH188" s="4">
        <v>186</v>
      </c>
      <c r="CI188" s="129">
        <v>0</v>
      </c>
      <c r="CJ188" s="125">
        <v>0.76970284800354716</v>
      </c>
      <c r="CK188" s="125">
        <v>0</v>
      </c>
      <c r="CL188" s="125">
        <v>0</v>
      </c>
      <c r="CM188" s="125">
        <v>0</v>
      </c>
      <c r="CN188" s="125">
        <v>0</v>
      </c>
      <c r="CO188" s="125">
        <v>0</v>
      </c>
      <c r="CP188" s="125">
        <v>0</v>
      </c>
      <c r="CQ188" s="125">
        <v>0</v>
      </c>
      <c r="CR188" s="125">
        <v>0</v>
      </c>
      <c r="CS188" s="125">
        <v>0</v>
      </c>
      <c r="CT188" s="125">
        <v>0</v>
      </c>
      <c r="CU188" s="126">
        <v>0</v>
      </c>
    </row>
    <row r="189" spans="1:99" x14ac:dyDescent="0.25">
      <c r="A189" t="s">
        <v>230</v>
      </c>
      <c r="B189" s="2" t="s">
        <v>2</v>
      </c>
      <c r="C189" s="1">
        <v>18597</v>
      </c>
      <c r="D189" s="19">
        <v>215.52619047619001</v>
      </c>
      <c r="E189" s="18">
        <v>0</v>
      </c>
      <c r="F189" s="19">
        <v>0</v>
      </c>
      <c r="G189" s="19">
        <v>0</v>
      </c>
      <c r="H189" s="19">
        <v>0</v>
      </c>
      <c r="I189" s="19">
        <f>SUM(E189:H189)/Variables!$E$3</f>
        <v>0</v>
      </c>
      <c r="J189" s="4">
        <v>0</v>
      </c>
      <c r="K189">
        <v>5001</v>
      </c>
      <c r="L189">
        <v>133110</v>
      </c>
      <c r="M189">
        <v>15794</v>
      </c>
      <c r="N189" s="6">
        <f>SUM(J189:M189)/Variables!$E$3</f>
        <v>0.12185765524667654</v>
      </c>
      <c r="O189" s="4">
        <v>0</v>
      </c>
      <c r="P189">
        <v>0</v>
      </c>
      <c r="Q189">
        <v>48792</v>
      </c>
      <c r="R189">
        <v>7914</v>
      </c>
      <c r="S189" s="6">
        <f>SUM(O189:R189)/Variables!$E$3</f>
        <v>4.4898217721438809E-2</v>
      </c>
      <c r="T189" s="12">
        <v>0</v>
      </c>
      <c r="U189" s="6">
        <v>0</v>
      </c>
      <c r="V189" s="6">
        <v>72707.3</v>
      </c>
      <c r="W189" s="6">
        <v>8706.2999999999993</v>
      </c>
      <c r="X189" s="6">
        <f>SUM(T189:W189)/Variables!$E$3</f>
        <v>6.446100127475278E-2</v>
      </c>
      <c r="Y189" s="12">
        <v>0</v>
      </c>
      <c r="Z189" s="6">
        <v>0</v>
      </c>
      <c r="AA189" s="6">
        <v>72659</v>
      </c>
      <c r="AB189" s="6">
        <v>8667.6</v>
      </c>
      <c r="AC189" s="6">
        <f>SUM(Y189:AB189)/Variables!$E$3</f>
        <v>6.4392117118900388E-2</v>
      </c>
      <c r="AD189" s="4">
        <v>0</v>
      </c>
      <c r="AE189" s="2">
        <v>0</v>
      </c>
      <c r="AF189" s="2">
        <v>71761.3</v>
      </c>
      <c r="AG189" s="2">
        <v>8132.3</v>
      </c>
      <c r="AH189" s="6">
        <f>SUM(AD189:AG189)/Variables!$E$3</f>
        <v>6.3257507977101959E-2</v>
      </c>
      <c r="AI189" s="4">
        <v>0</v>
      </c>
      <c r="AJ189" s="2">
        <v>0</v>
      </c>
      <c r="AK189" s="2">
        <v>53920.6</v>
      </c>
      <c r="AL189" s="2">
        <v>7623.3</v>
      </c>
      <c r="AM189" s="6">
        <f>SUM(AI189:AL189)/Variables!$E$3</f>
        <v>4.8728731027165698E-2</v>
      </c>
      <c r="AN189" s="4">
        <v>0</v>
      </c>
      <c r="AO189" s="2">
        <v>0</v>
      </c>
      <c r="AP189" s="2">
        <v>55239.199999999997</v>
      </c>
      <c r="AQ189" s="2">
        <v>8231.5</v>
      </c>
      <c r="AR189" s="6">
        <f>SUM(AN189:AQ189)/Variables!$E$3</f>
        <v>5.0254317136319365E-2</v>
      </c>
      <c r="AS189" s="4">
        <v>0</v>
      </c>
      <c r="AT189" s="2">
        <v>0</v>
      </c>
      <c r="AU189" s="2">
        <v>47486.8</v>
      </c>
      <c r="AV189" s="2">
        <v>9264.6</v>
      </c>
      <c r="AW189" s="6">
        <f>SUM(AS189:AV189)/Variables!$E$3</f>
        <v>4.4934164165987063E-2</v>
      </c>
      <c r="AX189" s="4">
        <v>0</v>
      </c>
      <c r="AY189" s="2">
        <v>0</v>
      </c>
      <c r="AZ189" s="2">
        <v>35333.699999999997</v>
      </c>
      <c r="BA189" s="2">
        <v>9022.4</v>
      </c>
      <c r="BB189" s="6">
        <f>SUM(AX189:BA189)/Variables!$E$3</f>
        <v>3.5119913855216588E-2</v>
      </c>
      <c r="BC189" s="12">
        <f t="shared" si="44"/>
        <v>0</v>
      </c>
      <c r="BD189" s="110">
        <f t="shared" si="44"/>
        <v>0</v>
      </c>
      <c r="BE189" s="110">
        <f t="shared" si="44"/>
        <v>72659</v>
      </c>
      <c r="BF189" s="110">
        <f t="shared" si="41"/>
        <v>8667.6</v>
      </c>
      <c r="BG189" s="6">
        <f>SUM(BC189:BF189)/Variables!$E$3</f>
        <v>6.4392117118900388E-2</v>
      </c>
      <c r="BH189" s="4">
        <v>0</v>
      </c>
      <c r="BI189">
        <v>0</v>
      </c>
      <c r="BJ189">
        <v>34934.800000000003</v>
      </c>
      <c r="BK189">
        <v>8751.9</v>
      </c>
      <c r="BL189" s="6">
        <f>SUM(BH189:BK189)/Variables!$E$3</f>
        <v>3.4589901741106426E-2</v>
      </c>
      <c r="BM189" s="110">
        <v>0</v>
      </c>
      <c r="BN189" s="110">
        <v>0</v>
      </c>
      <c r="BO189" s="110">
        <v>36521.9</v>
      </c>
      <c r="BP189" s="110">
        <v>8980.9</v>
      </c>
      <c r="BQ189" s="6">
        <f>SUM(BM189:BP189)/Variables!$E$3</f>
        <v>3.6027838700227244E-2</v>
      </c>
      <c r="BS189" s="4">
        <v>187</v>
      </c>
      <c r="BT189" s="125">
        <f t="shared" si="30"/>
        <v>0</v>
      </c>
      <c r="BU189" s="125">
        <f t="shared" si="31"/>
        <v>0.65030443629799128</v>
      </c>
      <c r="BV189" s="125">
        <f t="shared" si="32"/>
        <v>0.43562736046999578</v>
      </c>
      <c r="BW189" s="125">
        <f t="shared" si="33"/>
        <v>0.50129874345798464</v>
      </c>
      <c r="BX189" s="125">
        <f t="shared" si="34"/>
        <v>0.50126350960815214</v>
      </c>
      <c r="BY189" s="125">
        <f t="shared" si="35"/>
        <v>0.50165670353684511</v>
      </c>
      <c r="BZ189" s="125">
        <f t="shared" si="36"/>
        <v>0.46042898201885996</v>
      </c>
      <c r="CA189" s="125">
        <f t="shared" si="37"/>
        <v>0.46519101497240672</v>
      </c>
      <c r="CB189" s="125">
        <f t="shared" si="38"/>
        <v>0.49555127118979569</v>
      </c>
      <c r="CC189" s="125">
        <f t="shared" si="39"/>
        <v>0.48100800481397321</v>
      </c>
      <c r="CD189" s="125">
        <f t="shared" si="40"/>
        <v>0.50126350960815214</v>
      </c>
      <c r="CE189" s="125">
        <f t="shared" si="42"/>
        <v>0.48765659268877826</v>
      </c>
      <c r="CF189" s="126">
        <f t="shared" si="43"/>
        <v>0.47780219954235587</v>
      </c>
      <c r="CH189" s="4">
        <v>187</v>
      </c>
      <c r="CI189" s="129">
        <v>0</v>
      </c>
      <c r="CJ189" s="125">
        <v>0.76970284800354716</v>
      </c>
      <c r="CK189" s="125">
        <v>0.31465292678485179</v>
      </c>
      <c r="CL189" s="125">
        <v>0.31025831558444644</v>
      </c>
      <c r="CM189" s="125">
        <v>0.31023567090792481</v>
      </c>
      <c r="CN189" s="125">
        <v>0.31538682016484693</v>
      </c>
      <c r="CO189" s="125">
        <v>0.31335754835746921</v>
      </c>
      <c r="CP189" s="125">
        <v>0.31082752040792089</v>
      </c>
      <c r="CQ189" s="125">
        <v>0.30077482798755334</v>
      </c>
      <c r="CR189" s="125">
        <v>0.31094794891487665</v>
      </c>
      <c r="CS189" s="125">
        <v>0.31023567090792481</v>
      </c>
      <c r="CT189" s="125">
        <v>0.31101742689965878</v>
      </c>
      <c r="CU189" s="126">
        <v>0.30700571659316384</v>
      </c>
    </row>
    <row r="190" spans="1:99" x14ac:dyDescent="0.25">
      <c r="A190" t="s">
        <v>231</v>
      </c>
      <c r="B190" s="2" t="s">
        <v>3</v>
      </c>
      <c r="C190" s="1">
        <v>18687</v>
      </c>
      <c r="D190" s="19">
        <v>30.6142857142857</v>
      </c>
      <c r="E190" s="18">
        <v>0</v>
      </c>
      <c r="F190" s="19">
        <v>0</v>
      </c>
      <c r="G190" s="19">
        <v>0</v>
      </c>
      <c r="H190" s="19">
        <v>0</v>
      </c>
      <c r="I190" s="19">
        <f>SUM(E190:H190)/Variables!$E$3</f>
        <v>0</v>
      </c>
      <c r="J190" s="4">
        <v>61005</v>
      </c>
      <c r="K190">
        <v>60365</v>
      </c>
      <c r="L190">
        <v>548675</v>
      </c>
      <c r="M190">
        <v>151283</v>
      </c>
      <c r="N190" s="6">
        <f>SUM(J190:M190)/Variables!$E$3</f>
        <v>0.65030443629799128</v>
      </c>
      <c r="O190" s="4">
        <v>43751</v>
      </c>
      <c r="P190">
        <v>41365</v>
      </c>
      <c r="Q190">
        <v>347197</v>
      </c>
      <c r="R190">
        <v>117880</v>
      </c>
      <c r="S190" s="6">
        <f>SUM(O190:R190)/Variables!$E$3</f>
        <v>0.43562736046999578</v>
      </c>
      <c r="T190" s="12">
        <v>42989.3</v>
      </c>
      <c r="U190" s="6">
        <v>40863.699999999997</v>
      </c>
      <c r="V190" s="6">
        <v>431126.2</v>
      </c>
      <c r="W190" s="6">
        <v>118156.1</v>
      </c>
      <c r="X190" s="6">
        <f>SUM(T190:W190)/Variables!$E$3</f>
        <v>0.50129874345798464</v>
      </c>
      <c r="Y190" s="12">
        <v>42980.6</v>
      </c>
      <c r="Z190" s="6">
        <v>40853.599999999999</v>
      </c>
      <c r="AA190" s="6">
        <v>431105.5</v>
      </c>
      <c r="AB190" s="6">
        <v>118151.1</v>
      </c>
      <c r="AC190" s="6">
        <f>SUM(Y190:AB190)/Variables!$E$3</f>
        <v>0.50126350960815214</v>
      </c>
      <c r="AD190" s="4">
        <v>44955.199999999997</v>
      </c>
      <c r="AE190" s="2">
        <v>42496.3</v>
      </c>
      <c r="AF190" s="2">
        <v>431285</v>
      </c>
      <c r="AG190" s="2">
        <v>114850.9</v>
      </c>
      <c r="AH190" s="6">
        <f>SUM(AD190:AG190)/Variables!$E$3</f>
        <v>0.50165670353684511</v>
      </c>
      <c r="AI190" s="4">
        <v>43827.9</v>
      </c>
      <c r="AJ190" s="2">
        <v>41555.699999999997</v>
      </c>
      <c r="AK190" s="2">
        <v>378271.1</v>
      </c>
      <c r="AL190" s="2">
        <v>117862.5</v>
      </c>
      <c r="AM190" s="6">
        <f>SUM(AI190:AL190)/Variables!$E$3</f>
        <v>0.46042898201885996</v>
      </c>
      <c r="AN190" s="4">
        <v>42801.8</v>
      </c>
      <c r="AO190" s="2">
        <v>40802.400000000001</v>
      </c>
      <c r="AP190" s="2">
        <v>379295.6</v>
      </c>
      <c r="AQ190" s="2">
        <v>124631.8</v>
      </c>
      <c r="AR190" s="6">
        <f>SUM(AN190:AQ190)/Variables!$E$3</f>
        <v>0.46519101497240672</v>
      </c>
      <c r="AS190" s="4">
        <v>40962.1</v>
      </c>
      <c r="AT190" s="2">
        <v>39255.1</v>
      </c>
      <c r="AU190" s="2">
        <v>408598.6</v>
      </c>
      <c r="AV190" s="2">
        <v>137060.5</v>
      </c>
      <c r="AW190" s="6">
        <f>SUM(AS190:AV190)/Variables!$E$3</f>
        <v>0.49555127118979569</v>
      </c>
      <c r="AX190" s="4">
        <v>42851.9</v>
      </c>
      <c r="AY190" s="2">
        <v>40851.4</v>
      </c>
      <c r="AZ190" s="2">
        <v>397818.4</v>
      </c>
      <c r="BA190" s="2">
        <v>125986.6</v>
      </c>
      <c r="BB190" s="6">
        <f>SUM(AX190:BA190)/Variables!$E$3</f>
        <v>0.48100800481397321</v>
      </c>
      <c r="BC190" s="12">
        <f t="shared" si="44"/>
        <v>42980.6</v>
      </c>
      <c r="BD190" s="110">
        <f t="shared" si="44"/>
        <v>40853.599999999999</v>
      </c>
      <c r="BE190" s="110">
        <f t="shared" si="44"/>
        <v>431105.5</v>
      </c>
      <c r="BF190" s="110">
        <f t="shared" si="41"/>
        <v>118151.1</v>
      </c>
      <c r="BG190" s="6">
        <f>SUM(BC190:BF190)/Variables!$E$3</f>
        <v>0.50126350960815214</v>
      </c>
      <c r="BH190" s="4">
        <v>42916.3</v>
      </c>
      <c r="BI190">
        <v>40912.1</v>
      </c>
      <c r="BJ190">
        <v>396531</v>
      </c>
      <c r="BK190">
        <v>135546</v>
      </c>
      <c r="BL190" s="6">
        <f>SUM(BH190:BK190)/Variables!$E$3</f>
        <v>0.48765659268877826</v>
      </c>
      <c r="BM190" s="110">
        <v>41904.199999999997</v>
      </c>
      <c r="BN190" s="110">
        <v>39774.300000000003</v>
      </c>
      <c r="BO190" s="110">
        <v>395772</v>
      </c>
      <c r="BP190" s="110">
        <v>126008.9</v>
      </c>
      <c r="BQ190" s="6">
        <f>SUM(BM190:BP190)/Variables!$E$3</f>
        <v>0.47780219954235587</v>
      </c>
      <c r="BS190" s="4">
        <v>188</v>
      </c>
      <c r="BT190" s="125">
        <f t="shared" si="30"/>
        <v>0</v>
      </c>
      <c r="BU190" s="125">
        <f t="shared" si="31"/>
        <v>1.6446686038685977E-2</v>
      </c>
      <c r="BV190" s="125">
        <f t="shared" si="32"/>
        <v>0</v>
      </c>
      <c r="BW190" s="125">
        <f t="shared" si="33"/>
        <v>6.2873815311285126E-3</v>
      </c>
      <c r="BX190" s="125">
        <f t="shared" si="34"/>
        <v>6.2873815311285126E-3</v>
      </c>
      <c r="BY190" s="125">
        <f t="shared" si="35"/>
        <v>5.3877702911345297E-3</v>
      </c>
      <c r="BZ190" s="125">
        <f t="shared" si="36"/>
        <v>1.2007220959785905E-3</v>
      </c>
      <c r="CA190" s="125">
        <f t="shared" si="37"/>
        <v>1.3119660488206558E-3</v>
      </c>
      <c r="CB190" s="125">
        <f t="shared" si="38"/>
        <v>6.0736822936048587E-3</v>
      </c>
      <c r="CC190" s="125">
        <f t="shared" si="39"/>
        <v>4.8074014837805523E-3</v>
      </c>
      <c r="CD190" s="125">
        <f t="shared" si="40"/>
        <v>6.2873815311285126E-3</v>
      </c>
      <c r="CE190" s="125">
        <f t="shared" si="42"/>
        <v>4.8451690037134097E-3</v>
      </c>
      <c r="CF190" s="126">
        <f t="shared" si="43"/>
        <v>5.137491191537542E-3</v>
      </c>
      <c r="CH190" s="4">
        <v>188</v>
      </c>
      <c r="CI190" s="129">
        <v>0</v>
      </c>
      <c r="CJ190" s="125">
        <v>0.13081219962153304</v>
      </c>
      <c r="CK190" s="125">
        <v>0</v>
      </c>
      <c r="CL190" s="125">
        <v>0</v>
      </c>
      <c r="CM190" s="125">
        <v>0</v>
      </c>
      <c r="CN190" s="125">
        <v>0</v>
      </c>
      <c r="CO190" s="125">
        <v>0</v>
      </c>
      <c r="CP190" s="125">
        <v>0</v>
      </c>
      <c r="CQ190" s="125">
        <v>0</v>
      </c>
      <c r="CR190" s="125">
        <v>0</v>
      </c>
      <c r="CS190" s="125">
        <v>0</v>
      </c>
      <c r="CT190" s="125">
        <v>0</v>
      </c>
      <c r="CU190" s="126">
        <v>0</v>
      </c>
    </row>
    <row r="191" spans="1:99" x14ac:dyDescent="0.25">
      <c r="A191" t="s">
        <v>231</v>
      </c>
      <c r="B191" s="2" t="s">
        <v>4</v>
      </c>
      <c r="C191" s="1">
        <v>18779</v>
      </c>
      <c r="D191" s="19">
        <v>48.8</v>
      </c>
      <c r="E191" s="18">
        <v>0</v>
      </c>
      <c r="F191" s="19">
        <v>0</v>
      </c>
      <c r="G191" s="19">
        <v>0</v>
      </c>
      <c r="H191" s="19">
        <v>0</v>
      </c>
      <c r="I191" s="19">
        <f>SUM(E191:H191)/Variables!$E$3</f>
        <v>0</v>
      </c>
      <c r="J191" s="4">
        <v>0</v>
      </c>
      <c r="K191">
        <v>3878</v>
      </c>
      <c r="L191">
        <v>16894</v>
      </c>
      <c r="M191">
        <v>0</v>
      </c>
      <c r="N191" s="6">
        <f>SUM(J191:M191)/Variables!$E$3</f>
        <v>1.6446686038685977E-2</v>
      </c>
      <c r="O191" s="4">
        <v>0</v>
      </c>
      <c r="P191">
        <v>0</v>
      </c>
      <c r="Q191">
        <v>0</v>
      </c>
      <c r="R191">
        <v>0</v>
      </c>
      <c r="S191" s="6">
        <f>SUM(O191:R191)/Variables!$E$3</f>
        <v>0</v>
      </c>
      <c r="T191" s="12">
        <v>0</v>
      </c>
      <c r="U191" s="6">
        <v>0</v>
      </c>
      <c r="V191" s="6">
        <v>7940.9</v>
      </c>
      <c r="W191" s="6">
        <v>0</v>
      </c>
      <c r="X191" s="6">
        <f>SUM(T191:W191)/Variables!$E$3</f>
        <v>6.2873815311285126E-3</v>
      </c>
      <c r="Y191" s="12">
        <v>0</v>
      </c>
      <c r="Z191" s="6">
        <v>0</v>
      </c>
      <c r="AA191" s="6">
        <v>7940.9</v>
      </c>
      <c r="AB191" s="6">
        <v>0</v>
      </c>
      <c r="AC191" s="6">
        <f>SUM(Y191:AB191)/Variables!$E$3</f>
        <v>6.2873815311285126E-3</v>
      </c>
      <c r="AD191" s="4">
        <v>0</v>
      </c>
      <c r="AE191" s="2">
        <v>0</v>
      </c>
      <c r="AF191" s="2">
        <v>6804.7</v>
      </c>
      <c r="AG191" s="2">
        <v>0</v>
      </c>
      <c r="AH191" s="6">
        <f>SUM(AD191:AG191)/Variables!$E$3</f>
        <v>5.3877702911345297E-3</v>
      </c>
      <c r="AI191" s="4">
        <v>0</v>
      </c>
      <c r="AJ191" s="2">
        <v>0</v>
      </c>
      <c r="AK191" s="2">
        <v>1516.5</v>
      </c>
      <c r="AL191" s="2">
        <v>0</v>
      </c>
      <c r="AM191" s="6">
        <f>SUM(AI191:AL191)/Variables!$E$3</f>
        <v>1.2007220959785905E-3</v>
      </c>
      <c r="AN191" s="4">
        <v>0</v>
      </c>
      <c r="AO191" s="2">
        <v>0</v>
      </c>
      <c r="AP191" s="2">
        <v>1657</v>
      </c>
      <c r="AQ191" s="2">
        <v>0</v>
      </c>
      <c r="AR191" s="6">
        <f>SUM(AN191:AQ191)/Variables!$E$3</f>
        <v>1.3119660488206558E-3</v>
      </c>
      <c r="AS191" s="4">
        <v>0</v>
      </c>
      <c r="AT191" s="2">
        <v>0</v>
      </c>
      <c r="AU191" s="2">
        <v>7671</v>
      </c>
      <c r="AV191" s="2">
        <v>0</v>
      </c>
      <c r="AW191" s="6">
        <f>SUM(AS191:AV191)/Variables!$E$3</f>
        <v>6.0736822936048587E-3</v>
      </c>
      <c r="AX191" s="4">
        <v>0</v>
      </c>
      <c r="AY191" s="2">
        <v>0</v>
      </c>
      <c r="AZ191" s="2">
        <v>6071.7</v>
      </c>
      <c r="BA191" s="2">
        <v>0</v>
      </c>
      <c r="BB191" s="6">
        <f>SUM(AX191:BA191)/Variables!$E$3</f>
        <v>4.8074014837805523E-3</v>
      </c>
      <c r="BC191" s="12">
        <f t="shared" si="44"/>
        <v>0</v>
      </c>
      <c r="BD191" s="110">
        <f t="shared" si="44"/>
        <v>0</v>
      </c>
      <c r="BE191" s="110">
        <f t="shared" si="44"/>
        <v>7940.9</v>
      </c>
      <c r="BF191" s="110">
        <f t="shared" si="41"/>
        <v>0</v>
      </c>
      <c r="BG191" s="6">
        <f>SUM(BC191:BF191)/Variables!$E$3</f>
        <v>6.2873815311285126E-3</v>
      </c>
      <c r="BH191" s="4">
        <v>0</v>
      </c>
      <c r="BI191">
        <v>0</v>
      </c>
      <c r="BJ191">
        <v>6119.4</v>
      </c>
      <c r="BK191">
        <v>0</v>
      </c>
      <c r="BL191" s="6">
        <f>SUM(BH191:BK191)/Variables!$E$3</f>
        <v>4.8451690037134097E-3</v>
      </c>
      <c r="BM191" s="110">
        <v>0</v>
      </c>
      <c r="BN191" s="110">
        <v>0</v>
      </c>
      <c r="BO191" s="110">
        <v>6488.6</v>
      </c>
      <c r="BP191" s="110">
        <v>0</v>
      </c>
      <c r="BQ191" s="6">
        <f>SUM(BM191:BP191)/Variables!$E$3</f>
        <v>5.137491191537542E-3</v>
      </c>
      <c r="BS191" s="4">
        <v>189</v>
      </c>
      <c r="BT191" s="125">
        <f t="shared" si="30"/>
        <v>0</v>
      </c>
      <c r="BU191" s="125">
        <f t="shared" si="31"/>
        <v>0</v>
      </c>
      <c r="BV191" s="125">
        <f t="shared" si="32"/>
        <v>0</v>
      </c>
      <c r="BW191" s="125">
        <f t="shared" si="33"/>
        <v>0</v>
      </c>
      <c r="BX191" s="125">
        <f t="shared" si="34"/>
        <v>0</v>
      </c>
      <c r="BY191" s="125">
        <f t="shared" si="35"/>
        <v>0</v>
      </c>
      <c r="BZ191" s="125">
        <f t="shared" si="36"/>
        <v>0</v>
      </c>
      <c r="CA191" s="125">
        <f t="shared" si="37"/>
        <v>0</v>
      </c>
      <c r="CB191" s="125">
        <f t="shared" si="38"/>
        <v>0</v>
      </c>
      <c r="CC191" s="125">
        <f t="shared" si="39"/>
        <v>0</v>
      </c>
      <c r="CD191" s="125">
        <f t="shared" si="40"/>
        <v>0</v>
      </c>
      <c r="CE191" s="125">
        <f t="shared" si="42"/>
        <v>0</v>
      </c>
      <c r="CF191" s="126">
        <f t="shared" si="43"/>
        <v>0</v>
      </c>
      <c r="CH191" s="4">
        <v>189</v>
      </c>
      <c r="CI191" s="129">
        <v>0</v>
      </c>
      <c r="CJ191" s="125">
        <v>0</v>
      </c>
      <c r="CK191" s="125">
        <v>0</v>
      </c>
      <c r="CL191" s="125">
        <v>0</v>
      </c>
      <c r="CM191" s="125">
        <v>0</v>
      </c>
      <c r="CN191" s="125">
        <v>0</v>
      </c>
      <c r="CO191" s="125">
        <v>0</v>
      </c>
      <c r="CP191" s="125">
        <v>0</v>
      </c>
      <c r="CQ191" s="125">
        <v>0</v>
      </c>
      <c r="CR191" s="125">
        <v>0</v>
      </c>
      <c r="CS191" s="125">
        <v>0</v>
      </c>
      <c r="CT191" s="125">
        <v>0</v>
      </c>
      <c r="CU191" s="126">
        <v>0</v>
      </c>
    </row>
    <row r="192" spans="1:99" x14ac:dyDescent="0.25">
      <c r="A192" t="s">
        <v>231</v>
      </c>
      <c r="B192" s="2" t="s">
        <v>1</v>
      </c>
      <c r="C192" s="1">
        <v>18871</v>
      </c>
      <c r="D192" s="19">
        <v>62.3857142857143</v>
      </c>
      <c r="E192" s="18">
        <v>0</v>
      </c>
      <c r="F192" s="19">
        <v>0</v>
      </c>
      <c r="G192" s="19">
        <v>0</v>
      </c>
      <c r="H192" s="19">
        <v>0</v>
      </c>
      <c r="I192" s="19">
        <f>SUM(E192:H192)/Variables!$E$3</f>
        <v>0</v>
      </c>
      <c r="J192" s="4">
        <v>0</v>
      </c>
      <c r="K192">
        <v>0</v>
      </c>
      <c r="L192">
        <v>0</v>
      </c>
      <c r="M192">
        <v>0</v>
      </c>
      <c r="N192" s="6">
        <f>SUM(J192:M192)/Variables!$E$3</f>
        <v>0</v>
      </c>
      <c r="O192" s="4">
        <v>0</v>
      </c>
      <c r="P192">
        <v>0</v>
      </c>
      <c r="Q192">
        <v>0</v>
      </c>
      <c r="R192">
        <v>0</v>
      </c>
      <c r="S192" s="6">
        <f>SUM(O192:R192)/Variables!$E$3</f>
        <v>0</v>
      </c>
      <c r="T192" s="12">
        <v>0</v>
      </c>
      <c r="U192" s="6">
        <v>0</v>
      </c>
      <c r="V192" s="6">
        <v>0</v>
      </c>
      <c r="W192" s="6">
        <v>0</v>
      </c>
      <c r="X192" s="6">
        <f>SUM(T192:W192)/Variables!$E$3</f>
        <v>0</v>
      </c>
      <c r="Y192" s="12">
        <v>0</v>
      </c>
      <c r="Z192" s="6">
        <v>0</v>
      </c>
      <c r="AA192" s="6">
        <v>0</v>
      </c>
      <c r="AB192" s="6">
        <v>0</v>
      </c>
      <c r="AC192" s="6">
        <f>SUM(Y192:AB192)/Variables!$E$3</f>
        <v>0</v>
      </c>
      <c r="AD192" s="4">
        <v>0</v>
      </c>
      <c r="AE192" s="2">
        <v>0</v>
      </c>
      <c r="AF192" s="2">
        <v>0</v>
      </c>
      <c r="AG192" s="2">
        <v>0</v>
      </c>
      <c r="AH192" s="6">
        <f>SUM(AD192:AG192)/Variables!$E$3</f>
        <v>0</v>
      </c>
      <c r="AI192" s="4">
        <v>0</v>
      </c>
      <c r="AJ192" s="2">
        <v>0</v>
      </c>
      <c r="AK192" s="2">
        <v>0</v>
      </c>
      <c r="AL192" s="2">
        <v>0</v>
      </c>
      <c r="AM192" s="6">
        <f>SUM(AI192:AL192)/Variables!$E$3</f>
        <v>0</v>
      </c>
      <c r="AN192" s="4">
        <v>0</v>
      </c>
      <c r="AO192" s="2">
        <v>0</v>
      </c>
      <c r="AP192" s="2">
        <v>0</v>
      </c>
      <c r="AQ192" s="2">
        <v>0</v>
      </c>
      <c r="AR192" s="6">
        <f>SUM(AN192:AQ192)/Variables!$E$3</f>
        <v>0</v>
      </c>
      <c r="AS192" s="4">
        <v>0</v>
      </c>
      <c r="AT192" s="2">
        <v>0</v>
      </c>
      <c r="AU192" s="2">
        <v>0</v>
      </c>
      <c r="AV192" s="2">
        <v>0</v>
      </c>
      <c r="AW192" s="6">
        <f>SUM(AS192:AV192)/Variables!$E$3</f>
        <v>0</v>
      </c>
      <c r="AX192" s="4">
        <v>0</v>
      </c>
      <c r="AY192" s="2">
        <v>0</v>
      </c>
      <c r="AZ192" s="2">
        <v>0</v>
      </c>
      <c r="BA192" s="2">
        <v>0</v>
      </c>
      <c r="BB192" s="6">
        <f>SUM(AX192:BA192)/Variables!$E$3</f>
        <v>0</v>
      </c>
      <c r="BC192" s="12">
        <f t="shared" si="44"/>
        <v>0</v>
      </c>
      <c r="BD192" s="110">
        <f t="shared" si="44"/>
        <v>0</v>
      </c>
      <c r="BE192" s="110">
        <f t="shared" si="44"/>
        <v>0</v>
      </c>
      <c r="BF192" s="110">
        <f t="shared" si="41"/>
        <v>0</v>
      </c>
      <c r="BG192" s="6">
        <f>SUM(BC192:BF192)/Variables!$E$3</f>
        <v>0</v>
      </c>
      <c r="BH192" s="4">
        <v>0</v>
      </c>
      <c r="BI192">
        <v>0</v>
      </c>
      <c r="BJ192">
        <v>0</v>
      </c>
      <c r="BK192">
        <v>0</v>
      </c>
      <c r="BL192" s="6">
        <f>SUM(BH192:BK192)/Variables!$E$3</f>
        <v>0</v>
      </c>
      <c r="BM192" s="110">
        <v>0</v>
      </c>
      <c r="BN192" s="110">
        <v>0</v>
      </c>
      <c r="BO192" s="110">
        <v>0</v>
      </c>
      <c r="BP192" s="110">
        <v>0</v>
      </c>
      <c r="BQ192" s="6">
        <f>SUM(BM192:BP192)/Variables!$E$3</f>
        <v>0</v>
      </c>
      <c r="BS192" s="4">
        <v>190</v>
      </c>
      <c r="BT192" s="125">
        <f t="shared" si="30"/>
        <v>0</v>
      </c>
      <c r="BU192" s="125">
        <f t="shared" si="31"/>
        <v>0</v>
      </c>
      <c r="BV192" s="125">
        <f t="shared" si="32"/>
        <v>0</v>
      </c>
      <c r="BW192" s="125">
        <f t="shared" si="33"/>
        <v>0</v>
      </c>
      <c r="BX192" s="125">
        <f t="shared" si="34"/>
        <v>0</v>
      </c>
      <c r="BY192" s="125">
        <f t="shared" si="35"/>
        <v>0</v>
      </c>
      <c r="BZ192" s="125">
        <f t="shared" si="36"/>
        <v>0</v>
      </c>
      <c r="CA192" s="125">
        <f t="shared" si="37"/>
        <v>0</v>
      </c>
      <c r="CB192" s="125">
        <f t="shared" si="38"/>
        <v>0</v>
      </c>
      <c r="CC192" s="125">
        <f t="shared" si="39"/>
        <v>0</v>
      </c>
      <c r="CD192" s="125">
        <f t="shared" si="40"/>
        <v>0</v>
      </c>
      <c r="CE192" s="125">
        <f t="shared" si="42"/>
        <v>0</v>
      </c>
      <c r="CF192" s="126">
        <f t="shared" si="43"/>
        <v>0</v>
      </c>
      <c r="CH192" s="4">
        <v>190</v>
      </c>
      <c r="CI192" s="129">
        <v>0</v>
      </c>
      <c r="CJ192" s="125">
        <v>0</v>
      </c>
      <c r="CK192" s="125">
        <v>0</v>
      </c>
      <c r="CL192" s="125">
        <v>0</v>
      </c>
      <c r="CM192" s="125">
        <v>0</v>
      </c>
      <c r="CN192" s="125">
        <v>0</v>
      </c>
      <c r="CO192" s="125">
        <v>0</v>
      </c>
      <c r="CP192" s="125">
        <v>0</v>
      </c>
      <c r="CQ192" s="125">
        <v>0</v>
      </c>
      <c r="CR192" s="125">
        <v>0</v>
      </c>
      <c r="CS192" s="125">
        <v>0</v>
      </c>
      <c r="CT192" s="125">
        <v>0</v>
      </c>
      <c r="CU192" s="126">
        <v>0</v>
      </c>
    </row>
    <row r="193" spans="1:99" x14ac:dyDescent="0.25">
      <c r="A193" t="s">
        <v>231</v>
      </c>
      <c r="B193" s="2" t="s">
        <v>2</v>
      </c>
      <c r="C193" s="1">
        <v>18962</v>
      </c>
      <c r="D193" s="19">
        <v>33.8857142857143</v>
      </c>
      <c r="E193" s="18">
        <v>0</v>
      </c>
      <c r="F193" s="19">
        <v>0</v>
      </c>
      <c r="G193" s="19">
        <v>0</v>
      </c>
      <c r="H193" s="19">
        <v>0</v>
      </c>
      <c r="I193" s="19">
        <f>SUM(E193:H193)/Variables!$E$3</f>
        <v>0</v>
      </c>
      <c r="J193" s="4">
        <v>0</v>
      </c>
      <c r="K193">
        <v>0</v>
      </c>
      <c r="L193">
        <v>0</v>
      </c>
      <c r="M193">
        <v>0</v>
      </c>
      <c r="N193" s="6">
        <f>SUM(J193:M193)/Variables!$E$3</f>
        <v>0</v>
      </c>
      <c r="O193" s="4">
        <v>0</v>
      </c>
      <c r="P193">
        <v>0</v>
      </c>
      <c r="Q193">
        <v>0</v>
      </c>
      <c r="R193">
        <v>0</v>
      </c>
      <c r="S193" s="6">
        <f>SUM(O193:R193)/Variables!$E$3</f>
        <v>0</v>
      </c>
      <c r="T193" s="12">
        <v>0</v>
      </c>
      <c r="U193" s="6">
        <v>0</v>
      </c>
      <c r="V193" s="6">
        <v>0</v>
      </c>
      <c r="W193" s="6">
        <v>0</v>
      </c>
      <c r="X193" s="6">
        <f>SUM(T193:W193)/Variables!$E$3</f>
        <v>0</v>
      </c>
      <c r="Y193" s="12">
        <v>0</v>
      </c>
      <c r="Z193" s="6">
        <v>0</v>
      </c>
      <c r="AA193" s="6">
        <v>0</v>
      </c>
      <c r="AB193" s="6">
        <v>0</v>
      </c>
      <c r="AC193" s="6">
        <f>SUM(Y193:AB193)/Variables!$E$3</f>
        <v>0</v>
      </c>
      <c r="AD193" s="4">
        <v>0</v>
      </c>
      <c r="AE193" s="2">
        <v>0</v>
      </c>
      <c r="AF193" s="2">
        <v>0</v>
      </c>
      <c r="AG193" s="2">
        <v>0</v>
      </c>
      <c r="AH193" s="6">
        <f>SUM(AD193:AG193)/Variables!$E$3</f>
        <v>0</v>
      </c>
      <c r="AI193" s="4">
        <v>0</v>
      </c>
      <c r="AJ193" s="2">
        <v>0</v>
      </c>
      <c r="AK193" s="2">
        <v>0</v>
      </c>
      <c r="AL193" s="2">
        <v>0</v>
      </c>
      <c r="AM193" s="6">
        <f>SUM(AI193:AL193)/Variables!$E$3</f>
        <v>0</v>
      </c>
      <c r="AN193" s="4">
        <v>0</v>
      </c>
      <c r="AO193" s="2">
        <v>0</v>
      </c>
      <c r="AP193" s="2">
        <v>0</v>
      </c>
      <c r="AQ193" s="2">
        <v>0</v>
      </c>
      <c r="AR193" s="6">
        <f>SUM(AN193:AQ193)/Variables!$E$3</f>
        <v>0</v>
      </c>
      <c r="AS193" s="4">
        <v>0</v>
      </c>
      <c r="AT193" s="2">
        <v>0</v>
      </c>
      <c r="AU193" s="2">
        <v>0</v>
      </c>
      <c r="AV193" s="2">
        <v>0</v>
      </c>
      <c r="AW193" s="6">
        <f>SUM(AS193:AV193)/Variables!$E$3</f>
        <v>0</v>
      </c>
      <c r="AX193" s="4">
        <v>0</v>
      </c>
      <c r="AY193" s="2">
        <v>0</v>
      </c>
      <c r="AZ193" s="2">
        <v>0</v>
      </c>
      <c r="BA193" s="2">
        <v>0</v>
      </c>
      <c r="BB193" s="6">
        <f>SUM(AX193:BA193)/Variables!$E$3</f>
        <v>0</v>
      </c>
      <c r="BC193" s="12">
        <f t="shared" si="44"/>
        <v>0</v>
      </c>
      <c r="BD193" s="110">
        <f t="shared" si="44"/>
        <v>0</v>
      </c>
      <c r="BE193" s="110">
        <f t="shared" si="44"/>
        <v>0</v>
      </c>
      <c r="BF193" s="110">
        <f t="shared" si="41"/>
        <v>0</v>
      </c>
      <c r="BG193" s="6">
        <f>SUM(BC193:BF193)/Variables!$E$3</f>
        <v>0</v>
      </c>
      <c r="BH193" s="4">
        <v>0</v>
      </c>
      <c r="BI193">
        <v>0</v>
      </c>
      <c r="BJ193">
        <v>0</v>
      </c>
      <c r="BK193">
        <v>0</v>
      </c>
      <c r="BL193" s="6">
        <f>SUM(BH193:BK193)/Variables!$E$3</f>
        <v>0</v>
      </c>
      <c r="BM193" s="110">
        <v>0</v>
      </c>
      <c r="BN193" s="110">
        <v>0</v>
      </c>
      <c r="BO193" s="110">
        <v>0</v>
      </c>
      <c r="BP193" s="110">
        <v>0</v>
      </c>
      <c r="BQ193" s="6">
        <f>SUM(BM193:BP193)/Variables!$E$3</f>
        <v>0</v>
      </c>
      <c r="BS193" s="4">
        <v>191</v>
      </c>
      <c r="BT193" s="125">
        <f t="shared" si="30"/>
        <v>0</v>
      </c>
      <c r="BU193" s="125">
        <f t="shared" si="31"/>
        <v>0</v>
      </c>
      <c r="BV193" s="125">
        <f t="shared" si="32"/>
        <v>0</v>
      </c>
      <c r="BW193" s="125">
        <f t="shared" si="33"/>
        <v>0</v>
      </c>
      <c r="BX193" s="125">
        <f t="shared" si="34"/>
        <v>0</v>
      </c>
      <c r="BY193" s="125">
        <f t="shared" si="35"/>
        <v>0</v>
      </c>
      <c r="BZ193" s="125">
        <f t="shared" si="36"/>
        <v>0</v>
      </c>
      <c r="CA193" s="125">
        <f t="shared" si="37"/>
        <v>0</v>
      </c>
      <c r="CB193" s="125">
        <f t="shared" si="38"/>
        <v>0</v>
      </c>
      <c r="CC193" s="125">
        <f t="shared" si="39"/>
        <v>0</v>
      </c>
      <c r="CD193" s="125">
        <f t="shared" si="40"/>
        <v>0</v>
      </c>
      <c r="CE193" s="125">
        <f t="shared" si="42"/>
        <v>0</v>
      </c>
      <c r="CF193" s="126">
        <f t="shared" si="43"/>
        <v>0</v>
      </c>
      <c r="CH193" s="4">
        <v>191</v>
      </c>
      <c r="CI193" s="129">
        <v>0</v>
      </c>
      <c r="CJ193" s="125">
        <v>0</v>
      </c>
      <c r="CK193" s="125">
        <v>0</v>
      </c>
      <c r="CL193" s="125">
        <v>0</v>
      </c>
      <c r="CM193" s="125">
        <v>0</v>
      </c>
      <c r="CN193" s="125">
        <v>0</v>
      </c>
      <c r="CO193" s="125">
        <v>0</v>
      </c>
      <c r="CP193" s="125">
        <v>0</v>
      </c>
      <c r="CQ193" s="125">
        <v>0</v>
      </c>
      <c r="CR193" s="125">
        <v>0</v>
      </c>
      <c r="CS193" s="125">
        <v>0</v>
      </c>
      <c r="CT193" s="125">
        <v>0</v>
      </c>
      <c r="CU193" s="126">
        <v>0</v>
      </c>
    </row>
    <row r="194" spans="1:99" x14ac:dyDescent="0.25">
      <c r="A194" t="s">
        <v>232</v>
      </c>
      <c r="B194" s="2" t="s">
        <v>3</v>
      </c>
      <c r="C194" s="1">
        <v>19052</v>
      </c>
      <c r="D194" s="19">
        <v>56.285714285714299</v>
      </c>
      <c r="E194" s="18">
        <v>0</v>
      </c>
      <c r="F194" s="19">
        <v>0</v>
      </c>
      <c r="G194" s="19">
        <v>0</v>
      </c>
      <c r="H194" s="19">
        <v>0</v>
      </c>
      <c r="I194" s="19">
        <f>SUM(E194:H194)/Variables!$E$3</f>
        <v>0</v>
      </c>
      <c r="J194" s="4">
        <v>0</v>
      </c>
      <c r="K194">
        <v>0</v>
      </c>
      <c r="L194">
        <v>0</v>
      </c>
      <c r="M194">
        <v>0</v>
      </c>
      <c r="N194" s="6">
        <f>SUM(J194:M194)/Variables!$E$3</f>
        <v>0</v>
      </c>
      <c r="O194" s="4">
        <v>0</v>
      </c>
      <c r="P194">
        <v>0</v>
      </c>
      <c r="Q194">
        <v>0</v>
      </c>
      <c r="R194">
        <v>0</v>
      </c>
      <c r="S194" s="6">
        <f>SUM(O194:R194)/Variables!$E$3</f>
        <v>0</v>
      </c>
      <c r="T194" s="12">
        <v>0</v>
      </c>
      <c r="U194" s="6">
        <v>0</v>
      </c>
      <c r="V194" s="6">
        <v>0</v>
      </c>
      <c r="W194" s="6">
        <v>0</v>
      </c>
      <c r="X194" s="6">
        <f>SUM(T194:W194)/Variables!$E$3</f>
        <v>0</v>
      </c>
      <c r="Y194" s="12">
        <v>0</v>
      </c>
      <c r="Z194" s="6">
        <v>0</v>
      </c>
      <c r="AA194" s="6">
        <v>0</v>
      </c>
      <c r="AB194" s="6">
        <v>0</v>
      </c>
      <c r="AC194" s="6">
        <f>SUM(Y194:AB194)/Variables!$E$3</f>
        <v>0</v>
      </c>
      <c r="AD194" s="4">
        <v>0</v>
      </c>
      <c r="AE194" s="2">
        <v>0</v>
      </c>
      <c r="AF194" s="2">
        <v>0</v>
      </c>
      <c r="AG194" s="2">
        <v>0</v>
      </c>
      <c r="AH194" s="6">
        <f>SUM(AD194:AG194)/Variables!$E$3</f>
        <v>0</v>
      </c>
      <c r="AI194" s="4">
        <v>0</v>
      </c>
      <c r="AJ194" s="2">
        <v>0</v>
      </c>
      <c r="AK194" s="2">
        <v>0</v>
      </c>
      <c r="AL194" s="2">
        <v>0</v>
      </c>
      <c r="AM194" s="6">
        <f>SUM(AI194:AL194)/Variables!$E$3</f>
        <v>0</v>
      </c>
      <c r="AN194" s="4">
        <v>0</v>
      </c>
      <c r="AO194" s="2">
        <v>0</v>
      </c>
      <c r="AP194" s="2">
        <v>0</v>
      </c>
      <c r="AQ194" s="2">
        <v>0</v>
      </c>
      <c r="AR194" s="6">
        <f>SUM(AN194:AQ194)/Variables!$E$3</f>
        <v>0</v>
      </c>
      <c r="AS194" s="4">
        <v>0</v>
      </c>
      <c r="AT194" s="2">
        <v>0</v>
      </c>
      <c r="AU194" s="2">
        <v>0</v>
      </c>
      <c r="AV194" s="2">
        <v>0</v>
      </c>
      <c r="AW194" s="6">
        <f>SUM(AS194:AV194)/Variables!$E$3</f>
        <v>0</v>
      </c>
      <c r="AX194" s="4">
        <v>0</v>
      </c>
      <c r="AY194" s="2">
        <v>0</v>
      </c>
      <c r="AZ194" s="2">
        <v>0</v>
      </c>
      <c r="BA194" s="2">
        <v>0</v>
      </c>
      <c r="BB194" s="6">
        <f>SUM(AX194:BA194)/Variables!$E$3</f>
        <v>0</v>
      </c>
      <c r="BC194" s="12">
        <f t="shared" si="44"/>
        <v>0</v>
      </c>
      <c r="BD194" s="110">
        <f t="shared" si="44"/>
        <v>0</v>
      </c>
      <c r="BE194" s="110">
        <f t="shared" si="44"/>
        <v>0</v>
      </c>
      <c r="BF194" s="110">
        <f t="shared" si="41"/>
        <v>0</v>
      </c>
      <c r="BG194" s="6">
        <f>SUM(BC194:BF194)/Variables!$E$3</f>
        <v>0</v>
      </c>
      <c r="BH194" s="4">
        <v>0</v>
      </c>
      <c r="BI194">
        <v>0</v>
      </c>
      <c r="BJ194">
        <v>0</v>
      </c>
      <c r="BK194">
        <v>0</v>
      </c>
      <c r="BL194" s="6">
        <f>SUM(BH194:BK194)/Variables!$E$3</f>
        <v>0</v>
      </c>
      <c r="BM194" s="110">
        <v>0</v>
      </c>
      <c r="BN194" s="110">
        <v>0</v>
      </c>
      <c r="BO194" s="110">
        <v>0</v>
      </c>
      <c r="BP194" s="110">
        <v>0</v>
      </c>
      <c r="BQ194" s="6">
        <f>SUM(BM194:BP194)/Variables!$E$3</f>
        <v>0</v>
      </c>
      <c r="BS194" s="4">
        <v>192</v>
      </c>
      <c r="BT194" s="125">
        <f t="shared" si="30"/>
        <v>0</v>
      </c>
      <c r="BU194" s="125">
        <f t="shared" si="31"/>
        <v>9.2144830917109399E-2</v>
      </c>
      <c r="BV194" s="125">
        <f t="shared" si="32"/>
        <v>0</v>
      </c>
      <c r="BW194" s="125">
        <f t="shared" si="33"/>
        <v>8.2333193453629876E-3</v>
      </c>
      <c r="BX194" s="125">
        <f t="shared" si="34"/>
        <v>7.3945161877766261E-3</v>
      </c>
      <c r="BY194" s="125">
        <f t="shared" si="35"/>
        <v>9.1291300802064936E-4</v>
      </c>
      <c r="BZ194" s="125">
        <f t="shared" si="36"/>
        <v>1.7913839381151079E-3</v>
      </c>
      <c r="CA194" s="125">
        <f t="shared" si="37"/>
        <v>2.0590820196517787E-3</v>
      </c>
      <c r="CB194" s="125">
        <f t="shared" si="38"/>
        <v>9.0764772484342709E-3</v>
      </c>
      <c r="CC194" s="125">
        <f t="shared" si="39"/>
        <v>3.3603591477367203E-3</v>
      </c>
      <c r="CD194" s="125">
        <f t="shared" si="40"/>
        <v>7.3945161877766261E-3</v>
      </c>
      <c r="CE194" s="125">
        <f t="shared" si="42"/>
        <v>2.700575618175916E-3</v>
      </c>
      <c r="CF194" s="126">
        <f t="shared" si="43"/>
        <v>3.291395814693703E-3</v>
      </c>
      <c r="CH194" s="4">
        <v>192</v>
      </c>
      <c r="CI194" s="129">
        <v>0</v>
      </c>
      <c r="CJ194" s="125">
        <v>0</v>
      </c>
      <c r="CK194" s="125">
        <v>0</v>
      </c>
      <c r="CL194" s="125">
        <v>0</v>
      </c>
      <c r="CM194" s="125">
        <v>0</v>
      </c>
      <c r="CN194" s="125">
        <v>0</v>
      </c>
      <c r="CO194" s="125">
        <v>0</v>
      </c>
      <c r="CP194" s="125">
        <v>0</v>
      </c>
      <c r="CQ194" s="125">
        <v>0</v>
      </c>
      <c r="CR194" s="125">
        <v>0</v>
      </c>
      <c r="CS194" s="125">
        <v>0</v>
      </c>
      <c r="CT194" s="125">
        <v>0</v>
      </c>
      <c r="CU194" s="126">
        <v>0</v>
      </c>
    </row>
    <row r="195" spans="1:99" x14ac:dyDescent="0.25">
      <c r="A195" t="s">
        <v>232</v>
      </c>
      <c r="B195" s="2" t="s">
        <v>4</v>
      </c>
      <c r="C195" s="1">
        <v>19145</v>
      </c>
      <c r="D195" s="19">
        <v>96.990476190476201</v>
      </c>
      <c r="E195" s="18">
        <v>0</v>
      </c>
      <c r="F195" s="19">
        <v>0</v>
      </c>
      <c r="G195" s="19">
        <v>0</v>
      </c>
      <c r="H195" s="19">
        <v>0</v>
      </c>
      <c r="I195" s="19">
        <f>SUM(E195:H195)/Variables!$E$3</f>
        <v>0</v>
      </c>
      <c r="J195" s="4">
        <v>0</v>
      </c>
      <c r="K195">
        <v>0</v>
      </c>
      <c r="L195">
        <v>114821</v>
      </c>
      <c r="M195">
        <v>1557</v>
      </c>
      <c r="N195" s="6">
        <f>SUM(J195:M195)/Variables!$E$3</f>
        <v>9.2144830917109399E-2</v>
      </c>
      <c r="O195" s="4">
        <v>0</v>
      </c>
      <c r="P195">
        <v>0</v>
      </c>
      <c r="Q195">
        <v>0</v>
      </c>
      <c r="R195">
        <v>0</v>
      </c>
      <c r="S195" s="6">
        <f>SUM(O195:R195)/Variables!$E$3</f>
        <v>0</v>
      </c>
      <c r="T195" s="12">
        <v>0</v>
      </c>
      <c r="U195" s="6">
        <v>0</v>
      </c>
      <c r="V195" s="6">
        <v>10398.6</v>
      </c>
      <c r="W195" s="6">
        <v>0</v>
      </c>
      <c r="X195" s="6">
        <f>SUM(T195:W195)/Variables!$E$3</f>
        <v>8.2333193453629876E-3</v>
      </c>
      <c r="Y195" s="12">
        <v>0</v>
      </c>
      <c r="Z195" s="6">
        <v>0</v>
      </c>
      <c r="AA195" s="6">
        <v>9339.2000000000007</v>
      </c>
      <c r="AB195" s="6">
        <v>0</v>
      </c>
      <c r="AC195" s="6">
        <f>SUM(Y195:AB195)/Variables!$E$3</f>
        <v>7.3945161877766261E-3</v>
      </c>
      <c r="AD195" s="4">
        <v>0</v>
      </c>
      <c r="AE195" s="2">
        <v>0</v>
      </c>
      <c r="AF195" s="2">
        <v>1153</v>
      </c>
      <c r="AG195" s="2">
        <v>0</v>
      </c>
      <c r="AH195" s="6">
        <f>SUM(AD195:AG195)/Variables!$E$3</f>
        <v>9.1291300802064936E-4</v>
      </c>
      <c r="AI195" s="4">
        <v>0</v>
      </c>
      <c r="AJ195" s="2">
        <v>0</v>
      </c>
      <c r="AK195" s="2">
        <v>2262.5</v>
      </c>
      <c r="AL195" s="2">
        <v>0</v>
      </c>
      <c r="AM195" s="6">
        <f>SUM(AI195:AL195)/Variables!$E$3</f>
        <v>1.7913839381151079E-3</v>
      </c>
      <c r="AN195" s="4">
        <v>0</v>
      </c>
      <c r="AO195" s="2">
        <v>0</v>
      </c>
      <c r="AP195" s="2">
        <v>2600.6</v>
      </c>
      <c r="AQ195" s="2">
        <v>0</v>
      </c>
      <c r="AR195" s="6">
        <f>SUM(AN195:AQ195)/Variables!$E$3</f>
        <v>2.0590820196517787E-3</v>
      </c>
      <c r="AS195" s="4">
        <v>0</v>
      </c>
      <c r="AT195" s="2">
        <v>0</v>
      </c>
      <c r="AU195" s="2">
        <v>11463.5</v>
      </c>
      <c r="AV195" s="2">
        <v>0</v>
      </c>
      <c r="AW195" s="6">
        <f>SUM(AS195:AV195)/Variables!$E$3</f>
        <v>9.0764772484342709E-3</v>
      </c>
      <c r="AX195" s="4">
        <v>0</v>
      </c>
      <c r="AY195" s="2">
        <v>0</v>
      </c>
      <c r="AZ195" s="2">
        <v>4244.1000000000004</v>
      </c>
      <c r="BA195" s="2">
        <v>0</v>
      </c>
      <c r="BB195" s="6">
        <f>SUM(AX195:BA195)/Variables!$E$3</f>
        <v>3.3603591477367203E-3</v>
      </c>
      <c r="BC195" s="12">
        <f t="shared" si="44"/>
        <v>0</v>
      </c>
      <c r="BD195" s="110">
        <f t="shared" si="44"/>
        <v>0</v>
      </c>
      <c r="BE195" s="110">
        <f t="shared" si="44"/>
        <v>9339.2000000000007</v>
      </c>
      <c r="BF195" s="110">
        <f t="shared" si="41"/>
        <v>0</v>
      </c>
      <c r="BG195" s="6">
        <f>SUM(BC195:BF195)/Variables!$E$3</f>
        <v>7.3945161877766261E-3</v>
      </c>
      <c r="BH195" s="4">
        <v>0</v>
      </c>
      <c r="BI195">
        <v>0</v>
      </c>
      <c r="BJ195">
        <v>3410.8</v>
      </c>
      <c r="BK195">
        <v>0</v>
      </c>
      <c r="BL195" s="6">
        <f>SUM(BH195:BK195)/Variables!$E$3</f>
        <v>2.700575618175916E-3</v>
      </c>
      <c r="BM195" s="110">
        <v>0</v>
      </c>
      <c r="BN195" s="110">
        <v>0</v>
      </c>
      <c r="BO195" s="110">
        <v>4157</v>
      </c>
      <c r="BP195" s="110">
        <v>0</v>
      </c>
      <c r="BQ195" s="6">
        <f>SUM(BM195:BP195)/Variables!$E$3</f>
        <v>3.291395814693703E-3</v>
      </c>
      <c r="BS195" s="4">
        <v>193</v>
      </c>
      <c r="BT195" s="125">
        <f t="shared" ref="BT195:BT262" si="45">I196</f>
        <v>0</v>
      </c>
      <c r="BU195" s="125">
        <f t="shared" ref="BU195:BU258" si="46">N196</f>
        <v>0</v>
      </c>
      <c r="BV195" s="125">
        <f t="shared" ref="BV195:BV258" si="47">S196</f>
        <v>0</v>
      </c>
      <c r="BW195" s="125">
        <f t="shared" ref="BW195:BW258" si="48">X196</f>
        <v>0</v>
      </c>
      <c r="BX195" s="125">
        <f t="shared" ref="BX195:BX258" si="49">AC196</f>
        <v>0</v>
      </c>
      <c r="BY195" s="125">
        <f t="shared" ref="BY195:BY258" si="50">AH196</f>
        <v>0</v>
      </c>
      <c r="BZ195" s="125">
        <f t="shared" ref="BZ195:BZ258" si="51">AM196</f>
        <v>0</v>
      </c>
      <c r="CA195" s="125">
        <f t="shared" ref="CA195:CA258" si="52">AR196</f>
        <v>0</v>
      </c>
      <c r="CB195" s="125">
        <f t="shared" ref="CB195:CB258" si="53">AW196</f>
        <v>0</v>
      </c>
      <c r="CC195" s="125">
        <f t="shared" ref="CC195:CC258" si="54">BB196</f>
        <v>0</v>
      </c>
      <c r="CD195" s="125">
        <f t="shared" ref="CD195:CD258" si="55">BG196</f>
        <v>0</v>
      </c>
      <c r="CE195" s="125">
        <f t="shared" si="42"/>
        <v>0</v>
      </c>
      <c r="CF195" s="126">
        <f t="shared" si="43"/>
        <v>0</v>
      </c>
      <c r="CH195" s="4">
        <v>193</v>
      </c>
      <c r="CI195" s="129">
        <v>0</v>
      </c>
      <c r="CJ195" s="125">
        <v>0</v>
      </c>
      <c r="CK195" s="125">
        <v>0</v>
      </c>
      <c r="CL195" s="125">
        <v>0</v>
      </c>
      <c r="CM195" s="125">
        <v>0</v>
      </c>
      <c r="CN195" s="125">
        <v>0</v>
      </c>
      <c r="CO195" s="125">
        <v>0</v>
      </c>
      <c r="CP195" s="125">
        <v>0</v>
      </c>
      <c r="CQ195" s="125">
        <v>0</v>
      </c>
      <c r="CR195" s="125">
        <v>0</v>
      </c>
      <c r="CS195" s="125">
        <v>0</v>
      </c>
      <c r="CT195" s="125">
        <v>0</v>
      </c>
      <c r="CU195" s="126">
        <v>0</v>
      </c>
    </row>
    <row r="196" spans="1:99" x14ac:dyDescent="0.25">
      <c r="A196" t="s">
        <v>232</v>
      </c>
      <c r="B196" s="2" t="s">
        <v>1</v>
      </c>
      <c r="C196" s="1">
        <v>19237</v>
      </c>
      <c r="D196" s="19">
        <v>87.471428571428604</v>
      </c>
      <c r="E196" s="18">
        <v>0</v>
      </c>
      <c r="F196" s="19">
        <v>0</v>
      </c>
      <c r="G196" s="19">
        <v>0</v>
      </c>
      <c r="H196" s="19">
        <v>0</v>
      </c>
      <c r="I196" s="19">
        <f>SUM(E196:H196)/Variables!$E$3</f>
        <v>0</v>
      </c>
      <c r="J196" s="4">
        <v>0</v>
      </c>
      <c r="K196">
        <v>0</v>
      </c>
      <c r="L196">
        <v>0</v>
      </c>
      <c r="M196">
        <v>0</v>
      </c>
      <c r="N196" s="6">
        <f>SUM(J196:M196)/Variables!$E$3</f>
        <v>0</v>
      </c>
      <c r="O196" s="4">
        <v>0</v>
      </c>
      <c r="P196">
        <v>0</v>
      </c>
      <c r="Q196">
        <v>0</v>
      </c>
      <c r="R196">
        <v>0</v>
      </c>
      <c r="S196" s="6">
        <f>SUM(O196:R196)/Variables!$E$3</f>
        <v>0</v>
      </c>
      <c r="T196" s="12">
        <v>0</v>
      </c>
      <c r="U196" s="6">
        <v>0</v>
      </c>
      <c r="V196" s="6">
        <v>0</v>
      </c>
      <c r="W196" s="6">
        <v>0</v>
      </c>
      <c r="X196" s="6">
        <f>SUM(T196:W196)/Variables!$E$3</f>
        <v>0</v>
      </c>
      <c r="Y196" s="12">
        <v>0</v>
      </c>
      <c r="Z196" s="6">
        <v>0</v>
      </c>
      <c r="AA196" s="6">
        <v>0</v>
      </c>
      <c r="AB196" s="6">
        <v>0</v>
      </c>
      <c r="AC196" s="6">
        <f>SUM(Y196:AB196)/Variables!$E$3</f>
        <v>0</v>
      </c>
      <c r="AD196" s="4">
        <v>0</v>
      </c>
      <c r="AE196" s="2">
        <v>0</v>
      </c>
      <c r="AF196" s="2">
        <v>0</v>
      </c>
      <c r="AG196" s="2">
        <v>0</v>
      </c>
      <c r="AH196" s="6">
        <f>SUM(AD196:AG196)/Variables!$E$3</f>
        <v>0</v>
      </c>
      <c r="AI196" s="4">
        <v>0</v>
      </c>
      <c r="AJ196" s="2">
        <v>0</v>
      </c>
      <c r="AK196" s="2">
        <v>0</v>
      </c>
      <c r="AL196" s="2">
        <v>0</v>
      </c>
      <c r="AM196" s="6">
        <f>SUM(AI196:AL196)/Variables!$E$3</f>
        <v>0</v>
      </c>
      <c r="AN196" s="4">
        <v>0</v>
      </c>
      <c r="AO196" s="2">
        <v>0</v>
      </c>
      <c r="AP196" s="2">
        <v>0</v>
      </c>
      <c r="AQ196" s="2">
        <v>0</v>
      </c>
      <c r="AR196" s="6">
        <f>SUM(AN196:AQ196)/Variables!$E$3</f>
        <v>0</v>
      </c>
      <c r="AS196" s="4">
        <v>0</v>
      </c>
      <c r="AT196" s="2">
        <v>0</v>
      </c>
      <c r="AU196" s="2">
        <v>0</v>
      </c>
      <c r="AV196" s="2">
        <v>0</v>
      </c>
      <c r="AW196" s="6">
        <f>SUM(AS196:AV196)/Variables!$E$3</f>
        <v>0</v>
      </c>
      <c r="AX196" s="4">
        <v>0</v>
      </c>
      <c r="AY196" s="2">
        <v>0</v>
      </c>
      <c r="AZ196" s="2">
        <v>0</v>
      </c>
      <c r="BA196" s="2">
        <v>0</v>
      </c>
      <c r="BB196" s="6">
        <f>SUM(AX196:BA196)/Variables!$E$3</f>
        <v>0</v>
      </c>
      <c r="BC196" s="12">
        <f t="shared" si="44"/>
        <v>0</v>
      </c>
      <c r="BD196" s="110">
        <f t="shared" si="44"/>
        <v>0</v>
      </c>
      <c r="BE196" s="110">
        <f t="shared" si="44"/>
        <v>0</v>
      </c>
      <c r="BF196" s="110">
        <f t="shared" si="44"/>
        <v>0</v>
      </c>
      <c r="BG196" s="6">
        <f>SUM(BC196:BF196)/Variables!$E$3</f>
        <v>0</v>
      </c>
      <c r="BH196" s="4">
        <v>0</v>
      </c>
      <c r="BI196">
        <v>0</v>
      </c>
      <c r="BJ196">
        <v>0</v>
      </c>
      <c r="BK196">
        <v>0</v>
      </c>
      <c r="BL196" s="6">
        <f>SUM(BH196:BK196)/Variables!$E$3</f>
        <v>0</v>
      </c>
      <c r="BM196" s="110">
        <v>0</v>
      </c>
      <c r="BN196" s="110">
        <v>0</v>
      </c>
      <c r="BO196" s="110">
        <v>0</v>
      </c>
      <c r="BP196" s="110">
        <v>0</v>
      </c>
      <c r="BQ196" s="6">
        <f>SUM(BM196:BP196)/Variables!$E$3</f>
        <v>0</v>
      </c>
      <c r="BS196" s="4">
        <v>194</v>
      </c>
      <c r="BT196" s="125">
        <f t="shared" si="45"/>
        <v>0</v>
      </c>
      <c r="BU196" s="125">
        <f t="shared" si="46"/>
        <v>0</v>
      </c>
      <c r="BV196" s="125">
        <f t="shared" si="47"/>
        <v>0</v>
      </c>
      <c r="BW196" s="125">
        <f t="shared" si="48"/>
        <v>0</v>
      </c>
      <c r="BX196" s="125">
        <f t="shared" si="49"/>
        <v>0</v>
      </c>
      <c r="BY196" s="125">
        <f t="shared" si="50"/>
        <v>0</v>
      </c>
      <c r="BZ196" s="125">
        <f t="shared" si="51"/>
        <v>0</v>
      </c>
      <c r="CA196" s="125">
        <f t="shared" si="52"/>
        <v>0</v>
      </c>
      <c r="CB196" s="125">
        <f t="shared" si="53"/>
        <v>0</v>
      </c>
      <c r="CC196" s="125">
        <f t="shared" si="54"/>
        <v>0</v>
      </c>
      <c r="CD196" s="125">
        <f t="shared" si="55"/>
        <v>0</v>
      </c>
      <c r="CE196" s="125">
        <f t="shared" ref="CE196:CE259" si="56">BL197</f>
        <v>0</v>
      </c>
      <c r="CF196" s="126">
        <f t="shared" ref="CF196:CF259" si="57">BQ197</f>
        <v>0</v>
      </c>
      <c r="CH196" s="4">
        <v>194</v>
      </c>
      <c r="CI196" s="129">
        <v>0</v>
      </c>
      <c r="CJ196" s="125">
        <v>0</v>
      </c>
      <c r="CK196" s="125">
        <v>0</v>
      </c>
      <c r="CL196" s="125">
        <v>0</v>
      </c>
      <c r="CM196" s="125">
        <v>0</v>
      </c>
      <c r="CN196" s="125">
        <v>0</v>
      </c>
      <c r="CO196" s="125">
        <v>0</v>
      </c>
      <c r="CP196" s="125">
        <v>0</v>
      </c>
      <c r="CQ196" s="125">
        <v>0</v>
      </c>
      <c r="CR196" s="125">
        <v>0</v>
      </c>
      <c r="CS196" s="125">
        <v>0</v>
      </c>
      <c r="CT196" s="125">
        <v>0</v>
      </c>
      <c r="CU196" s="126">
        <v>0</v>
      </c>
    </row>
    <row r="197" spans="1:99" x14ac:dyDescent="0.25">
      <c r="A197" t="s">
        <v>232</v>
      </c>
      <c r="B197" s="2" t="s">
        <v>2</v>
      </c>
      <c r="C197" s="1">
        <v>19328</v>
      </c>
      <c r="D197" s="19">
        <v>80.628571428571405</v>
      </c>
      <c r="E197" s="18">
        <v>0</v>
      </c>
      <c r="F197" s="19">
        <v>0</v>
      </c>
      <c r="G197" s="19">
        <v>0</v>
      </c>
      <c r="H197" s="19">
        <v>0</v>
      </c>
      <c r="I197" s="19">
        <f>SUM(E197:H197)/Variables!$E$3</f>
        <v>0</v>
      </c>
      <c r="J197" s="4">
        <v>0</v>
      </c>
      <c r="K197">
        <v>0</v>
      </c>
      <c r="L197">
        <v>0</v>
      </c>
      <c r="M197">
        <v>0</v>
      </c>
      <c r="N197" s="6">
        <f>SUM(J197:M197)/Variables!$E$3</f>
        <v>0</v>
      </c>
      <c r="O197" s="4">
        <v>0</v>
      </c>
      <c r="P197">
        <v>0</v>
      </c>
      <c r="Q197">
        <v>0</v>
      </c>
      <c r="R197">
        <v>0</v>
      </c>
      <c r="S197" s="6">
        <f>SUM(O197:R197)/Variables!$E$3</f>
        <v>0</v>
      </c>
      <c r="T197" s="12">
        <v>0</v>
      </c>
      <c r="U197" s="6">
        <v>0</v>
      </c>
      <c r="V197" s="6">
        <v>0</v>
      </c>
      <c r="W197" s="6">
        <v>0</v>
      </c>
      <c r="X197" s="6">
        <f>SUM(T197:W197)/Variables!$E$3</f>
        <v>0</v>
      </c>
      <c r="Y197" s="12">
        <v>0</v>
      </c>
      <c r="Z197" s="6">
        <v>0</v>
      </c>
      <c r="AA197" s="6">
        <v>0</v>
      </c>
      <c r="AB197" s="6">
        <v>0</v>
      </c>
      <c r="AC197" s="6">
        <f>SUM(Y197:AB197)/Variables!$E$3</f>
        <v>0</v>
      </c>
      <c r="AD197" s="4">
        <v>0</v>
      </c>
      <c r="AE197" s="2">
        <v>0</v>
      </c>
      <c r="AF197" s="2">
        <v>0</v>
      </c>
      <c r="AG197" s="2">
        <v>0</v>
      </c>
      <c r="AH197" s="6">
        <f>SUM(AD197:AG197)/Variables!$E$3</f>
        <v>0</v>
      </c>
      <c r="AI197" s="4">
        <v>0</v>
      </c>
      <c r="AJ197" s="2">
        <v>0</v>
      </c>
      <c r="AK197" s="2">
        <v>0</v>
      </c>
      <c r="AL197" s="2">
        <v>0</v>
      </c>
      <c r="AM197" s="6">
        <f>SUM(AI197:AL197)/Variables!$E$3</f>
        <v>0</v>
      </c>
      <c r="AN197" s="4">
        <v>0</v>
      </c>
      <c r="AO197" s="2">
        <v>0</v>
      </c>
      <c r="AP197" s="2">
        <v>0</v>
      </c>
      <c r="AQ197" s="2">
        <v>0</v>
      </c>
      <c r="AR197" s="6">
        <f>SUM(AN197:AQ197)/Variables!$E$3</f>
        <v>0</v>
      </c>
      <c r="AS197" s="4">
        <v>0</v>
      </c>
      <c r="AT197" s="2">
        <v>0</v>
      </c>
      <c r="AU197" s="2">
        <v>0</v>
      </c>
      <c r="AV197" s="2">
        <v>0</v>
      </c>
      <c r="AW197" s="6">
        <f>SUM(AS197:AV197)/Variables!$E$3</f>
        <v>0</v>
      </c>
      <c r="AX197" s="4">
        <v>0</v>
      </c>
      <c r="AY197" s="2">
        <v>0</v>
      </c>
      <c r="AZ197" s="2">
        <v>0</v>
      </c>
      <c r="BA197" s="2">
        <v>0</v>
      </c>
      <c r="BB197" s="6">
        <f>SUM(AX197:BA197)/Variables!$E$3</f>
        <v>0</v>
      </c>
      <c r="BC197" s="12">
        <f t="shared" ref="BC197:BF260" si="58">Y197</f>
        <v>0</v>
      </c>
      <c r="BD197" s="110">
        <f t="shared" si="58"/>
        <v>0</v>
      </c>
      <c r="BE197" s="110">
        <f t="shared" si="58"/>
        <v>0</v>
      </c>
      <c r="BF197" s="110">
        <f t="shared" si="58"/>
        <v>0</v>
      </c>
      <c r="BG197" s="6">
        <f>SUM(BC197:BF197)/Variables!$E$3</f>
        <v>0</v>
      </c>
      <c r="BH197" s="4">
        <v>0</v>
      </c>
      <c r="BI197">
        <v>0</v>
      </c>
      <c r="BJ197">
        <v>0</v>
      </c>
      <c r="BK197">
        <v>0</v>
      </c>
      <c r="BL197" s="6">
        <f>SUM(BH197:BK197)/Variables!$E$3</f>
        <v>0</v>
      </c>
      <c r="BM197" s="110">
        <v>0</v>
      </c>
      <c r="BN197" s="110">
        <v>0</v>
      </c>
      <c r="BO197" s="110">
        <v>0</v>
      </c>
      <c r="BP197" s="110">
        <v>0</v>
      </c>
      <c r="BQ197" s="6">
        <f>SUM(BM197:BP197)/Variables!$E$3</f>
        <v>0</v>
      </c>
      <c r="BS197" s="4">
        <v>195</v>
      </c>
      <c r="BT197" s="125">
        <f t="shared" si="45"/>
        <v>0</v>
      </c>
      <c r="BU197" s="125">
        <f t="shared" si="46"/>
        <v>7.7704494889112349E-3</v>
      </c>
      <c r="BV197" s="125">
        <f t="shared" si="47"/>
        <v>3.1908407825873524E-4</v>
      </c>
      <c r="BW197" s="125">
        <f t="shared" si="48"/>
        <v>1.2049976642728763E-3</v>
      </c>
      <c r="BX197" s="125">
        <f t="shared" si="49"/>
        <v>1.2205163936373209E-3</v>
      </c>
      <c r="BY197" s="125">
        <f t="shared" si="50"/>
        <v>9.8330153049509513E-4</v>
      </c>
      <c r="BZ197" s="125">
        <f t="shared" si="51"/>
        <v>5.3555451745461165E-4</v>
      </c>
      <c r="CA197" s="125">
        <f t="shared" si="52"/>
        <v>1.0745136541065248E-3</v>
      </c>
      <c r="CB197" s="125">
        <f t="shared" si="53"/>
        <v>1.6998551057411382E-3</v>
      </c>
      <c r="CC197" s="125">
        <f t="shared" si="54"/>
        <v>1.2014346906943048E-3</v>
      </c>
      <c r="CD197" s="125">
        <f t="shared" si="55"/>
        <v>1.2205163936373209E-3</v>
      </c>
      <c r="CE197" s="125">
        <f t="shared" si="56"/>
        <v>1.0932786482870014E-3</v>
      </c>
      <c r="CF197" s="126">
        <f t="shared" si="57"/>
        <v>1.2009596275504952E-3</v>
      </c>
      <c r="CH197" s="4">
        <v>195</v>
      </c>
      <c r="CI197" s="129">
        <v>0</v>
      </c>
      <c r="CJ197" s="125">
        <v>0</v>
      </c>
      <c r="CK197" s="125">
        <v>0</v>
      </c>
      <c r="CL197" s="125">
        <v>0</v>
      </c>
      <c r="CM197" s="125">
        <v>0</v>
      </c>
      <c r="CN197" s="125">
        <v>0</v>
      </c>
      <c r="CO197" s="125">
        <v>0</v>
      </c>
      <c r="CP197" s="125">
        <v>0</v>
      </c>
      <c r="CQ197" s="125">
        <v>0</v>
      </c>
      <c r="CR197" s="125">
        <v>0</v>
      </c>
      <c r="CS197" s="125">
        <v>0</v>
      </c>
      <c r="CT197" s="125">
        <v>0</v>
      </c>
      <c r="CU197" s="126">
        <v>0</v>
      </c>
    </row>
    <row r="198" spans="1:99" x14ac:dyDescent="0.25">
      <c r="A198" t="s">
        <v>233</v>
      </c>
      <c r="B198" s="2" t="s">
        <v>3</v>
      </c>
      <c r="C198" s="1">
        <v>19418</v>
      </c>
      <c r="D198" s="19">
        <v>133.98428571428599</v>
      </c>
      <c r="E198" s="18">
        <v>0</v>
      </c>
      <c r="F198" s="19">
        <v>0</v>
      </c>
      <c r="G198" s="19">
        <v>0</v>
      </c>
      <c r="H198" s="19">
        <v>0</v>
      </c>
      <c r="I198" s="19">
        <f>SUM(E198:H198)/Variables!$E$3</f>
        <v>0</v>
      </c>
      <c r="J198" s="4">
        <v>0</v>
      </c>
      <c r="K198">
        <v>0</v>
      </c>
      <c r="L198">
        <v>976</v>
      </c>
      <c r="M198">
        <v>8838</v>
      </c>
      <c r="N198" s="6">
        <f>SUM(J198:M198)/Variables!$E$3</f>
        <v>7.7704494889112349E-3</v>
      </c>
      <c r="O198" s="4">
        <v>0</v>
      </c>
      <c r="P198">
        <v>0</v>
      </c>
      <c r="Q198">
        <v>0</v>
      </c>
      <c r="R198">
        <v>403</v>
      </c>
      <c r="S198" s="6">
        <f>SUM(O198:R198)/Variables!$E$3</f>
        <v>3.1908407825873524E-4</v>
      </c>
      <c r="T198" s="12">
        <v>0</v>
      </c>
      <c r="U198" s="6">
        <v>0</v>
      </c>
      <c r="V198" s="6">
        <v>0</v>
      </c>
      <c r="W198" s="6">
        <v>1521.9</v>
      </c>
      <c r="X198" s="6">
        <f>SUM(T198:W198)/Variables!$E$3</f>
        <v>1.2049976642728763E-3</v>
      </c>
      <c r="Y198" s="12">
        <v>0</v>
      </c>
      <c r="Z198" s="6">
        <v>0</v>
      </c>
      <c r="AA198" s="6">
        <v>0</v>
      </c>
      <c r="AB198" s="6">
        <v>1541.5</v>
      </c>
      <c r="AC198" s="6">
        <f>SUM(Y198:AB198)/Variables!$E$3</f>
        <v>1.2205163936373209E-3</v>
      </c>
      <c r="AD198" s="4">
        <v>0</v>
      </c>
      <c r="AE198" s="2">
        <v>0</v>
      </c>
      <c r="AF198" s="2">
        <v>0</v>
      </c>
      <c r="AG198" s="2">
        <v>1241.9000000000001</v>
      </c>
      <c r="AH198" s="6">
        <f>SUM(AD198:AG198)/Variables!$E$3</f>
        <v>9.8330153049509513E-4</v>
      </c>
      <c r="AI198" s="4">
        <v>0</v>
      </c>
      <c r="AJ198" s="2">
        <v>0</v>
      </c>
      <c r="AK198" s="2">
        <v>0</v>
      </c>
      <c r="AL198" s="2">
        <v>676.4</v>
      </c>
      <c r="AM198" s="6">
        <f>SUM(AI198:AL198)/Variables!$E$3</f>
        <v>5.3555451745461165E-4</v>
      </c>
      <c r="AN198" s="4">
        <v>0</v>
      </c>
      <c r="AO198" s="2">
        <v>0</v>
      </c>
      <c r="AP198" s="2">
        <v>0</v>
      </c>
      <c r="AQ198" s="2">
        <v>1357.1</v>
      </c>
      <c r="AR198" s="6">
        <f>SUM(AN198:AQ198)/Variables!$E$3</f>
        <v>1.0745136541065248E-3</v>
      </c>
      <c r="AS198" s="4">
        <v>0</v>
      </c>
      <c r="AT198" s="2">
        <v>0</v>
      </c>
      <c r="AU198" s="2">
        <v>0</v>
      </c>
      <c r="AV198" s="2">
        <v>2146.9</v>
      </c>
      <c r="AW198" s="6">
        <f>SUM(AS198:AV198)/Variables!$E$3</f>
        <v>1.6998551057411382E-3</v>
      </c>
      <c r="AX198" s="4">
        <v>0</v>
      </c>
      <c r="AY198" s="2">
        <v>0</v>
      </c>
      <c r="AZ198" s="2">
        <v>0</v>
      </c>
      <c r="BA198" s="2">
        <v>1517.4</v>
      </c>
      <c r="BB198" s="6">
        <f>SUM(AX198:BA198)/Variables!$E$3</f>
        <v>1.2014346906943048E-3</v>
      </c>
      <c r="BC198" s="12">
        <f t="shared" si="58"/>
        <v>0</v>
      </c>
      <c r="BD198" s="110">
        <f t="shared" si="58"/>
        <v>0</v>
      </c>
      <c r="BE198" s="110">
        <f t="shared" si="58"/>
        <v>0</v>
      </c>
      <c r="BF198" s="110">
        <f t="shared" si="58"/>
        <v>1541.5</v>
      </c>
      <c r="BG198" s="6">
        <f>SUM(BC198:BF198)/Variables!$E$3</f>
        <v>1.2205163936373209E-3</v>
      </c>
      <c r="BH198" s="4">
        <v>0</v>
      </c>
      <c r="BI198">
        <v>0</v>
      </c>
      <c r="BJ198">
        <v>0</v>
      </c>
      <c r="BK198">
        <v>1380.8</v>
      </c>
      <c r="BL198" s="6">
        <f>SUM(BH198:BK198)/Variables!$E$3</f>
        <v>1.0932786482870014E-3</v>
      </c>
      <c r="BM198" s="110">
        <v>0</v>
      </c>
      <c r="BN198" s="110">
        <v>0</v>
      </c>
      <c r="BO198" s="110">
        <v>0</v>
      </c>
      <c r="BP198" s="110">
        <v>1516.8</v>
      </c>
      <c r="BQ198" s="6">
        <f>SUM(BM198:BP198)/Variables!$E$3</f>
        <v>1.2009596275504952E-3</v>
      </c>
      <c r="BS198" s="4">
        <v>196</v>
      </c>
      <c r="BT198" s="125">
        <f t="shared" si="45"/>
        <v>0</v>
      </c>
      <c r="BU198" s="125">
        <f t="shared" si="46"/>
        <v>0.24552530107126738</v>
      </c>
      <c r="BV198" s="125">
        <f t="shared" si="47"/>
        <v>3.3906840117498949E-2</v>
      </c>
      <c r="BW198" s="125">
        <f t="shared" si="48"/>
        <v>8.5069082098828963E-2</v>
      </c>
      <c r="BX198" s="125">
        <f t="shared" si="49"/>
        <v>8.3932889413217845E-2</v>
      </c>
      <c r="BY198" s="125">
        <f t="shared" si="50"/>
        <v>6.6773291950055019E-2</v>
      </c>
      <c r="BZ198" s="125">
        <f t="shared" si="51"/>
        <v>5.817615341372457E-2</v>
      </c>
      <c r="CA198" s="125">
        <f t="shared" si="52"/>
        <v>6.4394967497763245E-2</v>
      </c>
      <c r="CB198" s="125">
        <f t="shared" si="53"/>
        <v>9.4035740583852612E-2</v>
      </c>
      <c r="CC198" s="125">
        <f t="shared" si="54"/>
        <v>7.062542062882525E-2</v>
      </c>
      <c r="CD198" s="125">
        <f t="shared" si="55"/>
        <v>8.3932889413217845E-2</v>
      </c>
      <c r="CE198" s="125">
        <f t="shared" si="56"/>
        <v>6.8500859072518377E-2</v>
      </c>
      <c r="CF198" s="126">
        <f t="shared" si="57"/>
        <v>7.2800101346804008E-2</v>
      </c>
      <c r="CH198" s="4">
        <v>196</v>
      </c>
      <c r="CI198" s="129">
        <v>0</v>
      </c>
      <c r="CJ198" s="125">
        <v>0.245406535285315</v>
      </c>
      <c r="CK198" s="125">
        <v>0</v>
      </c>
      <c r="CL198" s="125">
        <v>0</v>
      </c>
      <c r="CM198" s="125">
        <v>0</v>
      </c>
      <c r="CN198" s="125">
        <v>0</v>
      </c>
      <c r="CO198" s="125">
        <v>0</v>
      </c>
      <c r="CP198" s="125">
        <v>0</v>
      </c>
      <c r="CQ198" s="125">
        <v>0</v>
      </c>
      <c r="CR198" s="125">
        <v>0</v>
      </c>
      <c r="CS198" s="125">
        <v>0</v>
      </c>
      <c r="CT198" s="125">
        <v>0</v>
      </c>
      <c r="CU198" s="126">
        <v>0</v>
      </c>
    </row>
    <row r="199" spans="1:99" x14ac:dyDescent="0.25">
      <c r="A199" t="s">
        <v>233</v>
      </c>
      <c r="B199" s="2" t="s">
        <v>4</v>
      </c>
      <c r="C199" s="1">
        <v>19510</v>
      </c>
      <c r="D199" s="19">
        <v>124.38</v>
      </c>
      <c r="E199" s="18">
        <v>0</v>
      </c>
      <c r="F199" s="19">
        <v>0</v>
      </c>
      <c r="G199" s="19">
        <v>0</v>
      </c>
      <c r="H199" s="19">
        <v>0</v>
      </c>
      <c r="I199" s="19">
        <f>SUM(E199:H199)/Variables!$E$3</f>
        <v>0</v>
      </c>
      <c r="J199" s="4">
        <v>15469</v>
      </c>
      <c r="K199">
        <v>22249</v>
      </c>
      <c r="L199">
        <v>233870</v>
      </c>
      <c r="M199">
        <v>38508</v>
      </c>
      <c r="N199" s="6">
        <f>SUM(J199:M199)/Variables!$E$3</f>
        <v>0.24552530107126738</v>
      </c>
      <c r="O199" s="4">
        <v>0</v>
      </c>
      <c r="P199">
        <v>0</v>
      </c>
      <c r="Q199">
        <v>33495</v>
      </c>
      <c r="R199">
        <v>9329</v>
      </c>
      <c r="S199" s="6">
        <f>SUM(O199:R199)/Variables!$E$3</f>
        <v>3.3906840117498949E-2</v>
      </c>
      <c r="T199" s="12">
        <v>0</v>
      </c>
      <c r="U199" s="6">
        <v>153.80000000000001</v>
      </c>
      <c r="V199" s="6">
        <v>90041</v>
      </c>
      <c r="W199" s="6">
        <v>17246.599999999999</v>
      </c>
      <c r="X199" s="6">
        <f>SUM(T199:W199)/Variables!$E$3</f>
        <v>8.5069082098828963E-2</v>
      </c>
      <c r="Y199" s="12">
        <v>0</v>
      </c>
      <c r="Z199" s="6">
        <v>171.1</v>
      </c>
      <c r="AA199" s="6">
        <v>88436.6</v>
      </c>
      <c r="AB199" s="6">
        <v>17398.7</v>
      </c>
      <c r="AC199" s="6">
        <f>SUM(Y199:AB199)/Variables!$E$3</f>
        <v>8.3932889413217845E-2</v>
      </c>
      <c r="AD199" s="4">
        <v>0</v>
      </c>
      <c r="AE199" s="2">
        <v>352.9</v>
      </c>
      <c r="AF199" s="2">
        <v>68876.7</v>
      </c>
      <c r="AG199" s="2">
        <v>15104.4</v>
      </c>
      <c r="AH199" s="6">
        <f>SUM(AD199:AG199)/Variables!$E$3</f>
        <v>6.6773291950055019E-2</v>
      </c>
      <c r="AI199" s="4">
        <v>0</v>
      </c>
      <c r="AJ199" s="2">
        <v>0</v>
      </c>
      <c r="AK199" s="2">
        <v>62375.6</v>
      </c>
      <c r="AL199" s="2">
        <v>11100.3</v>
      </c>
      <c r="AM199" s="6">
        <f>SUM(AI199:AL199)/Variables!$E$3</f>
        <v>5.817615341372457E-2</v>
      </c>
      <c r="AN199" s="4">
        <v>0</v>
      </c>
      <c r="AO199" s="2">
        <v>25.599999999999898</v>
      </c>
      <c r="AP199" s="2">
        <v>64956.4</v>
      </c>
      <c r="AQ199" s="2">
        <v>16348.2</v>
      </c>
      <c r="AR199" s="6">
        <f>SUM(AN199:AQ199)/Variables!$E$3</f>
        <v>6.4394967497763245E-2</v>
      </c>
      <c r="AS199" s="4">
        <v>508.5</v>
      </c>
      <c r="AT199" s="2">
        <v>2382.1</v>
      </c>
      <c r="AU199" s="2">
        <v>92031.7</v>
      </c>
      <c r="AV199" s="2">
        <v>23843.9</v>
      </c>
      <c r="AW199" s="6">
        <f>SUM(AS199:AV199)/Variables!$E$3</f>
        <v>9.4035740583852612E-2</v>
      </c>
      <c r="AX199" s="4">
        <v>0</v>
      </c>
      <c r="AY199" s="2">
        <v>152</v>
      </c>
      <c r="AZ199" s="2">
        <v>71173.7</v>
      </c>
      <c r="BA199" s="2">
        <v>17873.5</v>
      </c>
      <c r="BB199" s="6">
        <f>SUM(AX199:BA199)/Variables!$E$3</f>
        <v>7.062542062882525E-2</v>
      </c>
      <c r="BC199" s="12">
        <f t="shared" si="58"/>
        <v>0</v>
      </c>
      <c r="BD199" s="110">
        <f t="shared" si="58"/>
        <v>171.1</v>
      </c>
      <c r="BE199" s="110">
        <f t="shared" si="58"/>
        <v>88436.6</v>
      </c>
      <c r="BF199" s="110">
        <f t="shared" si="58"/>
        <v>17398.7</v>
      </c>
      <c r="BG199" s="6">
        <f>SUM(BC199:BF199)/Variables!$E$3</f>
        <v>8.3932889413217845E-2</v>
      </c>
      <c r="BH199" s="4">
        <v>0</v>
      </c>
      <c r="BI199">
        <v>175.9</v>
      </c>
      <c r="BJ199">
        <v>69976</v>
      </c>
      <c r="BK199">
        <v>16364</v>
      </c>
      <c r="BL199" s="6">
        <f>SUM(BH199:BK199)/Variables!$E$3</f>
        <v>6.8500859072518377E-2</v>
      </c>
      <c r="BM199" s="110">
        <v>0</v>
      </c>
      <c r="BN199" s="110">
        <v>492</v>
      </c>
      <c r="BO199" s="110">
        <v>73915.899999999994</v>
      </c>
      <c r="BP199" s="110">
        <v>17537.900000000001</v>
      </c>
      <c r="BQ199" s="6">
        <f>SUM(BM199:BP199)/Variables!$E$3</f>
        <v>7.2800101346804008E-2</v>
      </c>
      <c r="BS199" s="4">
        <v>197</v>
      </c>
      <c r="BT199" s="125">
        <f t="shared" si="45"/>
        <v>0</v>
      </c>
      <c r="BU199" s="125">
        <f t="shared" si="46"/>
        <v>0</v>
      </c>
      <c r="BV199" s="125">
        <f t="shared" si="47"/>
        <v>0</v>
      </c>
      <c r="BW199" s="125">
        <f t="shared" si="48"/>
        <v>0</v>
      </c>
      <c r="BX199" s="125">
        <f t="shared" si="49"/>
        <v>0</v>
      </c>
      <c r="BY199" s="125">
        <f t="shared" si="50"/>
        <v>0</v>
      </c>
      <c r="BZ199" s="125">
        <f t="shared" si="51"/>
        <v>0</v>
      </c>
      <c r="CA199" s="125">
        <f t="shared" si="52"/>
        <v>0</v>
      </c>
      <c r="CB199" s="125">
        <f t="shared" si="53"/>
        <v>0</v>
      </c>
      <c r="CC199" s="125">
        <f t="shared" si="54"/>
        <v>0</v>
      </c>
      <c r="CD199" s="125">
        <f t="shared" si="55"/>
        <v>0</v>
      </c>
      <c r="CE199" s="125">
        <f t="shared" si="56"/>
        <v>0</v>
      </c>
      <c r="CF199" s="126">
        <f t="shared" si="57"/>
        <v>0</v>
      </c>
      <c r="CH199" s="4">
        <v>197</v>
      </c>
      <c r="CI199" s="129">
        <v>0</v>
      </c>
      <c r="CJ199" s="125">
        <v>0</v>
      </c>
      <c r="CK199" s="125">
        <v>0</v>
      </c>
      <c r="CL199" s="125">
        <v>0</v>
      </c>
      <c r="CM199" s="125">
        <v>0</v>
      </c>
      <c r="CN199" s="125">
        <v>0</v>
      </c>
      <c r="CO199" s="125">
        <v>0</v>
      </c>
      <c r="CP199" s="125">
        <v>0</v>
      </c>
      <c r="CQ199" s="125">
        <v>0</v>
      </c>
      <c r="CR199" s="125">
        <v>0</v>
      </c>
      <c r="CS199" s="125">
        <v>0</v>
      </c>
      <c r="CT199" s="125">
        <v>0</v>
      </c>
      <c r="CU199" s="126">
        <v>0</v>
      </c>
    </row>
    <row r="200" spans="1:99" x14ac:dyDescent="0.25">
      <c r="A200" t="s">
        <v>233</v>
      </c>
      <c r="B200" s="2" t="s">
        <v>1</v>
      </c>
      <c r="C200" s="1">
        <v>19602</v>
      </c>
      <c r="D200" s="19">
        <v>15.533333333333299</v>
      </c>
      <c r="E200" s="18">
        <v>0</v>
      </c>
      <c r="F200" s="19">
        <v>0</v>
      </c>
      <c r="G200" s="19">
        <v>0</v>
      </c>
      <c r="H200" s="19">
        <v>0</v>
      </c>
      <c r="I200" s="19">
        <f>SUM(E200:H200)/Variables!$E$3</f>
        <v>0</v>
      </c>
      <c r="J200" s="4">
        <v>0</v>
      </c>
      <c r="K200">
        <v>0</v>
      </c>
      <c r="L200">
        <v>0</v>
      </c>
      <c r="M200">
        <v>0</v>
      </c>
      <c r="N200" s="6">
        <f>SUM(J200:M200)/Variables!$E$3</f>
        <v>0</v>
      </c>
      <c r="O200" s="4">
        <v>0</v>
      </c>
      <c r="P200">
        <v>0</v>
      </c>
      <c r="Q200">
        <v>0</v>
      </c>
      <c r="R200">
        <v>0</v>
      </c>
      <c r="S200" s="6">
        <f>SUM(O200:R200)/Variables!$E$3</f>
        <v>0</v>
      </c>
      <c r="T200" s="12">
        <v>0</v>
      </c>
      <c r="U200" s="6">
        <v>0</v>
      </c>
      <c r="V200" s="6">
        <v>0</v>
      </c>
      <c r="W200" s="6">
        <v>0</v>
      </c>
      <c r="X200" s="6">
        <f>SUM(T200:W200)/Variables!$E$3</f>
        <v>0</v>
      </c>
      <c r="Y200" s="12">
        <v>0</v>
      </c>
      <c r="Z200" s="6">
        <v>0</v>
      </c>
      <c r="AA200" s="6">
        <v>0</v>
      </c>
      <c r="AB200" s="6">
        <v>0</v>
      </c>
      <c r="AC200" s="6">
        <f>SUM(Y200:AB200)/Variables!$E$3</f>
        <v>0</v>
      </c>
      <c r="AD200" s="4">
        <v>0</v>
      </c>
      <c r="AE200" s="2">
        <v>0</v>
      </c>
      <c r="AF200" s="2">
        <v>0</v>
      </c>
      <c r="AG200" s="2">
        <v>0</v>
      </c>
      <c r="AH200" s="6">
        <f>SUM(AD200:AG200)/Variables!$E$3</f>
        <v>0</v>
      </c>
      <c r="AI200" s="4">
        <v>0</v>
      </c>
      <c r="AJ200" s="2">
        <v>0</v>
      </c>
      <c r="AK200" s="2">
        <v>0</v>
      </c>
      <c r="AL200" s="2">
        <v>0</v>
      </c>
      <c r="AM200" s="6">
        <f>SUM(AI200:AL200)/Variables!$E$3</f>
        <v>0</v>
      </c>
      <c r="AN200" s="4">
        <v>0</v>
      </c>
      <c r="AO200" s="2">
        <v>0</v>
      </c>
      <c r="AP200" s="2">
        <v>0</v>
      </c>
      <c r="AQ200" s="2">
        <v>0</v>
      </c>
      <c r="AR200" s="6">
        <f>SUM(AN200:AQ200)/Variables!$E$3</f>
        <v>0</v>
      </c>
      <c r="AS200" s="4">
        <v>0</v>
      </c>
      <c r="AT200" s="2">
        <v>0</v>
      </c>
      <c r="AU200" s="2">
        <v>0</v>
      </c>
      <c r="AV200" s="2">
        <v>0</v>
      </c>
      <c r="AW200" s="6">
        <f>SUM(AS200:AV200)/Variables!$E$3</f>
        <v>0</v>
      </c>
      <c r="AX200" s="4">
        <v>0</v>
      </c>
      <c r="AY200" s="2">
        <v>0</v>
      </c>
      <c r="AZ200" s="2">
        <v>0</v>
      </c>
      <c r="BA200" s="2">
        <v>0</v>
      </c>
      <c r="BB200" s="6">
        <f>SUM(AX200:BA200)/Variables!$E$3</f>
        <v>0</v>
      </c>
      <c r="BC200" s="12">
        <f t="shared" si="58"/>
        <v>0</v>
      </c>
      <c r="BD200" s="110">
        <f t="shared" si="58"/>
        <v>0</v>
      </c>
      <c r="BE200" s="110">
        <f t="shared" si="58"/>
        <v>0</v>
      </c>
      <c r="BF200" s="110">
        <f t="shared" si="58"/>
        <v>0</v>
      </c>
      <c r="BG200" s="6">
        <f>SUM(BC200:BF200)/Variables!$E$3</f>
        <v>0</v>
      </c>
      <c r="BH200" s="4">
        <v>0</v>
      </c>
      <c r="BI200">
        <v>0</v>
      </c>
      <c r="BJ200">
        <v>0</v>
      </c>
      <c r="BK200">
        <v>0</v>
      </c>
      <c r="BL200" s="6">
        <f>SUM(BH200:BK200)/Variables!$E$3</f>
        <v>0</v>
      </c>
      <c r="BM200" s="110">
        <v>0</v>
      </c>
      <c r="BN200" s="110">
        <v>0</v>
      </c>
      <c r="BO200" s="110">
        <v>0</v>
      </c>
      <c r="BP200" s="110">
        <v>0</v>
      </c>
      <c r="BQ200" s="6">
        <f>SUM(BM200:BP200)/Variables!$E$3</f>
        <v>0</v>
      </c>
      <c r="BS200" s="4">
        <v>198</v>
      </c>
      <c r="BT200" s="125">
        <f t="shared" si="45"/>
        <v>0</v>
      </c>
      <c r="BU200" s="125">
        <f t="shared" si="46"/>
        <v>0</v>
      </c>
      <c r="BV200" s="125">
        <f t="shared" si="47"/>
        <v>0</v>
      </c>
      <c r="BW200" s="125">
        <f t="shared" si="48"/>
        <v>0</v>
      </c>
      <c r="BX200" s="125">
        <f t="shared" si="49"/>
        <v>0</v>
      </c>
      <c r="BY200" s="125">
        <f t="shared" si="50"/>
        <v>0</v>
      </c>
      <c r="BZ200" s="125">
        <f t="shared" si="51"/>
        <v>0</v>
      </c>
      <c r="CA200" s="125">
        <f t="shared" si="52"/>
        <v>0</v>
      </c>
      <c r="CB200" s="125">
        <f t="shared" si="53"/>
        <v>0</v>
      </c>
      <c r="CC200" s="125">
        <f t="shared" si="54"/>
        <v>0</v>
      </c>
      <c r="CD200" s="125">
        <f t="shared" si="55"/>
        <v>0</v>
      </c>
      <c r="CE200" s="125">
        <f t="shared" si="56"/>
        <v>0</v>
      </c>
      <c r="CF200" s="126">
        <f t="shared" si="57"/>
        <v>0</v>
      </c>
      <c r="CH200" s="4">
        <v>198</v>
      </c>
      <c r="CI200" s="129">
        <v>0</v>
      </c>
      <c r="CJ200" s="125">
        <v>0</v>
      </c>
      <c r="CK200" s="125">
        <v>0</v>
      </c>
      <c r="CL200" s="125">
        <v>0</v>
      </c>
      <c r="CM200" s="125">
        <v>0</v>
      </c>
      <c r="CN200" s="125">
        <v>0</v>
      </c>
      <c r="CO200" s="125">
        <v>0</v>
      </c>
      <c r="CP200" s="125">
        <v>0</v>
      </c>
      <c r="CQ200" s="125">
        <v>0</v>
      </c>
      <c r="CR200" s="125">
        <v>0</v>
      </c>
      <c r="CS200" s="125">
        <v>0</v>
      </c>
      <c r="CT200" s="125">
        <v>0</v>
      </c>
      <c r="CU200" s="126">
        <v>0</v>
      </c>
    </row>
    <row r="201" spans="1:99" x14ac:dyDescent="0.25">
      <c r="A201" t="s">
        <v>233</v>
      </c>
      <c r="B201" s="2" t="s">
        <v>2</v>
      </c>
      <c r="C201" s="1">
        <v>19693</v>
      </c>
      <c r="D201" s="19">
        <v>63.55</v>
      </c>
      <c r="E201" s="18">
        <v>0</v>
      </c>
      <c r="F201" s="19">
        <v>0</v>
      </c>
      <c r="G201" s="19">
        <v>0</v>
      </c>
      <c r="H201" s="19">
        <v>0</v>
      </c>
      <c r="I201" s="19">
        <f>SUM(E201:H201)/Variables!$E$3</f>
        <v>0</v>
      </c>
      <c r="J201" s="4">
        <v>0</v>
      </c>
      <c r="K201">
        <v>0</v>
      </c>
      <c r="L201">
        <v>0</v>
      </c>
      <c r="M201">
        <v>0</v>
      </c>
      <c r="N201" s="6">
        <f>SUM(J201:M201)/Variables!$E$3</f>
        <v>0</v>
      </c>
      <c r="O201" s="4">
        <v>0</v>
      </c>
      <c r="P201">
        <v>0</v>
      </c>
      <c r="Q201">
        <v>0</v>
      </c>
      <c r="R201">
        <v>0</v>
      </c>
      <c r="S201" s="6">
        <f>SUM(O201:R201)/Variables!$E$3</f>
        <v>0</v>
      </c>
      <c r="T201" s="12">
        <v>0</v>
      </c>
      <c r="U201" s="6">
        <v>0</v>
      </c>
      <c r="V201" s="6">
        <v>0</v>
      </c>
      <c r="W201" s="6">
        <v>0</v>
      </c>
      <c r="X201" s="6">
        <f>SUM(T201:W201)/Variables!$E$3</f>
        <v>0</v>
      </c>
      <c r="Y201" s="12">
        <v>0</v>
      </c>
      <c r="Z201" s="6">
        <v>0</v>
      </c>
      <c r="AA201" s="6">
        <v>0</v>
      </c>
      <c r="AB201" s="6">
        <v>0</v>
      </c>
      <c r="AC201" s="6">
        <f>SUM(Y201:AB201)/Variables!$E$3</f>
        <v>0</v>
      </c>
      <c r="AD201" s="4">
        <v>0</v>
      </c>
      <c r="AE201" s="2">
        <v>0</v>
      </c>
      <c r="AF201" s="2">
        <v>0</v>
      </c>
      <c r="AG201" s="2">
        <v>0</v>
      </c>
      <c r="AH201" s="6">
        <f>SUM(AD201:AG201)/Variables!$E$3</f>
        <v>0</v>
      </c>
      <c r="AI201" s="4">
        <v>0</v>
      </c>
      <c r="AJ201" s="2">
        <v>0</v>
      </c>
      <c r="AK201" s="2">
        <v>0</v>
      </c>
      <c r="AL201" s="2">
        <v>0</v>
      </c>
      <c r="AM201" s="6">
        <f>SUM(AI201:AL201)/Variables!$E$3</f>
        <v>0</v>
      </c>
      <c r="AN201" s="4">
        <v>0</v>
      </c>
      <c r="AO201" s="2">
        <v>0</v>
      </c>
      <c r="AP201" s="2">
        <v>0</v>
      </c>
      <c r="AQ201" s="2">
        <v>0</v>
      </c>
      <c r="AR201" s="6">
        <f>SUM(AN201:AQ201)/Variables!$E$3</f>
        <v>0</v>
      </c>
      <c r="AS201" s="4">
        <v>0</v>
      </c>
      <c r="AT201" s="2">
        <v>0</v>
      </c>
      <c r="AU201" s="2">
        <v>0</v>
      </c>
      <c r="AV201" s="2">
        <v>0</v>
      </c>
      <c r="AW201" s="6">
        <f>SUM(AS201:AV201)/Variables!$E$3</f>
        <v>0</v>
      </c>
      <c r="AX201" s="4">
        <v>0</v>
      </c>
      <c r="AY201" s="2">
        <v>0</v>
      </c>
      <c r="AZ201" s="2">
        <v>0</v>
      </c>
      <c r="BA201" s="2">
        <v>0</v>
      </c>
      <c r="BB201" s="6">
        <f>SUM(AX201:BA201)/Variables!$E$3</f>
        <v>0</v>
      </c>
      <c r="BC201" s="12">
        <f t="shared" si="58"/>
        <v>0</v>
      </c>
      <c r="BD201" s="110">
        <f t="shared" si="58"/>
        <v>0</v>
      </c>
      <c r="BE201" s="110">
        <f t="shared" si="58"/>
        <v>0</v>
      </c>
      <c r="BF201" s="110">
        <f t="shared" si="58"/>
        <v>0</v>
      </c>
      <c r="BG201" s="6">
        <f>SUM(BC201:BF201)/Variables!$E$3</f>
        <v>0</v>
      </c>
      <c r="BH201" s="4">
        <v>0</v>
      </c>
      <c r="BI201">
        <v>0</v>
      </c>
      <c r="BJ201">
        <v>0</v>
      </c>
      <c r="BK201">
        <v>0</v>
      </c>
      <c r="BL201" s="6">
        <f>SUM(BH201:BK201)/Variables!$E$3</f>
        <v>0</v>
      </c>
      <c r="BM201" s="110">
        <v>0</v>
      </c>
      <c r="BN201" s="110">
        <v>0</v>
      </c>
      <c r="BO201" s="110">
        <v>0</v>
      </c>
      <c r="BP201" s="110">
        <v>0</v>
      </c>
      <c r="BQ201" s="6">
        <f>SUM(BM201:BP201)/Variables!$E$3</f>
        <v>0</v>
      </c>
      <c r="BS201" s="4">
        <v>199</v>
      </c>
      <c r="BT201" s="125">
        <f t="shared" si="45"/>
        <v>0</v>
      </c>
      <c r="BU201" s="125">
        <f t="shared" si="46"/>
        <v>0.53389733885462276</v>
      </c>
      <c r="BV201" s="125">
        <f t="shared" si="47"/>
        <v>0.17743687598476632</v>
      </c>
      <c r="BW201" s="125">
        <f t="shared" si="48"/>
        <v>0.29606338925882231</v>
      </c>
      <c r="BX201" s="125">
        <f t="shared" si="49"/>
        <v>0.29362188140840384</v>
      </c>
      <c r="BY201" s="125">
        <f t="shared" si="50"/>
        <v>0.2538972596774321</v>
      </c>
      <c r="BZ201" s="125">
        <f t="shared" si="51"/>
        <v>0.22843450858676631</v>
      </c>
      <c r="CA201" s="125">
        <f t="shared" si="52"/>
        <v>0.24755500835319361</v>
      </c>
      <c r="CB201" s="125">
        <f t="shared" si="53"/>
        <v>0.32646180888209725</v>
      </c>
      <c r="CC201" s="125">
        <f t="shared" si="54"/>
        <v>0.25961504049913303</v>
      </c>
      <c r="CD201" s="125">
        <f t="shared" si="55"/>
        <v>0.29362188140840384</v>
      </c>
      <c r="CE201" s="125">
        <f t="shared" si="56"/>
        <v>0.26437826111053925</v>
      </c>
      <c r="CF201" s="126">
        <f t="shared" si="57"/>
        <v>0.26570329139581467</v>
      </c>
      <c r="CH201" s="4">
        <v>199</v>
      </c>
      <c r="CI201" s="129">
        <v>0</v>
      </c>
      <c r="CJ201" s="125">
        <v>0</v>
      </c>
      <c r="CK201" s="125">
        <v>0</v>
      </c>
      <c r="CL201" s="125">
        <v>0</v>
      </c>
      <c r="CM201" s="125">
        <v>0</v>
      </c>
      <c r="CN201" s="125">
        <v>0</v>
      </c>
      <c r="CO201" s="125">
        <v>0</v>
      </c>
      <c r="CP201" s="125">
        <v>0</v>
      </c>
      <c r="CQ201" s="125">
        <v>0</v>
      </c>
      <c r="CR201" s="125">
        <v>0</v>
      </c>
      <c r="CS201" s="125">
        <v>0</v>
      </c>
      <c r="CT201" s="125">
        <v>0</v>
      </c>
      <c r="CU201" s="126">
        <v>0</v>
      </c>
    </row>
    <row r="202" spans="1:99" x14ac:dyDescent="0.25">
      <c r="A202" t="s">
        <v>234</v>
      </c>
      <c r="B202" s="2" t="s">
        <v>3</v>
      </c>
      <c r="C202" s="1">
        <v>19783</v>
      </c>
      <c r="D202" s="19">
        <v>150.88333333333301</v>
      </c>
      <c r="E202" s="18">
        <v>0</v>
      </c>
      <c r="F202" s="19">
        <v>0</v>
      </c>
      <c r="G202" s="19">
        <v>0</v>
      </c>
      <c r="H202" s="19">
        <v>0</v>
      </c>
      <c r="I202" s="19">
        <f>SUM(E202:H202)/Variables!$E$3</f>
        <v>0</v>
      </c>
      <c r="J202" s="4">
        <v>20693</v>
      </c>
      <c r="K202">
        <v>20145</v>
      </c>
      <c r="L202">
        <v>441980</v>
      </c>
      <c r="M202">
        <v>191489</v>
      </c>
      <c r="N202" s="6">
        <f>SUM(J202:M202)/Variables!$E$3</f>
        <v>0.53389733885462276</v>
      </c>
      <c r="O202" s="4">
        <v>1700</v>
      </c>
      <c r="P202">
        <v>2780</v>
      </c>
      <c r="Q202">
        <v>116827</v>
      </c>
      <c r="R202">
        <v>102794</v>
      </c>
      <c r="S202" s="6">
        <f>SUM(O202:R202)/Variables!$E$3</f>
        <v>0.17743687598476632</v>
      </c>
      <c r="T202" s="12">
        <v>4232.3</v>
      </c>
      <c r="U202" s="6">
        <v>5510</v>
      </c>
      <c r="V202" s="6">
        <v>231123.9</v>
      </c>
      <c r="W202" s="6">
        <v>133058.9</v>
      </c>
      <c r="X202" s="6">
        <f>SUM(T202:W202)/Variables!$E$3</f>
        <v>0.29606338925882231</v>
      </c>
      <c r="Y202" s="12">
        <v>4264.8</v>
      </c>
      <c r="Z202" s="6">
        <v>5550.5</v>
      </c>
      <c r="AA202" s="6">
        <v>227850.5</v>
      </c>
      <c r="AB202" s="6">
        <v>133175.70000000001</v>
      </c>
      <c r="AC202" s="6">
        <f>SUM(Y202:AB202)/Variables!$E$3</f>
        <v>0.29362188140840384</v>
      </c>
      <c r="AD202" s="4">
        <v>3971.7</v>
      </c>
      <c r="AE202" s="2">
        <v>5401.6</v>
      </c>
      <c r="AF202" s="2">
        <v>197025</v>
      </c>
      <c r="AG202" s="2">
        <v>114271.4</v>
      </c>
      <c r="AH202" s="6">
        <f>SUM(AD202:AG202)/Variables!$E$3</f>
        <v>0.2538972596774321</v>
      </c>
      <c r="AI202" s="4">
        <v>3371.7</v>
      </c>
      <c r="AJ202" s="2">
        <v>4250.1000000000004</v>
      </c>
      <c r="AK202" s="2">
        <v>175174.6</v>
      </c>
      <c r="AL202" s="2">
        <v>105714.1</v>
      </c>
      <c r="AM202" s="6">
        <f>SUM(AI202:AL202)/Variables!$E$3</f>
        <v>0.22843450858676631</v>
      </c>
      <c r="AN202" s="4">
        <v>3517.2</v>
      </c>
      <c r="AO202" s="2">
        <v>4373.2</v>
      </c>
      <c r="AP202" s="2">
        <v>177939.20000000001</v>
      </c>
      <c r="AQ202" s="2">
        <v>126829.9</v>
      </c>
      <c r="AR202" s="6">
        <f>SUM(AN202:AQ202)/Variables!$E$3</f>
        <v>0.24755500835319361</v>
      </c>
      <c r="AS202" s="4">
        <v>7360.1</v>
      </c>
      <c r="AT202" s="2">
        <v>8032.6</v>
      </c>
      <c r="AU202" s="2">
        <v>238822.1</v>
      </c>
      <c r="AV202" s="2">
        <v>158103.20000000001</v>
      </c>
      <c r="AW202" s="6">
        <f>SUM(AS202:AV202)/Variables!$E$3</f>
        <v>0.32646180888209725</v>
      </c>
      <c r="AX202" s="4">
        <v>3726.9</v>
      </c>
      <c r="AY202" s="2">
        <v>4555.7</v>
      </c>
      <c r="AZ202" s="2">
        <v>189607.8</v>
      </c>
      <c r="BA202" s="2">
        <v>130000.8</v>
      </c>
      <c r="BB202" s="6">
        <f>SUM(AX202:BA202)/Variables!$E$3</f>
        <v>0.25961504049913303</v>
      </c>
      <c r="BC202" s="12">
        <f t="shared" si="58"/>
        <v>4264.8</v>
      </c>
      <c r="BD202" s="110">
        <f t="shared" si="58"/>
        <v>5550.5</v>
      </c>
      <c r="BE202" s="110">
        <f t="shared" si="58"/>
        <v>227850.5</v>
      </c>
      <c r="BF202" s="110">
        <f t="shared" si="58"/>
        <v>133175.70000000001</v>
      </c>
      <c r="BG202" s="6">
        <f>SUM(BC202:BF202)/Variables!$E$3</f>
        <v>0.29362188140840384</v>
      </c>
      <c r="BH202" s="4">
        <v>4463.2</v>
      </c>
      <c r="BI202">
        <v>5346.9</v>
      </c>
      <c r="BJ202">
        <v>190589.5</v>
      </c>
      <c r="BK202">
        <v>133507.5</v>
      </c>
      <c r="BL202" s="6">
        <f>SUM(BH202:BK202)/Variables!$E$3</f>
        <v>0.26437826111053925</v>
      </c>
      <c r="BM202" s="110">
        <v>4181.8999999999996</v>
      </c>
      <c r="BN202" s="110">
        <v>5280</v>
      </c>
      <c r="BO202" s="110">
        <v>197709.8</v>
      </c>
      <c r="BP202" s="110">
        <v>128408.9</v>
      </c>
      <c r="BQ202" s="6">
        <f>SUM(BM202:BP202)/Variables!$E$3</f>
        <v>0.26570329139581467</v>
      </c>
      <c r="BS202" s="4">
        <v>200</v>
      </c>
      <c r="BT202" s="125">
        <f t="shared" si="45"/>
        <v>0</v>
      </c>
      <c r="BU202" s="125">
        <f t="shared" si="46"/>
        <v>0.32940640860180997</v>
      </c>
      <c r="BV202" s="125">
        <f t="shared" si="47"/>
        <v>0.14998851930735793</v>
      </c>
      <c r="BW202" s="125">
        <f t="shared" si="48"/>
        <v>0.20170009263731306</v>
      </c>
      <c r="BX202" s="125">
        <f t="shared" si="49"/>
        <v>0.20027078599197143</v>
      </c>
      <c r="BY202" s="125">
        <f t="shared" si="50"/>
        <v>0.18405450557803305</v>
      </c>
      <c r="BZ202" s="125">
        <f t="shared" si="51"/>
        <v>0.17132542617122859</v>
      </c>
      <c r="CA202" s="125">
        <f t="shared" si="52"/>
        <v>0.17528943222036594</v>
      </c>
      <c r="CB202" s="125">
        <f t="shared" si="53"/>
        <v>0.21069889706173445</v>
      </c>
      <c r="CC202" s="125">
        <f t="shared" si="54"/>
        <v>0.18149573630828431</v>
      </c>
      <c r="CD202" s="125">
        <f t="shared" si="55"/>
        <v>0.20027078599197143</v>
      </c>
      <c r="CE202" s="125">
        <f t="shared" si="56"/>
        <v>0.17543020926531486</v>
      </c>
      <c r="CF202" s="126">
        <f t="shared" si="57"/>
        <v>0.1837998717329512</v>
      </c>
      <c r="CH202" s="4">
        <v>200</v>
      </c>
      <c r="CI202" s="129">
        <v>0</v>
      </c>
      <c r="CJ202" s="125">
        <v>0.79365196874084509</v>
      </c>
      <c r="CK202" s="125">
        <v>0.1981322100729222</v>
      </c>
      <c r="CL202" s="125">
        <v>0.31421325584525611</v>
      </c>
      <c r="CM202" s="125">
        <v>0.31342956001235167</v>
      </c>
      <c r="CN202" s="125">
        <v>0.30334792832880708</v>
      </c>
      <c r="CO202" s="125">
        <v>0.26608009564604629</v>
      </c>
      <c r="CP202" s="125">
        <v>0.26800901036429425</v>
      </c>
      <c r="CQ202" s="125">
        <v>0.34944872881020433</v>
      </c>
      <c r="CR202" s="125">
        <v>0.29310667542894242</v>
      </c>
      <c r="CS202" s="125">
        <v>0.31342956001235167</v>
      </c>
      <c r="CT202" s="125">
        <v>0.27242729554469947</v>
      </c>
      <c r="CU202" s="126">
        <v>0.29807987394991253</v>
      </c>
    </row>
    <row r="203" spans="1:99" x14ac:dyDescent="0.25">
      <c r="A203" t="s">
        <v>234</v>
      </c>
      <c r="B203" s="2" t="s">
        <v>4</v>
      </c>
      <c r="C203" s="1">
        <v>19875</v>
      </c>
      <c r="D203" s="19">
        <v>0</v>
      </c>
      <c r="E203" s="18">
        <v>0</v>
      </c>
      <c r="F203" s="19">
        <v>0</v>
      </c>
      <c r="G203" s="19">
        <v>0</v>
      </c>
      <c r="H203" s="19">
        <v>0</v>
      </c>
      <c r="I203" s="19">
        <f>SUM(E203:H203)/Variables!$E$3</f>
        <v>0</v>
      </c>
      <c r="J203" s="4">
        <v>69877</v>
      </c>
      <c r="K203">
        <v>60791</v>
      </c>
      <c r="L203">
        <v>270742</v>
      </c>
      <c r="M203">
        <v>14627</v>
      </c>
      <c r="N203" s="6">
        <f>SUM(J203:M203)/Variables!$E$3</f>
        <v>0.32940640860180997</v>
      </c>
      <c r="O203" s="4">
        <v>28035</v>
      </c>
      <c r="P203">
        <v>29483</v>
      </c>
      <c r="Q203">
        <v>126711</v>
      </c>
      <c r="R203">
        <v>5205</v>
      </c>
      <c r="S203" s="6">
        <f>SUM(O203:R203)/Variables!$E$3</f>
        <v>0.14998851930735793</v>
      </c>
      <c r="T203" s="12">
        <v>39708.6</v>
      </c>
      <c r="U203" s="6">
        <v>37640.199999999997</v>
      </c>
      <c r="V203" s="6">
        <v>169174.2</v>
      </c>
      <c r="W203" s="6">
        <v>8222.2000000000007</v>
      </c>
      <c r="X203" s="6">
        <f>SUM(T203:W203)/Variables!$E$3</f>
        <v>0.20170009263731306</v>
      </c>
      <c r="Y203" s="12">
        <v>39717.699999999997</v>
      </c>
      <c r="Z203" s="6">
        <v>37642.6</v>
      </c>
      <c r="AA203" s="6">
        <v>167377.1</v>
      </c>
      <c r="AB203" s="6">
        <v>8202.6</v>
      </c>
      <c r="AC203" s="6">
        <f>SUM(Y203:AB203)/Variables!$E$3</f>
        <v>0.20027078599197143</v>
      </c>
      <c r="AD203" s="4">
        <v>36913</v>
      </c>
      <c r="AE203" s="2">
        <v>35598.199999999997</v>
      </c>
      <c r="AF203" s="2">
        <v>152677.4</v>
      </c>
      <c r="AG203" s="2">
        <v>7270.4</v>
      </c>
      <c r="AH203" s="6">
        <f>SUM(AD203:AG203)/Variables!$E$3</f>
        <v>0.18405450557803305</v>
      </c>
      <c r="AI203" s="4">
        <v>35260.1</v>
      </c>
      <c r="AJ203" s="2">
        <v>34362.6</v>
      </c>
      <c r="AK203" s="2">
        <v>141265.4</v>
      </c>
      <c r="AL203" s="2">
        <v>5494.2</v>
      </c>
      <c r="AM203" s="6">
        <f>SUM(AI203:AL203)/Variables!$E$3</f>
        <v>0.17132542617122859</v>
      </c>
      <c r="AN203" s="4">
        <v>35636.199999999997</v>
      </c>
      <c r="AO203" s="2">
        <v>34617.5</v>
      </c>
      <c r="AP203" s="2">
        <v>143111.79999999999</v>
      </c>
      <c r="AQ203" s="2">
        <v>8023.3</v>
      </c>
      <c r="AR203" s="6">
        <f>SUM(AN203:AQ203)/Variables!$E$3</f>
        <v>0.17528943222036594</v>
      </c>
      <c r="AS203" s="4">
        <v>43307.7</v>
      </c>
      <c r="AT203" s="2">
        <v>40096.6</v>
      </c>
      <c r="AU203" s="2">
        <v>171730.6</v>
      </c>
      <c r="AV203" s="2">
        <v>10975.7</v>
      </c>
      <c r="AW203" s="6">
        <f>SUM(AS203:AV203)/Variables!$E$3</f>
        <v>0.21069889706173445</v>
      </c>
      <c r="AX203" s="4">
        <v>36261.1</v>
      </c>
      <c r="AY203" s="2">
        <v>35074.300000000003</v>
      </c>
      <c r="AZ203" s="2">
        <v>149394.4</v>
      </c>
      <c r="BA203" s="2">
        <v>8497.5</v>
      </c>
      <c r="BB203" s="6">
        <f>SUM(AX203:BA203)/Variables!$E$3</f>
        <v>0.18149573630828431</v>
      </c>
      <c r="BC203" s="12">
        <f t="shared" si="58"/>
        <v>39717.699999999997</v>
      </c>
      <c r="BD203" s="110">
        <f t="shared" si="58"/>
        <v>37642.6</v>
      </c>
      <c r="BE203" s="110">
        <f t="shared" si="58"/>
        <v>167377.1</v>
      </c>
      <c r="BF203" s="110">
        <f t="shared" si="58"/>
        <v>8202.6</v>
      </c>
      <c r="BG203" s="6">
        <f>SUM(BC203:BF203)/Variables!$E$3</f>
        <v>0.20027078599197143</v>
      </c>
      <c r="BH203" s="4">
        <v>35861.199999999997</v>
      </c>
      <c r="BI203">
        <v>34710.6</v>
      </c>
      <c r="BJ203">
        <v>143681.60000000001</v>
      </c>
      <c r="BK203">
        <v>7313.2</v>
      </c>
      <c r="BL203" s="6">
        <f>SUM(BH203:BK203)/Variables!$E$3</f>
        <v>0.17543020926531486</v>
      </c>
      <c r="BM203" s="110">
        <v>36472.9</v>
      </c>
      <c r="BN203" s="110">
        <v>35240.6</v>
      </c>
      <c r="BO203" s="110">
        <v>152043.20000000001</v>
      </c>
      <c r="BP203" s="110">
        <v>8380.7000000000007</v>
      </c>
      <c r="BQ203" s="6">
        <f>SUM(BM203:BP203)/Variables!$E$3</f>
        <v>0.1837998717329512</v>
      </c>
      <c r="BS203" s="4">
        <v>201</v>
      </c>
      <c r="BT203" s="125">
        <f t="shared" si="45"/>
        <v>0</v>
      </c>
      <c r="BU203" s="125">
        <f t="shared" si="46"/>
        <v>0.59027149858668715</v>
      </c>
      <c r="BV203" s="125">
        <f t="shared" si="47"/>
        <v>0.38940767543686017</v>
      </c>
      <c r="BW203" s="125">
        <f t="shared" si="48"/>
        <v>0.41016516361966443</v>
      </c>
      <c r="BX203" s="125">
        <f t="shared" si="49"/>
        <v>0.40816522696141699</v>
      </c>
      <c r="BY203" s="125">
        <f t="shared" si="50"/>
        <v>0.37597874884203358</v>
      </c>
      <c r="BZ203" s="125">
        <f t="shared" si="51"/>
        <v>0.39955621184649126</v>
      </c>
      <c r="CA203" s="125">
        <f t="shared" si="52"/>
        <v>0.41347746221268578</v>
      </c>
      <c r="CB203" s="125">
        <f t="shared" si="53"/>
        <v>0.45432552910157642</v>
      </c>
      <c r="CC203" s="125">
        <f t="shared" si="54"/>
        <v>0.43496353890371259</v>
      </c>
      <c r="CD203" s="125">
        <f t="shared" si="55"/>
        <v>0.40816522696141699</v>
      </c>
      <c r="CE203" s="125">
        <f t="shared" si="56"/>
        <v>0.43098702285845497</v>
      </c>
      <c r="CF203" s="126">
        <f t="shared" si="57"/>
        <v>0.4347310746720085</v>
      </c>
      <c r="CH203" s="4">
        <v>201</v>
      </c>
      <c r="CI203" s="129">
        <v>0</v>
      </c>
      <c r="CJ203" s="125">
        <v>0.52143405727677972</v>
      </c>
      <c r="CK203" s="125">
        <v>0.2480399686458325</v>
      </c>
      <c r="CL203" s="125">
        <v>0.25846376455870596</v>
      </c>
      <c r="CM203" s="125">
        <v>0.25785801946175346</v>
      </c>
      <c r="CN203" s="125">
        <v>0.22951108084782937</v>
      </c>
      <c r="CO203" s="125">
        <v>0.26633176034647937</v>
      </c>
      <c r="CP203" s="125">
        <v>0.26709241561690905</v>
      </c>
      <c r="CQ203" s="125">
        <v>0.29270374270580135</v>
      </c>
      <c r="CR203" s="125">
        <v>0.29081544588634906</v>
      </c>
      <c r="CS203" s="125">
        <v>0.25785801946175346</v>
      </c>
      <c r="CT203" s="125">
        <v>0.2885779776561968</v>
      </c>
      <c r="CU203" s="126">
        <v>0.2902301680931757</v>
      </c>
    </row>
    <row r="204" spans="1:99" x14ac:dyDescent="0.25">
      <c r="A204" t="s">
        <v>234</v>
      </c>
      <c r="B204" s="2" t="s">
        <v>1</v>
      </c>
      <c r="C204" s="1">
        <v>19967</v>
      </c>
      <c r="D204" s="19">
        <v>112.30500000000001</v>
      </c>
      <c r="E204" s="18">
        <v>0</v>
      </c>
      <c r="F204" s="19">
        <v>0</v>
      </c>
      <c r="G204" s="19">
        <v>0</v>
      </c>
      <c r="H204" s="19">
        <v>0</v>
      </c>
      <c r="I204" s="19">
        <f>SUM(E204:H204)/Variables!$E$3</f>
        <v>0</v>
      </c>
      <c r="J204" s="4">
        <v>61968</v>
      </c>
      <c r="K204">
        <v>58788</v>
      </c>
      <c r="L204">
        <v>483510</v>
      </c>
      <c r="M204">
        <v>141241</v>
      </c>
      <c r="N204" s="6">
        <f>SUM(J204:M204)/Variables!$E$3</f>
        <v>0.59027149858668715</v>
      </c>
      <c r="O204" s="4">
        <v>32798</v>
      </c>
      <c r="P204">
        <v>34838</v>
      </c>
      <c r="Q204">
        <v>337030</v>
      </c>
      <c r="R204">
        <v>87152</v>
      </c>
      <c r="S204" s="6">
        <f>SUM(O204:R204)/Variables!$E$3</f>
        <v>0.38940767543686017</v>
      </c>
      <c r="T204" s="12">
        <v>32369.8</v>
      </c>
      <c r="U204" s="6">
        <v>34565.9</v>
      </c>
      <c r="V204" s="6">
        <v>350955.6</v>
      </c>
      <c r="W204" s="6">
        <v>100143.2</v>
      </c>
      <c r="X204" s="6">
        <f>SUM(T204:W204)/Variables!$E$3</f>
        <v>0.41016516361966443</v>
      </c>
      <c r="Y204" s="12">
        <v>32472.6</v>
      </c>
      <c r="Z204" s="6">
        <v>34651</v>
      </c>
      <c r="AA204" s="6">
        <v>347939.2</v>
      </c>
      <c r="AB204" s="6">
        <v>100445.8</v>
      </c>
      <c r="AC204" s="6">
        <f>SUM(Y204:AB204)/Variables!$E$3</f>
        <v>0.40816522696141699</v>
      </c>
      <c r="AD204" s="4">
        <v>31660.400000000001</v>
      </c>
      <c r="AE204" s="2">
        <v>34071.800000000003</v>
      </c>
      <c r="AF204" s="2">
        <v>314227.5</v>
      </c>
      <c r="AG204" s="2">
        <v>94897.7</v>
      </c>
      <c r="AH204" s="6">
        <f>SUM(AD204:AG204)/Variables!$E$3</f>
        <v>0.37597874884203358</v>
      </c>
      <c r="AI204" s="4">
        <v>31948.2</v>
      </c>
      <c r="AJ204" s="2">
        <v>34259</v>
      </c>
      <c r="AK204" s="2">
        <v>348688.3</v>
      </c>
      <c r="AL204" s="2">
        <v>89740</v>
      </c>
      <c r="AM204" s="6">
        <f>SUM(AI204:AL204)/Variables!$E$3</f>
        <v>0.39955621184649126</v>
      </c>
      <c r="AN204" s="4">
        <v>32336.400000000001</v>
      </c>
      <c r="AO204" s="2">
        <v>34562.300000000003</v>
      </c>
      <c r="AP204" s="2">
        <v>350944.4</v>
      </c>
      <c r="AQ204" s="2">
        <v>104374.8</v>
      </c>
      <c r="AR204" s="6">
        <f>SUM(AN204:AQ204)/Variables!$E$3</f>
        <v>0.41347746221268578</v>
      </c>
      <c r="AS204" s="4">
        <v>34715.5</v>
      </c>
      <c r="AT204" s="2">
        <v>36749.599999999999</v>
      </c>
      <c r="AU204" s="2">
        <v>383587.1</v>
      </c>
      <c r="AV204" s="2">
        <v>118756.4</v>
      </c>
      <c r="AW204" s="6">
        <f>SUM(AS204:AV204)/Variables!$E$3</f>
        <v>0.45432552910157642</v>
      </c>
      <c r="AX204" s="4">
        <v>33856.1</v>
      </c>
      <c r="AY204" s="2">
        <v>35763.800000000003</v>
      </c>
      <c r="AZ204" s="2">
        <v>373511.6</v>
      </c>
      <c r="BA204" s="2">
        <v>106223.1</v>
      </c>
      <c r="BB204" s="6">
        <f>SUM(AX204:BA204)/Variables!$E$3</f>
        <v>0.43496353890371259</v>
      </c>
      <c r="BC204" s="12">
        <f t="shared" si="58"/>
        <v>32472.6</v>
      </c>
      <c r="BD204" s="110">
        <f t="shared" si="58"/>
        <v>34651</v>
      </c>
      <c r="BE204" s="110">
        <f t="shared" si="58"/>
        <v>347939.2</v>
      </c>
      <c r="BF204" s="110">
        <f t="shared" si="58"/>
        <v>100445.8</v>
      </c>
      <c r="BG204" s="6">
        <f>SUM(BC204:BF204)/Variables!$E$3</f>
        <v>0.40816522696141699</v>
      </c>
      <c r="BH204" s="4">
        <v>33303.5</v>
      </c>
      <c r="BI204">
        <v>35369.300000000003</v>
      </c>
      <c r="BJ204">
        <v>369378.2</v>
      </c>
      <c r="BK204">
        <v>106281.3</v>
      </c>
      <c r="BL204" s="6">
        <f>SUM(BH204:BK204)/Variables!$E$3</f>
        <v>0.43098702285845497</v>
      </c>
      <c r="BM204" s="110">
        <v>33825.699999999997</v>
      </c>
      <c r="BN204" s="110">
        <v>35773</v>
      </c>
      <c r="BO204" s="110">
        <v>373681.1</v>
      </c>
      <c r="BP204" s="110">
        <v>105781.2</v>
      </c>
      <c r="BQ204" s="6">
        <f>SUM(BM204:BP204)/Variables!$E$3</f>
        <v>0.4347310746720085</v>
      </c>
      <c r="BS204" s="4">
        <v>202</v>
      </c>
      <c r="BT204" s="125">
        <f t="shared" si="45"/>
        <v>0</v>
      </c>
      <c r="BU204" s="125">
        <f t="shared" si="46"/>
        <v>0.36046286985645176</v>
      </c>
      <c r="BV204" s="125">
        <f t="shared" si="47"/>
        <v>0.17958416139478539</v>
      </c>
      <c r="BW204" s="125">
        <f t="shared" si="48"/>
        <v>0.19609886064022677</v>
      </c>
      <c r="BX204" s="125">
        <f t="shared" si="49"/>
        <v>0.19535182384658628</v>
      </c>
      <c r="BY204" s="125">
        <f t="shared" si="50"/>
        <v>0.19819238473780473</v>
      </c>
      <c r="BZ204" s="125">
        <f t="shared" si="51"/>
        <v>0.19738113524255935</v>
      </c>
      <c r="CA204" s="125">
        <f t="shared" si="52"/>
        <v>0.19868415426883823</v>
      </c>
      <c r="CB204" s="125">
        <f t="shared" si="53"/>
        <v>0.18667226185480487</v>
      </c>
      <c r="CC204" s="125">
        <f t="shared" si="54"/>
        <v>0.17164435189510605</v>
      </c>
      <c r="CD204" s="125">
        <f t="shared" si="55"/>
        <v>0.19535182384658628</v>
      </c>
      <c r="CE204" s="125">
        <f t="shared" si="56"/>
        <v>0.17144395442560906</v>
      </c>
      <c r="CF204" s="126">
        <f t="shared" si="57"/>
        <v>0.16546164260999693</v>
      </c>
      <c r="CH204" s="4">
        <v>202</v>
      </c>
      <c r="CI204" s="129">
        <v>0</v>
      </c>
      <c r="CJ204" s="125">
        <v>0.33930909983451968</v>
      </c>
      <c r="CK204" s="125">
        <v>8.2052510312829077E-2</v>
      </c>
      <c r="CL204" s="125">
        <v>9.3681185124189423E-2</v>
      </c>
      <c r="CM204" s="125">
        <v>9.3622277294357042E-2</v>
      </c>
      <c r="CN204" s="125">
        <v>9.956753418475206E-2</v>
      </c>
      <c r="CO204" s="125">
        <v>9.5022446733544999E-2</v>
      </c>
      <c r="CP204" s="125">
        <v>9.4386178829602776E-2</v>
      </c>
      <c r="CQ204" s="125">
        <v>7.6744827750021768E-2</v>
      </c>
      <c r="CR204" s="125">
        <v>5.7917323177539018E-2</v>
      </c>
      <c r="CS204" s="125">
        <v>9.3622277294357042E-2</v>
      </c>
      <c r="CT204" s="125">
        <v>5.776815335038283E-2</v>
      </c>
      <c r="CU204" s="126">
        <v>7.05473123302639E-2</v>
      </c>
    </row>
    <row r="205" spans="1:99" x14ac:dyDescent="0.25">
      <c r="A205" t="s">
        <v>234</v>
      </c>
      <c r="B205" s="2" t="s">
        <v>2</v>
      </c>
      <c r="C205" s="1">
        <v>20058</v>
      </c>
      <c r="D205" s="19">
        <v>75.75</v>
      </c>
      <c r="E205" s="18">
        <v>0</v>
      </c>
      <c r="F205" s="19">
        <v>0</v>
      </c>
      <c r="G205" s="19">
        <v>0</v>
      </c>
      <c r="H205" s="19">
        <v>0</v>
      </c>
      <c r="I205" s="19">
        <f>SUM(E205:H205)/Variables!$E$3</f>
        <v>0</v>
      </c>
      <c r="J205" s="4">
        <v>20150</v>
      </c>
      <c r="K205">
        <v>29476</v>
      </c>
      <c r="L205">
        <v>347718</v>
      </c>
      <c r="M205">
        <v>57917</v>
      </c>
      <c r="N205" s="6">
        <f>SUM(J205:M205)/Variables!$E$3</f>
        <v>0.36046286985645176</v>
      </c>
      <c r="O205" s="4">
        <v>5655</v>
      </c>
      <c r="P205">
        <v>9391</v>
      </c>
      <c r="Q205">
        <v>179305</v>
      </c>
      <c r="R205">
        <v>32462</v>
      </c>
      <c r="S205" s="6">
        <f>SUM(O205:R205)/Variables!$E$3</f>
        <v>0.17958416139478539</v>
      </c>
      <c r="T205" s="12">
        <v>4483</v>
      </c>
      <c r="U205" s="6">
        <v>8138.2</v>
      </c>
      <c r="V205" s="6">
        <v>199086.4</v>
      </c>
      <c r="W205" s="6">
        <v>35963.300000000003</v>
      </c>
      <c r="X205" s="6">
        <f>SUM(T205:W205)/Variables!$E$3</f>
        <v>0.19609886064022677</v>
      </c>
      <c r="Y205" s="12">
        <v>4471.3</v>
      </c>
      <c r="Z205" s="6">
        <v>8120.6</v>
      </c>
      <c r="AA205" s="6">
        <v>198228.2</v>
      </c>
      <c r="AB205" s="6">
        <v>35907.300000000003</v>
      </c>
      <c r="AC205" s="6">
        <f>SUM(Y205:AB205)/Variables!$E$3</f>
        <v>0.19535182384658628</v>
      </c>
      <c r="AD205" s="4">
        <v>6126</v>
      </c>
      <c r="AE205" s="2">
        <v>10090.4</v>
      </c>
      <c r="AF205" s="2">
        <v>201380.4</v>
      </c>
      <c r="AG205" s="2">
        <v>32718.2</v>
      </c>
      <c r="AH205" s="6">
        <f>SUM(AD205:AG205)/Variables!$E$3</f>
        <v>0.19819238473780473</v>
      </c>
      <c r="AI205" s="4">
        <v>5865.4</v>
      </c>
      <c r="AJ205" s="2">
        <v>9671.2999999999993</v>
      </c>
      <c r="AK205" s="2">
        <v>199875.20000000001</v>
      </c>
      <c r="AL205" s="2">
        <v>33878.5</v>
      </c>
      <c r="AM205" s="6">
        <f>SUM(AI205:AL205)/Variables!$E$3</f>
        <v>0.19738113524255935</v>
      </c>
      <c r="AN205" s="4">
        <v>5565.6</v>
      </c>
      <c r="AO205" s="2">
        <v>9314.1</v>
      </c>
      <c r="AP205" s="2">
        <v>200733</v>
      </c>
      <c r="AQ205" s="2">
        <v>35323.4</v>
      </c>
      <c r="AR205" s="6">
        <f>SUM(AN205:AQ205)/Variables!$E$3</f>
        <v>0.19868415426883823</v>
      </c>
      <c r="AS205" s="4">
        <v>5146</v>
      </c>
      <c r="AT205" s="2">
        <v>8966.7000000000007</v>
      </c>
      <c r="AU205" s="2">
        <v>177024.1</v>
      </c>
      <c r="AV205" s="2">
        <v>44628.4</v>
      </c>
      <c r="AW205" s="6">
        <f>SUM(AS205:AV205)/Variables!$E$3</f>
        <v>0.18667226185480487</v>
      </c>
      <c r="AX205" s="4">
        <v>3303.2</v>
      </c>
      <c r="AY205" s="2">
        <v>6472.3</v>
      </c>
      <c r="AZ205" s="2">
        <v>169833.8</v>
      </c>
      <c r="BA205" s="2">
        <v>37175.800000000003</v>
      </c>
      <c r="BB205" s="6">
        <f>SUM(AX205:BA205)/Variables!$E$3</f>
        <v>0.17164435189510605</v>
      </c>
      <c r="BC205" s="12">
        <f t="shared" si="58"/>
        <v>4471.3</v>
      </c>
      <c r="BD205" s="110">
        <f t="shared" si="58"/>
        <v>8120.6</v>
      </c>
      <c r="BE205" s="110">
        <f t="shared" si="58"/>
        <v>198228.2</v>
      </c>
      <c r="BF205" s="110">
        <f t="shared" si="58"/>
        <v>35907.300000000003</v>
      </c>
      <c r="BG205" s="6">
        <f>SUM(BC205:BF205)/Variables!$E$3</f>
        <v>0.19535182384658628</v>
      </c>
      <c r="BH205" s="4">
        <v>3221.6</v>
      </c>
      <c r="BI205">
        <v>6314.1</v>
      </c>
      <c r="BJ205">
        <v>165737.1</v>
      </c>
      <c r="BK205">
        <v>41259.199999999997</v>
      </c>
      <c r="BL205" s="6">
        <f>SUM(BH205:BK205)/Variables!$E$3</f>
        <v>0.17144395442560906</v>
      </c>
      <c r="BM205" s="110">
        <v>4065</v>
      </c>
      <c r="BN205" s="110">
        <v>7424.7</v>
      </c>
      <c r="BO205" s="110">
        <v>160570.9</v>
      </c>
      <c r="BP205" s="110">
        <v>36915.800000000003</v>
      </c>
      <c r="BQ205" s="6">
        <f>SUM(BM205:BP205)/Variables!$E$3</f>
        <v>0.16546164260999693</v>
      </c>
      <c r="BS205" s="4">
        <v>203</v>
      </c>
      <c r="BT205" s="125">
        <f t="shared" si="45"/>
        <v>0</v>
      </c>
      <c r="BU205" s="125">
        <f t="shared" si="46"/>
        <v>1.7387311063428847E-3</v>
      </c>
      <c r="BV205" s="125">
        <f t="shared" si="47"/>
        <v>0</v>
      </c>
      <c r="BW205" s="125">
        <f t="shared" si="48"/>
        <v>0</v>
      </c>
      <c r="BX205" s="125">
        <f t="shared" si="49"/>
        <v>0</v>
      </c>
      <c r="BY205" s="125">
        <f t="shared" si="50"/>
        <v>0</v>
      </c>
      <c r="BZ205" s="125">
        <f t="shared" si="51"/>
        <v>0</v>
      </c>
      <c r="CA205" s="125">
        <f t="shared" si="52"/>
        <v>0</v>
      </c>
      <c r="CB205" s="125">
        <f t="shared" si="53"/>
        <v>0</v>
      </c>
      <c r="CC205" s="125">
        <f t="shared" si="54"/>
        <v>0</v>
      </c>
      <c r="CD205" s="125">
        <f t="shared" si="55"/>
        <v>0</v>
      </c>
      <c r="CE205" s="125">
        <f t="shared" si="56"/>
        <v>0</v>
      </c>
      <c r="CF205" s="126">
        <f t="shared" si="57"/>
        <v>0</v>
      </c>
      <c r="CH205" s="4">
        <v>203</v>
      </c>
      <c r="CI205" s="129">
        <v>0</v>
      </c>
      <c r="CJ205" s="125">
        <v>0</v>
      </c>
      <c r="CK205" s="125">
        <v>0</v>
      </c>
      <c r="CL205" s="125">
        <v>0</v>
      </c>
      <c r="CM205" s="125">
        <v>0</v>
      </c>
      <c r="CN205" s="125">
        <v>0</v>
      </c>
      <c r="CO205" s="125">
        <v>0</v>
      </c>
      <c r="CP205" s="125">
        <v>0</v>
      </c>
      <c r="CQ205" s="125">
        <v>0</v>
      </c>
      <c r="CR205" s="125">
        <v>0</v>
      </c>
      <c r="CS205" s="125">
        <v>0</v>
      </c>
      <c r="CT205" s="125">
        <v>0</v>
      </c>
      <c r="CU205" s="126">
        <v>0</v>
      </c>
    </row>
    <row r="206" spans="1:99" x14ac:dyDescent="0.25">
      <c r="A206" t="s">
        <v>235</v>
      </c>
      <c r="B206" s="2" t="s">
        <v>3</v>
      </c>
      <c r="C206" s="1">
        <v>20148</v>
      </c>
      <c r="D206" s="19">
        <v>227.08</v>
      </c>
      <c r="E206" s="18">
        <v>0</v>
      </c>
      <c r="F206" s="19">
        <v>0</v>
      </c>
      <c r="G206" s="19">
        <v>0</v>
      </c>
      <c r="H206" s="19">
        <v>0</v>
      </c>
      <c r="I206" s="19">
        <f>SUM(E206:H206)/Variables!$E$3</f>
        <v>0</v>
      </c>
      <c r="J206" s="4">
        <v>0</v>
      </c>
      <c r="K206">
        <v>0</v>
      </c>
      <c r="L206">
        <v>2196</v>
      </c>
      <c r="M206">
        <v>0</v>
      </c>
      <c r="N206" s="6">
        <f>SUM(J206:M206)/Variables!$E$3</f>
        <v>1.7387311063428847E-3</v>
      </c>
      <c r="O206" s="4">
        <v>0</v>
      </c>
      <c r="P206">
        <v>0</v>
      </c>
      <c r="Q206">
        <v>0</v>
      </c>
      <c r="R206">
        <v>0</v>
      </c>
      <c r="S206" s="6">
        <f>SUM(O206:R206)/Variables!$E$3</f>
        <v>0</v>
      </c>
      <c r="T206" s="12">
        <v>0</v>
      </c>
      <c r="U206" s="6">
        <v>0</v>
      </c>
      <c r="V206" s="6">
        <v>0</v>
      </c>
      <c r="W206" s="6">
        <v>0</v>
      </c>
      <c r="X206" s="6">
        <f>SUM(T206:W206)/Variables!$E$3</f>
        <v>0</v>
      </c>
      <c r="Y206" s="12">
        <v>0</v>
      </c>
      <c r="Z206" s="6">
        <v>0</v>
      </c>
      <c r="AA206" s="6">
        <v>0</v>
      </c>
      <c r="AB206" s="6">
        <v>0</v>
      </c>
      <c r="AC206" s="6">
        <f>SUM(Y206:AB206)/Variables!$E$3</f>
        <v>0</v>
      </c>
      <c r="AD206" s="4">
        <v>0</v>
      </c>
      <c r="AE206" s="2">
        <v>0</v>
      </c>
      <c r="AF206" s="2">
        <v>0</v>
      </c>
      <c r="AG206" s="2">
        <v>0</v>
      </c>
      <c r="AH206" s="6">
        <f>SUM(AD206:AG206)/Variables!$E$3</f>
        <v>0</v>
      </c>
      <c r="AI206" s="4">
        <v>0</v>
      </c>
      <c r="AJ206" s="2">
        <v>0</v>
      </c>
      <c r="AK206" s="2">
        <v>0</v>
      </c>
      <c r="AL206" s="2">
        <v>0</v>
      </c>
      <c r="AM206" s="6">
        <f>SUM(AI206:AL206)/Variables!$E$3</f>
        <v>0</v>
      </c>
      <c r="AN206" s="4">
        <v>0</v>
      </c>
      <c r="AO206" s="2">
        <v>0</v>
      </c>
      <c r="AP206" s="2">
        <v>0</v>
      </c>
      <c r="AQ206" s="2">
        <v>0</v>
      </c>
      <c r="AR206" s="6">
        <f>SUM(AN206:AQ206)/Variables!$E$3</f>
        <v>0</v>
      </c>
      <c r="AS206" s="4">
        <v>0</v>
      </c>
      <c r="AT206" s="2">
        <v>0</v>
      </c>
      <c r="AU206" s="2">
        <v>0</v>
      </c>
      <c r="AV206" s="2">
        <v>0</v>
      </c>
      <c r="AW206" s="6">
        <f>SUM(AS206:AV206)/Variables!$E$3</f>
        <v>0</v>
      </c>
      <c r="AX206" s="4">
        <v>0</v>
      </c>
      <c r="AY206" s="2">
        <v>0</v>
      </c>
      <c r="AZ206" s="2">
        <v>0</v>
      </c>
      <c r="BA206" s="2">
        <v>0</v>
      </c>
      <c r="BB206" s="6">
        <f>SUM(AX206:BA206)/Variables!$E$3</f>
        <v>0</v>
      </c>
      <c r="BC206" s="12">
        <f t="shared" si="58"/>
        <v>0</v>
      </c>
      <c r="BD206" s="110">
        <f t="shared" si="58"/>
        <v>0</v>
      </c>
      <c r="BE206" s="110">
        <f t="shared" si="58"/>
        <v>0</v>
      </c>
      <c r="BF206" s="110">
        <f t="shared" si="58"/>
        <v>0</v>
      </c>
      <c r="BG206" s="6">
        <f>SUM(BC206:BF206)/Variables!$E$3</f>
        <v>0</v>
      </c>
      <c r="BH206" s="4">
        <v>0</v>
      </c>
      <c r="BI206">
        <v>0</v>
      </c>
      <c r="BJ206">
        <v>0</v>
      </c>
      <c r="BK206">
        <v>0</v>
      </c>
      <c r="BL206" s="6">
        <f>SUM(BH206:BK206)/Variables!$E$3</f>
        <v>0</v>
      </c>
      <c r="BM206" s="110">
        <v>0</v>
      </c>
      <c r="BN206" s="110">
        <v>0</v>
      </c>
      <c r="BO206" s="110">
        <v>0</v>
      </c>
      <c r="BP206" s="110">
        <v>0</v>
      </c>
      <c r="BQ206" s="6">
        <f>SUM(BM206:BP206)/Variables!$E$3</f>
        <v>0</v>
      </c>
      <c r="BS206" s="4">
        <v>204</v>
      </c>
      <c r="BT206" s="125">
        <f t="shared" si="45"/>
        <v>0</v>
      </c>
      <c r="BU206" s="125">
        <f t="shared" si="46"/>
        <v>2.7457857940284564E-2</v>
      </c>
      <c r="BV206" s="125">
        <f t="shared" si="47"/>
        <v>0</v>
      </c>
      <c r="BW206" s="125">
        <f t="shared" si="48"/>
        <v>4.1812682602395896E-3</v>
      </c>
      <c r="BX206" s="125">
        <f t="shared" si="49"/>
        <v>4.1812682602395896E-3</v>
      </c>
      <c r="BY206" s="125">
        <f t="shared" si="50"/>
        <v>2.889888280984014E-3</v>
      </c>
      <c r="BZ206" s="125">
        <f t="shared" si="51"/>
        <v>0</v>
      </c>
      <c r="CA206" s="125">
        <f t="shared" si="52"/>
        <v>0</v>
      </c>
      <c r="CB206" s="125">
        <f t="shared" si="53"/>
        <v>1.5167974409931986E-3</v>
      </c>
      <c r="CC206" s="125">
        <f t="shared" si="54"/>
        <v>4.410169518365133E-5</v>
      </c>
      <c r="CD206" s="125">
        <f t="shared" si="55"/>
        <v>4.1812682602395896E-3</v>
      </c>
      <c r="CE206" s="125">
        <f t="shared" si="56"/>
        <v>2.676189043460376E-5</v>
      </c>
      <c r="CF206" s="126">
        <f t="shared" si="57"/>
        <v>7.2122502949350435E-4</v>
      </c>
      <c r="CH206" s="4">
        <v>204</v>
      </c>
      <c r="CI206" s="129">
        <v>0</v>
      </c>
      <c r="CJ206" s="125">
        <v>0</v>
      </c>
      <c r="CK206" s="125">
        <v>0</v>
      </c>
      <c r="CL206" s="125">
        <v>0</v>
      </c>
      <c r="CM206" s="125">
        <v>0</v>
      </c>
      <c r="CN206" s="125">
        <v>0</v>
      </c>
      <c r="CO206" s="125">
        <v>0</v>
      </c>
      <c r="CP206" s="125">
        <v>0</v>
      </c>
      <c r="CQ206" s="125">
        <v>0</v>
      </c>
      <c r="CR206" s="125">
        <v>0</v>
      </c>
      <c r="CS206" s="125">
        <v>0</v>
      </c>
      <c r="CT206" s="125">
        <v>0</v>
      </c>
      <c r="CU206" s="126">
        <v>0</v>
      </c>
    </row>
    <row r="207" spans="1:99" x14ac:dyDescent="0.25">
      <c r="A207" t="s">
        <v>235</v>
      </c>
      <c r="B207" s="2" t="s">
        <v>4</v>
      </c>
      <c r="C207" s="1">
        <v>20240</v>
      </c>
      <c r="D207" s="19">
        <v>103.635714285714</v>
      </c>
      <c r="E207" s="18">
        <v>0</v>
      </c>
      <c r="F207" s="19">
        <v>0</v>
      </c>
      <c r="G207" s="19">
        <v>0</v>
      </c>
      <c r="H207" s="19">
        <v>0</v>
      </c>
      <c r="I207" s="19">
        <f>SUM(E207:H207)/Variables!$E$3</f>
        <v>0</v>
      </c>
      <c r="J207" s="4">
        <v>0</v>
      </c>
      <c r="K207">
        <v>0</v>
      </c>
      <c r="L207">
        <v>34679</v>
      </c>
      <c r="M207">
        <v>0</v>
      </c>
      <c r="N207" s="6">
        <f>SUM(J207:M207)/Variables!$E$3</f>
        <v>2.7457857940284564E-2</v>
      </c>
      <c r="O207" s="4">
        <v>0</v>
      </c>
      <c r="P207">
        <v>0</v>
      </c>
      <c r="Q207">
        <v>0</v>
      </c>
      <c r="R207">
        <v>0</v>
      </c>
      <c r="S207" s="6">
        <f>SUM(O207:R207)/Variables!$E$3</f>
        <v>0</v>
      </c>
      <c r="T207" s="12">
        <v>0</v>
      </c>
      <c r="U207" s="6">
        <v>0</v>
      </c>
      <c r="V207" s="6">
        <v>5280.9</v>
      </c>
      <c r="W207" s="6">
        <v>0</v>
      </c>
      <c r="X207" s="6">
        <f>SUM(T207:W207)/Variables!$E$3</f>
        <v>4.1812682602395896E-3</v>
      </c>
      <c r="Y207" s="12">
        <v>0</v>
      </c>
      <c r="Z207" s="6">
        <v>0</v>
      </c>
      <c r="AA207" s="6">
        <v>5280.9</v>
      </c>
      <c r="AB207" s="6">
        <v>0</v>
      </c>
      <c r="AC207" s="6">
        <f>SUM(Y207:AB207)/Variables!$E$3</f>
        <v>4.1812682602395896E-3</v>
      </c>
      <c r="AD207" s="4">
        <v>0</v>
      </c>
      <c r="AE207" s="2">
        <v>0</v>
      </c>
      <c r="AF207" s="2">
        <v>3649.9</v>
      </c>
      <c r="AG207" s="2">
        <v>0</v>
      </c>
      <c r="AH207" s="6">
        <f>SUM(AD207:AG207)/Variables!$E$3</f>
        <v>2.889888280984014E-3</v>
      </c>
      <c r="AI207" s="4">
        <v>0</v>
      </c>
      <c r="AJ207" s="2">
        <v>0</v>
      </c>
      <c r="AK207" s="2">
        <v>0</v>
      </c>
      <c r="AL207" s="2">
        <v>0</v>
      </c>
      <c r="AM207" s="6">
        <f>SUM(AI207:AL207)/Variables!$E$3</f>
        <v>0</v>
      </c>
      <c r="AN207" s="4">
        <v>0</v>
      </c>
      <c r="AO207" s="2">
        <v>0</v>
      </c>
      <c r="AP207" s="2">
        <v>0</v>
      </c>
      <c r="AQ207" s="2">
        <v>0</v>
      </c>
      <c r="AR207" s="6">
        <f>SUM(AN207:AQ207)/Variables!$E$3</f>
        <v>0</v>
      </c>
      <c r="AS207" s="4">
        <v>0</v>
      </c>
      <c r="AT207" s="2">
        <v>0</v>
      </c>
      <c r="AU207" s="2">
        <v>1915.7</v>
      </c>
      <c r="AV207" s="2">
        <v>0</v>
      </c>
      <c r="AW207" s="6">
        <f>SUM(AS207:AV207)/Variables!$E$3</f>
        <v>1.5167974409931986E-3</v>
      </c>
      <c r="AX207" s="4">
        <v>0</v>
      </c>
      <c r="AY207" s="2">
        <v>0</v>
      </c>
      <c r="AZ207" s="2">
        <v>55.699999999999797</v>
      </c>
      <c r="BA207" s="2">
        <v>0</v>
      </c>
      <c r="BB207" s="6">
        <f>SUM(AX207:BA207)/Variables!$E$3</f>
        <v>4.410169518365133E-5</v>
      </c>
      <c r="BC207" s="12">
        <f t="shared" si="58"/>
        <v>0</v>
      </c>
      <c r="BD207" s="110">
        <f t="shared" si="58"/>
        <v>0</v>
      </c>
      <c r="BE207" s="110">
        <f t="shared" si="58"/>
        <v>5280.9</v>
      </c>
      <c r="BF207" s="110">
        <f t="shared" si="58"/>
        <v>0</v>
      </c>
      <c r="BG207" s="6">
        <f>SUM(BC207:BF207)/Variables!$E$3</f>
        <v>4.1812682602395896E-3</v>
      </c>
      <c r="BH207" s="4">
        <v>0</v>
      </c>
      <c r="BI207">
        <v>0</v>
      </c>
      <c r="BJ207">
        <v>33.800000000000203</v>
      </c>
      <c r="BK207">
        <v>0</v>
      </c>
      <c r="BL207" s="6">
        <f>SUM(BH207:BK207)/Variables!$E$3</f>
        <v>2.676189043460376E-5</v>
      </c>
      <c r="BM207" s="110">
        <v>0</v>
      </c>
      <c r="BN207" s="110">
        <v>0</v>
      </c>
      <c r="BO207" s="110">
        <v>910.900000000001</v>
      </c>
      <c r="BP207" s="110">
        <v>0</v>
      </c>
      <c r="BQ207" s="6">
        <f>SUM(BM207:BP207)/Variables!$E$3</f>
        <v>7.2122502949350435E-4</v>
      </c>
      <c r="BS207" s="4">
        <v>205</v>
      </c>
      <c r="BT207" s="125">
        <f t="shared" si="45"/>
        <v>0</v>
      </c>
      <c r="BU207" s="125">
        <f t="shared" si="46"/>
        <v>0.27077411539283763</v>
      </c>
      <c r="BV207" s="125">
        <f t="shared" si="47"/>
        <v>7.5527122146651998E-2</v>
      </c>
      <c r="BW207" s="125">
        <f t="shared" si="48"/>
        <v>0.18513970815287534</v>
      </c>
      <c r="BX207" s="125">
        <f t="shared" si="49"/>
        <v>0.18513915391254088</v>
      </c>
      <c r="BY207" s="125">
        <f t="shared" si="50"/>
        <v>0.17316534572720291</v>
      </c>
      <c r="BZ207" s="125">
        <f t="shared" si="51"/>
        <v>0.11820046081124949</v>
      </c>
      <c r="CA207" s="125">
        <f t="shared" si="52"/>
        <v>0.125665919761835</v>
      </c>
      <c r="CB207" s="125">
        <f t="shared" si="53"/>
        <v>0.18907647724843429</v>
      </c>
      <c r="CC207" s="125">
        <f t="shared" si="54"/>
        <v>0.1599664288711708</v>
      </c>
      <c r="CD207" s="125">
        <f t="shared" si="55"/>
        <v>0.18513915391254088</v>
      </c>
      <c r="CE207" s="125">
        <f t="shared" si="56"/>
        <v>0.16557565776451122</v>
      </c>
      <c r="CF207" s="126">
        <f t="shared" si="57"/>
        <v>0.17170983143176113</v>
      </c>
      <c r="CH207" s="4">
        <v>205</v>
      </c>
      <c r="CI207" s="129">
        <v>0</v>
      </c>
      <c r="CJ207" s="125">
        <v>0.27233153073262656</v>
      </c>
      <c r="CK207" s="125">
        <v>0</v>
      </c>
      <c r="CL207" s="125">
        <v>0.11087459124775335</v>
      </c>
      <c r="CM207" s="125">
        <v>0.11087419536180017</v>
      </c>
      <c r="CN207" s="125">
        <v>0.10706141774677551</v>
      </c>
      <c r="CO207" s="125">
        <v>0</v>
      </c>
      <c r="CP207" s="125">
        <v>6.5697115574945175E-2</v>
      </c>
      <c r="CQ207" s="125">
        <v>0.11127799903403827</v>
      </c>
      <c r="CR207" s="125">
        <v>0.1019865557130302</v>
      </c>
      <c r="CS207" s="125">
        <v>0.11087419536180017</v>
      </c>
      <c r="CT207" s="125">
        <v>0.1025601944591802</v>
      </c>
      <c r="CU207" s="126">
        <v>0.10489156683742547</v>
      </c>
    </row>
    <row r="208" spans="1:99" x14ac:dyDescent="0.25">
      <c r="A208" t="s">
        <v>235</v>
      </c>
      <c r="B208" s="2" t="s">
        <v>1</v>
      </c>
      <c r="C208" s="1">
        <v>20332</v>
      </c>
      <c r="D208" s="19">
        <v>93.116666666666703</v>
      </c>
      <c r="E208" s="18">
        <v>0</v>
      </c>
      <c r="F208" s="19">
        <v>0</v>
      </c>
      <c r="G208" s="19">
        <v>0</v>
      </c>
      <c r="H208" s="19">
        <v>0</v>
      </c>
      <c r="I208" s="19">
        <f>SUM(E208:H208)/Variables!$E$3</f>
        <v>0</v>
      </c>
      <c r="J208" s="4">
        <v>13311</v>
      </c>
      <c r="K208">
        <v>23776</v>
      </c>
      <c r="L208">
        <v>259016</v>
      </c>
      <c r="M208">
        <v>45882</v>
      </c>
      <c r="N208" s="6">
        <f>SUM(J208:M208)/Variables!$E$3</f>
        <v>0.27077411539283763</v>
      </c>
      <c r="O208" s="4">
        <v>0</v>
      </c>
      <c r="P208">
        <v>229</v>
      </c>
      <c r="Q208">
        <v>76744</v>
      </c>
      <c r="R208">
        <v>18417</v>
      </c>
      <c r="S208" s="6">
        <f>SUM(O208:R208)/Variables!$E$3</f>
        <v>7.5527122146651998E-2</v>
      </c>
      <c r="T208" s="12">
        <v>4397.3</v>
      </c>
      <c r="U208" s="6">
        <v>9532.1</v>
      </c>
      <c r="V208" s="6">
        <v>190023</v>
      </c>
      <c r="W208" s="6">
        <v>29877.200000000001</v>
      </c>
      <c r="X208" s="6">
        <f>SUM(T208:W208)/Variables!$E$3</f>
        <v>0.18513970815287534</v>
      </c>
      <c r="Y208" s="12">
        <v>4397.3</v>
      </c>
      <c r="Z208" s="6">
        <v>9532</v>
      </c>
      <c r="AA208" s="6">
        <v>190022.39999999999</v>
      </c>
      <c r="AB208" s="6">
        <v>29877.200000000001</v>
      </c>
      <c r="AC208" s="6">
        <f>SUM(Y208:AB208)/Variables!$E$3</f>
        <v>0.18513915391254088</v>
      </c>
      <c r="AD208" s="4">
        <v>3673.4</v>
      </c>
      <c r="AE208" s="2">
        <v>8453.7999999999993</v>
      </c>
      <c r="AF208" s="2">
        <v>179895.6</v>
      </c>
      <c r="AG208" s="2">
        <v>26683.3</v>
      </c>
      <c r="AH208" s="6">
        <f>SUM(AD208:AG208)/Variables!$E$3</f>
        <v>0.17316534572720291</v>
      </c>
      <c r="AI208" s="4">
        <v>330</v>
      </c>
      <c r="AJ208" s="2">
        <v>2636.6</v>
      </c>
      <c r="AK208" s="2">
        <v>124639.1</v>
      </c>
      <c r="AL208" s="2">
        <v>21680.3</v>
      </c>
      <c r="AM208" s="6">
        <f>SUM(AI208:AL208)/Variables!$E$3</f>
        <v>0.11820046081124949</v>
      </c>
      <c r="AN208" s="4">
        <v>589</v>
      </c>
      <c r="AO208" s="2">
        <v>3131.6</v>
      </c>
      <c r="AP208" s="2">
        <v>126554.7</v>
      </c>
      <c r="AQ208" s="2">
        <v>28439.5</v>
      </c>
      <c r="AR208" s="6">
        <f>SUM(AN208:AQ208)/Variables!$E$3</f>
        <v>0.125665919761835</v>
      </c>
      <c r="AS208" s="4">
        <v>4327.6000000000004</v>
      </c>
      <c r="AT208" s="2">
        <v>9204.5</v>
      </c>
      <c r="AU208" s="2">
        <v>189126.2</v>
      </c>
      <c r="AV208" s="2">
        <v>36143.4</v>
      </c>
      <c r="AW208" s="6">
        <f>SUM(AS208:AV208)/Variables!$E$3</f>
        <v>0.18907647724843429</v>
      </c>
      <c r="AX208" s="4">
        <v>2343.6</v>
      </c>
      <c r="AY208" s="2">
        <v>6180.5</v>
      </c>
      <c r="AZ208" s="2">
        <v>164441.79999999999</v>
      </c>
      <c r="BA208" s="2">
        <v>29070.1</v>
      </c>
      <c r="BB208" s="6">
        <f>SUM(AX208:BA208)/Variables!$E$3</f>
        <v>0.1599664288711708</v>
      </c>
      <c r="BC208" s="12">
        <f t="shared" si="58"/>
        <v>4397.3</v>
      </c>
      <c r="BD208" s="110">
        <f t="shared" si="58"/>
        <v>9532</v>
      </c>
      <c r="BE208" s="110">
        <f t="shared" si="58"/>
        <v>190022.39999999999</v>
      </c>
      <c r="BF208" s="110">
        <f t="shared" si="58"/>
        <v>29877.200000000001</v>
      </c>
      <c r="BG208" s="6">
        <f>SUM(BC208:BF208)/Variables!$E$3</f>
        <v>0.18513915391254088</v>
      </c>
      <c r="BH208" s="4">
        <v>2490.1999999999998</v>
      </c>
      <c r="BI208">
        <v>6347.7</v>
      </c>
      <c r="BJ208">
        <v>167334.20000000001</v>
      </c>
      <c r="BK208">
        <v>32948.300000000003</v>
      </c>
      <c r="BL208" s="6">
        <f>SUM(BH208:BK208)/Variables!$E$3</f>
        <v>0.16557565776451122</v>
      </c>
      <c r="BM208" s="110">
        <v>2675.5</v>
      </c>
      <c r="BN208" s="110">
        <v>6743.5</v>
      </c>
      <c r="BO208" s="110">
        <v>177912.4</v>
      </c>
      <c r="BP208" s="110">
        <v>29536.400000000001</v>
      </c>
      <c r="BQ208" s="6">
        <f>SUM(BM208:BP208)/Variables!$E$3</f>
        <v>0.17170983143176113</v>
      </c>
      <c r="BS208" s="4">
        <v>206</v>
      </c>
      <c r="BT208" s="125">
        <f t="shared" si="45"/>
        <v>0</v>
      </c>
      <c r="BU208" s="125">
        <f t="shared" si="46"/>
        <v>0</v>
      </c>
      <c r="BV208" s="125">
        <f t="shared" si="47"/>
        <v>0</v>
      </c>
      <c r="BW208" s="125">
        <f t="shared" si="48"/>
        <v>0</v>
      </c>
      <c r="BX208" s="125">
        <f t="shared" si="49"/>
        <v>0</v>
      </c>
      <c r="BY208" s="125">
        <f t="shared" si="50"/>
        <v>0</v>
      </c>
      <c r="BZ208" s="125">
        <f t="shared" si="51"/>
        <v>0</v>
      </c>
      <c r="CA208" s="125">
        <f t="shared" si="52"/>
        <v>0</v>
      </c>
      <c r="CB208" s="125">
        <f t="shared" si="53"/>
        <v>0</v>
      </c>
      <c r="CC208" s="125">
        <f t="shared" si="54"/>
        <v>0</v>
      </c>
      <c r="CD208" s="125">
        <f t="shared" si="55"/>
        <v>0</v>
      </c>
      <c r="CE208" s="125">
        <f t="shared" si="56"/>
        <v>0</v>
      </c>
      <c r="CF208" s="126">
        <f t="shared" si="57"/>
        <v>0</v>
      </c>
      <c r="CH208" s="4">
        <v>206</v>
      </c>
      <c r="CI208" s="129">
        <v>0</v>
      </c>
      <c r="CJ208" s="125">
        <v>0</v>
      </c>
      <c r="CK208" s="125">
        <v>0</v>
      </c>
      <c r="CL208" s="125">
        <v>0</v>
      </c>
      <c r="CM208" s="125">
        <v>0</v>
      </c>
      <c r="CN208" s="125">
        <v>0</v>
      </c>
      <c r="CO208" s="125">
        <v>0</v>
      </c>
      <c r="CP208" s="125">
        <v>0</v>
      </c>
      <c r="CQ208" s="125">
        <v>0</v>
      </c>
      <c r="CR208" s="125">
        <v>0</v>
      </c>
      <c r="CS208" s="125">
        <v>0</v>
      </c>
      <c r="CT208" s="125">
        <v>0</v>
      </c>
      <c r="CU208" s="126">
        <v>0</v>
      </c>
    </row>
    <row r="209" spans="1:99" x14ac:dyDescent="0.25">
      <c r="A209" t="s">
        <v>235</v>
      </c>
      <c r="B209" s="2" t="s">
        <v>2</v>
      </c>
      <c r="C209" s="1">
        <v>20423</v>
      </c>
      <c r="D209" s="19">
        <v>178.57142857142901</v>
      </c>
      <c r="E209" s="18">
        <v>0</v>
      </c>
      <c r="F209" s="19">
        <v>0</v>
      </c>
      <c r="G209" s="19">
        <v>0</v>
      </c>
      <c r="H209" s="19">
        <v>0</v>
      </c>
      <c r="I209" s="19">
        <f>SUM(E209:H209)/Variables!$E$3</f>
        <v>0</v>
      </c>
      <c r="J209" s="4">
        <v>0</v>
      </c>
      <c r="K209">
        <v>0</v>
      </c>
      <c r="L209">
        <v>0</v>
      </c>
      <c r="M209">
        <v>0</v>
      </c>
      <c r="N209" s="6">
        <f>SUM(J209:M209)/Variables!$E$3</f>
        <v>0</v>
      </c>
      <c r="O209" s="4">
        <v>0</v>
      </c>
      <c r="P209">
        <v>0</v>
      </c>
      <c r="Q209">
        <v>0</v>
      </c>
      <c r="R209">
        <v>0</v>
      </c>
      <c r="S209" s="6">
        <f>SUM(O209:R209)/Variables!$E$3</f>
        <v>0</v>
      </c>
      <c r="T209" s="12">
        <v>0</v>
      </c>
      <c r="U209" s="6">
        <v>0</v>
      </c>
      <c r="V209" s="6">
        <v>0</v>
      </c>
      <c r="W209" s="6">
        <v>0</v>
      </c>
      <c r="X209" s="6">
        <f>SUM(T209:W209)/Variables!$E$3</f>
        <v>0</v>
      </c>
      <c r="Y209" s="12">
        <v>0</v>
      </c>
      <c r="Z209" s="6">
        <v>0</v>
      </c>
      <c r="AA209" s="6">
        <v>0</v>
      </c>
      <c r="AB209" s="6">
        <v>0</v>
      </c>
      <c r="AC209" s="6">
        <f>SUM(Y209:AB209)/Variables!$E$3</f>
        <v>0</v>
      </c>
      <c r="AD209" s="4">
        <v>0</v>
      </c>
      <c r="AE209" s="2">
        <v>0</v>
      </c>
      <c r="AF209" s="2">
        <v>0</v>
      </c>
      <c r="AG209" s="2">
        <v>0</v>
      </c>
      <c r="AH209" s="6">
        <f>SUM(AD209:AG209)/Variables!$E$3</f>
        <v>0</v>
      </c>
      <c r="AI209" s="4">
        <v>0</v>
      </c>
      <c r="AJ209" s="2">
        <v>0</v>
      </c>
      <c r="AK209" s="2">
        <v>0</v>
      </c>
      <c r="AL209" s="2">
        <v>0</v>
      </c>
      <c r="AM209" s="6">
        <f>SUM(AI209:AL209)/Variables!$E$3</f>
        <v>0</v>
      </c>
      <c r="AN209" s="4">
        <v>0</v>
      </c>
      <c r="AO209" s="2">
        <v>0</v>
      </c>
      <c r="AP209" s="2">
        <v>0</v>
      </c>
      <c r="AQ209" s="2">
        <v>0</v>
      </c>
      <c r="AR209" s="6">
        <f>SUM(AN209:AQ209)/Variables!$E$3</f>
        <v>0</v>
      </c>
      <c r="AS209" s="4">
        <v>0</v>
      </c>
      <c r="AT209" s="2">
        <v>0</v>
      </c>
      <c r="AU209" s="2">
        <v>0</v>
      </c>
      <c r="AV209" s="2">
        <v>0</v>
      </c>
      <c r="AW209" s="6">
        <f>SUM(AS209:AV209)/Variables!$E$3</f>
        <v>0</v>
      </c>
      <c r="AX209" s="4">
        <v>0</v>
      </c>
      <c r="AY209" s="2">
        <v>0</v>
      </c>
      <c r="AZ209" s="2">
        <v>0</v>
      </c>
      <c r="BA209" s="2">
        <v>0</v>
      </c>
      <c r="BB209" s="6">
        <f>SUM(AX209:BA209)/Variables!$E$3</f>
        <v>0</v>
      </c>
      <c r="BC209" s="12">
        <f t="shared" si="58"/>
        <v>0</v>
      </c>
      <c r="BD209" s="110">
        <f t="shared" si="58"/>
        <v>0</v>
      </c>
      <c r="BE209" s="110">
        <f t="shared" si="58"/>
        <v>0</v>
      </c>
      <c r="BF209" s="110">
        <f t="shared" si="58"/>
        <v>0</v>
      </c>
      <c r="BG209" s="6">
        <f>SUM(BC209:BF209)/Variables!$E$3</f>
        <v>0</v>
      </c>
      <c r="BH209" s="4">
        <v>0</v>
      </c>
      <c r="BI209">
        <v>0</v>
      </c>
      <c r="BJ209">
        <v>0</v>
      </c>
      <c r="BK209">
        <v>0</v>
      </c>
      <c r="BL209" s="6">
        <f>SUM(BH209:BK209)/Variables!$E$3</f>
        <v>0</v>
      </c>
      <c r="BM209" s="110">
        <v>0</v>
      </c>
      <c r="BN209" s="110">
        <v>0</v>
      </c>
      <c r="BO209" s="110">
        <v>0</v>
      </c>
      <c r="BP209" s="110">
        <v>0</v>
      </c>
      <c r="BQ209" s="6">
        <f>SUM(BM209:BP209)/Variables!$E$3</f>
        <v>0</v>
      </c>
      <c r="BS209" s="4">
        <v>207</v>
      </c>
      <c r="BT209" s="125">
        <f t="shared" si="45"/>
        <v>0</v>
      </c>
      <c r="BU209" s="125">
        <f t="shared" si="46"/>
        <v>1.5337381927014466</v>
      </c>
      <c r="BV209" s="125">
        <f t="shared" si="47"/>
        <v>1.0383977703703118</v>
      </c>
      <c r="BW209" s="125">
        <f t="shared" si="48"/>
        <v>1.1753785065598303</v>
      </c>
      <c r="BX209" s="125">
        <f t="shared" si="49"/>
        <v>1.1738554541207771</v>
      </c>
      <c r="BY209" s="125">
        <f t="shared" si="50"/>
        <v>1.1206553496068852</v>
      </c>
      <c r="BZ209" s="125">
        <f t="shared" si="51"/>
        <v>1.098626750805628</v>
      </c>
      <c r="CA209" s="125">
        <f t="shared" si="52"/>
        <v>1.1273024331150683</v>
      </c>
      <c r="CB209" s="125">
        <f t="shared" si="53"/>
        <v>1.2387056904646911</v>
      </c>
      <c r="CC209" s="125">
        <f t="shared" si="54"/>
        <v>1.1455530130879896</v>
      </c>
      <c r="CD209" s="125">
        <f t="shared" si="55"/>
        <v>1.1738554541207771</v>
      </c>
      <c r="CE209" s="125">
        <f t="shared" si="56"/>
        <v>1.1590060095487691</v>
      </c>
      <c r="CF209" s="126">
        <f t="shared" si="57"/>
        <v>1.1495777480423439</v>
      </c>
      <c r="CH209" s="4">
        <v>207</v>
      </c>
      <c r="CI209" s="129">
        <v>0</v>
      </c>
      <c r="CJ209" s="125">
        <v>0</v>
      </c>
      <c r="CK209" s="125">
        <v>0</v>
      </c>
      <c r="CL209" s="125">
        <v>0</v>
      </c>
      <c r="CM209" s="125">
        <v>0</v>
      </c>
      <c r="CN209" s="125">
        <v>0</v>
      </c>
      <c r="CO209" s="125">
        <v>0</v>
      </c>
      <c r="CP209" s="125">
        <v>0</v>
      </c>
      <c r="CQ209" s="125">
        <v>0</v>
      </c>
      <c r="CR209" s="125">
        <v>0</v>
      </c>
      <c r="CS209" s="125">
        <v>0</v>
      </c>
      <c r="CT209" s="125">
        <v>0</v>
      </c>
      <c r="CU209" s="126">
        <v>0</v>
      </c>
    </row>
    <row r="210" spans="1:99" x14ac:dyDescent="0.25">
      <c r="A210" t="s">
        <v>236</v>
      </c>
      <c r="B210" s="2" t="s">
        <v>3</v>
      </c>
      <c r="C210" s="1">
        <v>20513</v>
      </c>
      <c r="D210" s="19">
        <v>204.03761904761899</v>
      </c>
      <c r="E210" s="18">
        <v>0</v>
      </c>
      <c r="F210" s="19">
        <v>0</v>
      </c>
      <c r="G210" s="19">
        <v>0</v>
      </c>
      <c r="H210" s="19">
        <v>0</v>
      </c>
      <c r="I210" s="19">
        <f>SUM(E210:H210)/Variables!$E$3</f>
        <v>0</v>
      </c>
      <c r="J210" s="4">
        <v>182388</v>
      </c>
      <c r="K210">
        <v>149408</v>
      </c>
      <c r="L210">
        <v>1076875</v>
      </c>
      <c r="M210">
        <v>528425</v>
      </c>
      <c r="N210" s="6">
        <f>SUM(J210:M210)/Variables!$E$3</f>
        <v>1.5337381927014466</v>
      </c>
      <c r="O210" s="4">
        <v>93519</v>
      </c>
      <c r="P210">
        <v>85441</v>
      </c>
      <c r="Q210">
        <v>780307</v>
      </c>
      <c r="R210">
        <v>352219</v>
      </c>
      <c r="S210" s="6">
        <f>SUM(O210:R210)/Variables!$E$3</f>
        <v>1.0383977703703118</v>
      </c>
      <c r="T210" s="12">
        <v>106694.5</v>
      </c>
      <c r="U210" s="6">
        <v>95280.9</v>
      </c>
      <c r="V210" s="6">
        <v>891602.4</v>
      </c>
      <c r="W210" s="6">
        <v>390913.5</v>
      </c>
      <c r="X210" s="6">
        <f>SUM(T210:W210)/Variables!$E$3</f>
        <v>1.1753785065598303</v>
      </c>
      <c r="Y210" s="12">
        <v>106835.1</v>
      </c>
      <c r="Z210" s="6">
        <v>95390.5</v>
      </c>
      <c r="AA210" s="6">
        <v>889089.5</v>
      </c>
      <c r="AB210" s="6">
        <v>391252.6</v>
      </c>
      <c r="AC210" s="6">
        <f>SUM(Y210:AB210)/Variables!$E$3</f>
        <v>1.1738554541207771</v>
      </c>
      <c r="AD210" s="4">
        <v>104499.5</v>
      </c>
      <c r="AE210" s="2">
        <v>94006.8</v>
      </c>
      <c r="AF210" s="2">
        <v>859085.2</v>
      </c>
      <c r="AG210" s="2">
        <v>357785</v>
      </c>
      <c r="AH210" s="6">
        <f>SUM(AD210:AG210)/Variables!$E$3</f>
        <v>1.1206553496068852</v>
      </c>
      <c r="AI210" s="4">
        <v>100698</v>
      </c>
      <c r="AJ210" s="2">
        <v>90716.4</v>
      </c>
      <c r="AK210" s="2">
        <v>831124.3</v>
      </c>
      <c r="AL210" s="2">
        <v>365015.9</v>
      </c>
      <c r="AM210" s="6">
        <f>SUM(AI210:AL210)/Variables!$E$3</f>
        <v>1.098626750805628</v>
      </c>
      <c r="AN210" s="4">
        <v>102472.3</v>
      </c>
      <c r="AO210" s="2">
        <v>92045.8</v>
      </c>
      <c r="AP210" s="2">
        <v>836548</v>
      </c>
      <c r="AQ210" s="2">
        <v>392705.6</v>
      </c>
      <c r="AR210" s="6">
        <f>SUM(AN210:AQ210)/Variables!$E$3</f>
        <v>1.1273024331150683</v>
      </c>
      <c r="AS210" s="4">
        <v>112865.2</v>
      </c>
      <c r="AT210" s="2">
        <v>99915.8</v>
      </c>
      <c r="AU210" s="2">
        <v>902480.1</v>
      </c>
      <c r="AV210" s="2">
        <v>449211.8</v>
      </c>
      <c r="AW210" s="6">
        <f>SUM(AS210:AV210)/Variables!$E$3</f>
        <v>1.2387056904646911</v>
      </c>
      <c r="AX210" s="4">
        <v>102440.9</v>
      </c>
      <c r="AY210" s="2">
        <v>92156.9</v>
      </c>
      <c r="AZ210" s="2">
        <v>854467.2</v>
      </c>
      <c r="BA210" s="2">
        <v>397757</v>
      </c>
      <c r="BB210" s="6">
        <f>SUM(AX210:BA210)/Variables!$E$3</f>
        <v>1.1455530130879896</v>
      </c>
      <c r="BC210" s="12">
        <f t="shared" si="58"/>
        <v>106835.1</v>
      </c>
      <c r="BD210" s="110">
        <f t="shared" si="58"/>
        <v>95390.5</v>
      </c>
      <c r="BE210" s="110">
        <f t="shared" si="58"/>
        <v>889089.5</v>
      </c>
      <c r="BF210" s="110">
        <f t="shared" si="58"/>
        <v>391252.6</v>
      </c>
      <c r="BG210" s="6">
        <f>SUM(BC210:BF210)/Variables!$E$3</f>
        <v>1.1738554541207771</v>
      </c>
      <c r="BH210" s="4">
        <v>101923.6</v>
      </c>
      <c r="BI210">
        <v>92024.7</v>
      </c>
      <c r="BJ210">
        <v>852538.7</v>
      </c>
      <c r="BK210">
        <v>417326</v>
      </c>
      <c r="BL210" s="6">
        <f>SUM(BH210:BK210)/Variables!$E$3</f>
        <v>1.1590060095487691</v>
      </c>
      <c r="BM210" s="110">
        <v>102911.8</v>
      </c>
      <c r="BN210" s="110">
        <v>92805.5</v>
      </c>
      <c r="BO210" s="110">
        <v>859465.1</v>
      </c>
      <c r="BP210" s="110">
        <v>396722.8</v>
      </c>
      <c r="BQ210" s="6">
        <f>SUM(BM210:BP210)/Variables!$E$3</f>
        <v>1.1495777480423439</v>
      </c>
      <c r="BS210" s="4">
        <v>208</v>
      </c>
      <c r="BT210" s="125">
        <f t="shared" si="45"/>
        <v>0</v>
      </c>
      <c r="BU210" s="125">
        <f t="shared" si="46"/>
        <v>1.2438499117174324</v>
      </c>
      <c r="BV210" s="125">
        <f t="shared" si="47"/>
        <v>1.0096049849959223</v>
      </c>
      <c r="BW210" s="125">
        <f t="shared" si="48"/>
        <v>1.0334399322243248</v>
      </c>
      <c r="BX210" s="125">
        <f t="shared" si="49"/>
        <v>1.0332803901851955</v>
      </c>
      <c r="BY210" s="125">
        <f t="shared" si="50"/>
        <v>1.0294395838446859</v>
      </c>
      <c r="BZ210" s="125">
        <f t="shared" si="51"/>
        <v>1.0142165021100722</v>
      </c>
      <c r="CA210" s="125">
        <f t="shared" si="52"/>
        <v>1.0143093769546869</v>
      </c>
      <c r="CB210" s="125">
        <f t="shared" si="53"/>
        <v>1.0258477897687235</v>
      </c>
      <c r="CC210" s="125">
        <f t="shared" si="54"/>
        <v>1.0053335339155496</v>
      </c>
      <c r="CD210" s="125">
        <f t="shared" si="55"/>
        <v>1.0332803901851955</v>
      </c>
      <c r="CE210" s="125">
        <f t="shared" si="56"/>
        <v>1.0154605341293281</v>
      </c>
      <c r="CF210" s="126">
        <f t="shared" si="57"/>
        <v>1.0075991100483774</v>
      </c>
      <c r="CH210" s="4">
        <v>208</v>
      </c>
      <c r="CI210" s="129">
        <v>0</v>
      </c>
      <c r="CJ210" s="125">
        <v>6.7927948756522225</v>
      </c>
      <c r="CK210" s="125">
        <v>3.1284642000332545</v>
      </c>
      <c r="CL210" s="125">
        <v>3.426846610028583</v>
      </c>
      <c r="CM210" s="125">
        <v>3.4264143025677165</v>
      </c>
      <c r="CN210" s="125">
        <v>3.4055530130879901</v>
      </c>
      <c r="CO210" s="125">
        <v>3.2981105155226884</v>
      </c>
      <c r="CP210" s="125">
        <v>3.2563980712436362</v>
      </c>
      <c r="CQ210" s="125">
        <v>3.3513692903348407</v>
      </c>
      <c r="CR210" s="125">
        <v>3.2930583773426552</v>
      </c>
      <c r="CS210" s="125">
        <v>3.4264143025677165</v>
      </c>
      <c r="CT210" s="125">
        <v>3.2354194807559842</v>
      </c>
      <c r="CU210" s="126">
        <v>3.2951993681660188</v>
      </c>
    </row>
    <row r="211" spans="1:99" x14ac:dyDescent="0.25">
      <c r="A211" t="s">
        <v>236</v>
      </c>
      <c r="B211" s="2" t="s">
        <v>4</v>
      </c>
      <c r="C211" s="1">
        <v>20606</v>
      </c>
      <c r="D211" s="19">
        <v>263.58333333333297</v>
      </c>
      <c r="E211" s="18">
        <v>0</v>
      </c>
      <c r="F211" s="19">
        <v>0</v>
      </c>
      <c r="G211" s="19">
        <v>0</v>
      </c>
      <c r="H211" s="19">
        <v>0</v>
      </c>
      <c r="I211" s="19">
        <f>SUM(E211:H211)/Variables!$E$3</f>
        <v>0</v>
      </c>
      <c r="J211" s="4">
        <v>125877</v>
      </c>
      <c r="K211">
        <v>140885</v>
      </c>
      <c r="L211">
        <v>1129730</v>
      </c>
      <c r="M211">
        <v>174478</v>
      </c>
      <c r="N211" s="6">
        <f>SUM(J211:M211)/Variables!$E$3</f>
        <v>1.2438499117174324</v>
      </c>
      <c r="O211" s="4">
        <v>86256</v>
      </c>
      <c r="P211">
        <v>91106</v>
      </c>
      <c r="Q211">
        <v>947141</v>
      </c>
      <c r="R211">
        <v>150618</v>
      </c>
      <c r="S211" s="6">
        <f>SUM(O211:R211)/Variables!$E$3</f>
        <v>1.0096049849959223</v>
      </c>
      <c r="T211" s="12">
        <v>91390.3</v>
      </c>
      <c r="U211" s="6">
        <v>95318</v>
      </c>
      <c r="V211" s="6">
        <v>965929.7</v>
      </c>
      <c r="W211" s="6">
        <v>152586.29999999999</v>
      </c>
      <c r="X211" s="6">
        <f>SUM(T211:W211)/Variables!$E$3</f>
        <v>1.0334399322243248</v>
      </c>
      <c r="Y211" s="12">
        <v>91348.6</v>
      </c>
      <c r="Z211" s="6">
        <v>95286</v>
      </c>
      <c r="AA211" s="6">
        <v>965860.4</v>
      </c>
      <c r="AB211" s="6">
        <v>152527.79999999999</v>
      </c>
      <c r="AC211" s="6">
        <f>SUM(Y211:AB211)/Variables!$E$3</f>
        <v>1.0332803901851955</v>
      </c>
      <c r="AD211" s="4">
        <v>91140.2</v>
      </c>
      <c r="AE211" s="2">
        <v>95048.9</v>
      </c>
      <c r="AF211" s="2">
        <v>964853.9</v>
      </c>
      <c r="AG211" s="2">
        <v>149128.9</v>
      </c>
      <c r="AH211" s="6">
        <f>SUM(AD211:AG211)/Variables!$E$3</f>
        <v>1.0294395838446859</v>
      </c>
      <c r="AI211" s="4">
        <v>88548.5</v>
      </c>
      <c r="AJ211" s="2">
        <v>92517.3</v>
      </c>
      <c r="AK211" s="2">
        <v>949035.2</v>
      </c>
      <c r="AL211" s="2">
        <v>150844.29999999999</v>
      </c>
      <c r="AM211" s="6">
        <f>SUM(AI211:AL211)/Variables!$E$3</f>
        <v>1.0142165021100722</v>
      </c>
      <c r="AN211" s="4">
        <v>88648.3</v>
      </c>
      <c r="AO211" s="2">
        <v>92583.5</v>
      </c>
      <c r="AP211" s="2">
        <v>950666.5</v>
      </c>
      <c r="AQ211" s="2">
        <v>149164.29999999999</v>
      </c>
      <c r="AR211" s="6">
        <f>SUM(AN211:AQ211)/Variables!$E$3</f>
        <v>1.0143093769546869</v>
      </c>
      <c r="AS211" s="4">
        <v>89454.2</v>
      </c>
      <c r="AT211" s="2">
        <v>93315</v>
      </c>
      <c r="AU211" s="2">
        <v>952219.6</v>
      </c>
      <c r="AV211" s="2">
        <v>160646.70000000001</v>
      </c>
      <c r="AW211" s="6">
        <f>SUM(AS211:AV211)/Variables!$E$3</f>
        <v>1.0258477897687235</v>
      </c>
      <c r="AX211" s="4">
        <v>84862.8</v>
      </c>
      <c r="AY211" s="2">
        <v>88476.9</v>
      </c>
      <c r="AZ211" s="2">
        <v>947096.1</v>
      </c>
      <c r="BA211" s="2">
        <v>149290.4</v>
      </c>
      <c r="BB211" s="6">
        <f>SUM(AX211:BA211)/Variables!$E$3</f>
        <v>1.0053335339155496</v>
      </c>
      <c r="BC211" s="12">
        <f t="shared" si="58"/>
        <v>91348.6</v>
      </c>
      <c r="BD211" s="110">
        <f t="shared" si="58"/>
        <v>95286</v>
      </c>
      <c r="BE211" s="110">
        <f t="shared" si="58"/>
        <v>965860.4</v>
      </c>
      <c r="BF211" s="110">
        <f t="shared" si="58"/>
        <v>152527.79999999999</v>
      </c>
      <c r="BG211" s="6">
        <f>SUM(BC211:BF211)/Variables!$E$3</f>
        <v>1.0332803901851955</v>
      </c>
      <c r="BH211" s="4">
        <v>84439.1</v>
      </c>
      <c r="BI211">
        <v>88242.3</v>
      </c>
      <c r="BJ211">
        <v>946271.7</v>
      </c>
      <c r="BK211">
        <v>163563.4</v>
      </c>
      <c r="BL211" s="6">
        <f>SUM(BH211:BK211)/Variables!$E$3</f>
        <v>1.0154605341293281</v>
      </c>
      <c r="BM211" s="110">
        <v>85033.5</v>
      </c>
      <c r="BN211" s="110">
        <v>88674.1</v>
      </c>
      <c r="BO211" s="110">
        <v>949183.7</v>
      </c>
      <c r="BP211" s="110">
        <v>149696.29999999999</v>
      </c>
      <c r="BQ211" s="6">
        <f>SUM(BM211:BP211)/Variables!$E$3</f>
        <v>1.0075991100483774</v>
      </c>
      <c r="BS211" s="4">
        <v>209</v>
      </c>
      <c r="BT211" s="125">
        <f t="shared" si="45"/>
        <v>0</v>
      </c>
      <c r="BU211" s="125">
        <f t="shared" si="46"/>
        <v>0.61746015407881294</v>
      </c>
      <c r="BV211" s="125">
        <f t="shared" si="47"/>
        <v>0.49970546085083811</v>
      </c>
      <c r="BW211" s="125">
        <f t="shared" si="48"/>
        <v>0.43294151180927792</v>
      </c>
      <c r="BX211" s="125">
        <f t="shared" si="49"/>
        <v>0.43104791011805327</v>
      </c>
      <c r="BY211" s="125">
        <f t="shared" si="50"/>
        <v>0.41520851313153712</v>
      </c>
      <c r="BZ211" s="125">
        <f t="shared" si="51"/>
        <v>0.48655191252503976</v>
      </c>
      <c r="CA211" s="125">
        <f t="shared" si="52"/>
        <v>0.48201331760346477</v>
      </c>
      <c r="CB211" s="125">
        <f t="shared" si="53"/>
        <v>0.48352734384278573</v>
      </c>
      <c r="CC211" s="125">
        <f t="shared" si="54"/>
        <v>0.48126248030467378</v>
      </c>
      <c r="CD211" s="125">
        <f t="shared" si="55"/>
        <v>0.43104791011805327</v>
      </c>
      <c r="CE211" s="125">
        <f t="shared" si="56"/>
        <v>0.47743117522704065</v>
      </c>
      <c r="CF211" s="126">
        <f t="shared" si="57"/>
        <v>0.47339844337643211</v>
      </c>
      <c r="CH211" s="4">
        <v>209</v>
      </c>
      <c r="CI211" s="129">
        <v>0</v>
      </c>
      <c r="CJ211" s="125">
        <v>0.59813062652910953</v>
      </c>
      <c r="CK211" s="125">
        <v>0.38622237705761725</v>
      </c>
      <c r="CL211" s="125">
        <v>0.34252773181101986</v>
      </c>
      <c r="CM211" s="125">
        <v>0.34071180294380793</v>
      </c>
      <c r="CN211" s="125">
        <v>0.32205084759182573</v>
      </c>
      <c r="CO211" s="125">
        <v>0.38110555111283539</v>
      </c>
      <c r="CP211" s="125">
        <v>0.38115606616046049</v>
      </c>
      <c r="CQ211" s="125">
        <v>0.38028772991076731</v>
      </c>
      <c r="CR211" s="125">
        <v>0.37870086065606223</v>
      </c>
      <c r="CS211" s="125">
        <v>0.34071180294380793</v>
      </c>
      <c r="CT211" s="125">
        <v>0.37711573329955106</v>
      </c>
      <c r="CU211" s="126">
        <v>0.37558199193976199</v>
      </c>
    </row>
    <row r="212" spans="1:99" x14ac:dyDescent="0.25">
      <c r="A212" t="s">
        <v>236</v>
      </c>
      <c r="B212" s="2" t="s">
        <v>1</v>
      </c>
      <c r="C212" s="1">
        <v>20698</v>
      </c>
      <c r="D212" s="19">
        <v>112.25</v>
      </c>
      <c r="E212" s="18">
        <v>0</v>
      </c>
      <c r="F212" s="19">
        <v>0</v>
      </c>
      <c r="G212" s="19">
        <v>0</v>
      </c>
      <c r="H212" s="19">
        <v>0</v>
      </c>
      <c r="I212" s="19">
        <f>SUM(E212:H212)/Variables!$E$3</f>
        <v>0</v>
      </c>
      <c r="J212" s="4">
        <v>40366</v>
      </c>
      <c r="K212">
        <v>54827</v>
      </c>
      <c r="L212">
        <v>581851</v>
      </c>
      <c r="M212">
        <v>102802</v>
      </c>
      <c r="N212" s="6">
        <f>SUM(J212:M212)/Variables!$E$3</f>
        <v>0.61746015407881294</v>
      </c>
      <c r="O212" s="4">
        <v>25443</v>
      </c>
      <c r="P212">
        <v>35086</v>
      </c>
      <c r="Q212">
        <v>478207</v>
      </c>
      <c r="R212">
        <v>92387</v>
      </c>
      <c r="S212" s="6">
        <f>SUM(O212:R212)/Variables!$E$3</f>
        <v>0.49970546085083811</v>
      </c>
      <c r="T212" s="12">
        <v>18416.599999999999</v>
      </c>
      <c r="U212" s="6">
        <v>28430.400000000001</v>
      </c>
      <c r="V212" s="6">
        <v>413858.1</v>
      </c>
      <c r="W212" s="6">
        <v>86095.7</v>
      </c>
      <c r="X212" s="6">
        <f>SUM(T212:W212)/Variables!$E$3</f>
        <v>0.43294151180927792</v>
      </c>
      <c r="Y212" s="12">
        <v>18554.400000000001</v>
      </c>
      <c r="Z212" s="6">
        <v>28578.1</v>
      </c>
      <c r="AA212" s="6">
        <v>410745.4</v>
      </c>
      <c r="AB212" s="6">
        <v>86531.3</v>
      </c>
      <c r="AC212" s="6">
        <f>SUM(Y212:AB212)/Variables!$E$3</f>
        <v>0.43104791011805327</v>
      </c>
      <c r="AD212" s="4">
        <v>19621.099999999999</v>
      </c>
      <c r="AE212" s="2">
        <v>29814.3</v>
      </c>
      <c r="AF212" s="2">
        <v>386079.9</v>
      </c>
      <c r="AG212" s="2">
        <v>88888.9</v>
      </c>
      <c r="AH212" s="6">
        <f>SUM(AD212:AG212)/Variables!$E$3</f>
        <v>0.41520851313153712</v>
      </c>
      <c r="AI212" s="4">
        <v>24006.1</v>
      </c>
      <c r="AJ212" s="2">
        <v>33730.1</v>
      </c>
      <c r="AK212" s="2">
        <v>467370.8</v>
      </c>
      <c r="AL212" s="2">
        <v>89403.199999999997</v>
      </c>
      <c r="AM212" s="6">
        <f>SUM(AI212:AL212)/Variables!$E$3</f>
        <v>0.48655191252503976</v>
      </c>
      <c r="AN212" s="4">
        <v>24004.1</v>
      </c>
      <c r="AO212" s="2">
        <v>33723.9</v>
      </c>
      <c r="AP212" s="2">
        <v>467348.2</v>
      </c>
      <c r="AQ212" s="2">
        <v>83701.8</v>
      </c>
      <c r="AR212" s="6">
        <f>SUM(AN212:AQ212)/Variables!$E$3</f>
        <v>0.48201331760346477</v>
      </c>
      <c r="AS212" s="4">
        <v>23938.7</v>
      </c>
      <c r="AT212" s="2">
        <v>33617.300000000003</v>
      </c>
      <c r="AU212" s="2">
        <v>461642.7</v>
      </c>
      <c r="AV212" s="2">
        <v>91491.5</v>
      </c>
      <c r="AW212" s="6">
        <f>SUM(AS212:AV212)/Variables!$E$3</f>
        <v>0.48352734384278573</v>
      </c>
      <c r="AX212" s="4">
        <v>23598.7</v>
      </c>
      <c r="AY212" s="2">
        <v>33426.1</v>
      </c>
      <c r="AZ212" s="2">
        <v>466820.2</v>
      </c>
      <c r="BA212" s="2">
        <v>83984.7</v>
      </c>
      <c r="BB212" s="6">
        <f>SUM(AX212:BA212)/Variables!$E$3</f>
        <v>0.48126248030467378</v>
      </c>
      <c r="BC212" s="12">
        <f t="shared" si="58"/>
        <v>18554.400000000001</v>
      </c>
      <c r="BD212" s="110">
        <f t="shared" si="58"/>
        <v>28578.1</v>
      </c>
      <c r="BE212" s="110">
        <f t="shared" si="58"/>
        <v>410745.4</v>
      </c>
      <c r="BF212" s="110">
        <f t="shared" si="58"/>
        <v>86531.3</v>
      </c>
      <c r="BG212" s="6">
        <f>SUM(BC212:BF212)/Variables!$E$3</f>
        <v>0.43104791011805327</v>
      </c>
      <c r="BH212" s="4">
        <v>23401.3</v>
      </c>
      <c r="BI212">
        <v>33276</v>
      </c>
      <c r="BJ212">
        <v>465574.40000000002</v>
      </c>
      <c r="BK212">
        <v>80739.100000000006</v>
      </c>
      <c r="BL212" s="6">
        <f>SUM(BH212:BK212)/Variables!$E$3</f>
        <v>0.47743117522704065</v>
      </c>
      <c r="BM212" s="110">
        <v>21148.799999999999</v>
      </c>
      <c r="BN212" s="110">
        <v>30805.200000000001</v>
      </c>
      <c r="BO212" s="110">
        <v>461704.8</v>
      </c>
      <c r="BP212" s="110">
        <v>84238.7</v>
      </c>
      <c r="BQ212" s="6">
        <f>SUM(BM212:BP212)/Variables!$E$3</f>
        <v>0.47339844337643211</v>
      </c>
      <c r="BS212" s="4">
        <v>210</v>
      </c>
      <c r="BT212" s="125">
        <f t="shared" si="45"/>
        <v>0</v>
      </c>
      <c r="BU212" s="125">
        <f t="shared" si="46"/>
        <v>0</v>
      </c>
      <c r="BV212" s="125">
        <f t="shared" si="47"/>
        <v>0</v>
      </c>
      <c r="BW212" s="125">
        <f t="shared" si="48"/>
        <v>0</v>
      </c>
      <c r="BX212" s="125">
        <f t="shared" si="49"/>
        <v>0</v>
      </c>
      <c r="BY212" s="125">
        <f t="shared" si="50"/>
        <v>0</v>
      </c>
      <c r="BZ212" s="125">
        <f t="shared" si="51"/>
        <v>0</v>
      </c>
      <c r="CA212" s="125">
        <f t="shared" si="52"/>
        <v>0</v>
      </c>
      <c r="CB212" s="125">
        <f t="shared" si="53"/>
        <v>0</v>
      </c>
      <c r="CC212" s="125">
        <f t="shared" si="54"/>
        <v>0</v>
      </c>
      <c r="CD212" s="125">
        <f t="shared" si="55"/>
        <v>0</v>
      </c>
      <c r="CE212" s="125">
        <f t="shared" si="56"/>
        <v>0</v>
      </c>
      <c r="CF212" s="126">
        <f t="shared" si="57"/>
        <v>0</v>
      </c>
      <c r="CH212" s="4">
        <v>210</v>
      </c>
      <c r="CI212" s="129">
        <v>0</v>
      </c>
      <c r="CJ212" s="125">
        <v>0</v>
      </c>
      <c r="CK212" s="125">
        <v>0</v>
      </c>
      <c r="CL212" s="125">
        <v>0</v>
      </c>
      <c r="CM212" s="125">
        <v>0</v>
      </c>
      <c r="CN212" s="125">
        <v>0</v>
      </c>
      <c r="CO212" s="125">
        <v>0</v>
      </c>
      <c r="CP212" s="125">
        <v>0</v>
      </c>
      <c r="CQ212" s="125">
        <v>0</v>
      </c>
      <c r="CR212" s="125">
        <v>0</v>
      </c>
      <c r="CS212" s="125">
        <v>0</v>
      </c>
      <c r="CT212" s="125">
        <v>0</v>
      </c>
      <c r="CU212" s="126">
        <v>0</v>
      </c>
    </row>
    <row r="213" spans="1:99" x14ac:dyDescent="0.25">
      <c r="A213" t="s">
        <v>236</v>
      </c>
      <c r="B213" s="2" t="s">
        <v>2</v>
      </c>
      <c r="C213" s="1">
        <v>20789</v>
      </c>
      <c r="D213" s="19">
        <v>55.366666666666703</v>
      </c>
      <c r="E213" s="18">
        <v>0</v>
      </c>
      <c r="F213" s="19">
        <v>0</v>
      </c>
      <c r="G213" s="19">
        <v>0</v>
      </c>
      <c r="H213" s="19">
        <v>0</v>
      </c>
      <c r="I213" s="19">
        <f>SUM(E213:H213)/Variables!$E$3</f>
        <v>0</v>
      </c>
      <c r="J213" s="4">
        <v>0</v>
      </c>
      <c r="K213">
        <v>0</v>
      </c>
      <c r="L213">
        <v>0</v>
      </c>
      <c r="M213">
        <v>0</v>
      </c>
      <c r="N213" s="6">
        <f>SUM(J213:M213)/Variables!$E$3</f>
        <v>0</v>
      </c>
      <c r="O213" s="4">
        <v>0</v>
      </c>
      <c r="P213">
        <v>0</v>
      </c>
      <c r="Q213">
        <v>0</v>
      </c>
      <c r="R213">
        <v>0</v>
      </c>
      <c r="S213" s="6">
        <f>SUM(O213:R213)/Variables!$E$3</f>
        <v>0</v>
      </c>
      <c r="T213" s="12">
        <v>0</v>
      </c>
      <c r="U213" s="6">
        <v>0</v>
      </c>
      <c r="V213" s="6">
        <v>0</v>
      </c>
      <c r="W213" s="6">
        <v>0</v>
      </c>
      <c r="X213" s="6">
        <f>SUM(T213:W213)/Variables!$E$3</f>
        <v>0</v>
      </c>
      <c r="Y213" s="12">
        <v>0</v>
      </c>
      <c r="Z213" s="6">
        <v>0</v>
      </c>
      <c r="AA213" s="6">
        <v>0</v>
      </c>
      <c r="AB213" s="6">
        <v>0</v>
      </c>
      <c r="AC213" s="6">
        <f>SUM(Y213:AB213)/Variables!$E$3</f>
        <v>0</v>
      </c>
      <c r="AD213" s="4">
        <v>0</v>
      </c>
      <c r="AE213" s="2">
        <v>0</v>
      </c>
      <c r="AF213" s="2">
        <v>0</v>
      </c>
      <c r="AG213" s="2">
        <v>0</v>
      </c>
      <c r="AH213" s="6">
        <f>SUM(AD213:AG213)/Variables!$E$3</f>
        <v>0</v>
      </c>
      <c r="AI213" s="4">
        <v>0</v>
      </c>
      <c r="AJ213" s="2">
        <v>0</v>
      </c>
      <c r="AK213" s="2">
        <v>0</v>
      </c>
      <c r="AL213" s="2">
        <v>0</v>
      </c>
      <c r="AM213" s="6">
        <f>SUM(AI213:AL213)/Variables!$E$3</f>
        <v>0</v>
      </c>
      <c r="AN213" s="4">
        <v>0</v>
      </c>
      <c r="AO213" s="2">
        <v>0</v>
      </c>
      <c r="AP213" s="2">
        <v>0</v>
      </c>
      <c r="AQ213" s="2">
        <v>0</v>
      </c>
      <c r="AR213" s="6">
        <f>SUM(AN213:AQ213)/Variables!$E$3</f>
        <v>0</v>
      </c>
      <c r="AS213" s="4">
        <v>0</v>
      </c>
      <c r="AT213" s="2">
        <v>0</v>
      </c>
      <c r="AU213" s="2">
        <v>0</v>
      </c>
      <c r="AV213" s="2">
        <v>0</v>
      </c>
      <c r="AW213" s="6">
        <f>SUM(AS213:AV213)/Variables!$E$3</f>
        <v>0</v>
      </c>
      <c r="AX213" s="4">
        <v>0</v>
      </c>
      <c r="AY213" s="2">
        <v>0</v>
      </c>
      <c r="AZ213" s="2">
        <v>0</v>
      </c>
      <c r="BA213" s="2">
        <v>0</v>
      </c>
      <c r="BB213" s="6">
        <f>SUM(AX213:BA213)/Variables!$E$3</f>
        <v>0</v>
      </c>
      <c r="BC213" s="12">
        <f t="shared" si="58"/>
        <v>0</v>
      </c>
      <c r="BD213" s="110">
        <f t="shared" si="58"/>
        <v>0</v>
      </c>
      <c r="BE213" s="110">
        <f t="shared" si="58"/>
        <v>0</v>
      </c>
      <c r="BF213" s="110">
        <f t="shared" si="58"/>
        <v>0</v>
      </c>
      <c r="BG213" s="6">
        <f>SUM(BC213:BF213)/Variables!$E$3</f>
        <v>0</v>
      </c>
      <c r="BH213" s="4">
        <v>0</v>
      </c>
      <c r="BI213">
        <v>0</v>
      </c>
      <c r="BJ213">
        <v>0</v>
      </c>
      <c r="BK213">
        <v>0</v>
      </c>
      <c r="BL213" s="6">
        <f>SUM(BH213:BK213)/Variables!$E$3</f>
        <v>0</v>
      </c>
      <c r="BM213" s="110">
        <v>0</v>
      </c>
      <c r="BN213" s="110">
        <v>0</v>
      </c>
      <c r="BO213" s="110">
        <v>0</v>
      </c>
      <c r="BP213" s="110">
        <v>0</v>
      </c>
      <c r="BQ213" s="6">
        <f>SUM(BM213:BP213)/Variables!$E$3</f>
        <v>0</v>
      </c>
      <c r="BS213" s="4">
        <v>211</v>
      </c>
      <c r="BT213" s="125">
        <f t="shared" si="45"/>
        <v>0</v>
      </c>
      <c r="BU213" s="125">
        <f t="shared" si="46"/>
        <v>0.11529703323066691</v>
      </c>
      <c r="BV213" s="125">
        <f t="shared" si="47"/>
        <v>0</v>
      </c>
      <c r="BW213" s="125">
        <f t="shared" si="48"/>
        <v>2.6937822152194393E-2</v>
      </c>
      <c r="BX213" s="125">
        <f t="shared" si="49"/>
        <v>2.691018931266281E-2</v>
      </c>
      <c r="BY213" s="125">
        <f t="shared" si="50"/>
        <v>2.398823426947165E-2</v>
      </c>
      <c r="BZ213" s="125">
        <f t="shared" si="51"/>
        <v>3.154656806467193E-3</v>
      </c>
      <c r="CA213" s="125">
        <f t="shared" si="52"/>
        <v>3.7682800338878376E-3</v>
      </c>
      <c r="CB213" s="125">
        <f t="shared" si="53"/>
        <v>1.4244372481175624E-2</v>
      </c>
      <c r="CC213" s="125">
        <f t="shared" si="54"/>
        <v>7.0234126952707461E-3</v>
      </c>
      <c r="CD213" s="125">
        <f t="shared" si="55"/>
        <v>2.691018931266281E-2</v>
      </c>
      <c r="CE213" s="125">
        <f t="shared" si="56"/>
        <v>5.8872200096596172E-3</v>
      </c>
      <c r="CF213" s="126">
        <f t="shared" si="57"/>
        <v>6.7686996729982019E-3</v>
      </c>
      <c r="CH213" s="4">
        <v>211</v>
      </c>
      <c r="CI213" s="129">
        <v>0</v>
      </c>
      <c r="CJ213" s="125">
        <v>8.5910418926515644E-2</v>
      </c>
      <c r="CK213" s="125">
        <v>0</v>
      </c>
      <c r="CL213" s="125">
        <v>0</v>
      </c>
      <c r="CM213" s="125">
        <v>0</v>
      </c>
      <c r="CN213" s="125">
        <v>0</v>
      </c>
      <c r="CO213" s="125">
        <v>0</v>
      </c>
      <c r="CP213" s="125">
        <v>0</v>
      </c>
      <c r="CQ213" s="125">
        <v>0</v>
      </c>
      <c r="CR213" s="125">
        <v>0</v>
      </c>
      <c r="CS213" s="125">
        <v>0</v>
      </c>
      <c r="CT213" s="125">
        <v>0</v>
      </c>
      <c r="CU213" s="126">
        <v>0</v>
      </c>
    </row>
    <row r="214" spans="1:99" x14ac:dyDescent="0.25">
      <c r="A214" t="s">
        <v>237</v>
      </c>
      <c r="B214" s="2" t="s">
        <v>3</v>
      </c>
      <c r="C214" s="1">
        <v>20879</v>
      </c>
      <c r="D214" s="19">
        <v>107.143333333333</v>
      </c>
      <c r="E214" s="18">
        <v>0</v>
      </c>
      <c r="F214" s="19">
        <v>0</v>
      </c>
      <c r="G214" s="19">
        <v>0</v>
      </c>
      <c r="H214" s="19">
        <v>0</v>
      </c>
      <c r="I214" s="19">
        <f>SUM(E214:H214)/Variables!$E$3</f>
        <v>0</v>
      </c>
      <c r="J214" s="4">
        <v>0</v>
      </c>
      <c r="K214">
        <v>5251</v>
      </c>
      <c r="L214">
        <v>128942</v>
      </c>
      <c r="M214">
        <v>11426</v>
      </c>
      <c r="N214" s="6">
        <f>SUM(J214:M214)/Variables!$E$3</f>
        <v>0.11529703323066691</v>
      </c>
      <c r="O214" s="4">
        <v>0</v>
      </c>
      <c r="P214">
        <v>0</v>
      </c>
      <c r="Q214">
        <v>0</v>
      </c>
      <c r="R214">
        <v>0</v>
      </c>
      <c r="S214" s="6">
        <f>SUM(O214:R214)/Variables!$E$3</f>
        <v>0</v>
      </c>
      <c r="T214" s="12">
        <v>0</v>
      </c>
      <c r="U214" s="6">
        <v>0</v>
      </c>
      <c r="V214" s="6">
        <v>34022.199999999997</v>
      </c>
      <c r="W214" s="6">
        <v>0</v>
      </c>
      <c r="X214" s="6">
        <f>SUM(T214:W214)/Variables!$E$3</f>
        <v>2.6937822152194393E-2</v>
      </c>
      <c r="Y214" s="12">
        <v>0</v>
      </c>
      <c r="Z214" s="6">
        <v>0</v>
      </c>
      <c r="AA214" s="6">
        <v>33987.300000000003</v>
      </c>
      <c r="AB214" s="6">
        <v>0</v>
      </c>
      <c r="AC214" s="6">
        <f>SUM(Y214:AB214)/Variables!$E$3</f>
        <v>2.691018931266281E-2</v>
      </c>
      <c r="AD214" s="4">
        <v>0</v>
      </c>
      <c r="AE214" s="2">
        <v>0</v>
      </c>
      <c r="AF214" s="2">
        <v>30296.9</v>
      </c>
      <c r="AG214" s="2">
        <v>0</v>
      </c>
      <c r="AH214" s="6">
        <f>SUM(AD214:AG214)/Variables!$E$3</f>
        <v>2.398823426947165E-2</v>
      </c>
      <c r="AI214" s="4">
        <v>0</v>
      </c>
      <c r="AJ214" s="2">
        <v>0</v>
      </c>
      <c r="AK214" s="2">
        <v>3984.3</v>
      </c>
      <c r="AL214" s="2">
        <v>0</v>
      </c>
      <c r="AM214" s="6">
        <f>SUM(AI214:AL214)/Variables!$E$3</f>
        <v>3.154656806467193E-3</v>
      </c>
      <c r="AN214" s="4">
        <v>0</v>
      </c>
      <c r="AO214" s="2">
        <v>0</v>
      </c>
      <c r="AP214" s="2">
        <v>4733.1000000000004</v>
      </c>
      <c r="AQ214" s="2">
        <v>26.1999999999998</v>
      </c>
      <c r="AR214" s="6">
        <f>SUM(AN214:AQ214)/Variables!$E$3</f>
        <v>3.7682800338878376E-3</v>
      </c>
      <c r="AS214" s="4">
        <v>0</v>
      </c>
      <c r="AT214" s="2">
        <v>0</v>
      </c>
      <c r="AU214" s="2">
        <v>16995.599999999999</v>
      </c>
      <c r="AV214" s="2">
        <v>994.900000000001</v>
      </c>
      <c r="AW214" s="6">
        <f>SUM(AS214:AV214)/Variables!$E$3</f>
        <v>1.4244372481175624E-2</v>
      </c>
      <c r="AX214" s="4">
        <v>0</v>
      </c>
      <c r="AY214" s="2">
        <v>0</v>
      </c>
      <c r="AZ214" s="2">
        <v>8446.7999999999993</v>
      </c>
      <c r="BA214" s="2">
        <v>423.7</v>
      </c>
      <c r="BB214" s="6">
        <f>SUM(AX214:BA214)/Variables!$E$3</f>
        <v>7.0234126952707461E-3</v>
      </c>
      <c r="BC214" s="12">
        <f t="shared" si="58"/>
        <v>0</v>
      </c>
      <c r="BD214" s="110">
        <f t="shared" si="58"/>
        <v>0</v>
      </c>
      <c r="BE214" s="110">
        <f t="shared" si="58"/>
        <v>33987.300000000003</v>
      </c>
      <c r="BF214" s="110">
        <f t="shared" si="58"/>
        <v>0</v>
      </c>
      <c r="BG214" s="6">
        <f>SUM(BC214:BF214)/Variables!$E$3</f>
        <v>2.691018931266281E-2</v>
      </c>
      <c r="BH214" s="4">
        <v>0</v>
      </c>
      <c r="BI214">
        <v>0</v>
      </c>
      <c r="BJ214">
        <v>7304.4</v>
      </c>
      <c r="BK214">
        <v>131.1</v>
      </c>
      <c r="BL214" s="6">
        <f>SUM(BH214:BK214)/Variables!$E$3</f>
        <v>5.8872200096596172E-3</v>
      </c>
      <c r="BM214" s="110">
        <v>0</v>
      </c>
      <c r="BN214" s="110">
        <v>0</v>
      </c>
      <c r="BO214" s="110">
        <v>8260.7999999999993</v>
      </c>
      <c r="BP214" s="110">
        <v>288</v>
      </c>
      <c r="BQ214" s="6">
        <f>SUM(BM214:BP214)/Variables!$E$3</f>
        <v>6.7686996729982019E-3</v>
      </c>
      <c r="BS214" s="4">
        <v>212</v>
      </c>
      <c r="BT214" s="125">
        <f t="shared" si="45"/>
        <v>0</v>
      </c>
      <c r="BU214" s="125">
        <f t="shared" si="46"/>
        <v>0</v>
      </c>
      <c r="BV214" s="125">
        <f t="shared" si="47"/>
        <v>0</v>
      </c>
      <c r="BW214" s="125">
        <f t="shared" si="48"/>
        <v>0</v>
      </c>
      <c r="BX214" s="125">
        <f t="shared" si="49"/>
        <v>0</v>
      </c>
      <c r="BY214" s="125">
        <f t="shared" si="50"/>
        <v>0</v>
      </c>
      <c r="BZ214" s="125">
        <f t="shared" si="51"/>
        <v>0</v>
      </c>
      <c r="CA214" s="125">
        <f t="shared" si="52"/>
        <v>0</v>
      </c>
      <c r="CB214" s="125">
        <f t="shared" si="53"/>
        <v>0</v>
      </c>
      <c r="CC214" s="125">
        <f t="shared" si="54"/>
        <v>0</v>
      </c>
      <c r="CD214" s="125">
        <f t="shared" si="55"/>
        <v>0</v>
      </c>
      <c r="CE214" s="125">
        <f t="shared" si="56"/>
        <v>0</v>
      </c>
      <c r="CF214" s="126">
        <f t="shared" si="57"/>
        <v>0</v>
      </c>
      <c r="CH214" s="4">
        <v>212</v>
      </c>
      <c r="CI214" s="129">
        <v>0</v>
      </c>
      <c r="CJ214" s="125">
        <v>0</v>
      </c>
      <c r="CK214" s="125">
        <v>0</v>
      </c>
      <c r="CL214" s="125">
        <v>0</v>
      </c>
      <c r="CM214" s="125">
        <v>0</v>
      </c>
      <c r="CN214" s="125">
        <v>0</v>
      </c>
      <c r="CO214" s="125">
        <v>0</v>
      </c>
      <c r="CP214" s="125">
        <v>0</v>
      </c>
      <c r="CQ214" s="125">
        <v>0</v>
      </c>
      <c r="CR214" s="125">
        <v>0</v>
      </c>
      <c r="CS214" s="125">
        <v>0</v>
      </c>
      <c r="CT214" s="125">
        <v>0</v>
      </c>
      <c r="CU214" s="126">
        <v>0</v>
      </c>
    </row>
    <row r="215" spans="1:99" x14ac:dyDescent="0.25">
      <c r="A215" t="s">
        <v>237</v>
      </c>
      <c r="B215" s="2" t="s">
        <v>4</v>
      </c>
      <c r="C215" s="1">
        <v>20971</v>
      </c>
      <c r="D215" s="19">
        <v>47.133333333333297</v>
      </c>
      <c r="E215" s="18">
        <v>0</v>
      </c>
      <c r="F215" s="19">
        <v>0</v>
      </c>
      <c r="G215" s="19">
        <v>0</v>
      </c>
      <c r="H215" s="19">
        <v>0</v>
      </c>
      <c r="I215" s="19">
        <f>SUM(E215:H215)/Variables!$E$3</f>
        <v>0</v>
      </c>
      <c r="J215" s="4">
        <v>0</v>
      </c>
      <c r="K215">
        <v>0</v>
      </c>
      <c r="L215">
        <v>0</v>
      </c>
      <c r="M215">
        <v>0</v>
      </c>
      <c r="N215" s="6">
        <f>SUM(J215:M215)/Variables!$E$3</f>
        <v>0</v>
      </c>
      <c r="O215" s="4">
        <v>0</v>
      </c>
      <c r="P215">
        <v>0</v>
      </c>
      <c r="Q215">
        <v>0</v>
      </c>
      <c r="R215">
        <v>0</v>
      </c>
      <c r="S215" s="6">
        <f>SUM(O215:R215)/Variables!$E$3</f>
        <v>0</v>
      </c>
      <c r="T215" s="12">
        <v>0</v>
      </c>
      <c r="U215" s="6">
        <v>0</v>
      </c>
      <c r="V215" s="6">
        <v>0</v>
      </c>
      <c r="W215" s="6">
        <v>0</v>
      </c>
      <c r="X215" s="6">
        <f>SUM(T215:W215)/Variables!$E$3</f>
        <v>0</v>
      </c>
      <c r="Y215" s="12">
        <v>0</v>
      </c>
      <c r="Z215" s="6">
        <v>0</v>
      </c>
      <c r="AA215" s="6">
        <v>0</v>
      </c>
      <c r="AB215" s="6">
        <v>0</v>
      </c>
      <c r="AC215" s="6">
        <f>SUM(Y215:AB215)/Variables!$E$3</f>
        <v>0</v>
      </c>
      <c r="AD215" s="4">
        <v>0</v>
      </c>
      <c r="AE215" s="2">
        <v>0</v>
      </c>
      <c r="AF215" s="2">
        <v>0</v>
      </c>
      <c r="AG215" s="2">
        <v>0</v>
      </c>
      <c r="AH215" s="6">
        <f>SUM(AD215:AG215)/Variables!$E$3</f>
        <v>0</v>
      </c>
      <c r="AI215" s="4">
        <v>0</v>
      </c>
      <c r="AJ215" s="2">
        <v>0</v>
      </c>
      <c r="AK215" s="2">
        <v>0</v>
      </c>
      <c r="AL215" s="2">
        <v>0</v>
      </c>
      <c r="AM215" s="6">
        <f>SUM(AI215:AL215)/Variables!$E$3</f>
        <v>0</v>
      </c>
      <c r="AN215" s="4">
        <v>0</v>
      </c>
      <c r="AO215" s="2">
        <v>0</v>
      </c>
      <c r="AP215" s="2">
        <v>0</v>
      </c>
      <c r="AQ215" s="2">
        <v>0</v>
      </c>
      <c r="AR215" s="6">
        <f>SUM(AN215:AQ215)/Variables!$E$3</f>
        <v>0</v>
      </c>
      <c r="AS215" s="4">
        <v>0</v>
      </c>
      <c r="AT215" s="2">
        <v>0</v>
      </c>
      <c r="AU215" s="2">
        <v>0</v>
      </c>
      <c r="AV215" s="2">
        <v>0</v>
      </c>
      <c r="AW215" s="6">
        <f>SUM(AS215:AV215)/Variables!$E$3</f>
        <v>0</v>
      </c>
      <c r="AX215" s="4">
        <v>0</v>
      </c>
      <c r="AY215" s="2">
        <v>0</v>
      </c>
      <c r="AZ215" s="2">
        <v>0</v>
      </c>
      <c r="BA215" s="2">
        <v>0</v>
      </c>
      <c r="BB215" s="6">
        <f>SUM(AX215:BA215)/Variables!$E$3</f>
        <v>0</v>
      </c>
      <c r="BC215" s="12">
        <f t="shared" si="58"/>
        <v>0</v>
      </c>
      <c r="BD215" s="110">
        <f t="shared" si="58"/>
        <v>0</v>
      </c>
      <c r="BE215" s="110">
        <f t="shared" si="58"/>
        <v>0</v>
      </c>
      <c r="BF215" s="110">
        <f t="shared" si="58"/>
        <v>0</v>
      </c>
      <c r="BG215" s="6">
        <f>SUM(BC215:BF215)/Variables!$E$3</f>
        <v>0</v>
      </c>
      <c r="BH215" s="4">
        <v>0</v>
      </c>
      <c r="BI215">
        <v>0</v>
      </c>
      <c r="BJ215">
        <v>0</v>
      </c>
      <c r="BK215">
        <v>0</v>
      </c>
      <c r="BL215" s="6">
        <f>SUM(BH215:BK215)/Variables!$E$3</f>
        <v>0</v>
      </c>
      <c r="BM215" s="110">
        <v>0</v>
      </c>
      <c r="BN215" s="110">
        <v>0</v>
      </c>
      <c r="BO215" s="110">
        <v>0</v>
      </c>
      <c r="BP215" s="110">
        <v>0</v>
      </c>
      <c r="BQ215" s="6">
        <f>SUM(BM215:BP215)/Variables!$E$3</f>
        <v>0</v>
      </c>
      <c r="BS215" s="4">
        <v>213</v>
      </c>
      <c r="BT215" s="125">
        <f t="shared" si="45"/>
        <v>0</v>
      </c>
      <c r="BU215" s="125">
        <f t="shared" si="46"/>
        <v>0</v>
      </c>
      <c r="BV215" s="125">
        <f t="shared" si="47"/>
        <v>0</v>
      </c>
      <c r="BW215" s="125">
        <f t="shared" si="48"/>
        <v>0</v>
      </c>
      <c r="BX215" s="125">
        <f t="shared" si="49"/>
        <v>0</v>
      </c>
      <c r="BY215" s="125">
        <f t="shared" si="50"/>
        <v>0</v>
      </c>
      <c r="BZ215" s="125">
        <f t="shared" si="51"/>
        <v>0</v>
      </c>
      <c r="CA215" s="125">
        <f t="shared" si="52"/>
        <v>0</v>
      </c>
      <c r="CB215" s="125">
        <f t="shared" si="53"/>
        <v>0</v>
      </c>
      <c r="CC215" s="125">
        <f t="shared" si="54"/>
        <v>0</v>
      </c>
      <c r="CD215" s="125">
        <f t="shared" si="55"/>
        <v>0</v>
      </c>
      <c r="CE215" s="125">
        <f t="shared" si="56"/>
        <v>0</v>
      </c>
      <c r="CF215" s="126">
        <f t="shared" si="57"/>
        <v>0</v>
      </c>
      <c r="CH215" s="4">
        <v>213</v>
      </c>
      <c r="CI215" s="129">
        <v>0</v>
      </c>
      <c r="CJ215" s="125">
        <v>0</v>
      </c>
      <c r="CK215" s="125">
        <v>0</v>
      </c>
      <c r="CL215" s="125">
        <v>0</v>
      </c>
      <c r="CM215" s="125">
        <v>0</v>
      </c>
      <c r="CN215" s="125">
        <v>0</v>
      </c>
      <c r="CO215" s="125">
        <v>0</v>
      </c>
      <c r="CP215" s="125">
        <v>0</v>
      </c>
      <c r="CQ215" s="125">
        <v>0</v>
      </c>
      <c r="CR215" s="125">
        <v>0</v>
      </c>
      <c r="CS215" s="125">
        <v>0</v>
      </c>
      <c r="CT215" s="125">
        <v>0</v>
      </c>
      <c r="CU215" s="126">
        <v>0</v>
      </c>
    </row>
    <row r="216" spans="1:99" x14ac:dyDescent="0.25">
      <c r="A216" t="s">
        <v>237</v>
      </c>
      <c r="B216" s="2" t="s">
        <v>1</v>
      </c>
      <c r="C216" s="1">
        <v>21063</v>
      </c>
      <c r="D216" s="19">
        <v>36.816666666666698</v>
      </c>
      <c r="E216" s="18">
        <v>0</v>
      </c>
      <c r="F216" s="19">
        <v>0</v>
      </c>
      <c r="G216" s="19">
        <v>0</v>
      </c>
      <c r="H216" s="19">
        <v>0</v>
      </c>
      <c r="I216" s="19">
        <f>SUM(E216:H216)/Variables!$E$3</f>
        <v>0</v>
      </c>
      <c r="J216" s="4">
        <v>0</v>
      </c>
      <c r="K216">
        <v>0</v>
      </c>
      <c r="L216">
        <v>0</v>
      </c>
      <c r="M216">
        <v>0</v>
      </c>
      <c r="N216" s="6">
        <f>SUM(J216:M216)/Variables!$E$3</f>
        <v>0</v>
      </c>
      <c r="O216" s="4">
        <v>0</v>
      </c>
      <c r="P216">
        <v>0</v>
      </c>
      <c r="Q216">
        <v>0</v>
      </c>
      <c r="R216">
        <v>0</v>
      </c>
      <c r="S216" s="6">
        <f>SUM(O216:R216)/Variables!$E$3</f>
        <v>0</v>
      </c>
      <c r="T216" s="12">
        <v>0</v>
      </c>
      <c r="U216" s="6">
        <v>0</v>
      </c>
      <c r="V216" s="6">
        <v>0</v>
      </c>
      <c r="W216" s="6">
        <v>0</v>
      </c>
      <c r="X216" s="6">
        <f>SUM(T216:W216)/Variables!$E$3</f>
        <v>0</v>
      </c>
      <c r="Y216" s="12">
        <v>0</v>
      </c>
      <c r="Z216" s="6">
        <v>0</v>
      </c>
      <c r="AA216" s="6">
        <v>0</v>
      </c>
      <c r="AB216" s="6">
        <v>0</v>
      </c>
      <c r="AC216" s="6">
        <f>SUM(Y216:AB216)/Variables!$E$3</f>
        <v>0</v>
      </c>
      <c r="AD216" s="4">
        <v>0</v>
      </c>
      <c r="AE216" s="2">
        <v>0</v>
      </c>
      <c r="AF216" s="2">
        <v>0</v>
      </c>
      <c r="AG216" s="2">
        <v>0</v>
      </c>
      <c r="AH216" s="6">
        <f>SUM(AD216:AG216)/Variables!$E$3</f>
        <v>0</v>
      </c>
      <c r="AI216" s="4">
        <v>0</v>
      </c>
      <c r="AJ216" s="2">
        <v>0</v>
      </c>
      <c r="AK216" s="2">
        <v>0</v>
      </c>
      <c r="AL216" s="2">
        <v>0</v>
      </c>
      <c r="AM216" s="6">
        <f>SUM(AI216:AL216)/Variables!$E$3</f>
        <v>0</v>
      </c>
      <c r="AN216" s="4">
        <v>0</v>
      </c>
      <c r="AO216" s="2">
        <v>0</v>
      </c>
      <c r="AP216" s="2">
        <v>0</v>
      </c>
      <c r="AQ216" s="2">
        <v>0</v>
      </c>
      <c r="AR216" s="6">
        <f>SUM(AN216:AQ216)/Variables!$E$3</f>
        <v>0</v>
      </c>
      <c r="AS216" s="4">
        <v>0</v>
      </c>
      <c r="AT216" s="2">
        <v>0</v>
      </c>
      <c r="AU216" s="2">
        <v>0</v>
      </c>
      <c r="AV216" s="2">
        <v>0</v>
      </c>
      <c r="AW216" s="6">
        <f>SUM(AS216:AV216)/Variables!$E$3</f>
        <v>0</v>
      </c>
      <c r="AX216" s="4">
        <v>0</v>
      </c>
      <c r="AY216" s="2">
        <v>0</v>
      </c>
      <c r="AZ216" s="2">
        <v>0</v>
      </c>
      <c r="BA216" s="2">
        <v>0</v>
      </c>
      <c r="BB216" s="6">
        <f>SUM(AX216:BA216)/Variables!$E$3</f>
        <v>0</v>
      </c>
      <c r="BC216" s="12">
        <f t="shared" si="58"/>
        <v>0</v>
      </c>
      <c r="BD216" s="110">
        <f t="shared" si="58"/>
        <v>0</v>
      </c>
      <c r="BE216" s="110">
        <f t="shared" si="58"/>
        <v>0</v>
      </c>
      <c r="BF216" s="110">
        <f t="shared" si="58"/>
        <v>0</v>
      </c>
      <c r="BG216" s="6">
        <f>SUM(BC216:BF216)/Variables!$E$3</f>
        <v>0</v>
      </c>
      <c r="BH216" s="4">
        <v>0</v>
      </c>
      <c r="BI216">
        <v>0</v>
      </c>
      <c r="BJ216">
        <v>0</v>
      </c>
      <c r="BK216">
        <v>0</v>
      </c>
      <c r="BL216" s="6">
        <f>SUM(BH216:BK216)/Variables!$E$3</f>
        <v>0</v>
      </c>
      <c r="BM216" s="110">
        <v>0</v>
      </c>
      <c r="BN216" s="110">
        <v>0</v>
      </c>
      <c r="BO216" s="110">
        <v>0</v>
      </c>
      <c r="BP216" s="110">
        <v>0</v>
      </c>
      <c r="BQ216" s="6">
        <f>SUM(BM216:BP216)/Variables!$E$3</f>
        <v>0</v>
      </c>
      <c r="BS216" s="4">
        <v>214</v>
      </c>
      <c r="BT216" s="125">
        <f t="shared" si="45"/>
        <v>0</v>
      </c>
      <c r="BU216" s="125">
        <f t="shared" si="46"/>
        <v>0</v>
      </c>
      <c r="BV216" s="125">
        <f t="shared" si="47"/>
        <v>0</v>
      </c>
      <c r="BW216" s="125">
        <f t="shared" si="48"/>
        <v>0</v>
      </c>
      <c r="BX216" s="125">
        <f t="shared" si="49"/>
        <v>0</v>
      </c>
      <c r="BY216" s="125">
        <f t="shared" si="50"/>
        <v>0</v>
      </c>
      <c r="BZ216" s="125">
        <f t="shared" si="51"/>
        <v>0</v>
      </c>
      <c r="CA216" s="125">
        <f t="shared" si="52"/>
        <v>0</v>
      </c>
      <c r="CB216" s="125">
        <f t="shared" si="53"/>
        <v>0</v>
      </c>
      <c r="CC216" s="125">
        <f t="shared" si="54"/>
        <v>0</v>
      </c>
      <c r="CD216" s="125">
        <f t="shared" si="55"/>
        <v>0</v>
      </c>
      <c r="CE216" s="125">
        <f t="shared" si="56"/>
        <v>0</v>
      </c>
      <c r="CF216" s="126">
        <f t="shared" si="57"/>
        <v>0</v>
      </c>
      <c r="CH216" s="4">
        <v>214</v>
      </c>
      <c r="CI216" s="129">
        <v>0</v>
      </c>
      <c r="CJ216" s="125">
        <v>0</v>
      </c>
      <c r="CK216" s="125">
        <v>0</v>
      </c>
      <c r="CL216" s="125">
        <v>0</v>
      </c>
      <c r="CM216" s="125">
        <v>0</v>
      </c>
      <c r="CN216" s="125">
        <v>0</v>
      </c>
      <c r="CO216" s="125">
        <v>0</v>
      </c>
      <c r="CP216" s="125">
        <v>0</v>
      </c>
      <c r="CQ216" s="125">
        <v>0</v>
      </c>
      <c r="CR216" s="125">
        <v>0</v>
      </c>
      <c r="CS216" s="125">
        <v>0</v>
      </c>
      <c r="CT216" s="125">
        <v>0</v>
      </c>
      <c r="CU216" s="126">
        <v>0</v>
      </c>
    </row>
    <row r="217" spans="1:99" x14ac:dyDescent="0.25">
      <c r="A217" t="s">
        <v>237</v>
      </c>
      <c r="B217" s="2" t="s">
        <v>2</v>
      </c>
      <c r="C217" s="1">
        <v>21154</v>
      </c>
      <c r="D217" s="19">
        <v>0</v>
      </c>
      <c r="E217" s="18">
        <v>0</v>
      </c>
      <c r="F217" s="19">
        <v>0</v>
      </c>
      <c r="G217" s="19">
        <v>0</v>
      </c>
      <c r="H217" s="19">
        <v>0</v>
      </c>
      <c r="I217" s="19">
        <f>SUM(E217:H217)/Variables!$E$3</f>
        <v>0</v>
      </c>
      <c r="J217" s="4">
        <v>0</v>
      </c>
      <c r="K217">
        <v>0</v>
      </c>
      <c r="L217">
        <v>0</v>
      </c>
      <c r="M217">
        <v>0</v>
      </c>
      <c r="N217" s="6">
        <f>SUM(J217:M217)/Variables!$E$3</f>
        <v>0</v>
      </c>
      <c r="O217" s="4">
        <v>0</v>
      </c>
      <c r="P217">
        <v>0</v>
      </c>
      <c r="Q217">
        <v>0</v>
      </c>
      <c r="R217">
        <v>0</v>
      </c>
      <c r="S217" s="6">
        <f>SUM(O217:R217)/Variables!$E$3</f>
        <v>0</v>
      </c>
      <c r="T217" s="12">
        <v>0</v>
      </c>
      <c r="U217" s="6">
        <v>0</v>
      </c>
      <c r="V217" s="6">
        <v>0</v>
      </c>
      <c r="W217" s="6">
        <v>0</v>
      </c>
      <c r="X217" s="6">
        <f>SUM(T217:W217)/Variables!$E$3</f>
        <v>0</v>
      </c>
      <c r="Y217" s="12">
        <v>0</v>
      </c>
      <c r="Z217" s="6">
        <v>0</v>
      </c>
      <c r="AA217" s="6">
        <v>0</v>
      </c>
      <c r="AB217" s="6">
        <v>0</v>
      </c>
      <c r="AC217" s="6">
        <f>SUM(Y217:AB217)/Variables!$E$3</f>
        <v>0</v>
      </c>
      <c r="AD217" s="4">
        <v>0</v>
      </c>
      <c r="AE217" s="2">
        <v>0</v>
      </c>
      <c r="AF217" s="2">
        <v>0</v>
      </c>
      <c r="AG217" s="2">
        <v>0</v>
      </c>
      <c r="AH217" s="6">
        <f>SUM(AD217:AG217)/Variables!$E$3</f>
        <v>0</v>
      </c>
      <c r="AI217" s="4">
        <v>0</v>
      </c>
      <c r="AJ217" s="2">
        <v>0</v>
      </c>
      <c r="AK217" s="2">
        <v>0</v>
      </c>
      <c r="AL217" s="2">
        <v>0</v>
      </c>
      <c r="AM217" s="6">
        <f>SUM(AI217:AL217)/Variables!$E$3</f>
        <v>0</v>
      </c>
      <c r="AN217" s="4">
        <v>0</v>
      </c>
      <c r="AO217" s="2">
        <v>0</v>
      </c>
      <c r="AP217" s="2">
        <v>0</v>
      </c>
      <c r="AQ217" s="2">
        <v>0</v>
      </c>
      <c r="AR217" s="6">
        <f>SUM(AN217:AQ217)/Variables!$E$3</f>
        <v>0</v>
      </c>
      <c r="AS217" s="4">
        <v>0</v>
      </c>
      <c r="AT217" s="2">
        <v>0</v>
      </c>
      <c r="AU217" s="2">
        <v>0</v>
      </c>
      <c r="AV217" s="2">
        <v>0</v>
      </c>
      <c r="AW217" s="6">
        <f>SUM(AS217:AV217)/Variables!$E$3</f>
        <v>0</v>
      </c>
      <c r="AX217" s="4">
        <v>0</v>
      </c>
      <c r="AY217" s="2">
        <v>0</v>
      </c>
      <c r="AZ217" s="2">
        <v>0</v>
      </c>
      <c r="BA217" s="2">
        <v>0</v>
      </c>
      <c r="BB217" s="6">
        <f>SUM(AX217:BA217)/Variables!$E$3</f>
        <v>0</v>
      </c>
      <c r="BC217" s="12">
        <f t="shared" si="58"/>
        <v>0</v>
      </c>
      <c r="BD217" s="110">
        <f t="shared" si="58"/>
        <v>0</v>
      </c>
      <c r="BE217" s="110">
        <f t="shared" si="58"/>
        <v>0</v>
      </c>
      <c r="BF217" s="110">
        <f t="shared" si="58"/>
        <v>0</v>
      </c>
      <c r="BG217" s="6">
        <f>SUM(BC217:BF217)/Variables!$E$3</f>
        <v>0</v>
      </c>
      <c r="BH217" s="4">
        <v>0</v>
      </c>
      <c r="BI217">
        <v>0</v>
      </c>
      <c r="BJ217">
        <v>0</v>
      </c>
      <c r="BK217">
        <v>0</v>
      </c>
      <c r="BL217" s="6">
        <f>SUM(BH217:BK217)/Variables!$E$3</f>
        <v>0</v>
      </c>
      <c r="BM217" s="110">
        <v>0</v>
      </c>
      <c r="BN217" s="110">
        <v>0</v>
      </c>
      <c r="BO217" s="110">
        <v>0</v>
      </c>
      <c r="BP217" s="110">
        <v>0</v>
      </c>
      <c r="BQ217" s="6">
        <f>SUM(BM217:BP217)/Variables!$E$3</f>
        <v>0</v>
      </c>
      <c r="BS217" s="4">
        <v>215</v>
      </c>
      <c r="BT217" s="125">
        <f t="shared" si="45"/>
        <v>0</v>
      </c>
      <c r="BU217" s="125">
        <f t="shared" si="46"/>
        <v>0</v>
      </c>
      <c r="BV217" s="125">
        <f t="shared" si="47"/>
        <v>0</v>
      </c>
      <c r="BW217" s="125">
        <f t="shared" si="48"/>
        <v>0</v>
      </c>
      <c r="BX217" s="125">
        <f t="shared" si="49"/>
        <v>0</v>
      </c>
      <c r="BY217" s="125">
        <f t="shared" si="50"/>
        <v>0</v>
      </c>
      <c r="BZ217" s="125">
        <f t="shared" si="51"/>
        <v>0</v>
      </c>
      <c r="CA217" s="125">
        <f t="shared" si="52"/>
        <v>0</v>
      </c>
      <c r="CB217" s="125">
        <f t="shared" si="53"/>
        <v>0</v>
      </c>
      <c r="CC217" s="125">
        <f t="shared" si="54"/>
        <v>0</v>
      </c>
      <c r="CD217" s="125">
        <f t="shared" si="55"/>
        <v>0</v>
      </c>
      <c r="CE217" s="125">
        <f t="shared" si="56"/>
        <v>0</v>
      </c>
      <c r="CF217" s="126">
        <f t="shared" si="57"/>
        <v>0</v>
      </c>
      <c r="CH217" s="4">
        <v>215</v>
      </c>
      <c r="CI217" s="129">
        <v>0</v>
      </c>
      <c r="CJ217" s="125">
        <v>0</v>
      </c>
      <c r="CK217" s="125">
        <v>0</v>
      </c>
      <c r="CL217" s="125">
        <v>0</v>
      </c>
      <c r="CM217" s="125">
        <v>0</v>
      </c>
      <c r="CN217" s="125">
        <v>0</v>
      </c>
      <c r="CO217" s="125">
        <v>0</v>
      </c>
      <c r="CP217" s="125">
        <v>0</v>
      </c>
      <c r="CQ217" s="125">
        <v>0</v>
      </c>
      <c r="CR217" s="125">
        <v>0</v>
      </c>
      <c r="CS217" s="125">
        <v>0</v>
      </c>
      <c r="CT217" s="125">
        <v>0</v>
      </c>
      <c r="CU217" s="126">
        <v>0</v>
      </c>
    </row>
    <row r="218" spans="1:99" x14ac:dyDescent="0.25">
      <c r="A218" t="s">
        <v>238</v>
      </c>
      <c r="B218" s="2" t="s">
        <v>3</v>
      </c>
      <c r="C218" s="1">
        <v>21244</v>
      </c>
      <c r="D218" s="19">
        <v>82.142857142857096</v>
      </c>
      <c r="E218" s="18">
        <v>0</v>
      </c>
      <c r="F218" s="19">
        <v>0</v>
      </c>
      <c r="G218" s="19">
        <v>0</v>
      </c>
      <c r="H218" s="19">
        <v>0</v>
      </c>
      <c r="I218" s="19">
        <f>SUM(E218:H218)/Variables!$E$3</f>
        <v>0</v>
      </c>
      <c r="J218" s="4">
        <v>0</v>
      </c>
      <c r="K218">
        <v>0</v>
      </c>
      <c r="L218">
        <v>0</v>
      </c>
      <c r="M218">
        <v>0</v>
      </c>
      <c r="N218" s="6">
        <f>SUM(J218:M218)/Variables!$E$3</f>
        <v>0</v>
      </c>
      <c r="O218" s="4">
        <v>0</v>
      </c>
      <c r="P218">
        <v>0</v>
      </c>
      <c r="Q218">
        <v>0</v>
      </c>
      <c r="R218">
        <v>0</v>
      </c>
      <c r="S218" s="6">
        <f>SUM(O218:R218)/Variables!$E$3</f>
        <v>0</v>
      </c>
      <c r="T218" s="12">
        <v>0</v>
      </c>
      <c r="U218" s="6">
        <v>0</v>
      </c>
      <c r="V218" s="6">
        <v>0</v>
      </c>
      <c r="W218" s="6">
        <v>0</v>
      </c>
      <c r="X218" s="6">
        <f>SUM(T218:W218)/Variables!$E$3</f>
        <v>0</v>
      </c>
      <c r="Y218" s="12">
        <v>0</v>
      </c>
      <c r="Z218" s="6">
        <v>0</v>
      </c>
      <c r="AA218" s="6">
        <v>0</v>
      </c>
      <c r="AB218" s="6">
        <v>0</v>
      </c>
      <c r="AC218" s="6">
        <f>SUM(Y218:AB218)/Variables!$E$3</f>
        <v>0</v>
      </c>
      <c r="AD218" s="4">
        <v>0</v>
      </c>
      <c r="AE218" s="2">
        <v>0</v>
      </c>
      <c r="AF218" s="2">
        <v>0</v>
      </c>
      <c r="AG218" s="2">
        <v>0</v>
      </c>
      <c r="AH218" s="6">
        <f>SUM(AD218:AG218)/Variables!$E$3</f>
        <v>0</v>
      </c>
      <c r="AI218" s="4">
        <v>0</v>
      </c>
      <c r="AJ218" s="2">
        <v>0</v>
      </c>
      <c r="AK218" s="2">
        <v>0</v>
      </c>
      <c r="AL218" s="2">
        <v>0</v>
      </c>
      <c r="AM218" s="6">
        <f>SUM(AI218:AL218)/Variables!$E$3</f>
        <v>0</v>
      </c>
      <c r="AN218" s="4">
        <v>0</v>
      </c>
      <c r="AO218" s="2">
        <v>0</v>
      </c>
      <c r="AP218" s="2">
        <v>0</v>
      </c>
      <c r="AQ218" s="2">
        <v>0</v>
      </c>
      <c r="AR218" s="6">
        <f>SUM(AN218:AQ218)/Variables!$E$3</f>
        <v>0</v>
      </c>
      <c r="AS218" s="4">
        <v>0</v>
      </c>
      <c r="AT218" s="2">
        <v>0</v>
      </c>
      <c r="AU218" s="2">
        <v>0</v>
      </c>
      <c r="AV218" s="2">
        <v>0</v>
      </c>
      <c r="AW218" s="6">
        <f>SUM(AS218:AV218)/Variables!$E$3</f>
        <v>0</v>
      </c>
      <c r="AX218" s="4">
        <v>0</v>
      </c>
      <c r="AY218" s="2">
        <v>0</v>
      </c>
      <c r="AZ218" s="2">
        <v>0</v>
      </c>
      <c r="BA218" s="2">
        <v>0</v>
      </c>
      <c r="BB218" s="6">
        <f>SUM(AX218:BA218)/Variables!$E$3</f>
        <v>0</v>
      </c>
      <c r="BC218" s="12">
        <f t="shared" si="58"/>
        <v>0</v>
      </c>
      <c r="BD218" s="110">
        <f t="shared" si="58"/>
        <v>0</v>
      </c>
      <c r="BE218" s="110">
        <f t="shared" si="58"/>
        <v>0</v>
      </c>
      <c r="BF218" s="110">
        <f t="shared" si="58"/>
        <v>0</v>
      </c>
      <c r="BG218" s="6">
        <f>SUM(BC218:BF218)/Variables!$E$3</f>
        <v>0</v>
      </c>
      <c r="BH218" s="4">
        <v>0</v>
      </c>
      <c r="BI218">
        <v>0</v>
      </c>
      <c r="BJ218">
        <v>0</v>
      </c>
      <c r="BK218">
        <v>0</v>
      </c>
      <c r="BL218" s="6">
        <f>SUM(BH218:BK218)/Variables!$E$3</f>
        <v>0</v>
      </c>
      <c r="BM218" s="110">
        <v>0</v>
      </c>
      <c r="BN218" s="110">
        <v>0</v>
      </c>
      <c r="BO218" s="110">
        <v>0</v>
      </c>
      <c r="BP218" s="110">
        <v>0</v>
      </c>
      <c r="BQ218" s="6">
        <f>SUM(BM218:BP218)/Variables!$E$3</f>
        <v>0</v>
      </c>
      <c r="BS218" s="4">
        <v>216</v>
      </c>
      <c r="BT218" s="125">
        <f t="shared" si="45"/>
        <v>0</v>
      </c>
      <c r="BU218" s="125">
        <f t="shared" si="46"/>
        <v>0</v>
      </c>
      <c r="BV218" s="125">
        <f t="shared" si="47"/>
        <v>0</v>
      </c>
      <c r="BW218" s="125">
        <f t="shared" si="48"/>
        <v>0</v>
      </c>
      <c r="BX218" s="125">
        <f t="shared" si="49"/>
        <v>0</v>
      </c>
      <c r="BY218" s="125">
        <f t="shared" si="50"/>
        <v>0</v>
      </c>
      <c r="BZ218" s="125">
        <f t="shared" si="51"/>
        <v>0</v>
      </c>
      <c r="CA218" s="125">
        <f t="shared" si="52"/>
        <v>0</v>
      </c>
      <c r="CB218" s="125">
        <f t="shared" si="53"/>
        <v>0</v>
      </c>
      <c r="CC218" s="125">
        <f t="shared" si="54"/>
        <v>0</v>
      </c>
      <c r="CD218" s="125">
        <f t="shared" si="55"/>
        <v>0</v>
      </c>
      <c r="CE218" s="125">
        <f t="shared" si="56"/>
        <v>0</v>
      </c>
      <c r="CF218" s="126">
        <f t="shared" si="57"/>
        <v>0</v>
      </c>
      <c r="CH218" s="4">
        <v>216</v>
      </c>
      <c r="CI218" s="129">
        <v>0</v>
      </c>
      <c r="CJ218" s="125">
        <v>0</v>
      </c>
      <c r="CK218" s="125">
        <v>0</v>
      </c>
      <c r="CL218" s="125">
        <v>0</v>
      </c>
      <c r="CM218" s="125">
        <v>0</v>
      </c>
      <c r="CN218" s="125">
        <v>0</v>
      </c>
      <c r="CO218" s="125">
        <v>0</v>
      </c>
      <c r="CP218" s="125">
        <v>0</v>
      </c>
      <c r="CQ218" s="125">
        <v>0</v>
      </c>
      <c r="CR218" s="125">
        <v>0</v>
      </c>
      <c r="CS218" s="125">
        <v>0</v>
      </c>
      <c r="CT218" s="125">
        <v>0</v>
      </c>
      <c r="CU218" s="126">
        <v>0</v>
      </c>
    </row>
    <row r="219" spans="1:99" x14ac:dyDescent="0.25">
      <c r="A219" t="s">
        <v>238</v>
      </c>
      <c r="B219" s="2" t="s">
        <v>4</v>
      </c>
      <c r="C219" s="1">
        <v>21336</v>
      </c>
      <c r="D219" s="19">
        <v>78.257142857142796</v>
      </c>
      <c r="E219" s="18">
        <v>0</v>
      </c>
      <c r="F219" s="19">
        <v>0</v>
      </c>
      <c r="G219" s="19">
        <v>0</v>
      </c>
      <c r="H219" s="19">
        <v>0</v>
      </c>
      <c r="I219" s="19">
        <f>SUM(E219:H219)/Variables!$E$3</f>
        <v>0</v>
      </c>
      <c r="J219" s="4">
        <v>0</v>
      </c>
      <c r="K219">
        <v>0</v>
      </c>
      <c r="L219">
        <v>0</v>
      </c>
      <c r="M219">
        <v>0</v>
      </c>
      <c r="N219" s="6">
        <f>SUM(J219:M219)/Variables!$E$3</f>
        <v>0</v>
      </c>
      <c r="O219" s="4">
        <v>0</v>
      </c>
      <c r="P219">
        <v>0</v>
      </c>
      <c r="Q219">
        <v>0</v>
      </c>
      <c r="R219">
        <v>0</v>
      </c>
      <c r="S219" s="6">
        <f>SUM(O219:R219)/Variables!$E$3</f>
        <v>0</v>
      </c>
      <c r="T219" s="12">
        <v>0</v>
      </c>
      <c r="U219" s="6">
        <v>0</v>
      </c>
      <c r="V219" s="6">
        <v>0</v>
      </c>
      <c r="W219" s="6">
        <v>0</v>
      </c>
      <c r="X219" s="6">
        <f>SUM(T219:W219)/Variables!$E$3</f>
        <v>0</v>
      </c>
      <c r="Y219" s="12">
        <v>0</v>
      </c>
      <c r="Z219" s="6">
        <v>0</v>
      </c>
      <c r="AA219" s="6">
        <v>0</v>
      </c>
      <c r="AB219" s="6">
        <v>0</v>
      </c>
      <c r="AC219" s="6">
        <f>SUM(Y219:AB219)/Variables!$E$3</f>
        <v>0</v>
      </c>
      <c r="AD219" s="4">
        <v>0</v>
      </c>
      <c r="AE219" s="2">
        <v>0</v>
      </c>
      <c r="AF219" s="2">
        <v>0</v>
      </c>
      <c r="AG219" s="2">
        <v>0</v>
      </c>
      <c r="AH219" s="6">
        <f>SUM(AD219:AG219)/Variables!$E$3</f>
        <v>0</v>
      </c>
      <c r="AI219" s="4">
        <v>0</v>
      </c>
      <c r="AJ219" s="2">
        <v>0</v>
      </c>
      <c r="AK219" s="2">
        <v>0</v>
      </c>
      <c r="AL219" s="2">
        <v>0</v>
      </c>
      <c r="AM219" s="6">
        <f>SUM(AI219:AL219)/Variables!$E$3</f>
        <v>0</v>
      </c>
      <c r="AN219" s="4">
        <v>0</v>
      </c>
      <c r="AO219" s="2">
        <v>0</v>
      </c>
      <c r="AP219" s="2">
        <v>0</v>
      </c>
      <c r="AQ219" s="2">
        <v>0</v>
      </c>
      <c r="AR219" s="6">
        <f>SUM(AN219:AQ219)/Variables!$E$3</f>
        <v>0</v>
      </c>
      <c r="AS219" s="4">
        <v>0</v>
      </c>
      <c r="AT219" s="2">
        <v>0</v>
      </c>
      <c r="AU219" s="2">
        <v>0</v>
      </c>
      <c r="AV219" s="2">
        <v>0</v>
      </c>
      <c r="AW219" s="6">
        <f>SUM(AS219:AV219)/Variables!$E$3</f>
        <v>0</v>
      </c>
      <c r="AX219" s="4">
        <v>0</v>
      </c>
      <c r="AY219" s="2">
        <v>0</v>
      </c>
      <c r="AZ219" s="2">
        <v>0</v>
      </c>
      <c r="BA219" s="2">
        <v>0</v>
      </c>
      <c r="BB219" s="6">
        <f>SUM(AX219:BA219)/Variables!$E$3</f>
        <v>0</v>
      </c>
      <c r="BC219" s="12">
        <f t="shared" si="58"/>
        <v>0</v>
      </c>
      <c r="BD219" s="110">
        <f t="shared" si="58"/>
        <v>0</v>
      </c>
      <c r="BE219" s="110">
        <f t="shared" si="58"/>
        <v>0</v>
      </c>
      <c r="BF219" s="110">
        <f t="shared" si="58"/>
        <v>0</v>
      </c>
      <c r="BG219" s="6">
        <f>SUM(BC219:BF219)/Variables!$E$3</f>
        <v>0</v>
      </c>
      <c r="BH219" s="4">
        <v>0</v>
      </c>
      <c r="BI219">
        <v>0</v>
      </c>
      <c r="BJ219">
        <v>0</v>
      </c>
      <c r="BK219">
        <v>0</v>
      </c>
      <c r="BL219" s="6">
        <f>SUM(BH219:BK219)/Variables!$E$3</f>
        <v>0</v>
      </c>
      <c r="BM219" s="110">
        <v>0</v>
      </c>
      <c r="BN219" s="110">
        <v>0</v>
      </c>
      <c r="BO219" s="110">
        <v>0</v>
      </c>
      <c r="BP219" s="110">
        <v>0</v>
      </c>
      <c r="BQ219" s="6">
        <f>SUM(BM219:BP219)/Variables!$E$3</f>
        <v>0</v>
      </c>
      <c r="BS219" s="4">
        <v>217</v>
      </c>
      <c r="BT219" s="125">
        <f t="shared" si="45"/>
        <v>0</v>
      </c>
      <c r="BU219" s="125">
        <f t="shared" si="46"/>
        <v>8.2326859278379086E-2</v>
      </c>
      <c r="BV219" s="125">
        <f t="shared" si="47"/>
        <v>0</v>
      </c>
      <c r="BW219" s="125">
        <f t="shared" si="48"/>
        <v>5.8224530677202513E-3</v>
      </c>
      <c r="BX219" s="125">
        <f t="shared" si="49"/>
        <v>5.3129478459845282E-3</v>
      </c>
      <c r="BY219" s="125">
        <f t="shared" si="50"/>
        <v>2.8662143009841563E-5</v>
      </c>
      <c r="BZ219" s="125">
        <f t="shared" si="51"/>
        <v>8.9588991203414122E-4</v>
      </c>
      <c r="CA219" s="125">
        <f t="shared" si="52"/>
        <v>1.4072162091544667E-3</v>
      </c>
      <c r="CB219" s="125">
        <f t="shared" si="53"/>
        <v>5.7064584834400902E-3</v>
      </c>
      <c r="CC219" s="125">
        <f t="shared" si="54"/>
        <v>2.9748454065352853E-3</v>
      </c>
      <c r="CD219" s="125">
        <f t="shared" si="55"/>
        <v>5.3129478459845282E-3</v>
      </c>
      <c r="CE219" s="125">
        <f t="shared" si="56"/>
        <v>2.1316083262733669E-3</v>
      </c>
      <c r="CF219" s="126">
        <f t="shared" si="57"/>
        <v>2.6023959017886129E-3</v>
      </c>
      <c r="CH219" s="4">
        <v>217</v>
      </c>
      <c r="CI219" s="129">
        <v>0</v>
      </c>
      <c r="CJ219" s="125">
        <v>7.0752737551366199E-2</v>
      </c>
      <c r="CK219" s="125">
        <v>0</v>
      </c>
      <c r="CL219" s="125">
        <v>0</v>
      </c>
      <c r="CM219" s="125">
        <v>0</v>
      </c>
      <c r="CN219" s="125">
        <v>0</v>
      </c>
      <c r="CO219" s="125">
        <v>0</v>
      </c>
      <c r="CP219" s="125">
        <v>0</v>
      </c>
      <c r="CQ219" s="125">
        <v>0</v>
      </c>
      <c r="CR219" s="125">
        <v>0</v>
      </c>
      <c r="CS219" s="125">
        <v>0</v>
      </c>
      <c r="CT219" s="125">
        <v>0</v>
      </c>
      <c r="CU219" s="126">
        <v>0</v>
      </c>
    </row>
    <row r="220" spans="1:99" x14ac:dyDescent="0.25">
      <c r="A220" t="s">
        <v>238</v>
      </c>
      <c r="B220" s="2" t="s">
        <v>1</v>
      </c>
      <c r="C220" s="1">
        <v>21428</v>
      </c>
      <c r="D220" s="19">
        <v>45.857142857142897</v>
      </c>
      <c r="E220" s="18">
        <v>0</v>
      </c>
      <c r="F220" s="19">
        <v>0</v>
      </c>
      <c r="G220" s="19">
        <v>0</v>
      </c>
      <c r="H220" s="19">
        <v>0</v>
      </c>
      <c r="I220" s="19">
        <f>SUM(E220:H220)/Variables!$E$3</f>
        <v>0</v>
      </c>
      <c r="J220" s="4">
        <v>0</v>
      </c>
      <c r="K220">
        <v>2989</v>
      </c>
      <c r="L220">
        <v>94836</v>
      </c>
      <c r="M220">
        <v>6153</v>
      </c>
      <c r="N220" s="6">
        <f>SUM(J220:M220)/Variables!$E$3</f>
        <v>8.2326859278379086E-2</v>
      </c>
      <c r="O220" s="4">
        <v>0</v>
      </c>
      <c r="P220">
        <v>0</v>
      </c>
      <c r="Q220">
        <v>0</v>
      </c>
      <c r="R220">
        <v>0</v>
      </c>
      <c r="S220" s="6">
        <f>SUM(O220:R220)/Variables!$E$3</f>
        <v>0</v>
      </c>
      <c r="T220" s="12">
        <v>0</v>
      </c>
      <c r="U220" s="6">
        <v>0</v>
      </c>
      <c r="V220" s="6">
        <v>7353.7</v>
      </c>
      <c r="W220" s="6">
        <v>0</v>
      </c>
      <c r="X220" s="6">
        <f>SUM(T220:W220)/Variables!$E$3</f>
        <v>5.8224530677202513E-3</v>
      </c>
      <c r="Y220" s="12">
        <v>0</v>
      </c>
      <c r="Z220" s="6">
        <v>0</v>
      </c>
      <c r="AA220" s="6">
        <v>6710.2</v>
      </c>
      <c r="AB220" s="6">
        <v>0</v>
      </c>
      <c r="AC220" s="6">
        <f>SUM(Y220:AB220)/Variables!$E$3</f>
        <v>5.3129478459845282E-3</v>
      </c>
      <c r="AD220" s="4">
        <v>0</v>
      </c>
      <c r="AE220" s="2">
        <v>0</v>
      </c>
      <c r="AF220" s="2">
        <v>36.199999999999797</v>
      </c>
      <c r="AG220" s="2">
        <v>0</v>
      </c>
      <c r="AH220" s="6">
        <f>SUM(AD220:AG220)/Variables!$E$3</f>
        <v>2.8662143009841563E-5</v>
      </c>
      <c r="AI220" s="4">
        <v>0</v>
      </c>
      <c r="AJ220" s="2">
        <v>0</v>
      </c>
      <c r="AK220" s="2">
        <v>1131.5</v>
      </c>
      <c r="AL220" s="2">
        <v>0</v>
      </c>
      <c r="AM220" s="6">
        <f>SUM(AI220:AL220)/Variables!$E$3</f>
        <v>8.9588991203414122E-4</v>
      </c>
      <c r="AN220" s="4">
        <v>0</v>
      </c>
      <c r="AO220" s="2">
        <v>0</v>
      </c>
      <c r="AP220" s="2">
        <v>1777.3</v>
      </c>
      <c r="AQ220" s="2">
        <v>0</v>
      </c>
      <c r="AR220" s="6">
        <f>SUM(AN220:AQ220)/Variables!$E$3</f>
        <v>1.4072162091544667E-3</v>
      </c>
      <c r="AS220" s="4">
        <v>0</v>
      </c>
      <c r="AT220" s="2">
        <v>0</v>
      </c>
      <c r="AU220" s="2">
        <v>7207.2</v>
      </c>
      <c r="AV220" s="2">
        <v>0</v>
      </c>
      <c r="AW220" s="6">
        <f>SUM(AS220:AV220)/Variables!$E$3</f>
        <v>5.7064584834400902E-3</v>
      </c>
      <c r="AX220" s="4">
        <v>0</v>
      </c>
      <c r="AY220" s="2">
        <v>0</v>
      </c>
      <c r="AZ220" s="2">
        <v>3757.2</v>
      </c>
      <c r="BA220" s="2">
        <v>0</v>
      </c>
      <c r="BB220" s="6">
        <f>SUM(AX220:BA220)/Variables!$E$3</f>
        <v>2.9748454065352853E-3</v>
      </c>
      <c r="BC220" s="12">
        <f t="shared" si="58"/>
        <v>0</v>
      </c>
      <c r="BD220" s="110">
        <f t="shared" si="58"/>
        <v>0</v>
      </c>
      <c r="BE220" s="110">
        <f t="shared" si="58"/>
        <v>6710.2</v>
      </c>
      <c r="BF220" s="110">
        <f t="shared" si="58"/>
        <v>0</v>
      </c>
      <c r="BG220" s="6">
        <f>SUM(BC220:BF220)/Variables!$E$3</f>
        <v>5.3129478459845282E-3</v>
      </c>
      <c r="BH220" s="4">
        <v>0</v>
      </c>
      <c r="BI220">
        <v>0</v>
      </c>
      <c r="BJ220">
        <v>2692.2</v>
      </c>
      <c r="BK220">
        <v>0</v>
      </c>
      <c r="BL220" s="6">
        <f>SUM(BH220:BK220)/Variables!$E$3</f>
        <v>2.1316083262733669E-3</v>
      </c>
      <c r="BM220" s="110">
        <v>0</v>
      </c>
      <c r="BN220" s="110">
        <v>0</v>
      </c>
      <c r="BO220" s="110">
        <v>3286.8</v>
      </c>
      <c r="BP220" s="110">
        <v>0</v>
      </c>
      <c r="BQ220" s="6">
        <f>SUM(BM220:BP220)/Variables!$E$3</f>
        <v>2.6023959017886129E-3</v>
      </c>
      <c r="BS220" s="4">
        <v>218</v>
      </c>
      <c r="BT220" s="125">
        <f t="shared" si="45"/>
        <v>0</v>
      </c>
      <c r="BU220" s="125">
        <f t="shared" si="46"/>
        <v>0</v>
      </c>
      <c r="BV220" s="125">
        <f t="shared" si="47"/>
        <v>0</v>
      </c>
      <c r="BW220" s="125">
        <f t="shared" si="48"/>
        <v>0</v>
      </c>
      <c r="BX220" s="125">
        <f t="shared" si="49"/>
        <v>0</v>
      </c>
      <c r="BY220" s="125">
        <f t="shared" si="50"/>
        <v>0</v>
      </c>
      <c r="BZ220" s="125">
        <f t="shared" si="51"/>
        <v>0</v>
      </c>
      <c r="CA220" s="125">
        <f t="shared" si="52"/>
        <v>0</v>
      </c>
      <c r="CB220" s="125">
        <f t="shared" si="53"/>
        <v>0</v>
      </c>
      <c r="CC220" s="125">
        <f t="shared" si="54"/>
        <v>0</v>
      </c>
      <c r="CD220" s="125">
        <f t="shared" si="55"/>
        <v>0</v>
      </c>
      <c r="CE220" s="125">
        <f t="shared" si="56"/>
        <v>0</v>
      </c>
      <c r="CF220" s="126">
        <f t="shared" si="57"/>
        <v>0</v>
      </c>
      <c r="CH220" s="4">
        <v>218</v>
      </c>
      <c r="CI220" s="129">
        <v>0</v>
      </c>
      <c r="CJ220" s="125">
        <v>0</v>
      </c>
      <c r="CK220" s="125">
        <v>0</v>
      </c>
      <c r="CL220" s="125">
        <v>0</v>
      </c>
      <c r="CM220" s="125">
        <v>0</v>
      </c>
      <c r="CN220" s="125">
        <v>0</v>
      </c>
      <c r="CO220" s="125">
        <v>0</v>
      </c>
      <c r="CP220" s="125">
        <v>0</v>
      </c>
      <c r="CQ220" s="125">
        <v>0</v>
      </c>
      <c r="CR220" s="125">
        <v>0</v>
      </c>
      <c r="CS220" s="125">
        <v>0</v>
      </c>
      <c r="CT220" s="125">
        <v>0</v>
      </c>
      <c r="CU220" s="126">
        <v>0</v>
      </c>
    </row>
    <row r="221" spans="1:99" x14ac:dyDescent="0.25">
      <c r="A221" t="s">
        <v>238</v>
      </c>
      <c r="B221" s="2" t="s">
        <v>2</v>
      </c>
      <c r="C221" s="1">
        <v>21519</v>
      </c>
      <c r="D221" s="19">
        <v>89.776190476190493</v>
      </c>
      <c r="E221" s="18">
        <v>0</v>
      </c>
      <c r="F221" s="19">
        <v>0</v>
      </c>
      <c r="G221" s="19">
        <v>0</v>
      </c>
      <c r="H221" s="19">
        <v>0</v>
      </c>
      <c r="I221" s="19">
        <f>SUM(E221:H221)/Variables!$E$3</f>
        <v>0</v>
      </c>
      <c r="J221" s="4">
        <v>0</v>
      </c>
      <c r="K221">
        <v>0</v>
      </c>
      <c r="L221">
        <v>0</v>
      </c>
      <c r="M221">
        <v>0</v>
      </c>
      <c r="N221" s="6">
        <f>SUM(J221:M221)/Variables!$E$3</f>
        <v>0</v>
      </c>
      <c r="O221" s="4">
        <v>0</v>
      </c>
      <c r="P221">
        <v>0</v>
      </c>
      <c r="Q221">
        <v>0</v>
      </c>
      <c r="R221">
        <v>0</v>
      </c>
      <c r="S221" s="6">
        <f>SUM(O221:R221)/Variables!$E$3</f>
        <v>0</v>
      </c>
      <c r="T221" s="12">
        <v>0</v>
      </c>
      <c r="U221" s="6">
        <v>0</v>
      </c>
      <c r="V221" s="6">
        <v>0</v>
      </c>
      <c r="W221" s="6">
        <v>0</v>
      </c>
      <c r="X221" s="6">
        <f>SUM(T221:W221)/Variables!$E$3</f>
        <v>0</v>
      </c>
      <c r="Y221" s="12">
        <v>0</v>
      </c>
      <c r="Z221" s="6">
        <v>0</v>
      </c>
      <c r="AA221" s="6">
        <v>0</v>
      </c>
      <c r="AB221" s="6">
        <v>0</v>
      </c>
      <c r="AC221" s="6">
        <f>SUM(Y221:AB221)/Variables!$E$3</f>
        <v>0</v>
      </c>
      <c r="AD221" s="4">
        <v>0</v>
      </c>
      <c r="AE221" s="2">
        <v>0</v>
      </c>
      <c r="AF221" s="2">
        <v>0</v>
      </c>
      <c r="AG221" s="2">
        <v>0</v>
      </c>
      <c r="AH221" s="6">
        <f>SUM(AD221:AG221)/Variables!$E$3</f>
        <v>0</v>
      </c>
      <c r="AI221" s="4">
        <v>0</v>
      </c>
      <c r="AJ221" s="2">
        <v>0</v>
      </c>
      <c r="AK221" s="2">
        <v>0</v>
      </c>
      <c r="AL221" s="2">
        <v>0</v>
      </c>
      <c r="AM221" s="6">
        <f>SUM(AI221:AL221)/Variables!$E$3</f>
        <v>0</v>
      </c>
      <c r="AN221" s="4">
        <v>0</v>
      </c>
      <c r="AO221" s="2">
        <v>0</v>
      </c>
      <c r="AP221" s="2">
        <v>0</v>
      </c>
      <c r="AQ221" s="2">
        <v>0</v>
      </c>
      <c r="AR221" s="6">
        <f>SUM(AN221:AQ221)/Variables!$E$3</f>
        <v>0</v>
      </c>
      <c r="AS221" s="4">
        <v>0</v>
      </c>
      <c r="AT221" s="2">
        <v>0</v>
      </c>
      <c r="AU221" s="2">
        <v>0</v>
      </c>
      <c r="AV221" s="2">
        <v>0</v>
      </c>
      <c r="AW221" s="6">
        <f>SUM(AS221:AV221)/Variables!$E$3</f>
        <v>0</v>
      </c>
      <c r="AX221" s="4">
        <v>0</v>
      </c>
      <c r="AY221" s="2">
        <v>0</v>
      </c>
      <c r="AZ221" s="2">
        <v>0</v>
      </c>
      <c r="BA221" s="2">
        <v>0</v>
      </c>
      <c r="BB221" s="6">
        <f>SUM(AX221:BA221)/Variables!$E$3</f>
        <v>0</v>
      </c>
      <c r="BC221" s="12">
        <f t="shared" si="58"/>
        <v>0</v>
      </c>
      <c r="BD221" s="110">
        <f t="shared" si="58"/>
        <v>0</v>
      </c>
      <c r="BE221" s="110">
        <f t="shared" si="58"/>
        <v>0</v>
      </c>
      <c r="BF221" s="110">
        <f t="shared" si="58"/>
        <v>0</v>
      </c>
      <c r="BG221" s="6">
        <f>SUM(BC221:BF221)/Variables!$E$3</f>
        <v>0</v>
      </c>
      <c r="BH221" s="4">
        <v>0</v>
      </c>
      <c r="BI221">
        <v>0</v>
      </c>
      <c r="BJ221">
        <v>0</v>
      </c>
      <c r="BK221">
        <v>0</v>
      </c>
      <c r="BL221" s="6">
        <f>SUM(BH221:BK221)/Variables!$E$3</f>
        <v>0</v>
      </c>
      <c r="BM221" s="110">
        <v>0</v>
      </c>
      <c r="BN221" s="110">
        <v>0</v>
      </c>
      <c r="BO221" s="110">
        <v>0</v>
      </c>
      <c r="BP221" s="110">
        <v>0</v>
      </c>
      <c r="BQ221" s="6">
        <f>SUM(BM221:BP221)/Variables!$E$3</f>
        <v>0</v>
      </c>
      <c r="BS221" s="4">
        <v>219</v>
      </c>
      <c r="BT221" s="125">
        <f t="shared" si="45"/>
        <v>0</v>
      </c>
      <c r="BU221" s="125">
        <f t="shared" si="46"/>
        <v>8.9705381673647458E-2</v>
      </c>
      <c r="BV221" s="125">
        <f t="shared" si="47"/>
        <v>1.7167198473463766E-2</v>
      </c>
      <c r="BW221" s="125">
        <f t="shared" si="48"/>
        <v>3.4735033531540234E-2</v>
      </c>
      <c r="BX221" s="125">
        <f t="shared" si="49"/>
        <v>3.4489346709000071E-2</v>
      </c>
      <c r="BY221" s="125">
        <f t="shared" si="50"/>
        <v>2.8145670195330128E-2</v>
      </c>
      <c r="BZ221" s="125">
        <f t="shared" si="51"/>
        <v>2.4402093444920385E-2</v>
      </c>
      <c r="CA221" s="125">
        <f t="shared" si="52"/>
        <v>2.9439267135923482E-2</v>
      </c>
      <c r="CB221" s="125">
        <f t="shared" si="53"/>
        <v>4.1214736458720973E-2</v>
      </c>
      <c r="CC221" s="125">
        <f t="shared" si="54"/>
        <v>3.1301039596513029E-2</v>
      </c>
      <c r="CD221" s="125">
        <f t="shared" si="55"/>
        <v>3.4489346709000071E-2</v>
      </c>
      <c r="CE221" s="125">
        <f t="shared" si="56"/>
        <v>3.335845889516148E-2</v>
      </c>
      <c r="CF221" s="126">
        <f t="shared" si="57"/>
        <v>3.1510146556979868E-2</v>
      </c>
      <c r="CH221" s="4">
        <v>219</v>
      </c>
      <c r="CI221" s="129">
        <v>0</v>
      </c>
      <c r="CJ221" s="125">
        <v>0</v>
      </c>
      <c r="CK221" s="125">
        <v>0</v>
      </c>
      <c r="CL221" s="125">
        <v>0</v>
      </c>
      <c r="CM221" s="125">
        <v>0</v>
      </c>
      <c r="CN221" s="125">
        <v>0</v>
      </c>
      <c r="CO221" s="125">
        <v>0</v>
      </c>
      <c r="CP221" s="125">
        <v>0</v>
      </c>
      <c r="CQ221" s="125">
        <v>0</v>
      </c>
      <c r="CR221" s="125">
        <v>0</v>
      </c>
      <c r="CS221" s="125">
        <v>0</v>
      </c>
      <c r="CT221" s="125">
        <v>0</v>
      </c>
      <c r="CU221" s="126">
        <v>0</v>
      </c>
    </row>
    <row r="222" spans="1:99" x14ac:dyDescent="0.25">
      <c r="A222" t="s">
        <v>239</v>
      </c>
      <c r="B222" s="2" t="s">
        <v>3</v>
      </c>
      <c r="C222" s="1">
        <v>21609</v>
      </c>
      <c r="D222" s="19">
        <v>242.77380952381</v>
      </c>
      <c r="E222" s="18">
        <v>0</v>
      </c>
      <c r="F222" s="19">
        <v>0</v>
      </c>
      <c r="G222" s="19">
        <v>0</v>
      </c>
      <c r="H222" s="19">
        <v>0</v>
      </c>
      <c r="I222" s="19">
        <f>SUM(E222:H222)/Variables!$E$3</f>
        <v>0</v>
      </c>
      <c r="J222" s="4">
        <v>0</v>
      </c>
      <c r="K222">
        <v>0</v>
      </c>
      <c r="L222">
        <v>64222</v>
      </c>
      <c r="M222">
        <v>49075</v>
      </c>
      <c r="N222" s="6">
        <f>SUM(J222:M222)/Variables!$E$3</f>
        <v>8.9705381673647458E-2</v>
      </c>
      <c r="O222" s="4">
        <v>0</v>
      </c>
      <c r="P222">
        <v>0</v>
      </c>
      <c r="Q222">
        <v>896</v>
      </c>
      <c r="R222">
        <v>20786</v>
      </c>
      <c r="S222" s="6">
        <f>SUM(O222:R222)/Variables!$E$3</f>
        <v>1.7167198473463766E-2</v>
      </c>
      <c r="T222" s="12">
        <v>0</v>
      </c>
      <c r="U222" s="6">
        <v>0</v>
      </c>
      <c r="V222" s="6">
        <v>13698.4</v>
      </c>
      <c r="W222" s="6">
        <v>30171.599999999999</v>
      </c>
      <c r="X222" s="6">
        <f>SUM(T222:W222)/Variables!$E$3</f>
        <v>3.4735033531540234E-2</v>
      </c>
      <c r="Y222" s="12">
        <v>0</v>
      </c>
      <c r="Z222" s="6">
        <v>0</v>
      </c>
      <c r="AA222" s="6">
        <v>13268.6</v>
      </c>
      <c r="AB222" s="6">
        <v>30291.1</v>
      </c>
      <c r="AC222" s="6">
        <f>SUM(Y222:AB222)/Variables!$E$3</f>
        <v>3.4489346709000071E-2</v>
      </c>
      <c r="AD222" s="4">
        <v>0</v>
      </c>
      <c r="AE222" s="2">
        <v>0</v>
      </c>
      <c r="AF222" s="2">
        <v>9408.5</v>
      </c>
      <c r="AG222" s="2">
        <v>26139.200000000001</v>
      </c>
      <c r="AH222" s="6">
        <f>SUM(AD222:AG222)/Variables!$E$3</f>
        <v>2.8145670195330128E-2</v>
      </c>
      <c r="AI222" s="4">
        <v>0</v>
      </c>
      <c r="AJ222" s="2">
        <v>0</v>
      </c>
      <c r="AK222" s="2">
        <v>8460.5</v>
      </c>
      <c r="AL222" s="2">
        <v>22359.1</v>
      </c>
      <c r="AM222" s="6">
        <f>SUM(AI222:AL222)/Variables!$E$3</f>
        <v>2.4402093444920385E-2</v>
      </c>
      <c r="AN222" s="4">
        <v>0</v>
      </c>
      <c r="AO222" s="2">
        <v>0</v>
      </c>
      <c r="AP222" s="2">
        <v>8807.6</v>
      </c>
      <c r="AQ222" s="2">
        <v>28373.9</v>
      </c>
      <c r="AR222" s="6">
        <f>SUM(AN222:AQ222)/Variables!$E$3</f>
        <v>2.9439267135923482E-2</v>
      </c>
      <c r="AS222" s="4">
        <v>0</v>
      </c>
      <c r="AT222" s="2">
        <v>0</v>
      </c>
      <c r="AU222" s="2">
        <v>14209</v>
      </c>
      <c r="AV222" s="2">
        <v>37844.800000000003</v>
      </c>
      <c r="AW222" s="6">
        <f>SUM(AS222:AV222)/Variables!$E$3</f>
        <v>4.1214736458720973E-2</v>
      </c>
      <c r="AX222" s="4">
        <v>0</v>
      </c>
      <c r="AY222" s="2">
        <v>0</v>
      </c>
      <c r="AZ222" s="2">
        <v>9942.7999999999993</v>
      </c>
      <c r="BA222" s="2">
        <v>29590.1</v>
      </c>
      <c r="BB222" s="6">
        <f>SUM(AX222:BA222)/Variables!$E$3</f>
        <v>3.1301039596513029E-2</v>
      </c>
      <c r="BC222" s="12">
        <f t="shared" si="58"/>
        <v>0</v>
      </c>
      <c r="BD222" s="110">
        <f t="shared" si="58"/>
        <v>0</v>
      </c>
      <c r="BE222" s="110">
        <f t="shared" si="58"/>
        <v>13268.6</v>
      </c>
      <c r="BF222" s="110">
        <f t="shared" si="58"/>
        <v>30291.1</v>
      </c>
      <c r="BG222" s="6">
        <f>SUM(BC222:BF222)/Variables!$E$3</f>
        <v>3.4489346709000071E-2</v>
      </c>
      <c r="BH222" s="4">
        <v>0</v>
      </c>
      <c r="BI222">
        <v>0</v>
      </c>
      <c r="BJ222">
        <v>10249.200000000001</v>
      </c>
      <c r="BK222">
        <v>31882.2</v>
      </c>
      <c r="BL222" s="6">
        <f>SUM(BH222:BK222)/Variables!$E$3</f>
        <v>3.335845889516148E-2</v>
      </c>
      <c r="BM222" s="110">
        <v>0</v>
      </c>
      <c r="BN222" s="110">
        <v>0</v>
      </c>
      <c r="BO222" s="110">
        <v>10315.9</v>
      </c>
      <c r="BP222" s="110">
        <v>29481.1</v>
      </c>
      <c r="BQ222" s="6">
        <f>SUM(BM222:BP222)/Variables!$E$3</f>
        <v>3.1510146556979868E-2</v>
      </c>
      <c r="BS222" s="4">
        <v>220</v>
      </c>
      <c r="BT222" s="125">
        <f t="shared" si="45"/>
        <v>0</v>
      </c>
      <c r="BU222" s="125">
        <f t="shared" si="46"/>
        <v>0.51091299218521125</v>
      </c>
      <c r="BV222" s="125">
        <f t="shared" si="47"/>
        <v>0.16865137491191537</v>
      </c>
      <c r="BW222" s="125">
        <f t="shared" si="48"/>
        <v>0.30565182622190196</v>
      </c>
      <c r="BX222" s="125">
        <f t="shared" si="49"/>
        <v>0.30351459631509359</v>
      </c>
      <c r="BY222" s="125">
        <f t="shared" si="50"/>
        <v>0.27833339931432555</v>
      </c>
      <c r="BZ222" s="125">
        <f t="shared" si="51"/>
        <v>0.24244800038005049</v>
      </c>
      <c r="CA222" s="125">
        <f t="shared" si="52"/>
        <v>0.25539925098377658</v>
      </c>
      <c r="CB222" s="125">
        <f t="shared" si="53"/>
        <v>0.33148457232440481</v>
      </c>
      <c r="CC222" s="125">
        <f t="shared" si="54"/>
        <v>0.26731011330255977</v>
      </c>
      <c r="CD222" s="125">
        <f t="shared" si="55"/>
        <v>0.30351459631509359</v>
      </c>
      <c r="CE222" s="125">
        <f t="shared" si="56"/>
        <v>0.2709182178797932</v>
      </c>
      <c r="CF222" s="126">
        <f t="shared" si="57"/>
        <v>0.27902865422529077</v>
      </c>
      <c r="CH222" s="4">
        <v>220</v>
      </c>
      <c r="CI222" s="129">
        <v>0</v>
      </c>
      <c r="CJ222" s="125">
        <v>0.59285980094854274</v>
      </c>
      <c r="CK222" s="125">
        <v>0.10073595198695159</v>
      </c>
      <c r="CL222" s="125">
        <v>0.21299171014814053</v>
      </c>
      <c r="CM222" s="125">
        <v>0.21192483709293028</v>
      </c>
      <c r="CN222" s="125">
        <v>0.19205140183216018</v>
      </c>
      <c r="CO222" s="125">
        <v>0.17607835374785233</v>
      </c>
      <c r="CP222" s="125">
        <v>0.1773933285299171</v>
      </c>
      <c r="CQ222" s="125">
        <v>0.24576346606069724</v>
      </c>
      <c r="CR222" s="125">
        <v>0.1819387326898867</v>
      </c>
      <c r="CS222" s="125">
        <v>0.21192483709293028</v>
      </c>
      <c r="CT222" s="125">
        <v>0.18499528895715722</v>
      </c>
      <c r="CU222" s="126">
        <v>0.18937062051164302</v>
      </c>
    </row>
    <row r="223" spans="1:99" x14ac:dyDescent="0.25">
      <c r="A223" t="s">
        <v>239</v>
      </c>
      <c r="B223" s="2" t="s">
        <v>4</v>
      </c>
      <c r="C223" s="1">
        <v>21701</v>
      </c>
      <c r="D223" s="19">
        <v>202.17380952381001</v>
      </c>
      <c r="E223" s="18">
        <v>0</v>
      </c>
      <c r="F223" s="19">
        <v>0</v>
      </c>
      <c r="G223" s="19">
        <v>0</v>
      </c>
      <c r="H223" s="19">
        <v>0</v>
      </c>
      <c r="I223" s="19">
        <f>SUM(E223:H223)/Variables!$E$3</f>
        <v>0</v>
      </c>
      <c r="J223" s="4">
        <v>61988</v>
      </c>
      <c r="K223">
        <v>61013</v>
      </c>
      <c r="L223">
        <v>432346</v>
      </c>
      <c r="M223">
        <v>89931</v>
      </c>
      <c r="N223" s="6">
        <f>SUM(J223:M223)/Variables!$E$3</f>
        <v>0.51091299218521125</v>
      </c>
      <c r="O223" s="4">
        <v>6433</v>
      </c>
      <c r="P223">
        <v>11746</v>
      </c>
      <c r="Q223">
        <v>153909</v>
      </c>
      <c r="R223">
        <v>40917</v>
      </c>
      <c r="S223" s="6">
        <f>SUM(O223:R223)/Variables!$E$3</f>
        <v>0.16865137491191537</v>
      </c>
      <c r="T223" s="12">
        <v>18826.8</v>
      </c>
      <c r="U223" s="6">
        <v>23977.599999999999</v>
      </c>
      <c r="V223" s="6">
        <v>285083.2</v>
      </c>
      <c r="W223" s="6">
        <v>58147.6</v>
      </c>
      <c r="X223" s="6">
        <f>SUM(T223:W223)/Variables!$E$3</f>
        <v>0.30565182622190196</v>
      </c>
      <c r="Y223" s="12">
        <v>18932</v>
      </c>
      <c r="Z223" s="6">
        <v>24085.7</v>
      </c>
      <c r="AA223" s="6">
        <v>281945.5</v>
      </c>
      <c r="AB223" s="6">
        <v>58372.7</v>
      </c>
      <c r="AC223" s="6">
        <f>SUM(Y223:AB223)/Variables!$E$3</f>
        <v>0.30351459631509359</v>
      </c>
      <c r="AD223" s="4">
        <v>19560.7</v>
      </c>
      <c r="AE223" s="2">
        <v>24849.599999999999</v>
      </c>
      <c r="AF223" s="2">
        <v>256239.1</v>
      </c>
      <c r="AG223" s="2">
        <v>50882.9</v>
      </c>
      <c r="AH223" s="6">
        <f>SUM(AD223:AG223)/Variables!$E$3</f>
        <v>0.27833339931432555</v>
      </c>
      <c r="AI223" s="4">
        <v>15769.2</v>
      </c>
      <c r="AJ223" s="2">
        <v>20920.599999999999</v>
      </c>
      <c r="AK223" s="2">
        <v>225676.5</v>
      </c>
      <c r="AL223" s="2">
        <v>43843.1</v>
      </c>
      <c r="AM223" s="6">
        <f>SUM(AI223:AL223)/Variables!$E$3</f>
        <v>0.24244800038005049</v>
      </c>
      <c r="AN223" s="4">
        <v>16162.1</v>
      </c>
      <c r="AO223" s="2">
        <v>21294.6</v>
      </c>
      <c r="AP223" s="2">
        <v>228950.2</v>
      </c>
      <c r="AQ223" s="2">
        <v>56159.8</v>
      </c>
      <c r="AR223" s="6">
        <f>SUM(AN223:AQ223)/Variables!$E$3</f>
        <v>0.25539925098377658</v>
      </c>
      <c r="AS223" s="4">
        <v>25379.200000000001</v>
      </c>
      <c r="AT223" s="2">
        <v>29748.7</v>
      </c>
      <c r="AU223" s="2">
        <v>291845.8</v>
      </c>
      <c r="AV223" s="2">
        <v>71688</v>
      </c>
      <c r="AW223" s="6">
        <f>SUM(AS223:AV223)/Variables!$E$3</f>
        <v>0.33148457232440481</v>
      </c>
      <c r="AX223" s="4">
        <v>16809.8</v>
      </c>
      <c r="AY223" s="2">
        <v>21892.2</v>
      </c>
      <c r="AZ223" s="2">
        <v>240550.7</v>
      </c>
      <c r="BA223" s="2">
        <v>58357.3</v>
      </c>
      <c r="BB223" s="6">
        <f>SUM(AX223:BA223)/Variables!$E$3</f>
        <v>0.26731011330255977</v>
      </c>
      <c r="BC223" s="12">
        <f t="shared" si="58"/>
        <v>18932</v>
      </c>
      <c r="BD223" s="110">
        <f t="shared" si="58"/>
        <v>24085.7</v>
      </c>
      <c r="BE223" s="110">
        <f t="shared" si="58"/>
        <v>281945.5</v>
      </c>
      <c r="BF223" s="110">
        <f t="shared" si="58"/>
        <v>58372.7</v>
      </c>
      <c r="BG223" s="6">
        <f>SUM(BC223:BF223)/Variables!$E$3</f>
        <v>0.30351459631509359</v>
      </c>
      <c r="BH223" s="4">
        <v>17861.400000000001</v>
      </c>
      <c r="BI223">
        <v>22756.5</v>
      </c>
      <c r="BJ223">
        <v>242085</v>
      </c>
      <c r="BK223">
        <v>59464.1</v>
      </c>
      <c r="BL223" s="6">
        <f>SUM(BH223:BK223)/Variables!$E$3</f>
        <v>0.2709182178797932</v>
      </c>
      <c r="BM223" s="110">
        <v>19054.599999999999</v>
      </c>
      <c r="BN223" s="110">
        <v>23995.599999999999</v>
      </c>
      <c r="BO223" s="110">
        <v>251320.1</v>
      </c>
      <c r="BP223" s="110">
        <v>58040.1</v>
      </c>
      <c r="BQ223" s="6">
        <f>SUM(BM223:BP223)/Variables!$E$3</f>
        <v>0.27902865422529077</v>
      </c>
      <c r="BS223" s="4">
        <v>221</v>
      </c>
      <c r="BT223" s="125">
        <f t="shared" si="45"/>
        <v>0</v>
      </c>
      <c r="BU223" s="125">
        <f t="shared" si="46"/>
        <v>0</v>
      </c>
      <c r="BV223" s="125">
        <f t="shared" si="47"/>
        <v>0</v>
      </c>
      <c r="BW223" s="125">
        <f t="shared" si="48"/>
        <v>0</v>
      </c>
      <c r="BX223" s="125">
        <f t="shared" si="49"/>
        <v>0</v>
      </c>
      <c r="BY223" s="125">
        <f t="shared" si="50"/>
        <v>0</v>
      </c>
      <c r="BZ223" s="125">
        <f t="shared" si="51"/>
        <v>0</v>
      </c>
      <c r="CA223" s="125">
        <f t="shared" si="52"/>
        <v>0</v>
      </c>
      <c r="CB223" s="125">
        <f t="shared" si="53"/>
        <v>0</v>
      </c>
      <c r="CC223" s="125">
        <f t="shared" si="54"/>
        <v>0</v>
      </c>
      <c r="CD223" s="125">
        <f t="shared" si="55"/>
        <v>0</v>
      </c>
      <c r="CE223" s="125">
        <f t="shared" si="56"/>
        <v>0</v>
      </c>
      <c r="CF223" s="126">
        <f t="shared" si="57"/>
        <v>0</v>
      </c>
      <c r="CH223" s="4">
        <v>221</v>
      </c>
      <c r="CI223" s="129">
        <v>0</v>
      </c>
      <c r="CJ223" s="125">
        <v>0</v>
      </c>
      <c r="CK223" s="125">
        <v>0</v>
      </c>
      <c r="CL223" s="125">
        <v>0</v>
      </c>
      <c r="CM223" s="125">
        <v>0</v>
      </c>
      <c r="CN223" s="125">
        <v>0</v>
      </c>
      <c r="CO223" s="125">
        <v>0</v>
      </c>
      <c r="CP223" s="125">
        <v>0</v>
      </c>
      <c r="CQ223" s="125">
        <v>0</v>
      </c>
      <c r="CR223" s="125">
        <v>0</v>
      </c>
      <c r="CS223" s="125">
        <v>0</v>
      </c>
      <c r="CT223" s="125">
        <v>0</v>
      </c>
      <c r="CU223" s="126">
        <v>0</v>
      </c>
    </row>
    <row r="224" spans="1:99" x14ac:dyDescent="0.25">
      <c r="A224" t="s">
        <v>239</v>
      </c>
      <c r="B224" s="2" t="s">
        <v>1</v>
      </c>
      <c r="C224" s="1">
        <v>21793</v>
      </c>
      <c r="D224" s="19">
        <v>38.4</v>
      </c>
      <c r="E224" s="18">
        <v>0</v>
      </c>
      <c r="F224" s="19">
        <v>0</v>
      </c>
      <c r="G224" s="19">
        <v>0</v>
      </c>
      <c r="H224" s="19">
        <v>0</v>
      </c>
      <c r="I224" s="19">
        <f>SUM(E224:H224)/Variables!$E$3</f>
        <v>0</v>
      </c>
      <c r="J224" s="4">
        <v>0</v>
      </c>
      <c r="K224">
        <v>0</v>
      </c>
      <c r="L224">
        <v>0</v>
      </c>
      <c r="M224">
        <v>0</v>
      </c>
      <c r="N224" s="6">
        <f>SUM(J224:M224)/Variables!$E$3</f>
        <v>0</v>
      </c>
      <c r="O224" s="4">
        <v>0</v>
      </c>
      <c r="P224">
        <v>0</v>
      </c>
      <c r="Q224">
        <v>0</v>
      </c>
      <c r="R224">
        <v>0</v>
      </c>
      <c r="S224" s="6">
        <f>SUM(O224:R224)/Variables!$E$3</f>
        <v>0</v>
      </c>
      <c r="T224" s="12">
        <v>0</v>
      </c>
      <c r="U224" s="6">
        <v>0</v>
      </c>
      <c r="V224" s="6">
        <v>0</v>
      </c>
      <c r="W224" s="6">
        <v>0</v>
      </c>
      <c r="X224" s="6">
        <f>SUM(T224:W224)/Variables!$E$3</f>
        <v>0</v>
      </c>
      <c r="Y224" s="12">
        <v>0</v>
      </c>
      <c r="Z224" s="6">
        <v>0</v>
      </c>
      <c r="AA224" s="6">
        <v>0</v>
      </c>
      <c r="AB224" s="6">
        <v>0</v>
      </c>
      <c r="AC224" s="6">
        <f>SUM(Y224:AB224)/Variables!$E$3</f>
        <v>0</v>
      </c>
      <c r="AD224" s="4">
        <v>0</v>
      </c>
      <c r="AE224" s="2">
        <v>0</v>
      </c>
      <c r="AF224" s="2">
        <v>0</v>
      </c>
      <c r="AG224" s="2">
        <v>0</v>
      </c>
      <c r="AH224" s="6">
        <f>SUM(AD224:AG224)/Variables!$E$3</f>
        <v>0</v>
      </c>
      <c r="AI224" s="4">
        <v>0</v>
      </c>
      <c r="AJ224" s="2">
        <v>0</v>
      </c>
      <c r="AK224" s="2">
        <v>0</v>
      </c>
      <c r="AL224" s="2">
        <v>0</v>
      </c>
      <c r="AM224" s="6">
        <f>SUM(AI224:AL224)/Variables!$E$3</f>
        <v>0</v>
      </c>
      <c r="AN224" s="4">
        <v>0</v>
      </c>
      <c r="AO224" s="2">
        <v>0</v>
      </c>
      <c r="AP224" s="2">
        <v>0</v>
      </c>
      <c r="AQ224" s="2">
        <v>0</v>
      </c>
      <c r="AR224" s="6">
        <f>SUM(AN224:AQ224)/Variables!$E$3</f>
        <v>0</v>
      </c>
      <c r="AS224" s="4">
        <v>0</v>
      </c>
      <c r="AT224" s="2">
        <v>0</v>
      </c>
      <c r="AU224" s="2">
        <v>0</v>
      </c>
      <c r="AV224" s="2">
        <v>0</v>
      </c>
      <c r="AW224" s="6">
        <f>SUM(AS224:AV224)/Variables!$E$3</f>
        <v>0</v>
      </c>
      <c r="AX224" s="4">
        <v>0</v>
      </c>
      <c r="AY224" s="2">
        <v>0</v>
      </c>
      <c r="AZ224" s="2">
        <v>0</v>
      </c>
      <c r="BA224" s="2">
        <v>0</v>
      </c>
      <c r="BB224" s="6">
        <f>SUM(AX224:BA224)/Variables!$E$3</f>
        <v>0</v>
      </c>
      <c r="BC224" s="12">
        <f t="shared" si="58"/>
        <v>0</v>
      </c>
      <c r="BD224" s="110">
        <f t="shared" si="58"/>
        <v>0</v>
      </c>
      <c r="BE224" s="110">
        <f t="shared" si="58"/>
        <v>0</v>
      </c>
      <c r="BF224" s="110">
        <f t="shared" si="58"/>
        <v>0</v>
      </c>
      <c r="BG224" s="6">
        <f>SUM(BC224:BF224)/Variables!$E$3</f>
        <v>0</v>
      </c>
      <c r="BH224" s="4">
        <v>0</v>
      </c>
      <c r="BI224">
        <v>0</v>
      </c>
      <c r="BJ224">
        <v>0</v>
      </c>
      <c r="BK224">
        <v>0</v>
      </c>
      <c r="BL224" s="6">
        <f>SUM(BH224:BK224)/Variables!$E$3</f>
        <v>0</v>
      </c>
      <c r="BM224" s="110">
        <v>0</v>
      </c>
      <c r="BN224" s="110">
        <v>0</v>
      </c>
      <c r="BO224" s="110">
        <v>0</v>
      </c>
      <c r="BP224" s="110">
        <v>0</v>
      </c>
      <c r="BQ224" s="6">
        <f>SUM(BM224:BP224)/Variables!$E$3</f>
        <v>0</v>
      </c>
      <c r="BS224" s="4">
        <v>222</v>
      </c>
      <c r="BT224" s="125">
        <f t="shared" si="45"/>
        <v>0</v>
      </c>
      <c r="BU224" s="125">
        <f t="shared" si="46"/>
        <v>7.1235718414239223E-3</v>
      </c>
      <c r="BV224" s="125">
        <f t="shared" si="47"/>
        <v>0</v>
      </c>
      <c r="BW224" s="125">
        <f t="shared" si="48"/>
        <v>0</v>
      </c>
      <c r="BX224" s="125">
        <f t="shared" si="49"/>
        <v>0</v>
      </c>
      <c r="BY224" s="125">
        <f t="shared" si="50"/>
        <v>0</v>
      </c>
      <c r="BZ224" s="125">
        <f t="shared" si="51"/>
        <v>0</v>
      </c>
      <c r="CA224" s="125">
        <f t="shared" si="52"/>
        <v>0</v>
      </c>
      <c r="CB224" s="125">
        <f t="shared" si="53"/>
        <v>0</v>
      </c>
      <c r="CC224" s="125">
        <f t="shared" si="54"/>
        <v>0</v>
      </c>
      <c r="CD224" s="125">
        <f t="shared" si="55"/>
        <v>0</v>
      </c>
      <c r="CE224" s="125">
        <f t="shared" si="56"/>
        <v>0</v>
      </c>
      <c r="CF224" s="126">
        <f t="shared" si="57"/>
        <v>0</v>
      </c>
      <c r="CH224" s="4">
        <v>222</v>
      </c>
      <c r="CI224" s="129">
        <v>0</v>
      </c>
      <c r="CJ224" s="125">
        <v>0</v>
      </c>
      <c r="CK224" s="125">
        <v>0</v>
      </c>
      <c r="CL224" s="125">
        <v>0</v>
      </c>
      <c r="CM224" s="125">
        <v>0</v>
      </c>
      <c r="CN224" s="125">
        <v>0</v>
      </c>
      <c r="CO224" s="125">
        <v>0</v>
      </c>
      <c r="CP224" s="125">
        <v>0</v>
      </c>
      <c r="CQ224" s="125">
        <v>0</v>
      </c>
      <c r="CR224" s="125">
        <v>0</v>
      </c>
      <c r="CS224" s="125">
        <v>0</v>
      </c>
      <c r="CT224" s="125">
        <v>0</v>
      </c>
      <c r="CU224" s="126">
        <v>0</v>
      </c>
    </row>
    <row r="225" spans="1:99" x14ac:dyDescent="0.25">
      <c r="A225" t="s">
        <v>239</v>
      </c>
      <c r="B225" s="2" t="s">
        <v>2</v>
      </c>
      <c r="C225" s="1">
        <v>21884</v>
      </c>
      <c r="D225" s="19">
        <v>46.314285714285703</v>
      </c>
      <c r="E225" s="18">
        <v>0</v>
      </c>
      <c r="F225" s="19">
        <v>0</v>
      </c>
      <c r="G225" s="19">
        <v>0</v>
      </c>
      <c r="H225" s="19">
        <v>0</v>
      </c>
      <c r="I225" s="19">
        <f>SUM(E225:H225)/Variables!$E$3</f>
        <v>0</v>
      </c>
      <c r="J225" s="4">
        <v>0</v>
      </c>
      <c r="K225">
        <v>0</v>
      </c>
      <c r="L225">
        <v>8997</v>
      </c>
      <c r="M225">
        <v>0</v>
      </c>
      <c r="N225" s="6">
        <f>SUM(J225:M225)/Variables!$E$3</f>
        <v>7.1235718414239223E-3</v>
      </c>
      <c r="O225" s="4">
        <v>0</v>
      </c>
      <c r="P225">
        <v>0</v>
      </c>
      <c r="Q225">
        <v>0</v>
      </c>
      <c r="R225">
        <v>0</v>
      </c>
      <c r="S225" s="6">
        <f>SUM(O225:R225)/Variables!$E$3</f>
        <v>0</v>
      </c>
      <c r="T225" s="12">
        <v>0</v>
      </c>
      <c r="U225" s="6">
        <v>0</v>
      </c>
      <c r="V225" s="6">
        <v>0</v>
      </c>
      <c r="W225" s="6">
        <v>0</v>
      </c>
      <c r="X225" s="6">
        <f>SUM(T225:W225)/Variables!$E$3</f>
        <v>0</v>
      </c>
      <c r="Y225" s="12">
        <v>0</v>
      </c>
      <c r="Z225" s="6">
        <v>0</v>
      </c>
      <c r="AA225" s="6">
        <v>0</v>
      </c>
      <c r="AB225" s="6">
        <v>0</v>
      </c>
      <c r="AC225" s="6">
        <f>SUM(Y225:AB225)/Variables!$E$3</f>
        <v>0</v>
      </c>
      <c r="AD225" s="4">
        <v>0</v>
      </c>
      <c r="AE225" s="2">
        <v>0</v>
      </c>
      <c r="AF225" s="2">
        <v>0</v>
      </c>
      <c r="AG225" s="2">
        <v>0</v>
      </c>
      <c r="AH225" s="6">
        <f>SUM(AD225:AG225)/Variables!$E$3</f>
        <v>0</v>
      </c>
      <c r="AI225" s="4">
        <v>0</v>
      </c>
      <c r="AJ225" s="2">
        <v>0</v>
      </c>
      <c r="AK225" s="2">
        <v>0</v>
      </c>
      <c r="AL225" s="2">
        <v>0</v>
      </c>
      <c r="AM225" s="6">
        <f>SUM(AI225:AL225)/Variables!$E$3</f>
        <v>0</v>
      </c>
      <c r="AN225" s="4">
        <v>0</v>
      </c>
      <c r="AO225" s="2">
        <v>0</v>
      </c>
      <c r="AP225" s="2">
        <v>0</v>
      </c>
      <c r="AQ225" s="2">
        <v>0</v>
      </c>
      <c r="AR225" s="6">
        <f>SUM(AN225:AQ225)/Variables!$E$3</f>
        <v>0</v>
      </c>
      <c r="AS225" s="4">
        <v>0</v>
      </c>
      <c r="AT225" s="2">
        <v>0</v>
      </c>
      <c r="AU225" s="2">
        <v>0</v>
      </c>
      <c r="AV225" s="2">
        <v>0</v>
      </c>
      <c r="AW225" s="6">
        <f>SUM(AS225:AV225)/Variables!$E$3</f>
        <v>0</v>
      </c>
      <c r="AX225" s="4">
        <v>0</v>
      </c>
      <c r="AY225" s="2">
        <v>0</v>
      </c>
      <c r="AZ225" s="2">
        <v>0</v>
      </c>
      <c r="BA225" s="2">
        <v>0</v>
      </c>
      <c r="BB225" s="6">
        <f>SUM(AX225:BA225)/Variables!$E$3</f>
        <v>0</v>
      </c>
      <c r="BC225" s="12">
        <f t="shared" si="58"/>
        <v>0</v>
      </c>
      <c r="BD225" s="110">
        <f t="shared" si="58"/>
        <v>0</v>
      </c>
      <c r="BE225" s="110">
        <f t="shared" si="58"/>
        <v>0</v>
      </c>
      <c r="BF225" s="110">
        <f t="shared" si="58"/>
        <v>0</v>
      </c>
      <c r="BG225" s="6">
        <f>SUM(BC225:BF225)/Variables!$E$3</f>
        <v>0</v>
      </c>
      <c r="BH225" s="4">
        <v>0</v>
      </c>
      <c r="BI225">
        <v>0</v>
      </c>
      <c r="BJ225">
        <v>0</v>
      </c>
      <c r="BK225">
        <v>0</v>
      </c>
      <c r="BL225" s="6">
        <f>SUM(BH225:BK225)/Variables!$E$3</f>
        <v>0</v>
      </c>
      <c r="BM225" s="110">
        <v>0</v>
      </c>
      <c r="BN225" s="110">
        <v>0</v>
      </c>
      <c r="BO225" s="110">
        <v>0</v>
      </c>
      <c r="BP225" s="110">
        <v>0</v>
      </c>
      <c r="BQ225" s="6">
        <f>SUM(BM225:BP225)/Variables!$E$3</f>
        <v>0</v>
      </c>
      <c r="BS225" s="4">
        <v>223</v>
      </c>
      <c r="BT225" s="125">
        <f t="shared" si="45"/>
        <v>0</v>
      </c>
      <c r="BU225" s="125">
        <f t="shared" si="46"/>
        <v>2.2715935993159089E-2</v>
      </c>
      <c r="BV225" s="125">
        <f t="shared" si="47"/>
        <v>0</v>
      </c>
      <c r="BW225" s="125">
        <f t="shared" si="48"/>
        <v>2.289012581255592E-4</v>
      </c>
      <c r="BX225" s="125">
        <f t="shared" si="49"/>
        <v>1.6690551785841535E-4</v>
      </c>
      <c r="BY225" s="125">
        <f t="shared" si="50"/>
        <v>0</v>
      </c>
      <c r="BZ225" s="125">
        <f t="shared" si="51"/>
        <v>0</v>
      </c>
      <c r="CA225" s="125">
        <f t="shared" si="52"/>
        <v>0</v>
      </c>
      <c r="CB225" s="125">
        <f t="shared" si="53"/>
        <v>1.851954488950823E-4</v>
      </c>
      <c r="CC225" s="125">
        <f t="shared" si="54"/>
        <v>0</v>
      </c>
      <c r="CD225" s="125">
        <f t="shared" si="55"/>
        <v>1.6690551785841535E-4</v>
      </c>
      <c r="CE225" s="125">
        <f t="shared" si="56"/>
        <v>0</v>
      </c>
      <c r="CF225" s="126">
        <f t="shared" si="57"/>
        <v>7.4743267959365945E-5</v>
      </c>
      <c r="CH225" s="4">
        <v>223</v>
      </c>
      <c r="CI225" s="129">
        <v>0</v>
      </c>
      <c r="CJ225" s="125">
        <v>0</v>
      </c>
      <c r="CK225" s="125">
        <v>0</v>
      </c>
      <c r="CL225" s="125">
        <v>0</v>
      </c>
      <c r="CM225" s="125">
        <v>0</v>
      </c>
      <c r="CN225" s="125">
        <v>0</v>
      </c>
      <c r="CO225" s="125">
        <v>0</v>
      </c>
      <c r="CP225" s="125">
        <v>0</v>
      </c>
      <c r="CQ225" s="125">
        <v>0</v>
      </c>
      <c r="CR225" s="125">
        <v>0</v>
      </c>
      <c r="CS225" s="125">
        <v>0</v>
      </c>
      <c r="CT225" s="125">
        <v>0</v>
      </c>
      <c r="CU225" s="126">
        <v>0</v>
      </c>
    </row>
    <row r="226" spans="1:99" x14ac:dyDescent="0.25">
      <c r="A226" t="s">
        <v>240</v>
      </c>
      <c r="B226" s="2" t="s">
        <v>3</v>
      </c>
      <c r="C226" s="1">
        <v>21974</v>
      </c>
      <c r="D226" s="19">
        <v>41.4</v>
      </c>
      <c r="E226" s="18">
        <v>0</v>
      </c>
      <c r="F226" s="19">
        <v>0</v>
      </c>
      <c r="G226" s="19">
        <v>0</v>
      </c>
      <c r="H226" s="19">
        <v>0</v>
      </c>
      <c r="I226" s="19">
        <f>SUM(E226:H226)/Variables!$E$3</f>
        <v>0</v>
      </c>
      <c r="J226" s="4">
        <v>0</v>
      </c>
      <c r="K226">
        <v>0</v>
      </c>
      <c r="L226">
        <v>28690</v>
      </c>
      <c r="M226">
        <v>0</v>
      </c>
      <c r="N226" s="6">
        <f>SUM(J226:M226)/Variables!$E$3</f>
        <v>2.2715935993159089E-2</v>
      </c>
      <c r="O226" s="4">
        <v>0</v>
      </c>
      <c r="P226">
        <v>0</v>
      </c>
      <c r="Q226">
        <v>0</v>
      </c>
      <c r="R226">
        <v>0</v>
      </c>
      <c r="S226" s="6">
        <f>SUM(O226:R226)/Variables!$E$3</f>
        <v>0</v>
      </c>
      <c r="T226" s="12">
        <v>0</v>
      </c>
      <c r="U226" s="6">
        <v>0</v>
      </c>
      <c r="V226" s="6">
        <v>289.10000000000002</v>
      </c>
      <c r="W226" s="6">
        <v>0</v>
      </c>
      <c r="X226" s="6">
        <f>SUM(T226:W226)/Variables!$E$3</f>
        <v>2.289012581255592E-4</v>
      </c>
      <c r="Y226" s="12">
        <v>0</v>
      </c>
      <c r="Z226" s="6">
        <v>0</v>
      </c>
      <c r="AA226" s="6">
        <v>210.8</v>
      </c>
      <c r="AB226" s="6">
        <v>0</v>
      </c>
      <c r="AC226" s="6">
        <f>SUM(Y226:AB226)/Variables!$E$3</f>
        <v>1.6690551785841535E-4</v>
      </c>
      <c r="AD226" s="4">
        <v>0</v>
      </c>
      <c r="AE226" s="2">
        <v>0</v>
      </c>
      <c r="AF226" s="2">
        <v>0</v>
      </c>
      <c r="AG226" s="2">
        <v>0</v>
      </c>
      <c r="AH226" s="6">
        <f>SUM(AD226:AG226)/Variables!$E$3</f>
        <v>0</v>
      </c>
      <c r="AI226" s="4">
        <v>0</v>
      </c>
      <c r="AJ226" s="2">
        <v>0</v>
      </c>
      <c r="AK226" s="2">
        <v>0</v>
      </c>
      <c r="AL226" s="2">
        <v>0</v>
      </c>
      <c r="AM226" s="6">
        <f>SUM(AI226:AL226)/Variables!$E$3</f>
        <v>0</v>
      </c>
      <c r="AN226" s="4">
        <v>0</v>
      </c>
      <c r="AO226" s="2">
        <v>0</v>
      </c>
      <c r="AP226" s="2">
        <v>0</v>
      </c>
      <c r="AQ226" s="2">
        <v>0</v>
      </c>
      <c r="AR226" s="6">
        <f>SUM(AN226:AQ226)/Variables!$E$3</f>
        <v>0</v>
      </c>
      <c r="AS226" s="4">
        <v>0</v>
      </c>
      <c r="AT226" s="2">
        <v>0</v>
      </c>
      <c r="AU226" s="2">
        <v>233.9</v>
      </c>
      <c r="AV226" s="2">
        <v>0</v>
      </c>
      <c r="AW226" s="6">
        <f>SUM(AS226:AV226)/Variables!$E$3</f>
        <v>1.851954488950823E-4</v>
      </c>
      <c r="AX226" s="4">
        <v>0</v>
      </c>
      <c r="AY226" s="2">
        <v>0</v>
      </c>
      <c r="AZ226" s="2">
        <v>0</v>
      </c>
      <c r="BA226" s="2">
        <v>0</v>
      </c>
      <c r="BB226" s="6">
        <f>SUM(AX226:BA226)/Variables!$E$3</f>
        <v>0</v>
      </c>
      <c r="BC226" s="12">
        <f t="shared" si="58"/>
        <v>0</v>
      </c>
      <c r="BD226" s="110">
        <f t="shared" si="58"/>
        <v>0</v>
      </c>
      <c r="BE226" s="110">
        <f t="shared" si="58"/>
        <v>210.8</v>
      </c>
      <c r="BF226" s="110">
        <f t="shared" si="58"/>
        <v>0</v>
      </c>
      <c r="BG226" s="6">
        <f>SUM(BC226:BF226)/Variables!$E$3</f>
        <v>1.6690551785841535E-4</v>
      </c>
      <c r="BH226" s="4">
        <v>0</v>
      </c>
      <c r="BI226">
        <v>0</v>
      </c>
      <c r="BJ226">
        <v>0</v>
      </c>
      <c r="BK226">
        <v>0</v>
      </c>
      <c r="BL226" s="6">
        <f>SUM(BH226:BK226)/Variables!$E$3</f>
        <v>0</v>
      </c>
      <c r="BM226" s="110">
        <v>0</v>
      </c>
      <c r="BN226" s="110">
        <v>0</v>
      </c>
      <c r="BO226" s="110">
        <v>94.399999999999594</v>
      </c>
      <c r="BP226" s="110">
        <v>0</v>
      </c>
      <c r="BQ226" s="6">
        <f>SUM(BM226:BP226)/Variables!$E$3</f>
        <v>7.4743267959365945E-5</v>
      </c>
      <c r="BS226" s="4">
        <v>224</v>
      </c>
      <c r="BT226" s="125">
        <f t="shared" si="45"/>
        <v>0</v>
      </c>
      <c r="BU226" s="125">
        <f t="shared" si="46"/>
        <v>0</v>
      </c>
      <c r="BV226" s="125">
        <f t="shared" si="47"/>
        <v>0</v>
      </c>
      <c r="BW226" s="125">
        <f t="shared" si="48"/>
        <v>0</v>
      </c>
      <c r="BX226" s="125">
        <f t="shared" si="49"/>
        <v>0</v>
      </c>
      <c r="BY226" s="125">
        <f t="shared" si="50"/>
        <v>0</v>
      </c>
      <c r="BZ226" s="125">
        <f t="shared" si="51"/>
        <v>0</v>
      </c>
      <c r="CA226" s="125">
        <f t="shared" si="52"/>
        <v>0</v>
      </c>
      <c r="CB226" s="125">
        <f t="shared" si="53"/>
        <v>0</v>
      </c>
      <c r="CC226" s="125">
        <f t="shared" si="54"/>
        <v>0</v>
      </c>
      <c r="CD226" s="125">
        <f t="shared" si="55"/>
        <v>0</v>
      </c>
      <c r="CE226" s="125">
        <f t="shared" si="56"/>
        <v>0</v>
      </c>
      <c r="CF226" s="126">
        <f t="shared" si="57"/>
        <v>0</v>
      </c>
      <c r="CH226" s="4">
        <v>224</v>
      </c>
      <c r="CI226" s="129">
        <v>0</v>
      </c>
      <c r="CJ226" s="125">
        <v>0</v>
      </c>
      <c r="CK226" s="125">
        <v>0</v>
      </c>
      <c r="CL226" s="125">
        <v>0</v>
      </c>
      <c r="CM226" s="125">
        <v>0</v>
      </c>
      <c r="CN226" s="125">
        <v>0</v>
      </c>
      <c r="CO226" s="125">
        <v>0</v>
      </c>
      <c r="CP226" s="125">
        <v>0</v>
      </c>
      <c r="CQ226" s="125">
        <v>0</v>
      </c>
      <c r="CR226" s="125">
        <v>0</v>
      </c>
      <c r="CS226" s="125">
        <v>0</v>
      </c>
      <c r="CT226" s="125">
        <v>0</v>
      </c>
      <c r="CU226" s="126">
        <v>0</v>
      </c>
    </row>
    <row r="227" spans="1:99" x14ac:dyDescent="0.25">
      <c r="A227" t="s">
        <v>240</v>
      </c>
      <c r="B227" s="2" t="s">
        <v>4</v>
      </c>
      <c r="C227" s="1">
        <v>22067</v>
      </c>
      <c r="D227" s="19">
        <v>58.371428571428602</v>
      </c>
      <c r="E227" s="18">
        <v>0</v>
      </c>
      <c r="F227" s="19">
        <v>0</v>
      </c>
      <c r="G227" s="19">
        <v>0</v>
      </c>
      <c r="H227" s="19">
        <v>0</v>
      </c>
      <c r="I227" s="19">
        <f>SUM(E227:H227)/Variables!$E$3</f>
        <v>0</v>
      </c>
      <c r="J227" s="4">
        <v>0</v>
      </c>
      <c r="K227">
        <v>0</v>
      </c>
      <c r="L227">
        <v>0</v>
      </c>
      <c r="M227">
        <v>0</v>
      </c>
      <c r="N227" s="6">
        <f>SUM(J227:M227)/Variables!$E$3</f>
        <v>0</v>
      </c>
      <c r="O227" s="4">
        <v>0</v>
      </c>
      <c r="P227">
        <v>0</v>
      </c>
      <c r="Q227">
        <v>0</v>
      </c>
      <c r="R227">
        <v>0</v>
      </c>
      <c r="S227" s="6">
        <f>SUM(O227:R227)/Variables!$E$3</f>
        <v>0</v>
      </c>
      <c r="T227" s="12">
        <v>0</v>
      </c>
      <c r="U227" s="6">
        <v>0</v>
      </c>
      <c r="V227" s="6">
        <v>0</v>
      </c>
      <c r="W227" s="6">
        <v>0</v>
      </c>
      <c r="X227" s="6">
        <f>SUM(T227:W227)/Variables!$E$3</f>
        <v>0</v>
      </c>
      <c r="Y227" s="12">
        <v>0</v>
      </c>
      <c r="Z227" s="6">
        <v>0</v>
      </c>
      <c r="AA227" s="6">
        <v>0</v>
      </c>
      <c r="AB227" s="6">
        <v>0</v>
      </c>
      <c r="AC227" s="6">
        <f>SUM(Y227:AB227)/Variables!$E$3</f>
        <v>0</v>
      </c>
      <c r="AD227" s="4">
        <v>0</v>
      </c>
      <c r="AE227" s="2">
        <v>0</v>
      </c>
      <c r="AF227" s="2">
        <v>0</v>
      </c>
      <c r="AG227" s="2">
        <v>0</v>
      </c>
      <c r="AH227" s="6">
        <f>SUM(AD227:AG227)/Variables!$E$3</f>
        <v>0</v>
      </c>
      <c r="AI227" s="4">
        <v>0</v>
      </c>
      <c r="AJ227" s="2">
        <v>0</v>
      </c>
      <c r="AK227" s="2">
        <v>0</v>
      </c>
      <c r="AL227" s="2">
        <v>0</v>
      </c>
      <c r="AM227" s="6">
        <f>SUM(AI227:AL227)/Variables!$E$3</f>
        <v>0</v>
      </c>
      <c r="AN227" s="4">
        <v>0</v>
      </c>
      <c r="AO227" s="2">
        <v>0</v>
      </c>
      <c r="AP227" s="2">
        <v>0</v>
      </c>
      <c r="AQ227" s="2">
        <v>0</v>
      </c>
      <c r="AR227" s="6">
        <f>SUM(AN227:AQ227)/Variables!$E$3</f>
        <v>0</v>
      </c>
      <c r="AS227" s="4">
        <v>0</v>
      </c>
      <c r="AT227" s="2">
        <v>0</v>
      </c>
      <c r="AU227" s="2">
        <v>0</v>
      </c>
      <c r="AV227" s="2">
        <v>0</v>
      </c>
      <c r="AW227" s="6">
        <f>SUM(AS227:AV227)/Variables!$E$3</f>
        <v>0</v>
      </c>
      <c r="AX227" s="4">
        <v>0</v>
      </c>
      <c r="AY227" s="2">
        <v>0</v>
      </c>
      <c r="AZ227" s="2">
        <v>0</v>
      </c>
      <c r="BA227" s="2">
        <v>0</v>
      </c>
      <c r="BB227" s="6">
        <f>SUM(AX227:BA227)/Variables!$E$3</f>
        <v>0</v>
      </c>
      <c r="BC227" s="12">
        <f t="shared" si="58"/>
        <v>0</v>
      </c>
      <c r="BD227" s="110">
        <f t="shared" si="58"/>
        <v>0</v>
      </c>
      <c r="BE227" s="110">
        <f t="shared" si="58"/>
        <v>0</v>
      </c>
      <c r="BF227" s="110">
        <f t="shared" si="58"/>
        <v>0</v>
      </c>
      <c r="BG227" s="6">
        <f>SUM(BC227:BF227)/Variables!$E$3</f>
        <v>0</v>
      </c>
      <c r="BH227" s="4">
        <v>0</v>
      </c>
      <c r="BI227">
        <v>0</v>
      </c>
      <c r="BJ227">
        <v>0</v>
      </c>
      <c r="BK227">
        <v>0</v>
      </c>
      <c r="BL227" s="6">
        <f>SUM(BH227:BK227)/Variables!$E$3</f>
        <v>0</v>
      </c>
      <c r="BM227" s="110">
        <v>0</v>
      </c>
      <c r="BN227" s="110">
        <v>0</v>
      </c>
      <c r="BO227" s="110">
        <v>0</v>
      </c>
      <c r="BP227" s="110">
        <v>0</v>
      </c>
      <c r="BQ227" s="6">
        <f>SUM(BM227:BP227)/Variables!$E$3</f>
        <v>0</v>
      </c>
      <c r="BS227" s="4">
        <v>225</v>
      </c>
      <c r="BT227" s="125">
        <f t="shared" si="45"/>
        <v>0</v>
      </c>
      <c r="BU227" s="125">
        <f t="shared" si="46"/>
        <v>0</v>
      </c>
      <c r="BV227" s="125">
        <f t="shared" si="47"/>
        <v>0</v>
      </c>
      <c r="BW227" s="125">
        <f t="shared" si="48"/>
        <v>0</v>
      </c>
      <c r="BX227" s="125">
        <f t="shared" si="49"/>
        <v>0</v>
      </c>
      <c r="BY227" s="125">
        <f t="shared" si="50"/>
        <v>0</v>
      </c>
      <c r="BZ227" s="125">
        <f t="shared" si="51"/>
        <v>0</v>
      </c>
      <c r="CA227" s="125">
        <f t="shared" si="52"/>
        <v>0</v>
      </c>
      <c r="CB227" s="125">
        <f t="shared" si="53"/>
        <v>0</v>
      </c>
      <c r="CC227" s="125">
        <f t="shared" si="54"/>
        <v>0</v>
      </c>
      <c r="CD227" s="125">
        <f t="shared" si="55"/>
        <v>0</v>
      </c>
      <c r="CE227" s="125">
        <f t="shared" si="56"/>
        <v>0</v>
      </c>
      <c r="CF227" s="126">
        <f t="shared" si="57"/>
        <v>0</v>
      </c>
      <c r="CH227" s="4">
        <v>225</v>
      </c>
      <c r="CI227" s="129">
        <v>0</v>
      </c>
      <c r="CJ227" s="125">
        <v>0</v>
      </c>
      <c r="CK227" s="125">
        <v>0</v>
      </c>
      <c r="CL227" s="125">
        <v>0</v>
      </c>
      <c r="CM227" s="125">
        <v>0</v>
      </c>
      <c r="CN227" s="125">
        <v>0</v>
      </c>
      <c r="CO227" s="125">
        <v>0</v>
      </c>
      <c r="CP227" s="125">
        <v>0</v>
      </c>
      <c r="CQ227" s="125">
        <v>0</v>
      </c>
      <c r="CR227" s="125">
        <v>0</v>
      </c>
      <c r="CS227" s="125">
        <v>0</v>
      </c>
      <c r="CT227" s="125">
        <v>0</v>
      </c>
      <c r="CU227" s="126">
        <v>0</v>
      </c>
    </row>
    <row r="228" spans="1:99" x14ac:dyDescent="0.25">
      <c r="A228" t="s">
        <v>240</v>
      </c>
      <c r="B228" s="2" t="s">
        <v>1</v>
      </c>
      <c r="C228" s="1">
        <v>22159</v>
      </c>
      <c r="D228" s="19">
        <v>39.642857142857103</v>
      </c>
      <c r="E228" s="18">
        <v>0</v>
      </c>
      <c r="F228" s="19">
        <v>0</v>
      </c>
      <c r="G228" s="19">
        <v>0</v>
      </c>
      <c r="H228" s="19">
        <v>0</v>
      </c>
      <c r="I228" s="19">
        <f>SUM(E228:H228)/Variables!$E$3</f>
        <v>0</v>
      </c>
      <c r="J228" s="4">
        <v>0</v>
      </c>
      <c r="K228">
        <v>0</v>
      </c>
      <c r="L228">
        <v>0</v>
      </c>
      <c r="M228">
        <v>0</v>
      </c>
      <c r="N228" s="6">
        <f>SUM(J228:M228)/Variables!$E$3</f>
        <v>0</v>
      </c>
      <c r="O228" s="4">
        <v>0</v>
      </c>
      <c r="P228">
        <v>0</v>
      </c>
      <c r="Q228">
        <v>0</v>
      </c>
      <c r="R228">
        <v>0</v>
      </c>
      <c r="S228" s="6">
        <f>SUM(O228:R228)/Variables!$E$3</f>
        <v>0</v>
      </c>
      <c r="T228" s="12">
        <v>0</v>
      </c>
      <c r="U228" s="6">
        <v>0</v>
      </c>
      <c r="V228" s="6">
        <v>0</v>
      </c>
      <c r="W228" s="6">
        <v>0</v>
      </c>
      <c r="X228" s="6">
        <f>SUM(T228:W228)/Variables!$E$3</f>
        <v>0</v>
      </c>
      <c r="Y228" s="12">
        <v>0</v>
      </c>
      <c r="Z228" s="6">
        <v>0</v>
      </c>
      <c r="AA228" s="6">
        <v>0</v>
      </c>
      <c r="AB228" s="6">
        <v>0</v>
      </c>
      <c r="AC228" s="6">
        <f>SUM(Y228:AB228)/Variables!$E$3</f>
        <v>0</v>
      </c>
      <c r="AD228" s="4">
        <v>0</v>
      </c>
      <c r="AE228" s="2">
        <v>0</v>
      </c>
      <c r="AF228" s="2">
        <v>0</v>
      </c>
      <c r="AG228" s="2">
        <v>0</v>
      </c>
      <c r="AH228" s="6">
        <f>SUM(AD228:AG228)/Variables!$E$3</f>
        <v>0</v>
      </c>
      <c r="AI228" s="4">
        <v>0</v>
      </c>
      <c r="AJ228" s="2">
        <v>0</v>
      </c>
      <c r="AK228" s="2">
        <v>0</v>
      </c>
      <c r="AL228" s="2">
        <v>0</v>
      </c>
      <c r="AM228" s="6">
        <f>SUM(AI228:AL228)/Variables!$E$3</f>
        <v>0</v>
      </c>
      <c r="AN228" s="4">
        <v>0</v>
      </c>
      <c r="AO228" s="2">
        <v>0</v>
      </c>
      <c r="AP228" s="2">
        <v>0</v>
      </c>
      <c r="AQ228" s="2">
        <v>0</v>
      </c>
      <c r="AR228" s="6">
        <f>SUM(AN228:AQ228)/Variables!$E$3</f>
        <v>0</v>
      </c>
      <c r="AS228" s="4">
        <v>0</v>
      </c>
      <c r="AT228" s="2">
        <v>0</v>
      </c>
      <c r="AU228" s="2">
        <v>0</v>
      </c>
      <c r="AV228" s="2">
        <v>0</v>
      </c>
      <c r="AW228" s="6">
        <f>SUM(AS228:AV228)/Variables!$E$3</f>
        <v>0</v>
      </c>
      <c r="AX228" s="4">
        <v>0</v>
      </c>
      <c r="AY228" s="2">
        <v>0</v>
      </c>
      <c r="AZ228" s="2">
        <v>0</v>
      </c>
      <c r="BA228" s="2">
        <v>0</v>
      </c>
      <c r="BB228" s="6">
        <f>SUM(AX228:BA228)/Variables!$E$3</f>
        <v>0</v>
      </c>
      <c r="BC228" s="12">
        <f t="shared" si="58"/>
        <v>0</v>
      </c>
      <c r="BD228" s="110">
        <f t="shared" si="58"/>
        <v>0</v>
      </c>
      <c r="BE228" s="110">
        <f t="shared" si="58"/>
        <v>0</v>
      </c>
      <c r="BF228" s="110">
        <f t="shared" si="58"/>
        <v>0</v>
      </c>
      <c r="BG228" s="6">
        <f>SUM(BC228:BF228)/Variables!$E$3</f>
        <v>0</v>
      </c>
      <c r="BH228" s="4">
        <v>0</v>
      </c>
      <c r="BI228">
        <v>0</v>
      </c>
      <c r="BJ228">
        <v>0</v>
      </c>
      <c r="BK228">
        <v>0</v>
      </c>
      <c r="BL228" s="6">
        <f>SUM(BH228:BK228)/Variables!$E$3</f>
        <v>0</v>
      </c>
      <c r="BM228" s="110">
        <v>0</v>
      </c>
      <c r="BN228" s="110">
        <v>0</v>
      </c>
      <c r="BO228" s="110">
        <v>0</v>
      </c>
      <c r="BP228" s="110">
        <v>0</v>
      </c>
      <c r="BQ228" s="6">
        <f>SUM(BM228:BP228)/Variables!$E$3</f>
        <v>0</v>
      </c>
      <c r="BS228" s="4">
        <v>226</v>
      </c>
      <c r="BT228" s="125">
        <f t="shared" si="45"/>
        <v>0</v>
      </c>
      <c r="BU228" s="125">
        <f t="shared" si="46"/>
        <v>0</v>
      </c>
      <c r="BV228" s="125">
        <f t="shared" si="47"/>
        <v>0</v>
      </c>
      <c r="BW228" s="125">
        <f t="shared" si="48"/>
        <v>0</v>
      </c>
      <c r="BX228" s="125">
        <f t="shared" si="49"/>
        <v>0</v>
      </c>
      <c r="BY228" s="125">
        <f t="shared" si="50"/>
        <v>0</v>
      </c>
      <c r="BZ228" s="125">
        <f t="shared" si="51"/>
        <v>0</v>
      </c>
      <c r="CA228" s="125">
        <f t="shared" si="52"/>
        <v>0</v>
      </c>
      <c r="CB228" s="125">
        <f t="shared" si="53"/>
        <v>0</v>
      </c>
      <c r="CC228" s="125">
        <f t="shared" si="54"/>
        <v>0</v>
      </c>
      <c r="CD228" s="125">
        <f t="shared" si="55"/>
        <v>0</v>
      </c>
      <c r="CE228" s="125">
        <f t="shared" si="56"/>
        <v>0</v>
      </c>
      <c r="CF228" s="126">
        <f t="shared" si="57"/>
        <v>0</v>
      </c>
      <c r="CH228" s="4">
        <v>226</v>
      </c>
      <c r="CI228" s="129">
        <v>0</v>
      </c>
      <c r="CJ228" s="125">
        <v>0</v>
      </c>
      <c r="CK228" s="125">
        <v>0</v>
      </c>
      <c r="CL228" s="125">
        <v>0</v>
      </c>
      <c r="CM228" s="125">
        <v>0</v>
      </c>
      <c r="CN228" s="125">
        <v>0</v>
      </c>
      <c r="CO228" s="125">
        <v>0</v>
      </c>
      <c r="CP228" s="125">
        <v>0</v>
      </c>
      <c r="CQ228" s="125">
        <v>0</v>
      </c>
      <c r="CR228" s="125">
        <v>0</v>
      </c>
      <c r="CS228" s="125">
        <v>0</v>
      </c>
      <c r="CT228" s="125">
        <v>0</v>
      </c>
      <c r="CU228" s="126">
        <v>0</v>
      </c>
    </row>
    <row r="229" spans="1:99" x14ac:dyDescent="0.25">
      <c r="A229" t="s">
        <v>240</v>
      </c>
      <c r="B229" s="2" t="s">
        <v>2</v>
      </c>
      <c r="C229" s="1">
        <v>22250</v>
      </c>
      <c r="D229" s="19">
        <v>61.185714285714297</v>
      </c>
      <c r="E229" s="18">
        <v>0</v>
      </c>
      <c r="F229" s="19">
        <v>0</v>
      </c>
      <c r="G229" s="19">
        <v>0</v>
      </c>
      <c r="H229" s="19">
        <v>0</v>
      </c>
      <c r="I229" s="19">
        <f>SUM(E229:H229)/Variables!$E$3</f>
        <v>0</v>
      </c>
      <c r="J229" s="4">
        <v>0</v>
      </c>
      <c r="K229">
        <v>0</v>
      </c>
      <c r="L229">
        <v>0</v>
      </c>
      <c r="M229">
        <v>0</v>
      </c>
      <c r="N229" s="6">
        <f>SUM(J229:M229)/Variables!$E$3</f>
        <v>0</v>
      </c>
      <c r="O229" s="4">
        <v>0</v>
      </c>
      <c r="P229">
        <v>0</v>
      </c>
      <c r="Q229">
        <v>0</v>
      </c>
      <c r="R229">
        <v>0</v>
      </c>
      <c r="S229" s="6">
        <f>SUM(O229:R229)/Variables!$E$3</f>
        <v>0</v>
      </c>
      <c r="T229" s="12">
        <v>0</v>
      </c>
      <c r="U229" s="6">
        <v>0</v>
      </c>
      <c r="V229" s="6">
        <v>0</v>
      </c>
      <c r="W229" s="6">
        <v>0</v>
      </c>
      <c r="X229" s="6">
        <f>SUM(T229:W229)/Variables!$E$3</f>
        <v>0</v>
      </c>
      <c r="Y229" s="12">
        <v>0</v>
      </c>
      <c r="Z229" s="6">
        <v>0</v>
      </c>
      <c r="AA229" s="6">
        <v>0</v>
      </c>
      <c r="AB229" s="6">
        <v>0</v>
      </c>
      <c r="AC229" s="6">
        <f>SUM(Y229:AB229)/Variables!$E$3</f>
        <v>0</v>
      </c>
      <c r="AD229" s="4">
        <v>0</v>
      </c>
      <c r="AE229" s="2">
        <v>0</v>
      </c>
      <c r="AF229" s="2">
        <v>0</v>
      </c>
      <c r="AG229" s="2">
        <v>0</v>
      </c>
      <c r="AH229" s="6">
        <f>SUM(AD229:AG229)/Variables!$E$3</f>
        <v>0</v>
      </c>
      <c r="AI229" s="4">
        <v>0</v>
      </c>
      <c r="AJ229" s="2">
        <v>0</v>
      </c>
      <c r="AK229" s="2">
        <v>0</v>
      </c>
      <c r="AL229" s="2">
        <v>0</v>
      </c>
      <c r="AM229" s="6">
        <f>SUM(AI229:AL229)/Variables!$E$3</f>
        <v>0</v>
      </c>
      <c r="AN229" s="4">
        <v>0</v>
      </c>
      <c r="AO229" s="2">
        <v>0</v>
      </c>
      <c r="AP229" s="2">
        <v>0</v>
      </c>
      <c r="AQ229" s="2">
        <v>0</v>
      </c>
      <c r="AR229" s="6">
        <f>SUM(AN229:AQ229)/Variables!$E$3</f>
        <v>0</v>
      </c>
      <c r="AS229" s="4">
        <v>0</v>
      </c>
      <c r="AT229" s="2">
        <v>0</v>
      </c>
      <c r="AU229" s="2">
        <v>0</v>
      </c>
      <c r="AV229" s="2">
        <v>0</v>
      </c>
      <c r="AW229" s="6">
        <f>SUM(AS229:AV229)/Variables!$E$3</f>
        <v>0</v>
      </c>
      <c r="AX229" s="4">
        <v>0</v>
      </c>
      <c r="AY229" s="2">
        <v>0</v>
      </c>
      <c r="AZ229" s="2">
        <v>0</v>
      </c>
      <c r="BA229" s="2">
        <v>0</v>
      </c>
      <c r="BB229" s="6">
        <f>SUM(AX229:BA229)/Variables!$E$3</f>
        <v>0</v>
      </c>
      <c r="BC229" s="12">
        <f t="shared" si="58"/>
        <v>0</v>
      </c>
      <c r="BD229" s="110">
        <f t="shared" si="58"/>
        <v>0</v>
      </c>
      <c r="BE229" s="110">
        <f t="shared" si="58"/>
        <v>0</v>
      </c>
      <c r="BF229" s="110">
        <f t="shared" si="58"/>
        <v>0</v>
      </c>
      <c r="BG229" s="6">
        <f>SUM(BC229:BF229)/Variables!$E$3</f>
        <v>0</v>
      </c>
      <c r="BH229" s="4">
        <v>0</v>
      </c>
      <c r="BI229">
        <v>0</v>
      </c>
      <c r="BJ229">
        <v>0</v>
      </c>
      <c r="BK229">
        <v>0</v>
      </c>
      <c r="BL229" s="6">
        <f>SUM(BH229:BK229)/Variables!$E$3</f>
        <v>0</v>
      </c>
      <c r="BM229" s="110">
        <v>0</v>
      </c>
      <c r="BN229" s="110">
        <v>0</v>
      </c>
      <c r="BO229" s="110">
        <v>0</v>
      </c>
      <c r="BP229" s="110">
        <v>0</v>
      </c>
      <c r="BQ229" s="6">
        <f>SUM(BM229:BP229)/Variables!$E$3</f>
        <v>0</v>
      </c>
      <c r="BS229" s="4">
        <v>227</v>
      </c>
      <c r="BT229" s="125">
        <f t="shared" si="45"/>
        <v>0</v>
      </c>
      <c r="BU229" s="125">
        <f t="shared" si="46"/>
        <v>0</v>
      </c>
      <c r="BV229" s="125">
        <f t="shared" si="47"/>
        <v>0</v>
      </c>
      <c r="BW229" s="125">
        <f t="shared" si="48"/>
        <v>0</v>
      </c>
      <c r="BX229" s="125">
        <f t="shared" si="49"/>
        <v>0</v>
      </c>
      <c r="BY229" s="125">
        <f t="shared" si="50"/>
        <v>0</v>
      </c>
      <c r="BZ229" s="125">
        <f t="shared" si="51"/>
        <v>0</v>
      </c>
      <c r="CA229" s="125">
        <f t="shared" si="52"/>
        <v>0</v>
      </c>
      <c r="CB229" s="125">
        <f t="shared" si="53"/>
        <v>0</v>
      </c>
      <c r="CC229" s="125">
        <f t="shared" si="54"/>
        <v>0</v>
      </c>
      <c r="CD229" s="125">
        <f t="shared" si="55"/>
        <v>0</v>
      </c>
      <c r="CE229" s="125">
        <f t="shared" si="56"/>
        <v>0</v>
      </c>
      <c r="CF229" s="126">
        <f t="shared" si="57"/>
        <v>0</v>
      </c>
      <c r="CH229" s="4">
        <v>227</v>
      </c>
      <c r="CI229" s="129">
        <v>0</v>
      </c>
      <c r="CJ229" s="125">
        <v>0</v>
      </c>
      <c r="CK229" s="125">
        <v>0</v>
      </c>
      <c r="CL229" s="125">
        <v>0</v>
      </c>
      <c r="CM229" s="125">
        <v>0</v>
      </c>
      <c r="CN229" s="125">
        <v>0</v>
      </c>
      <c r="CO229" s="125">
        <v>0</v>
      </c>
      <c r="CP229" s="125">
        <v>0</v>
      </c>
      <c r="CQ229" s="125">
        <v>0</v>
      </c>
      <c r="CR229" s="125">
        <v>0</v>
      </c>
      <c r="CS229" s="125">
        <v>0</v>
      </c>
      <c r="CT229" s="125">
        <v>0</v>
      </c>
      <c r="CU229" s="126">
        <v>0</v>
      </c>
    </row>
    <row r="230" spans="1:99" x14ac:dyDescent="0.25">
      <c r="A230" t="s">
        <v>241</v>
      </c>
      <c r="B230" s="2" t="s">
        <v>3</v>
      </c>
      <c r="C230" s="1">
        <v>22340</v>
      </c>
      <c r="D230" s="19">
        <v>130.24285714285699</v>
      </c>
      <c r="E230" s="18">
        <v>0</v>
      </c>
      <c r="F230" s="19">
        <v>0</v>
      </c>
      <c r="G230" s="19">
        <v>0</v>
      </c>
      <c r="H230" s="19">
        <v>0</v>
      </c>
      <c r="I230" s="19">
        <f>SUM(E230:H230)/Variables!$E$3</f>
        <v>0</v>
      </c>
      <c r="J230" s="4">
        <v>0</v>
      </c>
      <c r="K230">
        <v>0</v>
      </c>
      <c r="L230">
        <v>0</v>
      </c>
      <c r="M230">
        <v>0</v>
      </c>
      <c r="N230" s="6">
        <f>SUM(J230:M230)/Variables!$E$3</f>
        <v>0</v>
      </c>
      <c r="O230" s="4">
        <v>0</v>
      </c>
      <c r="P230">
        <v>0</v>
      </c>
      <c r="Q230">
        <v>0</v>
      </c>
      <c r="R230">
        <v>0</v>
      </c>
      <c r="S230" s="6">
        <f>SUM(O230:R230)/Variables!$E$3</f>
        <v>0</v>
      </c>
      <c r="T230" s="12">
        <v>0</v>
      </c>
      <c r="U230" s="6">
        <v>0</v>
      </c>
      <c r="V230" s="6">
        <v>0</v>
      </c>
      <c r="W230" s="6">
        <v>0</v>
      </c>
      <c r="X230" s="6">
        <f>SUM(T230:W230)/Variables!$E$3</f>
        <v>0</v>
      </c>
      <c r="Y230" s="12">
        <v>0</v>
      </c>
      <c r="Z230" s="6">
        <v>0</v>
      </c>
      <c r="AA230" s="6">
        <v>0</v>
      </c>
      <c r="AB230" s="6">
        <v>0</v>
      </c>
      <c r="AC230" s="6">
        <f>SUM(Y230:AB230)/Variables!$E$3</f>
        <v>0</v>
      </c>
      <c r="AD230" s="4">
        <v>0</v>
      </c>
      <c r="AE230" s="2">
        <v>0</v>
      </c>
      <c r="AF230" s="2">
        <v>0</v>
      </c>
      <c r="AG230" s="2">
        <v>0</v>
      </c>
      <c r="AH230" s="6">
        <f>SUM(AD230:AG230)/Variables!$E$3</f>
        <v>0</v>
      </c>
      <c r="AI230" s="4">
        <v>0</v>
      </c>
      <c r="AJ230" s="2">
        <v>0</v>
      </c>
      <c r="AK230" s="2">
        <v>0</v>
      </c>
      <c r="AL230" s="2">
        <v>0</v>
      </c>
      <c r="AM230" s="6">
        <f>SUM(AI230:AL230)/Variables!$E$3</f>
        <v>0</v>
      </c>
      <c r="AN230" s="4">
        <v>0</v>
      </c>
      <c r="AO230" s="2">
        <v>0</v>
      </c>
      <c r="AP230" s="2">
        <v>0</v>
      </c>
      <c r="AQ230" s="2">
        <v>0</v>
      </c>
      <c r="AR230" s="6">
        <f>SUM(AN230:AQ230)/Variables!$E$3</f>
        <v>0</v>
      </c>
      <c r="AS230" s="4">
        <v>0</v>
      </c>
      <c r="AT230" s="2">
        <v>0</v>
      </c>
      <c r="AU230" s="2">
        <v>0</v>
      </c>
      <c r="AV230" s="2">
        <v>0</v>
      </c>
      <c r="AW230" s="6">
        <f>SUM(AS230:AV230)/Variables!$E$3</f>
        <v>0</v>
      </c>
      <c r="AX230" s="4">
        <v>0</v>
      </c>
      <c r="AY230" s="2">
        <v>0</v>
      </c>
      <c r="AZ230" s="2">
        <v>0</v>
      </c>
      <c r="BA230" s="2">
        <v>0</v>
      </c>
      <c r="BB230" s="6">
        <f>SUM(AX230:BA230)/Variables!$E$3</f>
        <v>0</v>
      </c>
      <c r="BC230" s="12">
        <f t="shared" si="58"/>
        <v>0</v>
      </c>
      <c r="BD230" s="110">
        <f t="shared" si="58"/>
        <v>0</v>
      </c>
      <c r="BE230" s="110">
        <f t="shared" si="58"/>
        <v>0</v>
      </c>
      <c r="BF230" s="110">
        <f t="shared" si="58"/>
        <v>0</v>
      </c>
      <c r="BG230" s="6">
        <f>SUM(BC230:BF230)/Variables!$E$3</f>
        <v>0</v>
      </c>
      <c r="BH230" s="4">
        <v>0</v>
      </c>
      <c r="BI230">
        <v>0</v>
      </c>
      <c r="BJ230">
        <v>0</v>
      </c>
      <c r="BK230">
        <v>0</v>
      </c>
      <c r="BL230" s="6">
        <f>SUM(BH230:BK230)/Variables!$E$3</f>
        <v>0</v>
      </c>
      <c r="BM230" s="110">
        <v>0</v>
      </c>
      <c r="BN230" s="110">
        <v>0</v>
      </c>
      <c r="BO230" s="110">
        <v>0</v>
      </c>
      <c r="BP230" s="110">
        <v>0</v>
      </c>
      <c r="BQ230" s="6">
        <f>SUM(BM230:BP230)/Variables!$E$3</f>
        <v>0</v>
      </c>
      <c r="BS230" s="4">
        <v>228</v>
      </c>
      <c r="BT230" s="125">
        <f t="shared" si="45"/>
        <v>0</v>
      </c>
      <c r="BU230" s="125">
        <f t="shared" si="46"/>
        <v>4.9178536647162686E-2</v>
      </c>
      <c r="BV230" s="125">
        <f t="shared" si="47"/>
        <v>0</v>
      </c>
      <c r="BW230" s="125">
        <f t="shared" si="48"/>
        <v>8.1623765825540985E-4</v>
      </c>
      <c r="BX230" s="125">
        <f t="shared" si="49"/>
        <v>7.4759103397493249E-4</v>
      </c>
      <c r="BY230" s="125">
        <f t="shared" si="50"/>
        <v>0</v>
      </c>
      <c r="BZ230" s="125">
        <f t="shared" si="51"/>
        <v>5.8511943879206954E-5</v>
      </c>
      <c r="CA230" s="125">
        <f t="shared" si="52"/>
        <v>3.786253256161965E-4</v>
      </c>
      <c r="CB230" s="125">
        <f t="shared" si="53"/>
        <v>1.1411808486211292E-3</v>
      </c>
      <c r="CC230" s="125">
        <f t="shared" si="54"/>
        <v>7.9478063959334587E-4</v>
      </c>
      <c r="CD230" s="125">
        <f t="shared" si="55"/>
        <v>7.4759103397493249E-4</v>
      </c>
      <c r="CE230" s="125">
        <f t="shared" si="56"/>
        <v>1.1797401404603362E-4</v>
      </c>
      <c r="CF230" s="126">
        <f t="shared" si="57"/>
        <v>2.723695357841305E-4</v>
      </c>
      <c r="CH230" s="4">
        <v>228</v>
      </c>
      <c r="CI230" s="129">
        <v>0</v>
      </c>
      <c r="CJ230" s="125">
        <v>0</v>
      </c>
      <c r="CK230" s="125">
        <v>0</v>
      </c>
      <c r="CL230" s="125">
        <v>0</v>
      </c>
      <c r="CM230" s="125">
        <v>0</v>
      </c>
      <c r="CN230" s="125">
        <v>0</v>
      </c>
      <c r="CO230" s="125">
        <v>0</v>
      </c>
      <c r="CP230" s="125">
        <v>0</v>
      </c>
      <c r="CQ230" s="125">
        <v>0</v>
      </c>
      <c r="CR230" s="125">
        <v>0</v>
      </c>
      <c r="CS230" s="125">
        <v>0</v>
      </c>
      <c r="CT230" s="125">
        <v>0</v>
      </c>
      <c r="CU230" s="126">
        <v>0</v>
      </c>
    </row>
    <row r="231" spans="1:99" x14ac:dyDescent="0.25">
      <c r="A231" t="s">
        <v>241</v>
      </c>
      <c r="B231" s="2" t="s">
        <v>4</v>
      </c>
      <c r="C231" s="1">
        <v>22432</v>
      </c>
      <c r="D231" s="19">
        <v>118.642857142857</v>
      </c>
      <c r="E231" s="18">
        <v>0</v>
      </c>
      <c r="F231" s="19">
        <v>0</v>
      </c>
      <c r="G231" s="19">
        <v>0</v>
      </c>
      <c r="H231" s="19">
        <v>0</v>
      </c>
      <c r="I231" s="19">
        <f>SUM(E231:H231)/Variables!$E$3</f>
        <v>0</v>
      </c>
      <c r="J231" s="4">
        <v>0</v>
      </c>
      <c r="K231">
        <v>0</v>
      </c>
      <c r="L231">
        <v>62112</v>
      </c>
      <c r="M231">
        <v>0</v>
      </c>
      <c r="N231" s="6">
        <f>SUM(J231:M231)/Variables!$E$3</f>
        <v>4.9178536647162686E-2</v>
      </c>
      <c r="O231" s="4">
        <v>0</v>
      </c>
      <c r="P231">
        <v>0</v>
      </c>
      <c r="Q231">
        <v>0</v>
      </c>
      <c r="R231">
        <v>0</v>
      </c>
      <c r="S231" s="6">
        <f>SUM(O231:R231)/Variables!$E$3</f>
        <v>0</v>
      </c>
      <c r="T231" s="12">
        <v>0</v>
      </c>
      <c r="U231" s="6">
        <v>0</v>
      </c>
      <c r="V231" s="6">
        <v>1030.9000000000001</v>
      </c>
      <c r="W231" s="6">
        <v>0</v>
      </c>
      <c r="X231" s="6">
        <f>SUM(T231:W231)/Variables!$E$3</f>
        <v>8.1623765825540985E-4</v>
      </c>
      <c r="Y231" s="12">
        <v>0</v>
      </c>
      <c r="Z231" s="6">
        <v>0</v>
      </c>
      <c r="AA231" s="6">
        <v>944.2</v>
      </c>
      <c r="AB231" s="6">
        <v>0</v>
      </c>
      <c r="AC231" s="6">
        <f>SUM(Y231:AB231)/Variables!$E$3</f>
        <v>7.4759103397493249E-4</v>
      </c>
      <c r="AD231" s="4">
        <v>0</v>
      </c>
      <c r="AE231" s="2">
        <v>0</v>
      </c>
      <c r="AF231" s="2">
        <v>0</v>
      </c>
      <c r="AG231" s="2">
        <v>0</v>
      </c>
      <c r="AH231" s="6">
        <f>SUM(AD231:AG231)/Variables!$E$3</f>
        <v>0</v>
      </c>
      <c r="AI231" s="4">
        <v>0</v>
      </c>
      <c r="AJ231" s="2">
        <v>0</v>
      </c>
      <c r="AK231" s="2">
        <v>73.899999999999594</v>
      </c>
      <c r="AL231" s="2">
        <v>0</v>
      </c>
      <c r="AM231" s="6">
        <f>SUM(AI231:AL231)/Variables!$E$3</f>
        <v>5.8511943879206954E-5</v>
      </c>
      <c r="AN231" s="4">
        <v>0</v>
      </c>
      <c r="AO231" s="2">
        <v>0</v>
      </c>
      <c r="AP231" s="2">
        <v>478.2</v>
      </c>
      <c r="AQ231" s="2">
        <v>0</v>
      </c>
      <c r="AR231" s="6">
        <f>SUM(AN231:AQ231)/Variables!$E$3</f>
        <v>3.786253256161965E-4</v>
      </c>
      <c r="AS231" s="4">
        <v>0</v>
      </c>
      <c r="AT231" s="2">
        <v>0</v>
      </c>
      <c r="AU231" s="2">
        <v>1441.3</v>
      </c>
      <c r="AV231" s="2">
        <v>0</v>
      </c>
      <c r="AW231" s="6">
        <f>SUM(AS231:AV231)/Variables!$E$3</f>
        <v>1.1411808486211292E-3</v>
      </c>
      <c r="AX231" s="4">
        <v>0</v>
      </c>
      <c r="AY231" s="2">
        <v>0</v>
      </c>
      <c r="AZ231" s="2">
        <v>1003.8</v>
      </c>
      <c r="BA231" s="2">
        <v>0</v>
      </c>
      <c r="BB231" s="6">
        <f>SUM(AX231:BA231)/Variables!$E$3</f>
        <v>7.9478063959334587E-4</v>
      </c>
      <c r="BC231" s="12">
        <f t="shared" si="58"/>
        <v>0</v>
      </c>
      <c r="BD231" s="110">
        <f t="shared" si="58"/>
        <v>0</v>
      </c>
      <c r="BE231" s="110">
        <f t="shared" si="58"/>
        <v>944.2</v>
      </c>
      <c r="BF231" s="110">
        <f t="shared" si="58"/>
        <v>0</v>
      </c>
      <c r="BG231" s="6">
        <f>SUM(BC231:BF231)/Variables!$E$3</f>
        <v>7.4759103397493249E-4</v>
      </c>
      <c r="BH231" s="4">
        <v>0</v>
      </c>
      <c r="BI231">
        <v>0</v>
      </c>
      <c r="BJ231">
        <v>149</v>
      </c>
      <c r="BK231">
        <v>0</v>
      </c>
      <c r="BL231" s="6">
        <f>SUM(BH231:BK231)/Variables!$E$3</f>
        <v>1.1797401404603362E-4</v>
      </c>
      <c r="BM231" s="110">
        <v>0</v>
      </c>
      <c r="BN231" s="110">
        <v>0</v>
      </c>
      <c r="BO231" s="110">
        <v>343.99999999999898</v>
      </c>
      <c r="BP231" s="110">
        <v>0</v>
      </c>
      <c r="BQ231" s="6">
        <f>SUM(BM231:BP231)/Variables!$E$3</f>
        <v>2.723695357841305E-4</v>
      </c>
      <c r="BS231" s="4">
        <v>229</v>
      </c>
      <c r="BT231" s="125">
        <f t="shared" si="45"/>
        <v>0</v>
      </c>
      <c r="BU231" s="125">
        <f t="shared" si="46"/>
        <v>0</v>
      </c>
      <c r="BV231" s="125">
        <f t="shared" si="47"/>
        <v>0</v>
      </c>
      <c r="BW231" s="125">
        <f t="shared" si="48"/>
        <v>0</v>
      </c>
      <c r="BX231" s="125">
        <f t="shared" si="49"/>
        <v>0</v>
      </c>
      <c r="BY231" s="125">
        <f t="shared" si="50"/>
        <v>0</v>
      </c>
      <c r="BZ231" s="125">
        <f t="shared" si="51"/>
        <v>0</v>
      </c>
      <c r="CA231" s="125">
        <f t="shared" si="52"/>
        <v>0</v>
      </c>
      <c r="CB231" s="125">
        <f t="shared" si="53"/>
        <v>0</v>
      </c>
      <c r="CC231" s="125">
        <f t="shared" si="54"/>
        <v>0</v>
      </c>
      <c r="CD231" s="125">
        <f t="shared" si="55"/>
        <v>0</v>
      </c>
      <c r="CE231" s="125">
        <f t="shared" si="56"/>
        <v>0</v>
      </c>
      <c r="CF231" s="126">
        <f t="shared" si="57"/>
        <v>0</v>
      </c>
      <c r="CH231" s="4">
        <v>229</v>
      </c>
      <c r="CI231" s="129">
        <v>0</v>
      </c>
      <c r="CJ231" s="125">
        <v>0</v>
      </c>
      <c r="CK231" s="125">
        <v>0</v>
      </c>
      <c r="CL231" s="125">
        <v>0</v>
      </c>
      <c r="CM231" s="125">
        <v>0</v>
      </c>
      <c r="CN231" s="125">
        <v>0</v>
      </c>
      <c r="CO231" s="125">
        <v>0</v>
      </c>
      <c r="CP231" s="125">
        <v>0</v>
      </c>
      <c r="CQ231" s="125">
        <v>0</v>
      </c>
      <c r="CR231" s="125">
        <v>0</v>
      </c>
      <c r="CS231" s="125">
        <v>0</v>
      </c>
      <c r="CT231" s="125">
        <v>0</v>
      </c>
      <c r="CU231" s="126">
        <v>0</v>
      </c>
    </row>
    <row r="232" spans="1:99" x14ac:dyDescent="0.25">
      <c r="A232" t="s">
        <v>241</v>
      </c>
      <c r="B232" s="2" t="s">
        <v>1</v>
      </c>
      <c r="C232" s="1">
        <v>22524</v>
      </c>
      <c r="D232" s="19">
        <v>41.826190476190497</v>
      </c>
      <c r="E232" s="18">
        <v>0</v>
      </c>
      <c r="F232" s="19">
        <v>0</v>
      </c>
      <c r="G232" s="19">
        <v>0</v>
      </c>
      <c r="H232" s="19">
        <v>0</v>
      </c>
      <c r="I232" s="19">
        <f>SUM(E232:H232)/Variables!$E$3</f>
        <v>0</v>
      </c>
      <c r="J232" s="4">
        <v>0</v>
      </c>
      <c r="K232">
        <v>0</v>
      </c>
      <c r="L232">
        <v>0</v>
      </c>
      <c r="M232">
        <v>0</v>
      </c>
      <c r="N232" s="6">
        <f>SUM(J232:M232)/Variables!$E$3</f>
        <v>0</v>
      </c>
      <c r="O232" s="4">
        <v>0</v>
      </c>
      <c r="P232">
        <v>0</v>
      </c>
      <c r="Q232">
        <v>0</v>
      </c>
      <c r="R232">
        <v>0</v>
      </c>
      <c r="S232" s="6">
        <f>SUM(O232:R232)/Variables!$E$3</f>
        <v>0</v>
      </c>
      <c r="T232" s="12">
        <v>0</v>
      </c>
      <c r="U232" s="6">
        <v>0</v>
      </c>
      <c r="V232" s="6">
        <v>0</v>
      </c>
      <c r="W232" s="6">
        <v>0</v>
      </c>
      <c r="X232" s="6">
        <f>SUM(T232:W232)/Variables!$E$3</f>
        <v>0</v>
      </c>
      <c r="Y232" s="12">
        <v>0</v>
      </c>
      <c r="Z232" s="6">
        <v>0</v>
      </c>
      <c r="AA232" s="6">
        <v>0</v>
      </c>
      <c r="AB232" s="6">
        <v>0</v>
      </c>
      <c r="AC232" s="6">
        <f>SUM(Y232:AB232)/Variables!$E$3</f>
        <v>0</v>
      </c>
      <c r="AD232" s="4">
        <v>0</v>
      </c>
      <c r="AE232" s="2">
        <v>0</v>
      </c>
      <c r="AF232" s="2">
        <v>0</v>
      </c>
      <c r="AG232" s="2">
        <v>0</v>
      </c>
      <c r="AH232" s="6">
        <f>SUM(AD232:AG232)/Variables!$E$3</f>
        <v>0</v>
      </c>
      <c r="AI232" s="4">
        <v>0</v>
      </c>
      <c r="AJ232" s="2">
        <v>0</v>
      </c>
      <c r="AK232" s="2">
        <v>0</v>
      </c>
      <c r="AL232" s="2">
        <v>0</v>
      </c>
      <c r="AM232" s="6">
        <f>SUM(AI232:AL232)/Variables!$E$3</f>
        <v>0</v>
      </c>
      <c r="AN232" s="4">
        <v>0</v>
      </c>
      <c r="AO232" s="2">
        <v>0</v>
      </c>
      <c r="AP232" s="2">
        <v>0</v>
      </c>
      <c r="AQ232" s="2">
        <v>0</v>
      </c>
      <c r="AR232" s="6">
        <f>SUM(AN232:AQ232)/Variables!$E$3</f>
        <v>0</v>
      </c>
      <c r="AS232" s="4">
        <v>0</v>
      </c>
      <c r="AT232" s="2">
        <v>0</v>
      </c>
      <c r="AU232" s="2">
        <v>0</v>
      </c>
      <c r="AV232" s="2">
        <v>0</v>
      </c>
      <c r="AW232" s="6">
        <f>SUM(AS232:AV232)/Variables!$E$3</f>
        <v>0</v>
      </c>
      <c r="AX232" s="4">
        <v>0</v>
      </c>
      <c r="AY232" s="2">
        <v>0</v>
      </c>
      <c r="AZ232" s="2">
        <v>0</v>
      </c>
      <c r="BA232" s="2">
        <v>0</v>
      </c>
      <c r="BB232" s="6">
        <f>SUM(AX232:BA232)/Variables!$E$3</f>
        <v>0</v>
      </c>
      <c r="BC232" s="12">
        <f t="shared" si="58"/>
        <v>0</v>
      </c>
      <c r="BD232" s="110">
        <f t="shared" si="58"/>
        <v>0</v>
      </c>
      <c r="BE232" s="110">
        <f t="shared" si="58"/>
        <v>0</v>
      </c>
      <c r="BF232" s="110">
        <f t="shared" si="58"/>
        <v>0</v>
      </c>
      <c r="BG232" s="6">
        <f>SUM(BC232:BF232)/Variables!$E$3</f>
        <v>0</v>
      </c>
      <c r="BH232" s="4">
        <v>0</v>
      </c>
      <c r="BI232">
        <v>0</v>
      </c>
      <c r="BJ232">
        <v>0</v>
      </c>
      <c r="BK232">
        <v>0</v>
      </c>
      <c r="BL232" s="6">
        <f>SUM(BH232:BK232)/Variables!$E$3</f>
        <v>0</v>
      </c>
      <c r="BM232" s="110">
        <v>0</v>
      </c>
      <c r="BN232" s="110">
        <v>0</v>
      </c>
      <c r="BO232" s="110">
        <v>0</v>
      </c>
      <c r="BP232" s="110">
        <v>0</v>
      </c>
      <c r="BQ232" s="6">
        <f>SUM(BM232:BP232)/Variables!$E$3</f>
        <v>0</v>
      </c>
      <c r="BS232" s="4">
        <v>230</v>
      </c>
      <c r="BT232" s="125">
        <f t="shared" si="45"/>
        <v>0</v>
      </c>
      <c r="BU232" s="125">
        <f t="shared" si="46"/>
        <v>9.4220856855557051E-4</v>
      </c>
      <c r="BV232" s="125">
        <f t="shared" si="47"/>
        <v>0</v>
      </c>
      <c r="BW232" s="125">
        <f t="shared" si="48"/>
        <v>0</v>
      </c>
      <c r="BX232" s="125">
        <f t="shared" si="49"/>
        <v>0</v>
      </c>
      <c r="BY232" s="125">
        <f t="shared" si="50"/>
        <v>0</v>
      </c>
      <c r="BZ232" s="125">
        <f t="shared" si="51"/>
        <v>0</v>
      </c>
      <c r="CA232" s="125">
        <f t="shared" si="52"/>
        <v>0</v>
      </c>
      <c r="CB232" s="125">
        <f t="shared" si="53"/>
        <v>0</v>
      </c>
      <c r="CC232" s="125">
        <f t="shared" si="54"/>
        <v>0</v>
      </c>
      <c r="CD232" s="125">
        <f t="shared" si="55"/>
        <v>0</v>
      </c>
      <c r="CE232" s="125">
        <f t="shared" si="56"/>
        <v>0</v>
      </c>
      <c r="CF232" s="126">
        <f t="shared" si="57"/>
        <v>0</v>
      </c>
      <c r="CH232" s="4">
        <v>230</v>
      </c>
      <c r="CI232" s="129">
        <v>0</v>
      </c>
      <c r="CJ232" s="125">
        <v>0</v>
      </c>
      <c r="CK232" s="125">
        <v>0</v>
      </c>
      <c r="CL232" s="125">
        <v>0</v>
      </c>
      <c r="CM232" s="125">
        <v>0</v>
      </c>
      <c r="CN232" s="125">
        <v>0</v>
      </c>
      <c r="CO232" s="125">
        <v>0</v>
      </c>
      <c r="CP232" s="125">
        <v>0</v>
      </c>
      <c r="CQ232" s="125">
        <v>0</v>
      </c>
      <c r="CR232" s="125">
        <v>0</v>
      </c>
      <c r="CS232" s="125">
        <v>0</v>
      </c>
      <c r="CT232" s="125">
        <v>0</v>
      </c>
      <c r="CU232" s="126">
        <v>0</v>
      </c>
    </row>
    <row r="233" spans="1:99" x14ac:dyDescent="0.25">
      <c r="A233" t="s">
        <v>241</v>
      </c>
      <c r="B233" s="2" t="s">
        <v>2</v>
      </c>
      <c r="C233" s="1">
        <v>22615</v>
      </c>
      <c r="D233" s="19">
        <v>35.257142857142902</v>
      </c>
      <c r="E233" s="18">
        <v>0</v>
      </c>
      <c r="F233" s="19">
        <v>0</v>
      </c>
      <c r="G233" s="19">
        <v>0</v>
      </c>
      <c r="H233" s="19">
        <v>0</v>
      </c>
      <c r="I233" s="19">
        <f>SUM(E233:H233)/Variables!$E$3</f>
        <v>0</v>
      </c>
      <c r="J233" s="4">
        <v>0</v>
      </c>
      <c r="K233">
        <v>0</v>
      </c>
      <c r="L233">
        <v>1190</v>
      </c>
      <c r="M233">
        <v>0</v>
      </c>
      <c r="N233" s="6">
        <f>SUM(J233:M233)/Variables!$E$3</f>
        <v>9.4220856855557051E-4</v>
      </c>
      <c r="O233" s="4">
        <v>0</v>
      </c>
      <c r="P233">
        <v>0</v>
      </c>
      <c r="Q233">
        <v>0</v>
      </c>
      <c r="R233">
        <v>0</v>
      </c>
      <c r="S233" s="6">
        <f>SUM(O233:R233)/Variables!$E$3</f>
        <v>0</v>
      </c>
      <c r="T233" s="12">
        <v>0</v>
      </c>
      <c r="U233" s="6">
        <v>0</v>
      </c>
      <c r="V233" s="6">
        <v>0</v>
      </c>
      <c r="W233" s="6">
        <v>0</v>
      </c>
      <c r="X233" s="6">
        <f>SUM(T233:W233)/Variables!$E$3</f>
        <v>0</v>
      </c>
      <c r="Y233" s="12">
        <v>0</v>
      </c>
      <c r="Z233" s="6">
        <v>0</v>
      </c>
      <c r="AA233" s="6">
        <v>0</v>
      </c>
      <c r="AB233" s="6">
        <v>0</v>
      </c>
      <c r="AC233" s="6">
        <f>SUM(Y233:AB233)/Variables!$E$3</f>
        <v>0</v>
      </c>
      <c r="AD233" s="4">
        <v>0</v>
      </c>
      <c r="AE233" s="2">
        <v>0</v>
      </c>
      <c r="AF233" s="2">
        <v>0</v>
      </c>
      <c r="AG233" s="2">
        <v>0</v>
      </c>
      <c r="AH233" s="6">
        <f>SUM(AD233:AG233)/Variables!$E$3</f>
        <v>0</v>
      </c>
      <c r="AI233" s="4">
        <v>0</v>
      </c>
      <c r="AJ233" s="2">
        <v>0</v>
      </c>
      <c r="AK233" s="2">
        <v>0</v>
      </c>
      <c r="AL233" s="2">
        <v>0</v>
      </c>
      <c r="AM233" s="6">
        <f>SUM(AI233:AL233)/Variables!$E$3</f>
        <v>0</v>
      </c>
      <c r="AN233" s="4">
        <v>0</v>
      </c>
      <c r="AO233" s="2">
        <v>0</v>
      </c>
      <c r="AP233" s="2">
        <v>0</v>
      </c>
      <c r="AQ233" s="2">
        <v>0</v>
      </c>
      <c r="AR233" s="6">
        <f>SUM(AN233:AQ233)/Variables!$E$3</f>
        <v>0</v>
      </c>
      <c r="AS233" s="4">
        <v>0</v>
      </c>
      <c r="AT233" s="2">
        <v>0</v>
      </c>
      <c r="AU233" s="2">
        <v>0</v>
      </c>
      <c r="AV233" s="2">
        <v>0</v>
      </c>
      <c r="AW233" s="6">
        <f>SUM(AS233:AV233)/Variables!$E$3</f>
        <v>0</v>
      </c>
      <c r="AX233" s="4">
        <v>0</v>
      </c>
      <c r="AY233" s="2">
        <v>0</v>
      </c>
      <c r="AZ233" s="2">
        <v>0</v>
      </c>
      <c r="BA233" s="2">
        <v>0</v>
      </c>
      <c r="BB233" s="6">
        <f>SUM(AX233:BA233)/Variables!$E$3</f>
        <v>0</v>
      </c>
      <c r="BC233" s="12">
        <f t="shared" si="58"/>
        <v>0</v>
      </c>
      <c r="BD233" s="110">
        <f t="shared" si="58"/>
        <v>0</v>
      </c>
      <c r="BE233" s="110">
        <f t="shared" si="58"/>
        <v>0</v>
      </c>
      <c r="BF233" s="110">
        <f t="shared" si="58"/>
        <v>0</v>
      </c>
      <c r="BG233" s="6">
        <f>SUM(BC233:BF233)/Variables!$E$3</f>
        <v>0</v>
      </c>
      <c r="BH233" s="4">
        <v>0</v>
      </c>
      <c r="BI233">
        <v>0</v>
      </c>
      <c r="BJ233">
        <v>0</v>
      </c>
      <c r="BK233">
        <v>0</v>
      </c>
      <c r="BL233" s="6">
        <f>SUM(BH233:BK233)/Variables!$E$3</f>
        <v>0</v>
      </c>
      <c r="BM233" s="110">
        <v>0</v>
      </c>
      <c r="BN233" s="110">
        <v>0</v>
      </c>
      <c r="BO233" s="110">
        <v>0</v>
      </c>
      <c r="BP233" s="110">
        <v>0</v>
      </c>
      <c r="BQ233" s="6">
        <f>SUM(BM233:BP233)/Variables!$E$3</f>
        <v>0</v>
      </c>
      <c r="BS233" s="4">
        <v>231</v>
      </c>
      <c r="BT233" s="125">
        <f t="shared" si="45"/>
        <v>0</v>
      </c>
      <c r="BU233" s="125">
        <f t="shared" si="46"/>
        <v>0.36476931725508516</v>
      </c>
      <c r="BV233" s="125">
        <f t="shared" si="47"/>
        <v>1.3244760449409735E-2</v>
      </c>
      <c r="BW233" s="125">
        <f t="shared" si="48"/>
        <v>9.0047110428427779E-2</v>
      </c>
      <c r="BX233" s="125">
        <f t="shared" si="49"/>
        <v>8.6817551999619949E-2</v>
      </c>
      <c r="BY233" s="125">
        <f t="shared" si="50"/>
        <v>5.2427572664866702E-2</v>
      </c>
      <c r="BZ233" s="125">
        <f t="shared" si="51"/>
        <v>4.6302266842967878E-2</v>
      </c>
      <c r="CA233" s="125">
        <f t="shared" si="52"/>
        <v>5.488087791668976E-2</v>
      </c>
      <c r="CB233" s="125">
        <f t="shared" si="53"/>
        <v>9.9893427501405396E-2</v>
      </c>
      <c r="CC233" s="125">
        <f t="shared" si="54"/>
        <v>6.9420027078599206E-2</v>
      </c>
      <c r="CD233" s="125">
        <f t="shared" si="55"/>
        <v>8.6817551999619949E-2</v>
      </c>
      <c r="CE233" s="125">
        <f t="shared" si="56"/>
        <v>5.8096738691517755E-2</v>
      </c>
      <c r="CF233" s="126">
        <f t="shared" si="57"/>
        <v>7.2312686561255432E-2</v>
      </c>
      <c r="CH233" s="4">
        <v>231</v>
      </c>
      <c r="CI233" s="129">
        <v>0</v>
      </c>
      <c r="CJ233" s="125">
        <v>0.80409187721201281</v>
      </c>
      <c r="CK233" s="125">
        <v>0</v>
      </c>
      <c r="CL233" s="125">
        <v>0</v>
      </c>
      <c r="CM233" s="125">
        <v>0</v>
      </c>
      <c r="CN233" s="125">
        <v>0</v>
      </c>
      <c r="CO233" s="125">
        <v>0</v>
      </c>
      <c r="CP233" s="125">
        <v>0</v>
      </c>
      <c r="CQ233" s="125">
        <v>0</v>
      </c>
      <c r="CR233" s="125">
        <v>0</v>
      </c>
      <c r="CS233" s="125">
        <v>0</v>
      </c>
      <c r="CT233" s="125">
        <v>0</v>
      </c>
      <c r="CU233" s="126">
        <v>0</v>
      </c>
    </row>
    <row r="234" spans="1:99" x14ac:dyDescent="0.25">
      <c r="A234" t="s">
        <v>242</v>
      </c>
      <c r="B234" s="2" t="s">
        <v>3</v>
      </c>
      <c r="C234" s="1">
        <v>22705</v>
      </c>
      <c r="D234" s="19">
        <v>165.53333333333299</v>
      </c>
      <c r="E234" s="18">
        <v>0</v>
      </c>
      <c r="F234" s="19">
        <v>0</v>
      </c>
      <c r="G234" s="19">
        <v>0</v>
      </c>
      <c r="H234" s="19">
        <v>0</v>
      </c>
      <c r="I234" s="19">
        <f>SUM(E234:H234)/Variables!$E$3</f>
        <v>0</v>
      </c>
      <c r="J234" s="4">
        <v>598</v>
      </c>
      <c r="K234">
        <v>19904</v>
      </c>
      <c r="L234">
        <v>404485</v>
      </c>
      <c r="M234">
        <v>35713</v>
      </c>
      <c r="N234" s="6">
        <f>SUM(J234:M234)/Variables!$E$3</f>
        <v>0.36476931725508516</v>
      </c>
      <c r="O234" s="4">
        <v>0</v>
      </c>
      <c r="P234">
        <v>0</v>
      </c>
      <c r="Q234">
        <v>15667</v>
      </c>
      <c r="R234">
        <v>1061</v>
      </c>
      <c r="S234" s="6">
        <f>SUM(O234:R234)/Variables!$E$3</f>
        <v>1.3244760449409735E-2</v>
      </c>
      <c r="T234" s="12">
        <v>0</v>
      </c>
      <c r="U234" s="6">
        <v>0</v>
      </c>
      <c r="V234" s="6">
        <v>109771.6</v>
      </c>
      <c r="W234" s="6">
        <v>3957</v>
      </c>
      <c r="X234" s="6">
        <f>SUM(T234:W234)/Variables!$E$3</f>
        <v>9.0047110428427779E-2</v>
      </c>
      <c r="Y234" s="12">
        <v>0</v>
      </c>
      <c r="Z234" s="6">
        <v>0</v>
      </c>
      <c r="AA234" s="6">
        <v>105493.4</v>
      </c>
      <c r="AB234" s="6">
        <v>4156.3</v>
      </c>
      <c r="AC234" s="6">
        <f>SUM(Y234:AB234)/Variables!$E$3</f>
        <v>8.6817551999619949E-2</v>
      </c>
      <c r="AD234" s="4">
        <v>0</v>
      </c>
      <c r="AE234" s="2">
        <v>0</v>
      </c>
      <c r="AF234" s="2">
        <v>57853.5</v>
      </c>
      <c r="AG234" s="2">
        <v>8362</v>
      </c>
      <c r="AH234" s="6">
        <f>SUM(AD234:AG234)/Variables!$E$3</f>
        <v>5.2427572664866702E-2</v>
      </c>
      <c r="AI234" s="4">
        <v>0</v>
      </c>
      <c r="AJ234" s="2">
        <v>0</v>
      </c>
      <c r="AK234" s="2">
        <v>56741.599999999999</v>
      </c>
      <c r="AL234" s="2">
        <v>1737.7</v>
      </c>
      <c r="AM234" s="6">
        <f>SUM(AI234:AL234)/Variables!$E$3</f>
        <v>4.6302266842967878E-2</v>
      </c>
      <c r="AN234" s="4">
        <v>0</v>
      </c>
      <c r="AO234" s="2">
        <v>0</v>
      </c>
      <c r="AP234" s="2">
        <v>60778.7</v>
      </c>
      <c r="AQ234" s="2">
        <v>8535.2999999999993</v>
      </c>
      <c r="AR234" s="6">
        <f>SUM(AN234:AQ234)/Variables!$E$3</f>
        <v>5.488087791668976E-2</v>
      </c>
      <c r="AS234" s="4">
        <v>0</v>
      </c>
      <c r="AT234" s="2">
        <v>0</v>
      </c>
      <c r="AU234" s="2">
        <v>113397.6</v>
      </c>
      <c r="AV234" s="2">
        <v>12766.8</v>
      </c>
      <c r="AW234" s="6">
        <f>SUM(AS234:AV234)/Variables!$E$3</f>
        <v>9.9893427501405396E-2</v>
      </c>
      <c r="AX234" s="4">
        <v>0</v>
      </c>
      <c r="AY234" s="2">
        <v>0</v>
      </c>
      <c r="AZ234" s="2">
        <v>76563.3</v>
      </c>
      <c r="BA234" s="2">
        <v>11113.5</v>
      </c>
      <c r="BB234" s="6">
        <f>SUM(AX234:BA234)/Variables!$E$3</f>
        <v>6.9420027078599206E-2</v>
      </c>
      <c r="BC234" s="12">
        <f t="shared" si="58"/>
        <v>0</v>
      </c>
      <c r="BD234" s="110">
        <f t="shared" si="58"/>
        <v>0</v>
      </c>
      <c r="BE234" s="110">
        <f t="shared" si="58"/>
        <v>105493.4</v>
      </c>
      <c r="BF234" s="110">
        <f t="shared" si="58"/>
        <v>4156.3</v>
      </c>
      <c r="BG234" s="6">
        <f>SUM(BC234:BF234)/Variables!$E$3</f>
        <v>8.6817551999619949E-2</v>
      </c>
      <c r="BH234" s="4">
        <v>0</v>
      </c>
      <c r="BI234">
        <v>0</v>
      </c>
      <c r="BJ234">
        <v>70493.100000000006</v>
      </c>
      <c r="BK234">
        <v>2882.5</v>
      </c>
      <c r="BL234" s="6">
        <f>SUM(BH234:BK234)/Variables!$E$3</f>
        <v>5.8096738691517755E-2</v>
      </c>
      <c r="BM234" s="110">
        <v>0</v>
      </c>
      <c r="BN234" s="110">
        <v>0</v>
      </c>
      <c r="BO234" s="110">
        <v>80529.2</v>
      </c>
      <c r="BP234" s="110">
        <v>10801</v>
      </c>
      <c r="BQ234" s="6">
        <f>SUM(BM234:BP234)/Variables!$E$3</f>
        <v>7.2312686561255432E-2</v>
      </c>
      <c r="BS234" s="4">
        <v>232</v>
      </c>
      <c r="BT234" s="125">
        <f t="shared" si="45"/>
        <v>0</v>
      </c>
      <c r="BU234" s="125">
        <f t="shared" si="46"/>
        <v>0.11555990150357486</v>
      </c>
      <c r="BV234" s="125">
        <f t="shared" si="47"/>
        <v>7.361103413328688E-3</v>
      </c>
      <c r="BW234" s="125">
        <f t="shared" si="48"/>
        <v>3.4325449924385777E-2</v>
      </c>
      <c r="BX234" s="125">
        <f t="shared" si="49"/>
        <v>3.2870489869278458E-2</v>
      </c>
      <c r="BY234" s="125">
        <f t="shared" si="50"/>
        <v>2.128821289163018E-2</v>
      </c>
      <c r="BZ234" s="125">
        <f t="shared" si="51"/>
        <v>1.8933166533385063E-2</v>
      </c>
      <c r="CA234" s="125">
        <f t="shared" si="52"/>
        <v>2.2011338173698918E-2</v>
      </c>
      <c r="CB234" s="125">
        <f t="shared" si="53"/>
        <v>3.7292773497810752E-2</v>
      </c>
      <c r="CC234" s="125">
        <f t="shared" si="54"/>
        <v>2.7242495981757577E-2</v>
      </c>
      <c r="CD234" s="125">
        <f t="shared" si="55"/>
        <v>3.2870489869278458E-2</v>
      </c>
      <c r="CE234" s="125">
        <f t="shared" si="56"/>
        <v>2.4098686450407369E-2</v>
      </c>
      <c r="CF234" s="126">
        <f t="shared" si="57"/>
        <v>2.7553424809380913E-2</v>
      </c>
      <c r="CH234" s="4">
        <v>232</v>
      </c>
      <c r="CI234" s="129">
        <v>0</v>
      </c>
      <c r="CJ234" s="125">
        <v>0.21415213105408593</v>
      </c>
      <c r="CK234" s="125">
        <v>0</v>
      </c>
      <c r="CL234" s="125">
        <v>0</v>
      </c>
      <c r="CM234" s="125">
        <v>0</v>
      </c>
      <c r="CN234" s="125">
        <v>0</v>
      </c>
      <c r="CO234" s="125">
        <v>0</v>
      </c>
      <c r="CP234" s="125">
        <v>0</v>
      </c>
      <c r="CQ234" s="125">
        <v>0</v>
      </c>
      <c r="CR234" s="125">
        <v>0</v>
      </c>
      <c r="CS234" s="125">
        <v>0</v>
      </c>
      <c r="CT234" s="125">
        <v>0</v>
      </c>
      <c r="CU234" s="126">
        <v>0</v>
      </c>
    </row>
    <row r="235" spans="1:99" x14ac:dyDescent="0.25">
      <c r="A235" t="s">
        <v>242</v>
      </c>
      <c r="B235" s="2" t="s">
        <v>4</v>
      </c>
      <c r="C235" s="1">
        <v>22797</v>
      </c>
      <c r="D235" s="19">
        <v>134.814285714286</v>
      </c>
      <c r="E235" s="18">
        <v>0</v>
      </c>
      <c r="F235" s="19">
        <v>0</v>
      </c>
      <c r="G235" s="19">
        <v>0</v>
      </c>
      <c r="H235" s="19">
        <v>0</v>
      </c>
      <c r="I235" s="19">
        <f>SUM(E235:H235)/Variables!$E$3</f>
        <v>0</v>
      </c>
      <c r="J235" s="4">
        <v>0</v>
      </c>
      <c r="K235">
        <v>3163</v>
      </c>
      <c r="L235">
        <v>136313</v>
      </c>
      <c r="M235">
        <v>6475</v>
      </c>
      <c r="N235" s="6">
        <f>SUM(J235:M235)/Variables!$E$3</f>
        <v>0.11555990150357486</v>
      </c>
      <c r="O235" s="4">
        <v>0</v>
      </c>
      <c r="P235">
        <v>0</v>
      </c>
      <c r="Q235">
        <v>9297</v>
      </c>
      <c r="R235">
        <v>0</v>
      </c>
      <c r="S235" s="6">
        <f>SUM(O235:R235)/Variables!$E$3</f>
        <v>7.361103413328688E-3</v>
      </c>
      <c r="T235" s="12">
        <v>0</v>
      </c>
      <c r="U235" s="6">
        <v>0</v>
      </c>
      <c r="V235" s="6">
        <v>42862.1</v>
      </c>
      <c r="W235" s="6">
        <v>490.6</v>
      </c>
      <c r="X235" s="6">
        <f>SUM(T235:W235)/Variables!$E$3</f>
        <v>3.4325449924385777E-2</v>
      </c>
      <c r="Y235" s="12">
        <v>0</v>
      </c>
      <c r="Z235" s="6">
        <v>0</v>
      </c>
      <c r="AA235" s="6">
        <v>41036.9</v>
      </c>
      <c r="AB235" s="6">
        <v>478.2</v>
      </c>
      <c r="AC235" s="6">
        <f>SUM(Y235:AB235)/Variables!$E$3</f>
        <v>3.2870489869278458E-2</v>
      </c>
      <c r="AD235" s="4">
        <v>0</v>
      </c>
      <c r="AE235" s="2">
        <v>0</v>
      </c>
      <c r="AF235" s="2">
        <v>25061.7</v>
      </c>
      <c r="AG235" s="2">
        <v>1825.1</v>
      </c>
      <c r="AH235" s="6">
        <f>SUM(AD235:AG235)/Variables!$E$3</f>
        <v>2.128821289163018E-2</v>
      </c>
      <c r="AI235" s="4">
        <v>0</v>
      </c>
      <c r="AJ235" s="2">
        <v>0</v>
      </c>
      <c r="AK235" s="2">
        <v>23846.2</v>
      </c>
      <c r="AL235" s="2">
        <v>66.199999999999804</v>
      </c>
      <c r="AM235" s="6">
        <f>SUM(AI235:AL235)/Variables!$E$3</f>
        <v>1.8933166533385063E-2</v>
      </c>
      <c r="AN235" s="4">
        <v>0</v>
      </c>
      <c r="AO235" s="2">
        <v>0</v>
      </c>
      <c r="AP235" s="2">
        <v>25706.1</v>
      </c>
      <c r="AQ235" s="2">
        <v>2094</v>
      </c>
      <c r="AR235" s="6">
        <f>SUM(AN235:AQ235)/Variables!$E$3</f>
        <v>2.2011338173698918E-2</v>
      </c>
      <c r="AS235" s="4">
        <v>0</v>
      </c>
      <c r="AT235" s="2">
        <v>0</v>
      </c>
      <c r="AU235" s="2">
        <v>43944.3</v>
      </c>
      <c r="AV235" s="2">
        <v>3156.1</v>
      </c>
      <c r="AW235" s="6">
        <f>SUM(AS235:AV235)/Variables!$E$3</f>
        <v>3.7292773497810752E-2</v>
      </c>
      <c r="AX235" s="4">
        <v>0</v>
      </c>
      <c r="AY235" s="2">
        <v>0</v>
      </c>
      <c r="AZ235" s="2">
        <v>31668.799999999999</v>
      </c>
      <c r="BA235" s="2">
        <v>2738.2</v>
      </c>
      <c r="BB235" s="6">
        <f>SUM(AX235:BA235)/Variables!$E$3</f>
        <v>2.7242495981757577E-2</v>
      </c>
      <c r="BC235" s="12">
        <f t="shared" si="58"/>
        <v>0</v>
      </c>
      <c r="BD235" s="110">
        <f t="shared" si="58"/>
        <v>0</v>
      </c>
      <c r="BE235" s="110">
        <f t="shared" si="58"/>
        <v>41036.9</v>
      </c>
      <c r="BF235" s="110">
        <f t="shared" si="58"/>
        <v>478.2</v>
      </c>
      <c r="BG235" s="6">
        <f>SUM(BC235:BF235)/Variables!$E$3</f>
        <v>3.2870489869278458E-2</v>
      </c>
      <c r="BH235" s="4">
        <v>0</v>
      </c>
      <c r="BI235">
        <v>0</v>
      </c>
      <c r="BJ235">
        <v>30268</v>
      </c>
      <c r="BK235">
        <v>168.400000000001</v>
      </c>
      <c r="BL235" s="6">
        <f>SUM(BH235:BK235)/Variables!$E$3</f>
        <v>2.4098686450407369E-2</v>
      </c>
      <c r="BM235" s="110">
        <v>0</v>
      </c>
      <c r="BN235" s="110">
        <v>0</v>
      </c>
      <c r="BO235" s="110">
        <v>32218.6</v>
      </c>
      <c r="BP235" s="110">
        <v>2581.1</v>
      </c>
      <c r="BQ235" s="6">
        <f>SUM(BM235:BP235)/Variables!$E$3</f>
        <v>2.7553424809380913E-2</v>
      </c>
      <c r="BS235" s="4">
        <v>233</v>
      </c>
      <c r="BT235" s="125">
        <f t="shared" si="45"/>
        <v>0</v>
      </c>
      <c r="BU235" s="125">
        <f t="shared" si="46"/>
        <v>0</v>
      </c>
      <c r="BV235" s="125">
        <f t="shared" si="47"/>
        <v>0</v>
      </c>
      <c r="BW235" s="125">
        <f t="shared" si="48"/>
        <v>0</v>
      </c>
      <c r="BX235" s="125">
        <f t="shared" si="49"/>
        <v>0</v>
      </c>
      <c r="BY235" s="125">
        <f t="shared" si="50"/>
        <v>0</v>
      </c>
      <c r="BZ235" s="125">
        <f t="shared" si="51"/>
        <v>0</v>
      </c>
      <c r="CA235" s="125">
        <f t="shared" si="52"/>
        <v>0</v>
      </c>
      <c r="CB235" s="125">
        <f t="shared" si="53"/>
        <v>0</v>
      </c>
      <c r="CC235" s="125">
        <f t="shared" si="54"/>
        <v>0</v>
      </c>
      <c r="CD235" s="125">
        <f t="shared" si="55"/>
        <v>0</v>
      </c>
      <c r="CE235" s="125">
        <f t="shared" si="56"/>
        <v>0</v>
      </c>
      <c r="CF235" s="126">
        <f t="shared" si="57"/>
        <v>0</v>
      </c>
      <c r="CH235" s="4">
        <v>233</v>
      </c>
      <c r="CI235" s="129">
        <v>0</v>
      </c>
      <c r="CJ235" s="125">
        <v>0</v>
      </c>
      <c r="CK235" s="125">
        <v>0</v>
      </c>
      <c r="CL235" s="125">
        <v>0</v>
      </c>
      <c r="CM235" s="125">
        <v>0</v>
      </c>
      <c r="CN235" s="125">
        <v>0</v>
      </c>
      <c r="CO235" s="125">
        <v>0</v>
      </c>
      <c r="CP235" s="125">
        <v>0</v>
      </c>
      <c r="CQ235" s="125">
        <v>0</v>
      </c>
      <c r="CR235" s="125">
        <v>0</v>
      </c>
      <c r="CS235" s="125">
        <v>0</v>
      </c>
      <c r="CT235" s="125">
        <v>0</v>
      </c>
      <c r="CU235" s="126">
        <v>0</v>
      </c>
    </row>
    <row r="236" spans="1:99" x14ac:dyDescent="0.25">
      <c r="A236" t="s">
        <v>242</v>
      </c>
      <c r="B236" s="2" t="s">
        <v>1</v>
      </c>
      <c r="C236" s="1">
        <v>22889</v>
      </c>
      <c r="D236" s="19">
        <v>65.585714285714303</v>
      </c>
      <c r="E236" s="18">
        <v>0</v>
      </c>
      <c r="F236" s="19">
        <v>0</v>
      </c>
      <c r="G236" s="19">
        <v>0</v>
      </c>
      <c r="H236" s="19">
        <v>0</v>
      </c>
      <c r="I236" s="19">
        <f>SUM(E236:H236)/Variables!$E$3</f>
        <v>0</v>
      </c>
      <c r="J236" s="4">
        <v>0</v>
      </c>
      <c r="K236">
        <v>0</v>
      </c>
      <c r="L236">
        <v>0</v>
      </c>
      <c r="M236">
        <v>0</v>
      </c>
      <c r="N236" s="6">
        <f>SUM(J236:M236)/Variables!$E$3</f>
        <v>0</v>
      </c>
      <c r="O236" s="4">
        <v>0</v>
      </c>
      <c r="P236">
        <v>0</v>
      </c>
      <c r="Q236">
        <v>0</v>
      </c>
      <c r="R236">
        <v>0</v>
      </c>
      <c r="S236" s="6">
        <f>SUM(O236:R236)/Variables!$E$3</f>
        <v>0</v>
      </c>
      <c r="T236" s="12">
        <v>0</v>
      </c>
      <c r="U236" s="6">
        <v>0</v>
      </c>
      <c r="V236" s="6">
        <v>0</v>
      </c>
      <c r="W236" s="6">
        <v>0</v>
      </c>
      <c r="X236" s="6">
        <f>SUM(T236:W236)/Variables!$E$3</f>
        <v>0</v>
      </c>
      <c r="Y236" s="12">
        <v>0</v>
      </c>
      <c r="Z236" s="6">
        <v>0</v>
      </c>
      <c r="AA236" s="6">
        <v>0</v>
      </c>
      <c r="AB236" s="6">
        <v>0</v>
      </c>
      <c r="AC236" s="6">
        <f>SUM(Y236:AB236)/Variables!$E$3</f>
        <v>0</v>
      </c>
      <c r="AD236" s="4">
        <v>0</v>
      </c>
      <c r="AE236" s="2">
        <v>0</v>
      </c>
      <c r="AF236" s="2">
        <v>0</v>
      </c>
      <c r="AG236" s="2">
        <v>0</v>
      </c>
      <c r="AH236" s="6">
        <f>SUM(AD236:AG236)/Variables!$E$3</f>
        <v>0</v>
      </c>
      <c r="AI236" s="4">
        <v>0</v>
      </c>
      <c r="AJ236" s="2">
        <v>0</v>
      </c>
      <c r="AK236" s="2">
        <v>0</v>
      </c>
      <c r="AL236" s="2">
        <v>0</v>
      </c>
      <c r="AM236" s="6">
        <f>SUM(AI236:AL236)/Variables!$E$3</f>
        <v>0</v>
      </c>
      <c r="AN236" s="4">
        <v>0</v>
      </c>
      <c r="AO236" s="2">
        <v>0</v>
      </c>
      <c r="AP236" s="2">
        <v>0</v>
      </c>
      <c r="AQ236" s="2">
        <v>0</v>
      </c>
      <c r="AR236" s="6">
        <f>SUM(AN236:AQ236)/Variables!$E$3</f>
        <v>0</v>
      </c>
      <c r="AS236" s="4">
        <v>0</v>
      </c>
      <c r="AT236" s="2">
        <v>0</v>
      </c>
      <c r="AU236" s="2">
        <v>0</v>
      </c>
      <c r="AV236" s="2">
        <v>0</v>
      </c>
      <c r="AW236" s="6">
        <f>SUM(AS236:AV236)/Variables!$E$3</f>
        <v>0</v>
      </c>
      <c r="AX236" s="4">
        <v>0</v>
      </c>
      <c r="AY236" s="2">
        <v>0</v>
      </c>
      <c r="AZ236" s="2">
        <v>0</v>
      </c>
      <c r="BA236" s="2">
        <v>0</v>
      </c>
      <c r="BB236" s="6">
        <f>SUM(AX236:BA236)/Variables!$E$3</f>
        <v>0</v>
      </c>
      <c r="BC236" s="12">
        <f t="shared" si="58"/>
        <v>0</v>
      </c>
      <c r="BD236" s="110">
        <f t="shared" si="58"/>
        <v>0</v>
      </c>
      <c r="BE236" s="110">
        <f t="shared" si="58"/>
        <v>0</v>
      </c>
      <c r="BF236" s="110">
        <f t="shared" si="58"/>
        <v>0</v>
      </c>
      <c r="BG236" s="6">
        <f>SUM(BC236:BF236)/Variables!$E$3</f>
        <v>0</v>
      </c>
      <c r="BH236" s="4">
        <v>0</v>
      </c>
      <c r="BI236">
        <v>0</v>
      </c>
      <c r="BJ236">
        <v>0</v>
      </c>
      <c r="BK236">
        <v>0</v>
      </c>
      <c r="BL236" s="6">
        <f>SUM(BH236:BK236)/Variables!$E$3</f>
        <v>0</v>
      </c>
      <c r="BM236" s="110">
        <v>0</v>
      </c>
      <c r="BN236" s="110">
        <v>0</v>
      </c>
      <c r="BO236" s="110">
        <v>0</v>
      </c>
      <c r="BP236" s="110">
        <v>0</v>
      </c>
      <c r="BQ236" s="6">
        <f>SUM(BM236:BP236)/Variables!$E$3</f>
        <v>0</v>
      </c>
      <c r="BS236" s="4">
        <v>234</v>
      </c>
      <c r="BT236" s="125">
        <f t="shared" si="45"/>
        <v>0</v>
      </c>
      <c r="BU236" s="125">
        <f t="shared" si="46"/>
        <v>0</v>
      </c>
      <c r="BV236" s="125">
        <f t="shared" si="47"/>
        <v>0</v>
      </c>
      <c r="BW236" s="125">
        <f t="shared" si="48"/>
        <v>0</v>
      </c>
      <c r="BX236" s="125">
        <f t="shared" si="49"/>
        <v>0</v>
      </c>
      <c r="BY236" s="125">
        <f t="shared" si="50"/>
        <v>0</v>
      </c>
      <c r="BZ236" s="125">
        <f t="shared" si="51"/>
        <v>0</v>
      </c>
      <c r="CA236" s="125">
        <f t="shared" si="52"/>
        <v>0</v>
      </c>
      <c r="CB236" s="125">
        <f t="shared" si="53"/>
        <v>0</v>
      </c>
      <c r="CC236" s="125">
        <f t="shared" si="54"/>
        <v>0</v>
      </c>
      <c r="CD236" s="125">
        <f t="shared" si="55"/>
        <v>0</v>
      </c>
      <c r="CE236" s="125">
        <f t="shared" si="56"/>
        <v>0</v>
      </c>
      <c r="CF236" s="126">
        <f t="shared" si="57"/>
        <v>0</v>
      </c>
      <c r="CH236" s="4">
        <v>234</v>
      </c>
      <c r="CI236" s="129">
        <v>0</v>
      </c>
      <c r="CJ236" s="125">
        <v>0</v>
      </c>
      <c r="CK236" s="125">
        <v>0</v>
      </c>
      <c r="CL236" s="125">
        <v>0</v>
      </c>
      <c r="CM236" s="125">
        <v>0</v>
      </c>
      <c r="CN236" s="125">
        <v>0</v>
      </c>
      <c r="CO236" s="125">
        <v>0</v>
      </c>
      <c r="CP236" s="125">
        <v>0</v>
      </c>
      <c r="CQ236" s="125">
        <v>0</v>
      </c>
      <c r="CR236" s="125">
        <v>0</v>
      </c>
      <c r="CS236" s="125">
        <v>0</v>
      </c>
      <c r="CT236" s="125">
        <v>0</v>
      </c>
      <c r="CU236" s="126">
        <v>0</v>
      </c>
    </row>
    <row r="237" spans="1:99" x14ac:dyDescent="0.25">
      <c r="A237" t="s">
        <v>242</v>
      </c>
      <c r="B237" s="2" t="s">
        <v>2</v>
      </c>
      <c r="C237" s="1">
        <v>22980</v>
      </c>
      <c r="D237" s="19">
        <v>58.485714285714302</v>
      </c>
      <c r="E237" s="18">
        <v>0</v>
      </c>
      <c r="F237" s="19">
        <v>0</v>
      </c>
      <c r="G237" s="19">
        <v>0</v>
      </c>
      <c r="H237" s="19">
        <v>0</v>
      </c>
      <c r="I237" s="19">
        <f>SUM(E237:H237)/Variables!$E$3</f>
        <v>0</v>
      </c>
      <c r="J237" s="4">
        <v>0</v>
      </c>
      <c r="K237">
        <v>0</v>
      </c>
      <c r="L237">
        <v>0</v>
      </c>
      <c r="M237">
        <v>0</v>
      </c>
      <c r="N237" s="6">
        <f>SUM(J237:M237)/Variables!$E$3</f>
        <v>0</v>
      </c>
      <c r="O237" s="4">
        <v>0</v>
      </c>
      <c r="P237">
        <v>0</v>
      </c>
      <c r="Q237">
        <v>0</v>
      </c>
      <c r="R237">
        <v>0</v>
      </c>
      <c r="S237" s="6">
        <f>SUM(O237:R237)/Variables!$E$3</f>
        <v>0</v>
      </c>
      <c r="T237" s="12">
        <v>0</v>
      </c>
      <c r="U237" s="6">
        <v>0</v>
      </c>
      <c r="V237" s="6">
        <v>0</v>
      </c>
      <c r="W237" s="6">
        <v>0</v>
      </c>
      <c r="X237" s="6">
        <f>SUM(T237:W237)/Variables!$E$3</f>
        <v>0</v>
      </c>
      <c r="Y237" s="12">
        <v>0</v>
      </c>
      <c r="Z237" s="6">
        <v>0</v>
      </c>
      <c r="AA237" s="6">
        <v>0</v>
      </c>
      <c r="AB237" s="6">
        <v>0</v>
      </c>
      <c r="AC237" s="6">
        <f>SUM(Y237:AB237)/Variables!$E$3</f>
        <v>0</v>
      </c>
      <c r="AD237" s="4">
        <v>0</v>
      </c>
      <c r="AE237" s="2">
        <v>0</v>
      </c>
      <c r="AF237" s="2">
        <v>0</v>
      </c>
      <c r="AG237" s="2">
        <v>0</v>
      </c>
      <c r="AH237" s="6">
        <f>SUM(AD237:AG237)/Variables!$E$3</f>
        <v>0</v>
      </c>
      <c r="AI237" s="4">
        <v>0</v>
      </c>
      <c r="AJ237" s="2">
        <v>0</v>
      </c>
      <c r="AK237" s="2">
        <v>0</v>
      </c>
      <c r="AL237" s="2">
        <v>0</v>
      </c>
      <c r="AM237" s="6">
        <f>SUM(AI237:AL237)/Variables!$E$3</f>
        <v>0</v>
      </c>
      <c r="AN237" s="4">
        <v>0</v>
      </c>
      <c r="AO237" s="2">
        <v>0</v>
      </c>
      <c r="AP237" s="2">
        <v>0</v>
      </c>
      <c r="AQ237" s="2">
        <v>0</v>
      </c>
      <c r="AR237" s="6">
        <f>SUM(AN237:AQ237)/Variables!$E$3</f>
        <v>0</v>
      </c>
      <c r="AS237" s="4">
        <v>0</v>
      </c>
      <c r="AT237" s="2">
        <v>0</v>
      </c>
      <c r="AU237" s="2">
        <v>0</v>
      </c>
      <c r="AV237" s="2">
        <v>0</v>
      </c>
      <c r="AW237" s="6">
        <f>SUM(AS237:AV237)/Variables!$E$3</f>
        <v>0</v>
      </c>
      <c r="AX237" s="4">
        <v>0</v>
      </c>
      <c r="AY237" s="2">
        <v>0</v>
      </c>
      <c r="AZ237" s="2">
        <v>0</v>
      </c>
      <c r="BA237" s="2">
        <v>0</v>
      </c>
      <c r="BB237" s="6">
        <f>SUM(AX237:BA237)/Variables!$E$3</f>
        <v>0</v>
      </c>
      <c r="BC237" s="12">
        <f t="shared" si="58"/>
        <v>0</v>
      </c>
      <c r="BD237" s="110">
        <f t="shared" si="58"/>
        <v>0</v>
      </c>
      <c r="BE237" s="110">
        <f t="shared" si="58"/>
        <v>0</v>
      </c>
      <c r="BF237" s="110">
        <f t="shared" si="58"/>
        <v>0</v>
      </c>
      <c r="BG237" s="6">
        <f>SUM(BC237:BF237)/Variables!$E$3</f>
        <v>0</v>
      </c>
      <c r="BH237" s="4">
        <v>0</v>
      </c>
      <c r="BI237">
        <v>0</v>
      </c>
      <c r="BJ237">
        <v>0</v>
      </c>
      <c r="BK237">
        <v>0</v>
      </c>
      <c r="BL237" s="6">
        <f>SUM(BH237:BK237)/Variables!$E$3</f>
        <v>0</v>
      </c>
      <c r="BM237" s="110">
        <v>0</v>
      </c>
      <c r="BN237" s="110">
        <v>0</v>
      </c>
      <c r="BO237" s="110">
        <v>0</v>
      </c>
      <c r="BP237" s="110">
        <v>0</v>
      </c>
      <c r="BQ237" s="6">
        <f>SUM(BM237:BP237)/Variables!$E$3</f>
        <v>0</v>
      </c>
      <c r="BS237" s="4">
        <v>235</v>
      </c>
      <c r="BT237" s="125">
        <f t="shared" si="45"/>
        <v>0</v>
      </c>
      <c r="BU237" s="125">
        <f t="shared" si="46"/>
        <v>0.12800338878375916</v>
      </c>
      <c r="BV237" s="125">
        <f t="shared" si="47"/>
        <v>5.4109692079905621E-3</v>
      </c>
      <c r="BW237" s="125">
        <f t="shared" si="48"/>
        <v>3.8123500581952359E-2</v>
      </c>
      <c r="BX237" s="125">
        <f t="shared" si="49"/>
        <v>3.7162368664835035E-2</v>
      </c>
      <c r="BY237" s="125">
        <f t="shared" si="50"/>
        <v>2.4811914583646739E-2</v>
      </c>
      <c r="BZ237" s="125">
        <f t="shared" si="51"/>
        <v>2.0480051306819531E-2</v>
      </c>
      <c r="CA237" s="125">
        <f t="shared" si="52"/>
        <v>2.4122677139169747E-2</v>
      </c>
      <c r="CB237" s="125">
        <f t="shared" si="53"/>
        <v>4.2355838130151466E-2</v>
      </c>
      <c r="CC237" s="125">
        <f t="shared" si="54"/>
        <v>2.8969192155123953E-2</v>
      </c>
      <c r="CD237" s="125">
        <f t="shared" si="55"/>
        <v>3.7162368664835035E-2</v>
      </c>
      <c r="CE237" s="125">
        <f t="shared" si="56"/>
        <v>2.5863546029659776E-2</v>
      </c>
      <c r="CF237" s="126">
        <f t="shared" si="57"/>
        <v>3.0847433471365569E-2</v>
      </c>
      <c r="CH237" s="4">
        <v>235</v>
      </c>
      <c r="CI237" s="129">
        <v>0</v>
      </c>
      <c r="CJ237" s="125">
        <v>0.11961694075170824</v>
      </c>
      <c r="CK237" s="125">
        <v>0</v>
      </c>
      <c r="CL237" s="125">
        <v>0</v>
      </c>
      <c r="CM237" s="125">
        <v>0</v>
      </c>
      <c r="CN237" s="125">
        <v>0</v>
      </c>
      <c r="CO237" s="125">
        <v>0</v>
      </c>
      <c r="CP237" s="125">
        <v>0</v>
      </c>
      <c r="CQ237" s="125">
        <v>0</v>
      </c>
      <c r="CR237" s="125">
        <v>0</v>
      </c>
      <c r="CS237" s="125">
        <v>0</v>
      </c>
      <c r="CT237" s="125">
        <v>0</v>
      </c>
      <c r="CU237" s="126">
        <v>0</v>
      </c>
    </row>
    <row r="238" spans="1:99" x14ac:dyDescent="0.25">
      <c r="A238" t="s">
        <v>243</v>
      </c>
      <c r="B238" s="2" t="s">
        <v>3</v>
      </c>
      <c r="C238" s="1">
        <v>23070</v>
      </c>
      <c r="D238" s="19">
        <v>263.27857142857101</v>
      </c>
      <c r="E238" s="18">
        <v>0</v>
      </c>
      <c r="F238" s="19">
        <v>0</v>
      </c>
      <c r="G238" s="19">
        <v>0</v>
      </c>
      <c r="H238" s="19">
        <v>0</v>
      </c>
      <c r="I238" s="19">
        <f>SUM(E238:H238)/Variables!$E$3</f>
        <v>0</v>
      </c>
      <c r="J238" s="4">
        <v>758</v>
      </c>
      <c r="K238">
        <v>7479</v>
      </c>
      <c r="L238">
        <v>136618</v>
      </c>
      <c r="M238">
        <v>16812</v>
      </c>
      <c r="N238" s="6">
        <f>SUM(J238:M238)/Variables!$E$3</f>
        <v>0.12800338878375916</v>
      </c>
      <c r="O238" s="4">
        <v>0</v>
      </c>
      <c r="P238">
        <v>0</v>
      </c>
      <c r="Q238">
        <v>5938</v>
      </c>
      <c r="R238">
        <v>896</v>
      </c>
      <c r="S238" s="6">
        <f>SUM(O238:R238)/Variables!$E$3</f>
        <v>5.4109692079905621E-3</v>
      </c>
      <c r="T238" s="12">
        <v>0</v>
      </c>
      <c r="U238" s="6">
        <v>0</v>
      </c>
      <c r="V238" s="6">
        <v>43920.800000000003</v>
      </c>
      <c r="W238" s="6">
        <v>4228.8</v>
      </c>
      <c r="X238" s="6">
        <f>SUM(T238:W238)/Variables!$E$3</f>
        <v>3.8123500581952359E-2</v>
      </c>
      <c r="Y238" s="12">
        <v>0</v>
      </c>
      <c r="Z238" s="6">
        <v>0</v>
      </c>
      <c r="AA238" s="6">
        <v>42604.4</v>
      </c>
      <c r="AB238" s="6">
        <v>4331.3</v>
      </c>
      <c r="AC238" s="6">
        <f>SUM(Y238:AB238)/Variables!$E$3</f>
        <v>3.7162368664835035E-2</v>
      </c>
      <c r="AD238" s="4">
        <v>0</v>
      </c>
      <c r="AE238" s="2">
        <v>0</v>
      </c>
      <c r="AF238" s="2">
        <v>26244.1</v>
      </c>
      <c r="AG238" s="2">
        <v>5093.1000000000004</v>
      </c>
      <c r="AH238" s="6">
        <f>SUM(AD238:AG238)/Variables!$E$3</f>
        <v>2.4811914583646739E-2</v>
      </c>
      <c r="AI238" s="4">
        <v>0</v>
      </c>
      <c r="AJ238" s="2">
        <v>0</v>
      </c>
      <c r="AK238" s="2">
        <v>23817.1</v>
      </c>
      <c r="AL238" s="2">
        <v>2049</v>
      </c>
      <c r="AM238" s="6">
        <f>SUM(AI238:AL238)/Variables!$E$3</f>
        <v>2.0480051306819531E-2</v>
      </c>
      <c r="AN238" s="4">
        <v>0</v>
      </c>
      <c r="AO238" s="2">
        <v>0</v>
      </c>
      <c r="AP238" s="2">
        <v>25402</v>
      </c>
      <c r="AQ238" s="2">
        <v>5064.7</v>
      </c>
      <c r="AR238" s="6">
        <f>SUM(AN238:AQ238)/Variables!$E$3</f>
        <v>2.4122677139169747E-2</v>
      </c>
      <c r="AS238" s="4">
        <v>0</v>
      </c>
      <c r="AT238" s="2">
        <v>0</v>
      </c>
      <c r="AU238" s="2">
        <v>45133.9</v>
      </c>
      <c r="AV238" s="2">
        <v>8361.1</v>
      </c>
      <c r="AW238" s="6">
        <f>SUM(AS238:AV238)/Variables!$E$3</f>
        <v>4.2355838130151466E-2</v>
      </c>
      <c r="AX238" s="4">
        <v>0</v>
      </c>
      <c r="AY238" s="2">
        <v>0</v>
      </c>
      <c r="AZ238" s="2">
        <v>30503.4</v>
      </c>
      <c r="BA238" s="2">
        <v>6084.4</v>
      </c>
      <c r="BB238" s="6">
        <f>SUM(AX238:BA238)/Variables!$E$3</f>
        <v>2.8969192155123953E-2</v>
      </c>
      <c r="BC238" s="12">
        <f t="shared" si="58"/>
        <v>0</v>
      </c>
      <c r="BD238" s="110">
        <f t="shared" si="58"/>
        <v>0</v>
      </c>
      <c r="BE238" s="110">
        <f t="shared" si="58"/>
        <v>42604.4</v>
      </c>
      <c r="BF238" s="110">
        <f t="shared" si="58"/>
        <v>4331.3</v>
      </c>
      <c r="BG238" s="6">
        <f>SUM(BC238:BF238)/Variables!$E$3</f>
        <v>3.7162368664835035E-2</v>
      </c>
      <c r="BH238" s="4">
        <v>0</v>
      </c>
      <c r="BI238">
        <v>0</v>
      </c>
      <c r="BJ238">
        <v>29302.9</v>
      </c>
      <c r="BK238">
        <v>3362.5</v>
      </c>
      <c r="BL238" s="6">
        <f>SUM(BH238:BK238)/Variables!$E$3</f>
        <v>2.5863546029659776E-2</v>
      </c>
      <c r="BM238" s="110">
        <v>0</v>
      </c>
      <c r="BN238" s="110">
        <v>0</v>
      </c>
      <c r="BO238" s="110">
        <v>32836.6</v>
      </c>
      <c r="BP238" s="110">
        <v>6123.4</v>
      </c>
      <c r="BQ238" s="6">
        <f>SUM(BM238:BP238)/Variables!$E$3</f>
        <v>3.0847433471365569E-2</v>
      </c>
      <c r="BS238" s="4">
        <v>236</v>
      </c>
      <c r="BT238" s="125">
        <f t="shared" si="45"/>
        <v>0</v>
      </c>
      <c r="BU238" s="125">
        <f t="shared" si="46"/>
        <v>0.35136066002106114</v>
      </c>
      <c r="BV238" s="125">
        <f t="shared" si="47"/>
        <v>7.2750378071085281E-2</v>
      </c>
      <c r="BW238" s="125">
        <f t="shared" si="48"/>
        <v>0.15972050451705871</v>
      </c>
      <c r="BX238" s="125">
        <f t="shared" si="49"/>
        <v>0.15825350952897491</v>
      </c>
      <c r="BY238" s="125">
        <f t="shared" si="50"/>
        <v>0.13851716957378921</v>
      </c>
      <c r="BZ238" s="125">
        <f t="shared" si="51"/>
        <v>0.12109517890086226</v>
      </c>
      <c r="CA238" s="125">
        <f t="shared" si="52"/>
        <v>0.13258244324974863</v>
      </c>
      <c r="CB238" s="125">
        <f t="shared" si="53"/>
        <v>0.17783798763252281</v>
      </c>
      <c r="CC238" s="125">
        <f t="shared" si="54"/>
        <v>0.14112811661216637</v>
      </c>
      <c r="CD238" s="125">
        <f t="shared" si="55"/>
        <v>0.15825350952897491</v>
      </c>
      <c r="CE238" s="125">
        <f t="shared" si="56"/>
        <v>0.13690195488483678</v>
      </c>
      <c r="CF238" s="126">
        <f t="shared" si="57"/>
        <v>0.14389298410913784</v>
      </c>
      <c r="CH238" s="4">
        <v>236</v>
      </c>
      <c r="CI238" s="129">
        <v>0</v>
      </c>
      <c r="CJ238" s="125">
        <v>0.35778668081299142</v>
      </c>
      <c r="CK238" s="125">
        <v>0</v>
      </c>
      <c r="CL238" s="125">
        <v>7.6121861614106209E-2</v>
      </c>
      <c r="CM238" s="125">
        <v>7.5615285948423983E-2</v>
      </c>
      <c r="CN238" s="125">
        <v>6.0951076413906687E-2</v>
      </c>
      <c r="CO238" s="125">
        <v>7.2011654882461459E-2</v>
      </c>
      <c r="CP238" s="125">
        <v>7.4374935668532607E-2</v>
      </c>
      <c r="CQ238" s="125">
        <v>9.1329622562332236E-2</v>
      </c>
      <c r="CR238" s="125">
        <v>5.7445823007308057E-2</v>
      </c>
      <c r="CS238" s="125">
        <v>7.5615285948423983E-2</v>
      </c>
      <c r="CT238" s="125">
        <v>5.7218267761423296E-2</v>
      </c>
      <c r="CU238" s="126">
        <v>6.9030079414722209E-2</v>
      </c>
    </row>
    <row r="239" spans="1:99" x14ac:dyDescent="0.25">
      <c r="A239" t="s">
        <v>243</v>
      </c>
      <c r="B239" s="2" t="s">
        <v>4</v>
      </c>
      <c r="C239" s="1">
        <v>23162</v>
      </c>
      <c r="D239" s="19">
        <v>163.854761904762</v>
      </c>
      <c r="E239" s="18">
        <v>0</v>
      </c>
      <c r="F239" s="19">
        <v>0</v>
      </c>
      <c r="G239" s="19">
        <v>0</v>
      </c>
      <c r="H239" s="19">
        <v>0</v>
      </c>
      <c r="I239" s="19">
        <f>SUM(E239:H239)/Variables!$E$3</f>
        <v>0</v>
      </c>
      <c r="J239" s="4">
        <v>24064</v>
      </c>
      <c r="K239">
        <v>31725</v>
      </c>
      <c r="L239">
        <v>326001</v>
      </c>
      <c r="M239">
        <v>61975</v>
      </c>
      <c r="N239" s="6">
        <f>SUM(J239:M239)/Variables!$E$3</f>
        <v>0.35136066002106114</v>
      </c>
      <c r="O239" s="4">
        <v>0</v>
      </c>
      <c r="P239">
        <v>703</v>
      </c>
      <c r="Q239">
        <v>72462</v>
      </c>
      <c r="R239">
        <v>18718</v>
      </c>
      <c r="S239" s="6">
        <f>SUM(O239:R239)/Variables!$E$3</f>
        <v>7.2750378071085281E-2</v>
      </c>
      <c r="T239" s="12">
        <v>1117.2</v>
      </c>
      <c r="U239" s="6">
        <v>4066.8</v>
      </c>
      <c r="V239" s="6">
        <v>164553.60000000001</v>
      </c>
      <c r="W239" s="6">
        <v>31987.8</v>
      </c>
      <c r="X239" s="6">
        <f>SUM(T239:W239)/Variables!$E$3</f>
        <v>0.15972050451705871</v>
      </c>
      <c r="Y239" s="12">
        <v>1134.5999999999999</v>
      </c>
      <c r="Z239" s="6">
        <v>4084.4</v>
      </c>
      <c r="AA239" s="6">
        <v>162573.5</v>
      </c>
      <c r="AB239" s="6">
        <v>32080.1</v>
      </c>
      <c r="AC239" s="6">
        <f>SUM(Y239:AB239)/Variables!$E$3</f>
        <v>0.15825350952897491</v>
      </c>
      <c r="AD239" s="4">
        <v>1781.5</v>
      </c>
      <c r="AE239" s="2">
        <v>4952.6000000000004</v>
      </c>
      <c r="AF239" s="2">
        <v>141228.70000000001</v>
      </c>
      <c r="AG239" s="2">
        <v>26983</v>
      </c>
      <c r="AH239" s="6">
        <f>SUM(AD239:AG239)/Variables!$E$3</f>
        <v>0.13851716957378921</v>
      </c>
      <c r="AI239" s="4">
        <v>746.400000000001</v>
      </c>
      <c r="AJ239" s="2">
        <v>3161.6</v>
      </c>
      <c r="AK239" s="2">
        <v>127970.3</v>
      </c>
      <c r="AL239" s="2">
        <v>21063.7</v>
      </c>
      <c r="AM239" s="6">
        <f>SUM(AI239:AL239)/Variables!$E$3</f>
        <v>0.12109517890086226</v>
      </c>
      <c r="AN239" s="4">
        <v>885.900000000001</v>
      </c>
      <c r="AO239" s="2">
        <v>3392.2</v>
      </c>
      <c r="AP239" s="2">
        <v>133439.5</v>
      </c>
      <c r="AQ239" s="2">
        <v>29732.7</v>
      </c>
      <c r="AR239" s="6">
        <f>SUM(AN239:AQ239)/Variables!$E$3</f>
        <v>0.13258244324974863</v>
      </c>
      <c r="AS239" s="4">
        <v>3880.2</v>
      </c>
      <c r="AT239" s="2">
        <v>7696.3</v>
      </c>
      <c r="AU239" s="2">
        <v>171551.7</v>
      </c>
      <c r="AV239" s="2">
        <v>41479.4</v>
      </c>
      <c r="AW239" s="6">
        <f>SUM(AS239:AV239)/Variables!$E$3</f>
        <v>0.17783798763252281</v>
      </c>
      <c r="AX239" s="4">
        <v>1128.5999999999999</v>
      </c>
      <c r="AY239" s="2">
        <v>3829</v>
      </c>
      <c r="AZ239" s="2">
        <v>141792.79999999999</v>
      </c>
      <c r="BA239" s="2">
        <v>31493</v>
      </c>
      <c r="BB239" s="6">
        <f>SUM(AX239:BA239)/Variables!$E$3</f>
        <v>0.14112811661216637</v>
      </c>
      <c r="BC239" s="12">
        <f t="shared" si="58"/>
        <v>1134.5999999999999</v>
      </c>
      <c r="BD239" s="110">
        <f t="shared" si="58"/>
        <v>4084.4</v>
      </c>
      <c r="BE239" s="110">
        <f t="shared" si="58"/>
        <v>162573.5</v>
      </c>
      <c r="BF239" s="110">
        <f t="shared" si="58"/>
        <v>32080.1</v>
      </c>
      <c r="BG239" s="6">
        <f>SUM(BC239:BF239)/Variables!$E$3</f>
        <v>0.15825350952897491</v>
      </c>
      <c r="BH239" s="4">
        <v>1285.5999999999999</v>
      </c>
      <c r="BI239">
        <v>4002.3</v>
      </c>
      <c r="BJ239">
        <v>137734.29999999999</v>
      </c>
      <c r="BK239">
        <v>29883.599999999999</v>
      </c>
      <c r="BL239" s="6">
        <f>SUM(BH239:BK239)/Variables!$E$3</f>
        <v>0.13690195488483678</v>
      </c>
      <c r="BM239" s="110">
        <v>1781.2</v>
      </c>
      <c r="BN239" s="110">
        <v>4810.3999999999996</v>
      </c>
      <c r="BO239" s="110">
        <v>144219.79999999999</v>
      </c>
      <c r="BP239" s="110">
        <v>30924</v>
      </c>
      <c r="BQ239" s="6">
        <f>SUM(BM239:BP239)/Variables!$E$3</f>
        <v>0.14389298410913784</v>
      </c>
      <c r="BS239" s="4">
        <v>237</v>
      </c>
      <c r="BT239" s="125">
        <f t="shared" si="45"/>
        <v>0</v>
      </c>
      <c r="BU239" s="125">
        <f t="shared" si="46"/>
        <v>0</v>
      </c>
      <c r="BV239" s="125">
        <f t="shared" si="47"/>
        <v>0</v>
      </c>
      <c r="BW239" s="125">
        <f t="shared" si="48"/>
        <v>0</v>
      </c>
      <c r="BX239" s="125">
        <f t="shared" si="49"/>
        <v>0</v>
      </c>
      <c r="BY239" s="125">
        <f t="shared" si="50"/>
        <v>0</v>
      </c>
      <c r="BZ239" s="125">
        <f t="shared" si="51"/>
        <v>0</v>
      </c>
      <c r="CA239" s="125">
        <f t="shared" si="52"/>
        <v>0</v>
      </c>
      <c r="CB239" s="125">
        <f t="shared" si="53"/>
        <v>0</v>
      </c>
      <c r="CC239" s="125">
        <f t="shared" si="54"/>
        <v>0</v>
      </c>
      <c r="CD239" s="125">
        <f t="shared" si="55"/>
        <v>0</v>
      </c>
      <c r="CE239" s="125">
        <f t="shared" si="56"/>
        <v>0</v>
      </c>
      <c r="CF239" s="126">
        <f t="shared" si="57"/>
        <v>0</v>
      </c>
      <c r="CH239" s="4">
        <v>237</v>
      </c>
      <c r="CI239" s="129">
        <v>0</v>
      </c>
      <c r="CJ239" s="125">
        <v>0</v>
      </c>
      <c r="CK239" s="125">
        <v>0</v>
      </c>
      <c r="CL239" s="125">
        <v>0</v>
      </c>
      <c r="CM239" s="125">
        <v>0</v>
      </c>
      <c r="CN239" s="125">
        <v>0</v>
      </c>
      <c r="CO239" s="125">
        <v>0</v>
      </c>
      <c r="CP239" s="125">
        <v>0</v>
      </c>
      <c r="CQ239" s="125">
        <v>0</v>
      </c>
      <c r="CR239" s="125">
        <v>0</v>
      </c>
      <c r="CS239" s="125">
        <v>0</v>
      </c>
      <c r="CT239" s="125">
        <v>0</v>
      </c>
      <c r="CU239" s="126">
        <v>0</v>
      </c>
    </row>
    <row r="240" spans="1:99" x14ac:dyDescent="0.25">
      <c r="A240" t="s">
        <v>243</v>
      </c>
      <c r="B240" s="2" t="s">
        <v>1</v>
      </c>
      <c r="C240" s="1">
        <v>23254</v>
      </c>
      <c r="D240" s="19">
        <v>31.328571428571401</v>
      </c>
      <c r="E240" s="18">
        <v>0</v>
      </c>
      <c r="F240" s="19">
        <v>0</v>
      </c>
      <c r="G240" s="19">
        <v>0</v>
      </c>
      <c r="H240" s="19">
        <v>0</v>
      </c>
      <c r="I240" s="19">
        <f>SUM(E240:H240)/Variables!$E$3</f>
        <v>0</v>
      </c>
      <c r="J240" s="4">
        <v>0</v>
      </c>
      <c r="K240">
        <v>0</v>
      </c>
      <c r="L240">
        <v>0</v>
      </c>
      <c r="M240">
        <v>0</v>
      </c>
      <c r="N240" s="6">
        <f>SUM(J240:M240)/Variables!$E$3</f>
        <v>0</v>
      </c>
      <c r="O240" s="4">
        <v>0</v>
      </c>
      <c r="P240">
        <v>0</v>
      </c>
      <c r="Q240">
        <v>0</v>
      </c>
      <c r="R240">
        <v>0</v>
      </c>
      <c r="S240" s="6">
        <f>SUM(O240:R240)/Variables!$E$3</f>
        <v>0</v>
      </c>
      <c r="T240" s="12">
        <v>0</v>
      </c>
      <c r="U240" s="6">
        <v>0</v>
      </c>
      <c r="V240" s="6">
        <v>0</v>
      </c>
      <c r="W240" s="6">
        <v>0</v>
      </c>
      <c r="X240" s="6">
        <f>SUM(T240:W240)/Variables!$E$3</f>
        <v>0</v>
      </c>
      <c r="Y240" s="12">
        <v>0</v>
      </c>
      <c r="Z240" s="6">
        <v>0</v>
      </c>
      <c r="AA240" s="6">
        <v>0</v>
      </c>
      <c r="AB240" s="6">
        <v>0</v>
      </c>
      <c r="AC240" s="6">
        <f>SUM(Y240:AB240)/Variables!$E$3</f>
        <v>0</v>
      </c>
      <c r="AD240" s="4">
        <v>0</v>
      </c>
      <c r="AE240" s="2">
        <v>0</v>
      </c>
      <c r="AF240" s="2">
        <v>0</v>
      </c>
      <c r="AG240" s="2">
        <v>0</v>
      </c>
      <c r="AH240" s="6">
        <f>SUM(AD240:AG240)/Variables!$E$3</f>
        <v>0</v>
      </c>
      <c r="AI240" s="4">
        <v>0</v>
      </c>
      <c r="AJ240" s="2">
        <v>0</v>
      </c>
      <c r="AK240" s="2">
        <v>0</v>
      </c>
      <c r="AL240" s="2">
        <v>0</v>
      </c>
      <c r="AM240" s="6">
        <f>SUM(AI240:AL240)/Variables!$E$3</f>
        <v>0</v>
      </c>
      <c r="AN240" s="4">
        <v>0</v>
      </c>
      <c r="AO240" s="2">
        <v>0</v>
      </c>
      <c r="AP240" s="2">
        <v>0</v>
      </c>
      <c r="AQ240" s="2">
        <v>0</v>
      </c>
      <c r="AR240" s="6">
        <f>SUM(AN240:AQ240)/Variables!$E$3</f>
        <v>0</v>
      </c>
      <c r="AS240" s="4">
        <v>0</v>
      </c>
      <c r="AT240" s="2">
        <v>0</v>
      </c>
      <c r="AU240" s="2">
        <v>0</v>
      </c>
      <c r="AV240" s="2">
        <v>0</v>
      </c>
      <c r="AW240" s="6">
        <f>SUM(AS240:AV240)/Variables!$E$3</f>
        <v>0</v>
      </c>
      <c r="AX240" s="4">
        <v>0</v>
      </c>
      <c r="AY240" s="2">
        <v>0</v>
      </c>
      <c r="AZ240" s="2">
        <v>0</v>
      </c>
      <c r="BA240" s="2">
        <v>0</v>
      </c>
      <c r="BB240" s="6">
        <f>SUM(AX240:BA240)/Variables!$E$3</f>
        <v>0</v>
      </c>
      <c r="BC240" s="12">
        <f t="shared" si="58"/>
        <v>0</v>
      </c>
      <c r="BD240" s="110">
        <f t="shared" si="58"/>
        <v>0</v>
      </c>
      <c r="BE240" s="110">
        <f t="shared" si="58"/>
        <v>0</v>
      </c>
      <c r="BF240" s="110">
        <f t="shared" si="58"/>
        <v>0</v>
      </c>
      <c r="BG240" s="6">
        <f>SUM(BC240:BF240)/Variables!$E$3</f>
        <v>0</v>
      </c>
      <c r="BH240" s="4">
        <v>0</v>
      </c>
      <c r="BI240">
        <v>0</v>
      </c>
      <c r="BJ240">
        <v>0</v>
      </c>
      <c r="BK240">
        <v>0</v>
      </c>
      <c r="BL240" s="6">
        <f>SUM(BH240:BK240)/Variables!$E$3</f>
        <v>0</v>
      </c>
      <c r="BM240" s="110">
        <v>0</v>
      </c>
      <c r="BN240" s="110">
        <v>0</v>
      </c>
      <c r="BO240" s="110">
        <v>0</v>
      </c>
      <c r="BP240" s="110">
        <v>0</v>
      </c>
      <c r="BQ240" s="6">
        <f>SUM(BM240:BP240)/Variables!$E$3</f>
        <v>0</v>
      </c>
      <c r="BS240" s="4">
        <v>238</v>
      </c>
      <c r="BT240" s="125">
        <f t="shared" si="45"/>
        <v>0</v>
      </c>
      <c r="BU240" s="125">
        <f t="shared" si="46"/>
        <v>0</v>
      </c>
      <c r="BV240" s="125">
        <f t="shared" si="47"/>
        <v>0</v>
      </c>
      <c r="BW240" s="125">
        <f t="shared" si="48"/>
        <v>0</v>
      </c>
      <c r="BX240" s="125">
        <f t="shared" si="49"/>
        <v>0</v>
      </c>
      <c r="BY240" s="125">
        <f t="shared" si="50"/>
        <v>0</v>
      </c>
      <c r="BZ240" s="125">
        <f t="shared" si="51"/>
        <v>0</v>
      </c>
      <c r="CA240" s="125">
        <f t="shared" si="52"/>
        <v>0</v>
      </c>
      <c r="CB240" s="125">
        <f t="shared" si="53"/>
        <v>0</v>
      </c>
      <c r="CC240" s="125">
        <f t="shared" si="54"/>
        <v>0</v>
      </c>
      <c r="CD240" s="125">
        <f t="shared" si="55"/>
        <v>0</v>
      </c>
      <c r="CE240" s="125">
        <f t="shared" si="56"/>
        <v>0</v>
      </c>
      <c r="CF240" s="126">
        <f t="shared" si="57"/>
        <v>0</v>
      </c>
      <c r="CH240" s="4">
        <v>238</v>
      </c>
      <c r="CI240" s="129">
        <v>0</v>
      </c>
      <c r="CJ240" s="125">
        <v>0</v>
      </c>
      <c r="CK240" s="125">
        <v>0</v>
      </c>
      <c r="CL240" s="125">
        <v>0</v>
      </c>
      <c r="CM240" s="125">
        <v>0</v>
      </c>
      <c r="CN240" s="125">
        <v>0</v>
      </c>
      <c r="CO240" s="125">
        <v>0</v>
      </c>
      <c r="CP240" s="125">
        <v>0</v>
      </c>
      <c r="CQ240" s="125">
        <v>0</v>
      </c>
      <c r="CR240" s="125">
        <v>0</v>
      </c>
      <c r="CS240" s="125">
        <v>0</v>
      </c>
      <c r="CT240" s="125">
        <v>0</v>
      </c>
      <c r="CU240" s="126">
        <v>0</v>
      </c>
    </row>
    <row r="241" spans="1:99" x14ac:dyDescent="0.25">
      <c r="A241" t="s">
        <v>243</v>
      </c>
      <c r="B241" s="2" t="s">
        <v>2</v>
      </c>
      <c r="C241" s="1">
        <v>23345</v>
      </c>
      <c r="D241" s="19">
        <v>73.328571428571394</v>
      </c>
      <c r="E241" s="18">
        <v>0</v>
      </c>
      <c r="F241" s="19">
        <v>0</v>
      </c>
      <c r="G241" s="19">
        <v>0</v>
      </c>
      <c r="H241" s="19">
        <v>0</v>
      </c>
      <c r="I241" s="19">
        <f>SUM(E241:H241)/Variables!$E$3</f>
        <v>0</v>
      </c>
      <c r="J241" s="4">
        <v>0</v>
      </c>
      <c r="K241">
        <v>0</v>
      </c>
      <c r="L241">
        <v>0</v>
      </c>
      <c r="M241">
        <v>0</v>
      </c>
      <c r="N241" s="6">
        <f>SUM(J241:M241)/Variables!$E$3</f>
        <v>0</v>
      </c>
      <c r="O241" s="4">
        <v>0</v>
      </c>
      <c r="P241">
        <v>0</v>
      </c>
      <c r="Q241">
        <v>0</v>
      </c>
      <c r="R241">
        <v>0</v>
      </c>
      <c r="S241" s="6">
        <f>SUM(O241:R241)/Variables!$E$3</f>
        <v>0</v>
      </c>
      <c r="T241" s="12">
        <v>0</v>
      </c>
      <c r="U241" s="6">
        <v>0</v>
      </c>
      <c r="V241" s="6">
        <v>0</v>
      </c>
      <c r="W241" s="6">
        <v>0</v>
      </c>
      <c r="X241" s="6">
        <f>SUM(T241:W241)/Variables!$E$3</f>
        <v>0</v>
      </c>
      <c r="Y241" s="12">
        <v>0</v>
      </c>
      <c r="Z241" s="6">
        <v>0</v>
      </c>
      <c r="AA241" s="6">
        <v>0</v>
      </c>
      <c r="AB241" s="6">
        <v>0</v>
      </c>
      <c r="AC241" s="6">
        <f>SUM(Y241:AB241)/Variables!$E$3</f>
        <v>0</v>
      </c>
      <c r="AD241" s="4">
        <v>0</v>
      </c>
      <c r="AE241" s="2">
        <v>0</v>
      </c>
      <c r="AF241" s="2">
        <v>0</v>
      </c>
      <c r="AG241" s="2">
        <v>0</v>
      </c>
      <c r="AH241" s="6">
        <f>SUM(AD241:AG241)/Variables!$E$3</f>
        <v>0</v>
      </c>
      <c r="AI241" s="4">
        <v>0</v>
      </c>
      <c r="AJ241" s="2">
        <v>0</v>
      </c>
      <c r="AK241" s="2">
        <v>0</v>
      </c>
      <c r="AL241" s="2">
        <v>0</v>
      </c>
      <c r="AM241" s="6">
        <f>SUM(AI241:AL241)/Variables!$E$3</f>
        <v>0</v>
      </c>
      <c r="AN241" s="4">
        <v>0</v>
      </c>
      <c r="AO241" s="2">
        <v>0</v>
      </c>
      <c r="AP241" s="2">
        <v>0</v>
      </c>
      <c r="AQ241" s="2">
        <v>0</v>
      </c>
      <c r="AR241" s="6">
        <f>SUM(AN241:AQ241)/Variables!$E$3</f>
        <v>0</v>
      </c>
      <c r="AS241" s="4">
        <v>0</v>
      </c>
      <c r="AT241" s="2">
        <v>0</v>
      </c>
      <c r="AU241" s="2">
        <v>0</v>
      </c>
      <c r="AV241" s="2">
        <v>0</v>
      </c>
      <c r="AW241" s="6">
        <f>SUM(AS241:AV241)/Variables!$E$3</f>
        <v>0</v>
      </c>
      <c r="AX241" s="4">
        <v>0</v>
      </c>
      <c r="AY241" s="2">
        <v>0</v>
      </c>
      <c r="AZ241" s="2">
        <v>0</v>
      </c>
      <c r="BA241" s="2">
        <v>0</v>
      </c>
      <c r="BB241" s="6">
        <f>SUM(AX241:BA241)/Variables!$E$3</f>
        <v>0</v>
      </c>
      <c r="BC241" s="12">
        <f t="shared" si="58"/>
        <v>0</v>
      </c>
      <c r="BD241" s="110">
        <f t="shared" si="58"/>
        <v>0</v>
      </c>
      <c r="BE241" s="110">
        <f t="shared" si="58"/>
        <v>0</v>
      </c>
      <c r="BF241" s="110">
        <f t="shared" si="58"/>
        <v>0</v>
      </c>
      <c r="BG241" s="6">
        <f>SUM(BC241:BF241)/Variables!$E$3</f>
        <v>0</v>
      </c>
      <c r="BH241" s="4">
        <v>0</v>
      </c>
      <c r="BI241">
        <v>0</v>
      </c>
      <c r="BJ241">
        <v>0</v>
      </c>
      <c r="BK241">
        <v>0</v>
      </c>
      <c r="BL241" s="6">
        <f>SUM(BH241:BK241)/Variables!$E$3</f>
        <v>0</v>
      </c>
      <c r="BM241" s="110">
        <v>0</v>
      </c>
      <c r="BN241" s="110">
        <v>0</v>
      </c>
      <c r="BO241" s="110">
        <v>0</v>
      </c>
      <c r="BP241" s="110">
        <v>0</v>
      </c>
      <c r="BQ241" s="6">
        <f>SUM(BM241:BP241)/Variables!$E$3</f>
        <v>0</v>
      </c>
      <c r="BS241" s="4">
        <v>239</v>
      </c>
      <c r="BT241" s="125">
        <f t="shared" si="45"/>
        <v>0</v>
      </c>
      <c r="BU241" s="125">
        <f t="shared" si="46"/>
        <v>0</v>
      </c>
      <c r="BV241" s="125">
        <f t="shared" si="47"/>
        <v>0</v>
      </c>
      <c r="BW241" s="125">
        <f t="shared" si="48"/>
        <v>0</v>
      </c>
      <c r="BX241" s="125">
        <f t="shared" si="49"/>
        <v>0</v>
      </c>
      <c r="BY241" s="125">
        <f t="shared" si="50"/>
        <v>0</v>
      </c>
      <c r="BZ241" s="125">
        <f t="shared" si="51"/>
        <v>0</v>
      </c>
      <c r="CA241" s="125">
        <f t="shared" si="52"/>
        <v>0</v>
      </c>
      <c r="CB241" s="125">
        <f t="shared" si="53"/>
        <v>0</v>
      </c>
      <c r="CC241" s="125">
        <f t="shared" si="54"/>
        <v>0</v>
      </c>
      <c r="CD241" s="125">
        <f t="shared" si="55"/>
        <v>0</v>
      </c>
      <c r="CE241" s="125">
        <f t="shared" si="56"/>
        <v>0</v>
      </c>
      <c r="CF241" s="126">
        <f t="shared" si="57"/>
        <v>0</v>
      </c>
      <c r="CH241" s="4">
        <v>239</v>
      </c>
      <c r="CI241" s="129">
        <v>0</v>
      </c>
      <c r="CJ241" s="125">
        <v>0</v>
      </c>
      <c r="CK241" s="125">
        <v>0</v>
      </c>
      <c r="CL241" s="125">
        <v>0</v>
      </c>
      <c r="CM241" s="125">
        <v>0</v>
      </c>
      <c r="CN241" s="125">
        <v>0</v>
      </c>
      <c r="CO241" s="125">
        <v>0</v>
      </c>
      <c r="CP241" s="125">
        <v>0</v>
      </c>
      <c r="CQ241" s="125">
        <v>0</v>
      </c>
      <c r="CR241" s="125">
        <v>0</v>
      </c>
      <c r="CS241" s="125">
        <v>0</v>
      </c>
      <c r="CT241" s="125">
        <v>0</v>
      </c>
      <c r="CU241" s="126">
        <v>0</v>
      </c>
    </row>
    <row r="242" spans="1:99" x14ac:dyDescent="0.25">
      <c r="A242" t="s">
        <v>244</v>
      </c>
      <c r="B242" s="2" t="s">
        <v>3</v>
      </c>
      <c r="C242" s="1">
        <v>23435</v>
      </c>
      <c r="D242" s="19">
        <v>171.919047619048</v>
      </c>
      <c r="E242" s="18">
        <v>0</v>
      </c>
      <c r="F242" s="19">
        <v>0</v>
      </c>
      <c r="G242" s="19">
        <v>0</v>
      </c>
      <c r="H242" s="19">
        <v>0</v>
      </c>
      <c r="I242" s="19">
        <f>SUM(E242:H242)/Variables!$E$3</f>
        <v>0</v>
      </c>
      <c r="J242" s="4">
        <v>0</v>
      </c>
      <c r="K242">
        <v>0</v>
      </c>
      <c r="L242">
        <v>0</v>
      </c>
      <c r="M242">
        <v>0</v>
      </c>
      <c r="N242" s="6">
        <f>SUM(J242:M242)/Variables!$E$3</f>
        <v>0</v>
      </c>
      <c r="O242" s="4">
        <v>0</v>
      </c>
      <c r="P242">
        <v>0</v>
      </c>
      <c r="Q242">
        <v>0</v>
      </c>
      <c r="R242">
        <v>0</v>
      </c>
      <c r="S242" s="6">
        <f>SUM(O242:R242)/Variables!$E$3</f>
        <v>0</v>
      </c>
      <c r="T242" s="12">
        <v>0</v>
      </c>
      <c r="U242" s="6">
        <v>0</v>
      </c>
      <c r="V242" s="6">
        <v>0</v>
      </c>
      <c r="W242" s="6">
        <v>0</v>
      </c>
      <c r="X242" s="6">
        <f>SUM(T242:W242)/Variables!$E$3</f>
        <v>0</v>
      </c>
      <c r="Y242" s="12">
        <v>0</v>
      </c>
      <c r="Z242" s="6">
        <v>0</v>
      </c>
      <c r="AA242" s="6">
        <v>0</v>
      </c>
      <c r="AB242" s="6">
        <v>0</v>
      </c>
      <c r="AC242" s="6">
        <f>SUM(Y242:AB242)/Variables!$E$3</f>
        <v>0</v>
      </c>
      <c r="AD242" s="4">
        <v>0</v>
      </c>
      <c r="AE242" s="2">
        <v>0</v>
      </c>
      <c r="AF242" s="2">
        <v>0</v>
      </c>
      <c r="AG242" s="2">
        <v>0</v>
      </c>
      <c r="AH242" s="6">
        <f>SUM(AD242:AG242)/Variables!$E$3</f>
        <v>0</v>
      </c>
      <c r="AI242" s="4">
        <v>0</v>
      </c>
      <c r="AJ242" s="2">
        <v>0</v>
      </c>
      <c r="AK242" s="2">
        <v>0</v>
      </c>
      <c r="AL242" s="2">
        <v>0</v>
      </c>
      <c r="AM242" s="6">
        <f>SUM(AI242:AL242)/Variables!$E$3</f>
        <v>0</v>
      </c>
      <c r="AN242" s="4">
        <v>0</v>
      </c>
      <c r="AO242" s="2">
        <v>0</v>
      </c>
      <c r="AP242" s="2">
        <v>0</v>
      </c>
      <c r="AQ242" s="2">
        <v>0</v>
      </c>
      <c r="AR242" s="6">
        <f>SUM(AN242:AQ242)/Variables!$E$3</f>
        <v>0</v>
      </c>
      <c r="AS242" s="4">
        <v>0</v>
      </c>
      <c r="AT242" s="2">
        <v>0</v>
      </c>
      <c r="AU242" s="2">
        <v>0</v>
      </c>
      <c r="AV242" s="2">
        <v>0</v>
      </c>
      <c r="AW242" s="6">
        <f>SUM(AS242:AV242)/Variables!$E$3</f>
        <v>0</v>
      </c>
      <c r="AX242" s="4">
        <v>0</v>
      </c>
      <c r="AY242" s="2">
        <v>0</v>
      </c>
      <c r="AZ242" s="2">
        <v>0</v>
      </c>
      <c r="BA242" s="2">
        <v>0</v>
      </c>
      <c r="BB242" s="6">
        <f>SUM(AX242:BA242)/Variables!$E$3</f>
        <v>0</v>
      </c>
      <c r="BC242" s="12">
        <f t="shared" si="58"/>
        <v>0</v>
      </c>
      <c r="BD242" s="110">
        <f t="shared" si="58"/>
        <v>0</v>
      </c>
      <c r="BE242" s="110">
        <f t="shared" si="58"/>
        <v>0</v>
      </c>
      <c r="BF242" s="110">
        <f t="shared" si="58"/>
        <v>0</v>
      </c>
      <c r="BG242" s="6">
        <f>SUM(BC242:BF242)/Variables!$E$3</f>
        <v>0</v>
      </c>
      <c r="BH242" s="4">
        <v>0</v>
      </c>
      <c r="BI242">
        <v>0</v>
      </c>
      <c r="BJ242">
        <v>0</v>
      </c>
      <c r="BK242">
        <v>0</v>
      </c>
      <c r="BL242" s="6">
        <f>SUM(BH242:BK242)/Variables!$E$3</f>
        <v>0</v>
      </c>
      <c r="BM242" s="110">
        <v>0</v>
      </c>
      <c r="BN242" s="110">
        <v>0</v>
      </c>
      <c r="BO242" s="110">
        <v>0</v>
      </c>
      <c r="BP242" s="110">
        <v>0</v>
      </c>
      <c r="BQ242" s="6">
        <f>SUM(BM242:BP242)/Variables!$E$3</f>
        <v>0</v>
      </c>
      <c r="BS242" s="4">
        <v>240</v>
      </c>
      <c r="BT242" s="125">
        <f t="shared" si="45"/>
        <v>0</v>
      </c>
      <c r="BU242" s="125">
        <f t="shared" si="46"/>
        <v>2.1852904615238443E-2</v>
      </c>
      <c r="BV242" s="125">
        <f t="shared" si="47"/>
        <v>0</v>
      </c>
      <c r="BW242" s="125">
        <f t="shared" si="48"/>
        <v>0</v>
      </c>
      <c r="BX242" s="125">
        <f t="shared" si="49"/>
        <v>0</v>
      </c>
      <c r="BY242" s="125">
        <f t="shared" si="50"/>
        <v>0</v>
      </c>
      <c r="BZ242" s="125">
        <f t="shared" si="51"/>
        <v>0</v>
      </c>
      <c r="CA242" s="125">
        <f t="shared" si="52"/>
        <v>0</v>
      </c>
      <c r="CB242" s="125">
        <f t="shared" si="53"/>
        <v>0</v>
      </c>
      <c r="CC242" s="125">
        <f t="shared" si="54"/>
        <v>0</v>
      </c>
      <c r="CD242" s="125">
        <f t="shared" si="55"/>
        <v>0</v>
      </c>
      <c r="CE242" s="125">
        <f t="shared" si="56"/>
        <v>0</v>
      </c>
      <c r="CF242" s="126">
        <f t="shared" si="57"/>
        <v>0</v>
      </c>
      <c r="CH242" s="4">
        <v>240</v>
      </c>
      <c r="CI242" s="129">
        <v>0</v>
      </c>
      <c r="CJ242" s="125">
        <v>0</v>
      </c>
      <c r="CK242" s="125">
        <v>0</v>
      </c>
      <c r="CL242" s="125">
        <v>0</v>
      </c>
      <c r="CM242" s="125">
        <v>0</v>
      </c>
      <c r="CN242" s="125">
        <v>0</v>
      </c>
      <c r="CO242" s="125">
        <v>0</v>
      </c>
      <c r="CP242" s="125">
        <v>0</v>
      </c>
      <c r="CQ242" s="125">
        <v>0</v>
      </c>
      <c r="CR242" s="125">
        <v>0</v>
      </c>
      <c r="CS242" s="125">
        <v>0</v>
      </c>
      <c r="CT242" s="125">
        <v>0</v>
      </c>
      <c r="CU242" s="126">
        <v>0</v>
      </c>
    </row>
    <row r="243" spans="1:99" x14ac:dyDescent="0.25">
      <c r="A243" t="s">
        <v>244</v>
      </c>
      <c r="B243" s="2" t="s">
        <v>4</v>
      </c>
      <c r="C243" s="1">
        <v>23528</v>
      </c>
      <c r="D243" s="19">
        <v>28.728571428571399</v>
      </c>
      <c r="E243" s="18">
        <v>0</v>
      </c>
      <c r="F243" s="19">
        <v>0</v>
      </c>
      <c r="G243" s="19">
        <v>0</v>
      </c>
      <c r="H243" s="19">
        <v>0</v>
      </c>
      <c r="I243" s="19">
        <f>SUM(E243:H243)/Variables!$E$3</f>
        <v>0</v>
      </c>
      <c r="J243" s="4">
        <v>0</v>
      </c>
      <c r="K243">
        <v>0</v>
      </c>
      <c r="L243">
        <v>27600</v>
      </c>
      <c r="M243">
        <v>0</v>
      </c>
      <c r="N243" s="6">
        <f>SUM(J243:M243)/Variables!$E$3</f>
        <v>2.1852904615238443E-2</v>
      </c>
      <c r="O243" s="4">
        <v>0</v>
      </c>
      <c r="P243">
        <v>0</v>
      </c>
      <c r="Q243">
        <v>0</v>
      </c>
      <c r="R243">
        <v>0</v>
      </c>
      <c r="S243" s="6">
        <f>SUM(O243:R243)/Variables!$E$3</f>
        <v>0</v>
      </c>
      <c r="T243" s="4">
        <v>0</v>
      </c>
      <c r="U243">
        <v>0</v>
      </c>
      <c r="V243">
        <v>0</v>
      </c>
      <c r="W243">
        <v>0</v>
      </c>
      <c r="X243" s="6">
        <f>SUM(T243:W243)/Variables!$E$3</f>
        <v>0</v>
      </c>
      <c r="Y243" s="4">
        <v>0</v>
      </c>
      <c r="Z243">
        <v>0</v>
      </c>
      <c r="AA243">
        <v>0</v>
      </c>
      <c r="AB243">
        <v>0</v>
      </c>
      <c r="AC243" s="6">
        <f>SUM(Y243:AB243)/Variables!$E$3</f>
        <v>0</v>
      </c>
      <c r="AD243" s="4">
        <v>0</v>
      </c>
      <c r="AE243" s="2">
        <v>0</v>
      </c>
      <c r="AF243" s="2">
        <v>0</v>
      </c>
      <c r="AG243" s="2">
        <v>0</v>
      </c>
      <c r="AH243" s="6">
        <f>SUM(AD243:AG243)/Variables!$E$3</f>
        <v>0</v>
      </c>
      <c r="AI243" s="4">
        <v>0</v>
      </c>
      <c r="AJ243" s="2">
        <v>0</v>
      </c>
      <c r="AK243" s="2">
        <v>0</v>
      </c>
      <c r="AL243" s="2">
        <v>0</v>
      </c>
      <c r="AM243" s="6">
        <f>SUM(AI243:AL243)/Variables!$E$3</f>
        <v>0</v>
      </c>
      <c r="AN243" s="4">
        <v>0</v>
      </c>
      <c r="AO243" s="2">
        <v>0</v>
      </c>
      <c r="AP243" s="2">
        <v>0</v>
      </c>
      <c r="AQ243" s="2">
        <v>0</v>
      </c>
      <c r="AR243" s="6">
        <f>SUM(AN243:AQ243)/Variables!$E$3</f>
        <v>0</v>
      </c>
      <c r="AS243" s="4">
        <v>0</v>
      </c>
      <c r="AT243" s="2">
        <v>0</v>
      </c>
      <c r="AU243" s="2">
        <v>0</v>
      </c>
      <c r="AV243" s="2">
        <v>0</v>
      </c>
      <c r="AW243" s="6">
        <f>SUM(AS243:AV243)/Variables!$E$3</f>
        <v>0</v>
      </c>
      <c r="AX243" s="4">
        <v>0</v>
      </c>
      <c r="AY243" s="2">
        <v>0</v>
      </c>
      <c r="AZ243" s="2">
        <v>0</v>
      </c>
      <c r="BA243" s="2">
        <v>0</v>
      </c>
      <c r="BB243" s="6">
        <f>SUM(AX243:BA243)/Variables!$E$3</f>
        <v>0</v>
      </c>
      <c r="BC243" s="12">
        <f t="shared" si="58"/>
        <v>0</v>
      </c>
      <c r="BD243" s="110">
        <f t="shared" si="58"/>
        <v>0</v>
      </c>
      <c r="BE243" s="110">
        <f t="shared" si="58"/>
        <v>0</v>
      </c>
      <c r="BF243" s="110">
        <f t="shared" si="58"/>
        <v>0</v>
      </c>
      <c r="BG243" s="6">
        <f>SUM(BC243:BF243)/Variables!$E$3</f>
        <v>0</v>
      </c>
      <c r="BH243" s="4">
        <v>0</v>
      </c>
      <c r="BI243">
        <v>0</v>
      </c>
      <c r="BJ243">
        <v>0</v>
      </c>
      <c r="BK243">
        <v>0</v>
      </c>
      <c r="BL243" s="6">
        <f>SUM(BH243:BK243)/Variables!$E$3</f>
        <v>0</v>
      </c>
      <c r="BM243" s="110">
        <v>0</v>
      </c>
      <c r="BN243" s="110">
        <v>0</v>
      </c>
      <c r="BO243" s="110">
        <v>0</v>
      </c>
      <c r="BP243" s="110">
        <v>0</v>
      </c>
      <c r="BQ243" s="6">
        <f>SUM(BM243:BP243)/Variables!$E$3</f>
        <v>0</v>
      </c>
      <c r="BS243" s="4">
        <v>241</v>
      </c>
      <c r="BT243" s="125">
        <f t="shared" si="45"/>
        <v>0</v>
      </c>
      <c r="BU243" s="125">
        <f t="shared" si="46"/>
        <v>0</v>
      </c>
      <c r="BV243" s="125">
        <f t="shared" si="47"/>
        <v>0</v>
      </c>
      <c r="BW243" s="125">
        <f t="shared" si="48"/>
        <v>0</v>
      </c>
      <c r="BX243" s="125">
        <f t="shared" si="49"/>
        <v>0</v>
      </c>
      <c r="BY243" s="125">
        <f t="shared" si="50"/>
        <v>0</v>
      </c>
      <c r="BZ243" s="125">
        <f t="shared" si="51"/>
        <v>0</v>
      </c>
      <c r="CA243" s="125">
        <f t="shared" si="52"/>
        <v>0</v>
      </c>
      <c r="CB243" s="125">
        <f t="shared" si="53"/>
        <v>0</v>
      </c>
      <c r="CC243" s="125">
        <f t="shared" si="54"/>
        <v>0</v>
      </c>
      <c r="CD243" s="125">
        <f t="shared" si="55"/>
        <v>0</v>
      </c>
      <c r="CE243" s="125">
        <f t="shared" si="56"/>
        <v>0</v>
      </c>
      <c r="CF243" s="126">
        <f t="shared" si="57"/>
        <v>0</v>
      </c>
      <c r="CH243" s="4">
        <v>241</v>
      </c>
      <c r="CI243" s="129">
        <v>0</v>
      </c>
      <c r="CJ243" s="125">
        <v>0</v>
      </c>
      <c r="CK243" s="125">
        <v>0</v>
      </c>
      <c r="CL243" s="125">
        <v>0</v>
      </c>
      <c r="CM243" s="125">
        <v>0</v>
      </c>
      <c r="CN243" s="125">
        <v>0</v>
      </c>
      <c r="CO243" s="125">
        <v>0</v>
      </c>
      <c r="CP243" s="125">
        <v>0</v>
      </c>
      <c r="CQ243" s="125">
        <v>0</v>
      </c>
      <c r="CR243" s="125">
        <v>0</v>
      </c>
      <c r="CS243" s="125">
        <v>0</v>
      </c>
      <c r="CT243" s="125">
        <v>0</v>
      </c>
      <c r="CU243" s="126">
        <v>0</v>
      </c>
    </row>
    <row r="244" spans="1:99" x14ac:dyDescent="0.25">
      <c r="A244" t="s">
        <v>244</v>
      </c>
      <c r="B244" s="2" t="s">
        <v>1</v>
      </c>
      <c r="C244" s="1">
        <v>23620</v>
      </c>
      <c r="D244" s="19">
        <v>42.814285714285703</v>
      </c>
      <c r="E244" s="18">
        <v>0</v>
      </c>
      <c r="F244" s="19">
        <v>0</v>
      </c>
      <c r="G244" s="19">
        <v>0</v>
      </c>
      <c r="H244" s="19">
        <v>0</v>
      </c>
      <c r="I244" s="19">
        <f>SUM(E244:H244)/Variables!$E$3</f>
        <v>0</v>
      </c>
      <c r="J244" s="4">
        <v>0</v>
      </c>
      <c r="K244">
        <v>0</v>
      </c>
      <c r="L244">
        <v>0</v>
      </c>
      <c r="M244">
        <v>0</v>
      </c>
      <c r="N244" s="6">
        <f>SUM(J244:M244)/Variables!$E$3</f>
        <v>0</v>
      </c>
      <c r="O244" s="4">
        <v>0</v>
      </c>
      <c r="P244">
        <v>0</v>
      </c>
      <c r="Q244">
        <v>0</v>
      </c>
      <c r="R244">
        <v>0</v>
      </c>
      <c r="S244" s="6">
        <f>SUM(O244:R244)/Variables!$E$3</f>
        <v>0</v>
      </c>
      <c r="T244" s="4">
        <v>0</v>
      </c>
      <c r="U244">
        <v>0</v>
      </c>
      <c r="V244">
        <v>0</v>
      </c>
      <c r="W244">
        <v>0</v>
      </c>
      <c r="X244" s="6">
        <f>SUM(T244:W244)/Variables!$E$3</f>
        <v>0</v>
      </c>
      <c r="Y244" s="4">
        <v>0</v>
      </c>
      <c r="Z244">
        <v>0</v>
      </c>
      <c r="AA244">
        <v>0</v>
      </c>
      <c r="AB244">
        <v>0</v>
      </c>
      <c r="AC244" s="6">
        <f>SUM(Y244:AB244)/Variables!$E$3</f>
        <v>0</v>
      </c>
      <c r="AD244" s="4">
        <v>0</v>
      </c>
      <c r="AE244" s="2">
        <v>0</v>
      </c>
      <c r="AF244" s="2">
        <v>0</v>
      </c>
      <c r="AG244" s="2">
        <v>0</v>
      </c>
      <c r="AH244" s="6">
        <f>SUM(AD244:AG244)/Variables!$E$3</f>
        <v>0</v>
      </c>
      <c r="AI244" s="4">
        <v>0</v>
      </c>
      <c r="AJ244" s="2">
        <v>0</v>
      </c>
      <c r="AK244" s="2">
        <v>0</v>
      </c>
      <c r="AL244" s="2">
        <v>0</v>
      </c>
      <c r="AM244" s="6">
        <f>SUM(AI244:AL244)/Variables!$E$3</f>
        <v>0</v>
      </c>
      <c r="AN244" s="4">
        <v>0</v>
      </c>
      <c r="AO244" s="2">
        <v>0</v>
      </c>
      <c r="AP244" s="2">
        <v>0</v>
      </c>
      <c r="AQ244" s="2">
        <v>0</v>
      </c>
      <c r="AR244" s="6">
        <f>SUM(AN244:AQ244)/Variables!$E$3</f>
        <v>0</v>
      </c>
      <c r="AS244" s="4">
        <v>0</v>
      </c>
      <c r="AT244" s="2">
        <v>0</v>
      </c>
      <c r="AU244" s="2">
        <v>0</v>
      </c>
      <c r="AV244" s="2">
        <v>0</v>
      </c>
      <c r="AW244" s="6">
        <f>SUM(AS244:AV244)/Variables!$E$3</f>
        <v>0</v>
      </c>
      <c r="AX244" s="4">
        <v>0</v>
      </c>
      <c r="AY244" s="2">
        <v>0</v>
      </c>
      <c r="AZ244" s="2">
        <v>0</v>
      </c>
      <c r="BA244" s="2">
        <v>0</v>
      </c>
      <c r="BB244" s="6">
        <f>SUM(AX244:BA244)/Variables!$E$3</f>
        <v>0</v>
      </c>
      <c r="BC244" s="12">
        <f t="shared" si="58"/>
        <v>0</v>
      </c>
      <c r="BD244" s="110">
        <f t="shared" si="58"/>
        <v>0</v>
      </c>
      <c r="BE244" s="110">
        <f t="shared" si="58"/>
        <v>0</v>
      </c>
      <c r="BF244" s="110">
        <f t="shared" si="58"/>
        <v>0</v>
      </c>
      <c r="BG244" s="6">
        <f>SUM(BC244:BF244)/Variables!$E$3</f>
        <v>0</v>
      </c>
      <c r="BH244" s="4">
        <v>0</v>
      </c>
      <c r="BI244">
        <v>0</v>
      </c>
      <c r="BJ244">
        <v>0</v>
      </c>
      <c r="BK244">
        <v>0</v>
      </c>
      <c r="BL244" s="6">
        <f>SUM(BH244:BK244)/Variables!$E$3</f>
        <v>0</v>
      </c>
      <c r="BM244" s="110">
        <v>0</v>
      </c>
      <c r="BN244" s="110">
        <v>0</v>
      </c>
      <c r="BO244" s="110">
        <v>0</v>
      </c>
      <c r="BP244" s="110">
        <v>0</v>
      </c>
      <c r="BQ244" s="6">
        <f>SUM(BM244:BP244)/Variables!$E$3</f>
        <v>0</v>
      </c>
      <c r="BS244" s="4">
        <v>242</v>
      </c>
      <c r="BT244" s="125">
        <f t="shared" si="45"/>
        <v>0</v>
      </c>
      <c r="BU244" s="125">
        <f t="shared" si="46"/>
        <v>0</v>
      </c>
      <c r="BV244" s="125">
        <f t="shared" si="47"/>
        <v>0</v>
      </c>
      <c r="BW244" s="125">
        <f t="shared" si="48"/>
        <v>0</v>
      </c>
      <c r="BX244" s="125">
        <f t="shared" si="49"/>
        <v>0</v>
      </c>
      <c r="BY244" s="125">
        <f t="shared" si="50"/>
        <v>0</v>
      </c>
      <c r="BZ244" s="125">
        <f t="shared" si="51"/>
        <v>0</v>
      </c>
      <c r="CA244" s="125">
        <f t="shared" si="52"/>
        <v>0</v>
      </c>
      <c r="CB244" s="125">
        <f t="shared" si="53"/>
        <v>0</v>
      </c>
      <c r="CC244" s="125">
        <f t="shared" si="54"/>
        <v>0</v>
      </c>
      <c r="CD244" s="125">
        <f t="shared" si="55"/>
        <v>0</v>
      </c>
      <c r="CE244" s="125">
        <f t="shared" si="56"/>
        <v>0</v>
      </c>
      <c r="CF244" s="126">
        <f t="shared" si="57"/>
        <v>0</v>
      </c>
      <c r="CH244" s="4">
        <v>242</v>
      </c>
      <c r="CI244" s="129">
        <v>0</v>
      </c>
      <c r="CJ244" s="125">
        <v>0</v>
      </c>
      <c r="CK244" s="125">
        <v>0</v>
      </c>
      <c r="CL244" s="125">
        <v>0</v>
      </c>
      <c r="CM244" s="125">
        <v>0</v>
      </c>
      <c r="CN244" s="125">
        <v>0</v>
      </c>
      <c r="CO244" s="125">
        <v>0</v>
      </c>
      <c r="CP244" s="125">
        <v>0</v>
      </c>
      <c r="CQ244" s="125">
        <v>0</v>
      </c>
      <c r="CR244" s="125">
        <v>0</v>
      </c>
      <c r="CS244" s="125">
        <v>0</v>
      </c>
      <c r="CT244" s="125">
        <v>0</v>
      </c>
      <c r="CU244" s="126">
        <v>0</v>
      </c>
    </row>
    <row r="245" spans="1:99" x14ac:dyDescent="0.25">
      <c r="A245" t="s">
        <v>244</v>
      </c>
      <c r="B245" s="2" t="s">
        <v>2</v>
      </c>
      <c r="C245" s="1">
        <v>23711</v>
      </c>
      <c r="D245" s="19">
        <v>141.67619047618999</v>
      </c>
      <c r="E245" s="18">
        <v>0</v>
      </c>
      <c r="F245" s="19">
        <v>0</v>
      </c>
      <c r="G245" s="19">
        <v>0</v>
      </c>
      <c r="H245" s="19">
        <v>0</v>
      </c>
      <c r="I245" s="19">
        <f>SUM(E245:H245)/Variables!$E$3</f>
        <v>0</v>
      </c>
      <c r="J245" s="4">
        <v>0</v>
      </c>
      <c r="K245">
        <v>0</v>
      </c>
      <c r="L245">
        <v>0</v>
      </c>
      <c r="M245">
        <v>0</v>
      </c>
      <c r="N245" s="6">
        <f>SUM(J245:M245)/Variables!$E$3</f>
        <v>0</v>
      </c>
      <c r="O245" s="4">
        <v>0</v>
      </c>
      <c r="P245">
        <v>0</v>
      </c>
      <c r="Q245">
        <v>0</v>
      </c>
      <c r="R245">
        <v>0</v>
      </c>
      <c r="S245" s="6">
        <f>SUM(O245:R245)/Variables!$E$3</f>
        <v>0</v>
      </c>
      <c r="T245" s="4">
        <v>0</v>
      </c>
      <c r="U245">
        <v>0</v>
      </c>
      <c r="V245">
        <v>0</v>
      </c>
      <c r="W245">
        <v>0</v>
      </c>
      <c r="X245" s="6">
        <f>SUM(T245:W245)/Variables!$E$3</f>
        <v>0</v>
      </c>
      <c r="Y245" s="4">
        <v>0</v>
      </c>
      <c r="Z245">
        <v>0</v>
      </c>
      <c r="AA245">
        <v>0</v>
      </c>
      <c r="AB245">
        <v>0</v>
      </c>
      <c r="AC245" s="6">
        <f>SUM(Y245:AB245)/Variables!$E$3</f>
        <v>0</v>
      </c>
      <c r="AD245" s="4">
        <v>0</v>
      </c>
      <c r="AE245" s="2">
        <v>0</v>
      </c>
      <c r="AF245" s="2">
        <v>0</v>
      </c>
      <c r="AG245" s="2">
        <v>0</v>
      </c>
      <c r="AH245" s="6">
        <f>SUM(AD245:AG245)/Variables!$E$3</f>
        <v>0</v>
      </c>
      <c r="AI245" s="4">
        <v>0</v>
      </c>
      <c r="AJ245" s="2">
        <v>0</v>
      </c>
      <c r="AK245" s="2">
        <v>0</v>
      </c>
      <c r="AL245" s="2">
        <v>0</v>
      </c>
      <c r="AM245" s="6">
        <f>SUM(AI245:AL245)/Variables!$E$3</f>
        <v>0</v>
      </c>
      <c r="AN245" s="4">
        <v>0</v>
      </c>
      <c r="AO245" s="2">
        <v>0</v>
      </c>
      <c r="AP245" s="2">
        <v>0</v>
      </c>
      <c r="AQ245" s="2">
        <v>0</v>
      </c>
      <c r="AR245" s="6">
        <f>SUM(AN245:AQ245)/Variables!$E$3</f>
        <v>0</v>
      </c>
      <c r="AS245" s="4">
        <v>0</v>
      </c>
      <c r="AT245" s="2">
        <v>0</v>
      </c>
      <c r="AU245" s="2">
        <v>0</v>
      </c>
      <c r="AV245" s="2">
        <v>0</v>
      </c>
      <c r="AW245" s="6">
        <f>SUM(AS245:AV245)/Variables!$E$3</f>
        <v>0</v>
      </c>
      <c r="AX245" s="4">
        <v>0</v>
      </c>
      <c r="AY245" s="2">
        <v>0</v>
      </c>
      <c r="AZ245" s="2">
        <v>0</v>
      </c>
      <c r="BA245" s="2">
        <v>0</v>
      </c>
      <c r="BB245" s="6">
        <f>SUM(AX245:BA245)/Variables!$E$3</f>
        <v>0</v>
      </c>
      <c r="BC245" s="12">
        <f t="shared" si="58"/>
        <v>0</v>
      </c>
      <c r="BD245" s="110">
        <f t="shared" si="58"/>
        <v>0</v>
      </c>
      <c r="BE245" s="110">
        <f t="shared" si="58"/>
        <v>0</v>
      </c>
      <c r="BF245" s="110">
        <f t="shared" si="58"/>
        <v>0</v>
      </c>
      <c r="BG245" s="6">
        <f>SUM(BC245:BF245)/Variables!$E$3</f>
        <v>0</v>
      </c>
      <c r="BH245" s="4">
        <v>0</v>
      </c>
      <c r="BI245">
        <v>0</v>
      </c>
      <c r="BJ245">
        <v>0</v>
      </c>
      <c r="BK245">
        <v>0</v>
      </c>
      <c r="BL245" s="6">
        <f>SUM(BH245:BK245)/Variables!$E$3</f>
        <v>0</v>
      </c>
      <c r="BM245" s="110">
        <v>0</v>
      </c>
      <c r="BN245" s="110">
        <v>0</v>
      </c>
      <c r="BO245" s="110">
        <v>0</v>
      </c>
      <c r="BP245" s="110">
        <v>0</v>
      </c>
      <c r="BQ245" s="6">
        <f>SUM(BM245:BP245)/Variables!$E$3</f>
        <v>0</v>
      </c>
      <c r="BS245" s="4">
        <v>243</v>
      </c>
      <c r="BT245" s="125">
        <f t="shared" si="45"/>
        <v>0</v>
      </c>
      <c r="BU245" s="125">
        <f t="shared" si="46"/>
        <v>0</v>
      </c>
      <c r="BV245" s="125">
        <f t="shared" si="47"/>
        <v>0</v>
      </c>
      <c r="BW245" s="125">
        <f t="shared" si="48"/>
        <v>0</v>
      </c>
      <c r="BX245" s="125">
        <f t="shared" si="49"/>
        <v>0</v>
      </c>
      <c r="BY245" s="125">
        <f t="shared" si="50"/>
        <v>0</v>
      </c>
      <c r="BZ245" s="125">
        <f t="shared" si="51"/>
        <v>0</v>
      </c>
      <c r="CA245" s="125">
        <f t="shared" si="52"/>
        <v>0</v>
      </c>
      <c r="CB245" s="125">
        <f t="shared" si="53"/>
        <v>0</v>
      </c>
      <c r="CC245" s="125">
        <f t="shared" si="54"/>
        <v>0</v>
      </c>
      <c r="CD245" s="125">
        <f t="shared" si="55"/>
        <v>0</v>
      </c>
      <c r="CE245" s="125">
        <f t="shared" si="56"/>
        <v>0</v>
      </c>
      <c r="CF245" s="126">
        <f t="shared" si="57"/>
        <v>0</v>
      </c>
      <c r="CH245" s="4">
        <v>243</v>
      </c>
      <c r="CI245" s="129">
        <v>0</v>
      </c>
      <c r="CJ245" s="125">
        <v>0</v>
      </c>
      <c r="CK245" s="125">
        <v>0</v>
      </c>
      <c r="CL245" s="125">
        <v>0</v>
      </c>
      <c r="CM245" s="125">
        <v>0</v>
      </c>
      <c r="CN245" s="125">
        <v>0</v>
      </c>
      <c r="CO245" s="125">
        <v>0</v>
      </c>
      <c r="CP245" s="125">
        <v>0</v>
      </c>
      <c r="CQ245" s="125">
        <v>0</v>
      </c>
      <c r="CR245" s="125">
        <v>0</v>
      </c>
      <c r="CS245" s="125">
        <v>0</v>
      </c>
      <c r="CT245" s="125">
        <v>0</v>
      </c>
      <c r="CU245" s="126">
        <v>0</v>
      </c>
    </row>
    <row r="246" spans="1:99" x14ac:dyDescent="0.25">
      <c r="A246" t="s">
        <v>245</v>
      </c>
      <c r="B246" s="2" t="s">
        <v>3</v>
      </c>
      <c r="C246" s="1">
        <v>23801</v>
      </c>
      <c r="D246" s="19">
        <v>44.814285714285703</v>
      </c>
      <c r="E246" s="18">
        <v>0</v>
      </c>
      <c r="F246" s="19">
        <v>0</v>
      </c>
      <c r="G246" s="19">
        <v>0</v>
      </c>
      <c r="H246" s="19">
        <v>0</v>
      </c>
      <c r="I246" s="19">
        <f>SUM(E246:H246)/Variables!$E$3</f>
        <v>0</v>
      </c>
      <c r="J246" s="4">
        <v>0</v>
      </c>
      <c r="K246">
        <v>0</v>
      </c>
      <c r="L246">
        <v>0</v>
      </c>
      <c r="M246">
        <v>0</v>
      </c>
      <c r="N246" s="6">
        <f>SUM(J246:M246)/Variables!$E$3</f>
        <v>0</v>
      </c>
      <c r="O246" s="4">
        <v>0</v>
      </c>
      <c r="P246">
        <v>0</v>
      </c>
      <c r="Q246">
        <v>0</v>
      </c>
      <c r="R246">
        <v>0</v>
      </c>
      <c r="S246" s="6">
        <f>SUM(O246:R246)/Variables!$E$3</f>
        <v>0</v>
      </c>
      <c r="T246" s="4">
        <v>0</v>
      </c>
      <c r="U246">
        <v>0</v>
      </c>
      <c r="V246">
        <v>0</v>
      </c>
      <c r="W246">
        <v>0</v>
      </c>
      <c r="X246" s="6">
        <f>SUM(T246:W246)/Variables!$E$3</f>
        <v>0</v>
      </c>
      <c r="Y246" s="4">
        <v>0</v>
      </c>
      <c r="Z246">
        <v>0</v>
      </c>
      <c r="AA246">
        <v>0</v>
      </c>
      <c r="AB246">
        <v>0</v>
      </c>
      <c r="AC246" s="6">
        <f>SUM(Y246:AB246)/Variables!$E$3</f>
        <v>0</v>
      </c>
      <c r="AD246" s="4">
        <v>0</v>
      </c>
      <c r="AE246" s="2">
        <v>0</v>
      </c>
      <c r="AF246" s="2">
        <v>0</v>
      </c>
      <c r="AG246" s="2">
        <v>0</v>
      </c>
      <c r="AH246" s="6">
        <f>SUM(AD246:AG246)/Variables!$E$3</f>
        <v>0</v>
      </c>
      <c r="AI246" s="4">
        <v>0</v>
      </c>
      <c r="AJ246" s="2">
        <v>0</v>
      </c>
      <c r="AK246" s="2">
        <v>0</v>
      </c>
      <c r="AL246" s="2">
        <v>0</v>
      </c>
      <c r="AM246" s="6">
        <f>SUM(AI246:AL246)/Variables!$E$3</f>
        <v>0</v>
      </c>
      <c r="AN246" s="4">
        <v>0</v>
      </c>
      <c r="AO246" s="2">
        <v>0</v>
      </c>
      <c r="AP246" s="2">
        <v>0</v>
      </c>
      <c r="AQ246" s="2">
        <v>0</v>
      </c>
      <c r="AR246" s="6">
        <f>SUM(AN246:AQ246)/Variables!$E$3</f>
        <v>0</v>
      </c>
      <c r="AS246" s="4">
        <v>0</v>
      </c>
      <c r="AT246" s="2">
        <v>0</v>
      </c>
      <c r="AU246" s="2">
        <v>0</v>
      </c>
      <c r="AV246" s="2">
        <v>0</v>
      </c>
      <c r="AW246" s="6">
        <f>SUM(AS246:AV246)/Variables!$E$3</f>
        <v>0</v>
      </c>
      <c r="AX246" s="4">
        <v>0</v>
      </c>
      <c r="AY246" s="2">
        <v>0</v>
      </c>
      <c r="AZ246" s="2">
        <v>0</v>
      </c>
      <c r="BA246" s="2">
        <v>0</v>
      </c>
      <c r="BB246" s="6">
        <f>SUM(AX246:BA246)/Variables!$E$3</f>
        <v>0</v>
      </c>
      <c r="BC246" s="12">
        <f t="shared" si="58"/>
        <v>0</v>
      </c>
      <c r="BD246" s="110">
        <f t="shared" si="58"/>
        <v>0</v>
      </c>
      <c r="BE246" s="110">
        <f t="shared" si="58"/>
        <v>0</v>
      </c>
      <c r="BF246" s="110">
        <f t="shared" si="58"/>
        <v>0</v>
      </c>
      <c r="BG246" s="6">
        <f>SUM(BC246:BF246)/Variables!$E$3</f>
        <v>0</v>
      </c>
      <c r="BH246" s="4">
        <v>0</v>
      </c>
      <c r="BI246">
        <v>0</v>
      </c>
      <c r="BJ246">
        <v>0</v>
      </c>
      <c r="BK246">
        <v>0</v>
      </c>
      <c r="BL246" s="6">
        <f>SUM(BH246:BK246)/Variables!$E$3</f>
        <v>0</v>
      </c>
      <c r="BM246" s="110">
        <v>0</v>
      </c>
      <c r="BN246" s="110">
        <v>0</v>
      </c>
      <c r="BO246" s="110">
        <v>0</v>
      </c>
      <c r="BP246" s="110">
        <v>0</v>
      </c>
      <c r="BQ246" s="6">
        <f>SUM(BM246:BP246)/Variables!$E$3</f>
        <v>0</v>
      </c>
      <c r="BS246" s="4">
        <v>244</v>
      </c>
      <c r="BT246" s="125">
        <f t="shared" si="45"/>
        <v>0</v>
      </c>
      <c r="BU246" s="125">
        <f t="shared" si="46"/>
        <v>0</v>
      </c>
      <c r="BV246" s="125">
        <f t="shared" si="47"/>
        <v>0</v>
      </c>
      <c r="BW246" s="125">
        <f t="shared" si="48"/>
        <v>0</v>
      </c>
      <c r="BX246" s="125">
        <f t="shared" si="49"/>
        <v>0</v>
      </c>
      <c r="BY246" s="125">
        <f t="shared" si="50"/>
        <v>0</v>
      </c>
      <c r="BZ246" s="125">
        <f t="shared" si="51"/>
        <v>0</v>
      </c>
      <c r="CA246" s="125">
        <f t="shared" si="52"/>
        <v>0</v>
      </c>
      <c r="CB246" s="125">
        <f t="shared" si="53"/>
        <v>0</v>
      </c>
      <c r="CC246" s="125">
        <f t="shared" si="54"/>
        <v>0</v>
      </c>
      <c r="CD246" s="125">
        <f t="shared" si="55"/>
        <v>0</v>
      </c>
      <c r="CE246" s="125">
        <f t="shared" si="56"/>
        <v>0</v>
      </c>
      <c r="CF246" s="126">
        <f t="shared" si="57"/>
        <v>0</v>
      </c>
      <c r="CH246" s="4">
        <v>244</v>
      </c>
      <c r="CI246" s="129">
        <v>0</v>
      </c>
      <c r="CJ246" s="125">
        <v>0</v>
      </c>
      <c r="CK246" s="125">
        <v>0</v>
      </c>
      <c r="CL246" s="125">
        <v>0</v>
      </c>
      <c r="CM246" s="125">
        <v>0</v>
      </c>
      <c r="CN246" s="125">
        <v>0</v>
      </c>
      <c r="CO246" s="125">
        <v>0</v>
      </c>
      <c r="CP246" s="125">
        <v>0</v>
      </c>
      <c r="CQ246" s="125">
        <v>0</v>
      </c>
      <c r="CR246" s="125">
        <v>0</v>
      </c>
      <c r="CS246" s="125">
        <v>0</v>
      </c>
      <c r="CT246" s="125">
        <v>0</v>
      </c>
      <c r="CU246" s="126">
        <v>0</v>
      </c>
    </row>
    <row r="247" spans="1:99" x14ac:dyDescent="0.25">
      <c r="A247" t="s">
        <v>245</v>
      </c>
      <c r="B247" s="2" t="s">
        <v>4</v>
      </c>
      <c r="C247" s="1">
        <v>23893</v>
      </c>
      <c r="D247" s="19">
        <v>25</v>
      </c>
      <c r="E247" s="18">
        <v>0</v>
      </c>
      <c r="F247" s="19">
        <v>0</v>
      </c>
      <c r="G247" s="19">
        <v>0</v>
      </c>
      <c r="H247" s="19">
        <v>0</v>
      </c>
      <c r="I247" s="19">
        <f>SUM(E247:H247)/Variables!$E$3</f>
        <v>0</v>
      </c>
      <c r="J247" s="4">
        <v>0</v>
      </c>
      <c r="K247">
        <v>0</v>
      </c>
      <c r="L247">
        <v>0</v>
      </c>
      <c r="M247">
        <v>0</v>
      </c>
      <c r="N247" s="6">
        <f>SUM(J247:M247)/Variables!$E$3</f>
        <v>0</v>
      </c>
      <c r="O247" s="4">
        <v>0</v>
      </c>
      <c r="P247">
        <v>0</v>
      </c>
      <c r="Q247">
        <v>0</v>
      </c>
      <c r="R247">
        <v>0</v>
      </c>
      <c r="S247" s="6">
        <f>SUM(O247:R247)/Variables!$E$3</f>
        <v>0</v>
      </c>
      <c r="T247" s="4">
        <v>0</v>
      </c>
      <c r="U247">
        <v>0</v>
      </c>
      <c r="V247">
        <v>0</v>
      </c>
      <c r="W247">
        <v>0</v>
      </c>
      <c r="X247" s="6">
        <f>SUM(T247:W247)/Variables!$E$3</f>
        <v>0</v>
      </c>
      <c r="Y247" s="4">
        <v>0</v>
      </c>
      <c r="Z247">
        <v>0</v>
      </c>
      <c r="AA247">
        <v>0</v>
      </c>
      <c r="AB247">
        <v>0</v>
      </c>
      <c r="AC247" s="6">
        <f>SUM(Y247:AB247)/Variables!$E$3</f>
        <v>0</v>
      </c>
      <c r="AD247" s="4">
        <v>0</v>
      </c>
      <c r="AE247" s="2">
        <v>0</v>
      </c>
      <c r="AF247" s="2">
        <v>0</v>
      </c>
      <c r="AG247" s="2">
        <v>0</v>
      </c>
      <c r="AH247" s="6">
        <f>SUM(AD247:AG247)/Variables!$E$3</f>
        <v>0</v>
      </c>
      <c r="AI247" s="4">
        <v>0</v>
      </c>
      <c r="AJ247" s="2">
        <v>0</v>
      </c>
      <c r="AK247" s="2">
        <v>0</v>
      </c>
      <c r="AL247" s="2">
        <v>0</v>
      </c>
      <c r="AM247" s="6">
        <f>SUM(AI247:AL247)/Variables!$E$3</f>
        <v>0</v>
      </c>
      <c r="AN247" s="4">
        <v>0</v>
      </c>
      <c r="AO247" s="2">
        <v>0</v>
      </c>
      <c r="AP247" s="2">
        <v>0</v>
      </c>
      <c r="AQ247" s="2">
        <v>0</v>
      </c>
      <c r="AR247" s="6">
        <f>SUM(AN247:AQ247)/Variables!$E$3</f>
        <v>0</v>
      </c>
      <c r="AS247" s="4">
        <v>0</v>
      </c>
      <c r="AT247" s="2">
        <v>0</v>
      </c>
      <c r="AU247" s="2">
        <v>0</v>
      </c>
      <c r="AV247" s="2">
        <v>0</v>
      </c>
      <c r="AW247" s="6">
        <f>SUM(AS247:AV247)/Variables!$E$3</f>
        <v>0</v>
      </c>
      <c r="AX247" s="4">
        <v>0</v>
      </c>
      <c r="AY247" s="2">
        <v>0</v>
      </c>
      <c r="AZ247" s="2">
        <v>0</v>
      </c>
      <c r="BA247" s="2">
        <v>0</v>
      </c>
      <c r="BB247" s="6">
        <f>SUM(AX247:BA247)/Variables!$E$3</f>
        <v>0</v>
      </c>
      <c r="BC247" s="12">
        <f t="shared" si="58"/>
        <v>0</v>
      </c>
      <c r="BD247" s="110">
        <f t="shared" si="58"/>
        <v>0</v>
      </c>
      <c r="BE247" s="110">
        <f t="shared" si="58"/>
        <v>0</v>
      </c>
      <c r="BF247" s="110">
        <f t="shared" si="58"/>
        <v>0</v>
      </c>
      <c r="BG247" s="6">
        <f>SUM(BC247:BF247)/Variables!$E$3</f>
        <v>0</v>
      </c>
      <c r="BH247" s="4">
        <v>0</v>
      </c>
      <c r="BI247">
        <v>0</v>
      </c>
      <c r="BJ247">
        <v>0</v>
      </c>
      <c r="BK247">
        <v>0</v>
      </c>
      <c r="BL247" s="6">
        <f>SUM(BH247:BK247)/Variables!$E$3</f>
        <v>0</v>
      </c>
      <c r="BM247" s="110">
        <v>0</v>
      </c>
      <c r="BN247" s="110">
        <v>0</v>
      </c>
      <c r="BO247" s="110">
        <v>0</v>
      </c>
      <c r="BP247" s="110">
        <v>0</v>
      </c>
      <c r="BQ247" s="6">
        <f>SUM(BM247:BP247)/Variables!$E$3</f>
        <v>0</v>
      </c>
      <c r="BS247" s="4">
        <v>245</v>
      </c>
      <c r="BT247" s="125">
        <f t="shared" si="45"/>
        <v>0</v>
      </c>
      <c r="BU247" s="125">
        <f t="shared" si="46"/>
        <v>1.1871036191893839E-2</v>
      </c>
      <c r="BV247" s="125">
        <f t="shared" si="47"/>
        <v>0</v>
      </c>
      <c r="BW247" s="125">
        <f t="shared" si="48"/>
        <v>0</v>
      </c>
      <c r="BX247" s="125">
        <f t="shared" si="49"/>
        <v>0</v>
      </c>
      <c r="BY247" s="125">
        <f t="shared" si="50"/>
        <v>0</v>
      </c>
      <c r="BZ247" s="125">
        <f t="shared" si="51"/>
        <v>0</v>
      </c>
      <c r="CA247" s="125">
        <f t="shared" si="52"/>
        <v>0</v>
      </c>
      <c r="CB247" s="125">
        <f t="shared" si="53"/>
        <v>0</v>
      </c>
      <c r="CC247" s="125">
        <f t="shared" si="54"/>
        <v>0</v>
      </c>
      <c r="CD247" s="125">
        <f t="shared" si="55"/>
        <v>0</v>
      </c>
      <c r="CE247" s="125">
        <f t="shared" si="56"/>
        <v>0</v>
      </c>
      <c r="CF247" s="126">
        <f t="shared" si="57"/>
        <v>0</v>
      </c>
      <c r="CH247" s="4">
        <v>245</v>
      </c>
      <c r="CI247" s="129">
        <v>0</v>
      </c>
      <c r="CJ247" s="125">
        <v>0</v>
      </c>
      <c r="CK247" s="125">
        <v>0</v>
      </c>
      <c r="CL247" s="125">
        <v>0</v>
      </c>
      <c r="CM247" s="125">
        <v>0</v>
      </c>
      <c r="CN247" s="125">
        <v>0</v>
      </c>
      <c r="CO247" s="125">
        <v>0</v>
      </c>
      <c r="CP247" s="125">
        <v>0</v>
      </c>
      <c r="CQ247" s="125">
        <v>0</v>
      </c>
      <c r="CR247" s="125">
        <v>0</v>
      </c>
      <c r="CS247" s="125">
        <v>0</v>
      </c>
      <c r="CT247" s="125">
        <v>0</v>
      </c>
      <c r="CU247" s="126">
        <v>0</v>
      </c>
    </row>
    <row r="248" spans="1:99" x14ac:dyDescent="0.25">
      <c r="A248" t="s">
        <v>245</v>
      </c>
      <c r="B248" s="2" t="s">
        <v>1</v>
      </c>
      <c r="C248" s="1">
        <v>23985</v>
      </c>
      <c r="D248" s="19">
        <v>14.2</v>
      </c>
      <c r="E248" s="18">
        <v>0</v>
      </c>
      <c r="F248" s="19">
        <v>0</v>
      </c>
      <c r="G248" s="19">
        <v>0</v>
      </c>
      <c r="H248" s="19">
        <v>0</v>
      </c>
      <c r="I248" s="19">
        <f>SUM(E248:H248)/Variables!$E$3</f>
        <v>0</v>
      </c>
      <c r="J248" s="4">
        <v>0</v>
      </c>
      <c r="K248">
        <v>0</v>
      </c>
      <c r="L248">
        <v>14993</v>
      </c>
      <c r="M248">
        <v>0</v>
      </c>
      <c r="N248" s="6">
        <f>SUM(J248:M248)/Variables!$E$3</f>
        <v>1.1871036191893839E-2</v>
      </c>
      <c r="O248" s="4">
        <v>0</v>
      </c>
      <c r="P248">
        <v>0</v>
      </c>
      <c r="Q248">
        <v>0</v>
      </c>
      <c r="R248">
        <v>0</v>
      </c>
      <c r="S248" s="6">
        <f>SUM(O248:R248)/Variables!$E$3</f>
        <v>0</v>
      </c>
      <c r="T248" s="4">
        <v>0</v>
      </c>
      <c r="U248">
        <v>0</v>
      </c>
      <c r="V248">
        <v>0</v>
      </c>
      <c r="W248">
        <v>0</v>
      </c>
      <c r="X248" s="6">
        <f>SUM(T248:W248)/Variables!$E$3</f>
        <v>0</v>
      </c>
      <c r="Y248" s="4">
        <v>0</v>
      </c>
      <c r="Z248">
        <v>0</v>
      </c>
      <c r="AA248">
        <v>0</v>
      </c>
      <c r="AB248">
        <v>0</v>
      </c>
      <c r="AC248" s="6">
        <f>SUM(Y248:AB248)/Variables!$E$3</f>
        <v>0</v>
      </c>
      <c r="AD248" s="4">
        <v>0</v>
      </c>
      <c r="AE248" s="2">
        <v>0</v>
      </c>
      <c r="AF248" s="2">
        <v>0</v>
      </c>
      <c r="AG248" s="2">
        <v>0</v>
      </c>
      <c r="AH248" s="6">
        <f>SUM(AD248:AG248)/Variables!$E$3</f>
        <v>0</v>
      </c>
      <c r="AI248" s="4">
        <v>0</v>
      </c>
      <c r="AJ248" s="2">
        <v>0</v>
      </c>
      <c r="AK248" s="2">
        <v>0</v>
      </c>
      <c r="AL248" s="2">
        <v>0</v>
      </c>
      <c r="AM248" s="6">
        <f>SUM(AI248:AL248)/Variables!$E$3</f>
        <v>0</v>
      </c>
      <c r="AN248" s="4">
        <v>0</v>
      </c>
      <c r="AO248" s="2">
        <v>0</v>
      </c>
      <c r="AP248" s="2">
        <v>0</v>
      </c>
      <c r="AQ248" s="2">
        <v>0</v>
      </c>
      <c r="AR248" s="6">
        <f>SUM(AN248:AQ248)/Variables!$E$3</f>
        <v>0</v>
      </c>
      <c r="AS248" s="4">
        <v>0</v>
      </c>
      <c r="AT248" s="2">
        <v>0</v>
      </c>
      <c r="AU248" s="2">
        <v>0</v>
      </c>
      <c r="AV248" s="2">
        <v>0</v>
      </c>
      <c r="AW248" s="6">
        <f>SUM(AS248:AV248)/Variables!$E$3</f>
        <v>0</v>
      </c>
      <c r="AX248" s="4">
        <v>0</v>
      </c>
      <c r="AY248" s="2">
        <v>0</v>
      </c>
      <c r="AZ248" s="2">
        <v>0</v>
      </c>
      <c r="BA248" s="2">
        <v>0</v>
      </c>
      <c r="BB248" s="6">
        <f>SUM(AX248:BA248)/Variables!$E$3</f>
        <v>0</v>
      </c>
      <c r="BC248" s="12">
        <f t="shared" si="58"/>
        <v>0</v>
      </c>
      <c r="BD248" s="110">
        <f t="shared" si="58"/>
        <v>0</v>
      </c>
      <c r="BE248" s="110">
        <f t="shared" si="58"/>
        <v>0</v>
      </c>
      <c r="BF248" s="110">
        <f t="shared" si="58"/>
        <v>0</v>
      </c>
      <c r="BG248" s="6">
        <f>SUM(BC248:BF248)/Variables!$E$3</f>
        <v>0</v>
      </c>
      <c r="BH248" s="4">
        <v>0</v>
      </c>
      <c r="BI248">
        <v>0</v>
      </c>
      <c r="BJ248">
        <v>0</v>
      </c>
      <c r="BK248">
        <v>0</v>
      </c>
      <c r="BL248" s="6">
        <f>SUM(BH248:BK248)/Variables!$E$3</f>
        <v>0</v>
      </c>
      <c r="BM248" s="110">
        <v>0</v>
      </c>
      <c r="BN248" s="110">
        <v>0</v>
      </c>
      <c r="BO248" s="110">
        <v>0</v>
      </c>
      <c r="BP248" s="110">
        <v>0</v>
      </c>
      <c r="BQ248" s="6">
        <f>SUM(BM248:BP248)/Variables!$E$3</f>
        <v>0</v>
      </c>
      <c r="BS248" s="4">
        <v>246</v>
      </c>
      <c r="BT248" s="125">
        <f t="shared" si="45"/>
        <v>0</v>
      </c>
      <c r="BU248" s="125">
        <f t="shared" si="46"/>
        <v>0</v>
      </c>
      <c r="BV248" s="125">
        <f t="shared" si="47"/>
        <v>0</v>
      </c>
      <c r="BW248" s="125">
        <f t="shared" si="48"/>
        <v>0</v>
      </c>
      <c r="BX248" s="125">
        <f t="shared" si="49"/>
        <v>0</v>
      </c>
      <c r="BY248" s="125">
        <f t="shared" si="50"/>
        <v>0</v>
      </c>
      <c r="BZ248" s="125">
        <f t="shared" si="51"/>
        <v>0</v>
      </c>
      <c r="CA248" s="125">
        <f t="shared" si="52"/>
        <v>0</v>
      </c>
      <c r="CB248" s="125">
        <f t="shared" si="53"/>
        <v>0</v>
      </c>
      <c r="CC248" s="125">
        <f t="shared" si="54"/>
        <v>0</v>
      </c>
      <c r="CD248" s="125">
        <f t="shared" si="55"/>
        <v>0</v>
      </c>
      <c r="CE248" s="125">
        <f t="shared" si="56"/>
        <v>0</v>
      </c>
      <c r="CF248" s="126">
        <f t="shared" si="57"/>
        <v>0</v>
      </c>
      <c r="CH248" s="4">
        <v>246</v>
      </c>
      <c r="CI248" s="129">
        <v>0</v>
      </c>
      <c r="CJ248" s="125">
        <v>0</v>
      </c>
      <c r="CK248" s="125">
        <v>0</v>
      </c>
      <c r="CL248" s="125">
        <v>0</v>
      </c>
      <c r="CM248" s="125">
        <v>0</v>
      </c>
      <c r="CN248" s="125">
        <v>0</v>
      </c>
      <c r="CO248" s="125">
        <v>0</v>
      </c>
      <c r="CP248" s="125">
        <v>0</v>
      </c>
      <c r="CQ248" s="125">
        <v>0</v>
      </c>
      <c r="CR248" s="125">
        <v>0</v>
      </c>
      <c r="CS248" s="125">
        <v>0</v>
      </c>
      <c r="CT248" s="125">
        <v>0</v>
      </c>
      <c r="CU248" s="126">
        <v>0</v>
      </c>
    </row>
    <row r="249" spans="1:99" x14ac:dyDescent="0.25">
      <c r="A249" t="s">
        <v>245</v>
      </c>
      <c r="B249" s="2" t="s">
        <v>2</v>
      </c>
      <c r="C249" s="1">
        <v>24076</v>
      </c>
      <c r="D249" s="19">
        <v>12.1</v>
      </c>
      <c r="E249" s="18">
        <v>0</v>
      </c>
      <c r="F249" s="19">
        <v>0</v>
      </c>
      <c r="G249" s="19">
        <v>0</v>
      </c>
      <c r="H249" s="19">
        <v>0</v>
      </c>
      <c r="I249" s="19">
        <f>SUM(E249:H249)/Variables!$E$3</f>
        <v>0</v>
      </c>
      <c r="J249" s="4">
        <v>0</v>
      </c>
      <c r="K249">
        <v>0</v>
      </c>
      <c r="L249">
        <v>0</v>
      </c>
      <c r="M249">
        <v>0</v>
      </c>
      <c r="N249" s="6">
        <f>SUM(J249:M249)/Variables!$E$3</f>
        <v>0</v>
      </c>
      <c r="O249" s="4">
        <v>0</v>
      </c>
      <c r="P249">
        <v>0</v>
      </c>
      <c r="Q249">
        <v>0</v>
      </c>
      <c r="R249">
        <v>0</v>
      </c>
      <c r="S249" s="6">
        <f>SUM(O249:R249)/Variables!$E$3</f>
        <v>0</v>
      </c>
      <c r="T249" s="4">
        <v>0</v>
      </c>
      <c r="U249">
        <v>0</v>
      </c>
      <c r="V249">
        <v>0</v>
      </c>
      <c r="W249">
        <v>0</v>
      </c>
      <c r="X249" s="6">
        <f>SUM(T249:W249)/Variables!$E$3</f>
        <v>0</v>
      </c>
      <c r="Y249" s="4">
        <v>0</v>
      </c>
      <c r="Z249">
        <v>0</v>
      </c>
      <c r="AA249">
        <v>0</v>
      </c>
      <c r="AB249">
        <v>0</v>
      </c>
      <c r="AC249" s="6">
        <f>SUM(Y249:AB249)/Variables!$E$3</f>
        <v>0</v>
      </c>
      <c r="AD249" s="4">
        <v>0</v>
      </c>
      <c r="AE249" s="2">
        <v>0</v>
      </c>
      <c r="AF249" s="2">
        <v>0</v>
      </c>
      <c r="AG249" s="2">
        <v>0</v>
      </c>
      <c r="AH249" s="6">
        <f>SUM(AD249:AG249)/Variables!$E$3</f>
        <v>0</v>
      </c>
      <c r="AI249" s="4">
        <v>0</v>
      </c>
      <c r="AJ249" s="2">
        <v>0</v>
      </c>
      <c r="AK249" s="2">
        <v>0</v>
      </c>
      <c r="AL249" s="2">
        <v>0</v>
      </c>
      <c r="AM249" s="6">
        <f>SUM(AI249:AL249)/Variables!$E$3</f>
        <v>0</v>
      </c>
      <c r="AN249" s="4">
        <v>0</v>
      </c>
      <c r="AO249" s="2">
        <v>0</v>
      </c>
      <c r="AP249" s="2">
        <v>0</v>
      </c>
      <c r="AQ249" s="2">
        <v>0</v>
      </c>
      <c r="AR249" s="6">
        <f>SUM(AN249:AQ249)/Variables!$E$3</f>
        <v>0</v>
      </c>
      <c r="AS249" s="4">
        <v>0</v>
      </c>
      <c r="AT249" s="2">
        <v>0</v>
      </c>
      <c r="AU249" s="2">
        <v>0</v>
      </c>
      <c r="AV249" s="2">
        <v>0</v>
      </c>
      <c r="AW249" s="6">
        <f>SUM(AS249:AV249)/Variables!$E$3</f>
        <v>0</v>
      </c>
      <c r="AX249" s="4">
        <v>0</v>
      </c>
      <c r="AY249" s="2">
        <v>0</v>
      </c>
      <c r="AZ249" s="2">
        <v>0</v>
      </c>
      <c r="BA249" s="2">
        <v>0</v>
      </c>
      <c r="BB249" s="6">
        <f>SUM(AX249:BA249)/Variables!$E$3</f>
        <v>0</v>
      </c>
      <c r="BC249" s="12">
        <f t="shared" si="58"/>
        <v>0</v>
      </c>
      <c r="BD249" s="110">
        <f t="shared" si="58"/>
        <v>0</v>
      </c>
      <c r="BE249" s="110">
        <f t="shared" si="58"/>
        <v>0</v>
      </c>
      <c r="BF249" s="110">
        <f t="shared" si="58"/>
        <v>0</v>
      </c>
      <c r="BG249" s="6">
        <f>SUM(BC249:BF249)/Variables!$E$3</f>
        <v>0</v>
      </c>
      <c r="BH249" s="4">
        <v>0</v>
      </c>
      <c r="BI249">
        <v>0</v>
      </c>
      <c r="BJ249">
        <v>0</v>
      </c>
      <c r="BK249">
        <v>0</v>
      </c>
      <c r="BL249" s="6">
        <f>SUM(BH249:BK249)/Variables!$E$3</f>
        <v>0</v>
      </c>
      <c r="BM249" s="110">
        <v>0</v>
      </c>
      <c r="BN249" s="110">
        <v>0</v>
      </c>
      <c r="BO249" s="110">
        <v>0</v>
      </c>
      <c r="BP249" s="110">
        <v>0</v>
      </c>
      <c r="BQ249" s="6">
        <f>SUM(BM249:BP249)/Variables!$E$3</f>
        <v>0</v>
      </c>
      <c r="BS249" s="4">
        <v>247</v>
      </c>
      <c r="BT249" s="125">
        <f t="shared" si="45"/>
        <v>0</v>
      </c>
      <c r="BU249" s="125">
        <f t="shared" si="46"/>
        <v>7.3721882200175767E-2</v>
      </c>
      <c r="BV249" s="125">
        <f t="shared" si="47"/>
        <v>0</v>
      </c>
      <c r="BW249" s="125">
        <f t="shared" si="48"/>
        <v>3.9531587740203799E-3</v>
      </c>
      <c r="BX249" s="125">
        <f t="shared" si="49"/>
        <v>3.6133302718152956E-3</v>
      </c>
      <c r="BY249" s="125">
        <f t="shared" si="50"/>
        <v>0</v>
      </c>
      <c r="BZ249" s="125">
        <f t="shared" si="51"/>
        <v>2.4988321364381353E-4</v>
      </c>
      <c r="CA249" s="125">
        <f t="shared" si="52"/>
        <v>1.8179082969778065E-4</v>
      </c>
      <c r="CB249" s="125">
        <f t="shared" si="53"/>
        <v>4.2900577201719732E-3</v>
      </c>
      <c r="CC249" s="125">
        <f t="shared" si="54"/>
        <v>6.4822365972810555E-4</v>
      </c>
      <c r="CD249" s="125">
        <f t="shared" si="55"/>
        <v>3.6133302718152956E-3</v>
      </c>
      <c r="CE249" s="125">
        <f t="shared" si="56"/>
        <v>7.3230983618239253E-4</v>
      </c>
      <c r="CF249" s="126">
        <f t="shared" si="57"/>
        <v>1.7239249716941546E-3</v>
      </c>
      <c r="CH249" s="4">
        <v>247</v>
      </c>
      <c r="CI249" s="129">
        <v>0</v>
      </c>
      <c r="CJ249" s="125">
        <v>0</v>
      </c>
      <c r="CK249" s="125">
        <v>0</v>
      </c>
      <c r="CL249" s="125">
        <v>0</v>
      </c>
      <c r="CM249" s="125">
        <v>0</v>
      </c>
      <c r="CN249" s="125">
        <v>0</v>
      </c>
      <c r="CO249" s="125">
        <v>0</v>
      </c>
      <c r="CP249" s="125">
        <v>0</v>
      </c>
      <c r="CQ249" s="125">
        <v>0</v>
      </c>
      <c r="CR249" s="125">
        <v>0</v>
      </c>
      <c r="CS249" s="125">
        <v>0</v>
      </c>
      <c r="CT249" s="125">
        <v>0</v>
      </c>
      <c r="CU249" s="126">
        <v>0</v>
      </c>
    </row>
    <row r="250" spans="1:99" x14ac:dyDescent="0.25">
      <c r="A250" t="s">
        <v>246</v>
      </c>
      <c r="B250" s="2" t="s">
        <v>3</v>
      </c>
      <c r="C250" s="1">
        <v>24166</v>
      </c>
      <c r="D250" s="19">
        <v>133.25714285714301</v>
      </c>
      <c r="E250" s="18">
        <v>0</v>
      </c>
      <c r="F250" s="19">
        <v>0</v>
      </c>
      <c r="G250" s="19">
        <v>0</v>
      </c>
      <c r="H250" s="19">
        <v>0</v>
      </c>
      <c r="I250" s="19">
        <f>SUM(E250:H250)/Variables!$E$3</f>
        <v>0</v>
      </c>
      <c r="J250" s="4">
        <v>0</v>
      </c>
      <c r="K250">
        <v>0</v>
      </c>
      <c r="L250">
        <v>93074</v>
      </c>
      <c r="M250">
        <v>36</v>
      </c>
      <c r="N250" s="6">
        <f>SUM(J250:M250)/Variables!$E$3</f>
        <v>7.3721882200175767E-2</v>
      </c>
      <c r="O250" s="4">
        <v>0</v>
      </c>
      <c r="P250">
        <v>0</v>
      </c>
      <c r="Q250">
        <v>0</v>
      </c>
      <c r="R250">
        <v>0</v>
      </c>
      <c r="S250" s="6">
        <f>SUM(O250:R250)/Variables!$E$3</f>
        <v>0</v>
      </c>
      <c r="T250" s="4">
        <v>0</v>
      </c>
      <c r="U250">
        <v>0</v>
      </c>
      <c r="V250">
        <v>4992.8</v>
      </c>
      <c r="W250">
        <v>0</v>
      </c>
      <c r="X250" s="6">
        <f>SUM(T250:W250)/Variables!$E$3</f>
        <v>3.9531587740203799E-3</v>
      </c>
      <c r="Y250" s="4">
        <v>0</v>
      </c>
      <c r="Z250">
        <v>0</v>
      </c>
      <c r="AA250">
        <v>4563.6000000000004</v>
      </c>
      <c r="AB250">
        <v>0</v>
      </c>
      <c r="AC250" s="6">
        <f>SUM(Y250:AB250)/Variables!$E$3</f>
        <v>3.6133302718152956E-3</v>
      </c>
      <c r="AD250" s="4">
        <v>0</v>
      </c>
      <c r="AE250" s="2">
        <v>0</v>
      </c>
      <c r="AF250" s="2">
        <v>0</v>
      </c>
      <c r="AG250" s="2">
        <v>0</v>
      </c>
      <c r="AH250" s="6">
        <f>SUM(AD250:AG250)/Variables!$E$3</f>
        <v>0</v>
      </c>
      <c r="AI250" s="4">
        <v>0</v>
      </c>
      <c r="AJ250" s="2">
        <v>0</v>
      </c>
      <c r="AK250" s="2">
        <v>315.60000000000002</v>
      </c>
      <c r="AL250" s="2">
        <v>0</v>
      </c>
      <c r="AM250" s="6">
        <f>SUM(AI250:AL250)/Variables!$E$3</f>
        <v>2.4988321364381353E-4</v>
      </c>
      <c r="AN250" s="4">
        <v>0</v>
      </c>
      <c r="AO250" s="2">
        <v>0</v>
      </c>
      <c r="AP250" s="2">
        <v>229.6</v>
      </c>
      <c r="AQ250" s="2">
        <v>0</v>
      </c>
      <c r="AR250" s="6">
        <f>SUM(AN250:AQ250)/Variables!$E$3</f>
        <v>1.8179082969778065E-4</v>
      </c>
      <c r="AS250" s="4">
        <v>0</v>
      </c>
      <c r="AT250" s="2">
        <v>0</v>
      </c>
      <c r="AU250" s="2">
        <v>5418.3</v>
      </c>
      <c r="AV250" s="2">
        <v>0</v>
      </c>
      <c r="AW250" s="6">
        <f>SUM(AS250:AV250)/Variables!$E$3</f>
        <v>4.2900577201719732E-3</v>
      </c>
      <c r="AX250" s="4">
        <v>0</v>
      </c>
      <c r="AY250" s="2">
        <v>0</v>
      </c>
      <c r="AZ250" s="2">
        <v>818.7</v>
      </c>
      <c r="BA250" s="2">
        <v>0</v>
      </c>
      <c r="BB250" s="6">
        <f>SUM(AX250:BA250)/Variables!$E$3</f>
        <v>6.4822365972810555E-4</v>
      </c>
      <c r="BC250" s="12">
        <f t="shared" si="58"/>
        <v>0</v>
      </c>
      <c r="BD250" s="110">
        <f t="shared" si="58"/>
        <v>0</v>
      </c>
      <c r="BE250" s="110">
        <f t="shared" si="58"/>
        <v>4563.6000000000004</v>
      </c>
      <c r="BF250" s="110">
        <f t="shared" si="58"/>
        <v>0</v>
      </c>
      <c r="BG250" s="6">
        <f>SUM(BC250:BF250)/Variables!$E$3</f>
        <v>3.6133302718152956E-3</v>
      </c>
      <c r="BH250" s="4">
        <v>0</v>
      </c>
      <c r="BI250">
        <v>0</v>
      </c>
      <c r="BJ250">
        <v>924.9</v>
      </c>
      <c r="BK250">
        <v>0</v>
      </c>
      <c r="BL250" s="6">
        <f>SUM(BH250:BK250)/Variables!$E$3</f>
        <v>7.3230983618239253E-4</v>
      </c>
      <c r="BM250" s="110">
        <v>0</v>
      </c>
      <c r="BN250" s="110">
        <v>0</v>
      </c>
      <c r="BO250" s="110">
        <v>2177.3000000000002</v>
      </c>
      <c r="BP250" s="110">
        <v>0</v>
      </c>
      <c r="BQ250" s="6">
        <f>SUM(BM250:BP250)/Variables!$E$3</f>
        <v>1.7239249716941546E-3</v>
      </c>
      <c r="BS250" s="4">
        <v>248</v>
      </c>
      <c r="BT250" s="125">
        <f t="shared" si="45"/>
        <v>0</v>
      </c>
      <c r="BU250" s="125">
        <f t="shared" si="46"/>
        <v>0</v>
      </c>
      <c r="BV250" s="125">
        <f t="shared" si="47"/>
        <v>0</v>
      </c>
      <c r="BW250" s="125">
        <f t="shared" si="48"/>
        <v>0</v>
      </c>
      <c r="BX250" s="125">
        <f t="shared" si="49"/>
        <v>0</v>
      </c>
      <c r="BY250" s="125">
        <f t="shared" si="50"/>
        <v>0</v>
      </c>
      <c r="BZ250" s="125">
        <f t="shared" si="51"/>
        <v>0</v>
      </c>
      <c r="CA250" s="125">
        <f t="shared" si="52"/>
        <v>0</v>
      </c>
      <c r="CB250" s="125">
        <f t="shared" si="53"/>
        <v>0</v>
      </c>
      <c r="CC250" s="125">
        <f t="shared" si="54"/>
        <v>0</v>
      </c>
      <c r="CD250" s="125">
        <f t="shared" si="55"/>
        <v>0</v>
      </c>
      <c r="CE250" s="125">
        <f t="shared" si="56"/>
        <v>0</v>
      </c>
      <c r="CF250" s="126">
        <f t="shared" si="57"/>
        <v>0</v>
      </c>
      <c r="CH250" s="4">
        <v>248</v>
      </c>
      <c r="CI250" s="129">
        <v>0</v>
      </c>
      <c r="CJ250" s="125">
        <v>0</v>
      </c>
      <c r="CK250" s="125">
        <v>0</v>
      </c>
      <c r="CL250" s="125">
        <v>0</v>
      </c>
      <c r="CM250" s="125">
        <v>0</v>
      </c>
      <c r="CN250" s="125">
        <v>0</v>
      </c>
      <c r="CO250" s="125">
        <v>0</v>
      </c>
      <c r="CP250" s="125">
        <v>0</v>
      </c>
      <c r="CQ250" s="125">
        <v>0</v>
      </c>
      <c r="CR250" s="125">
        <v>0</v>
      </c>
      <c r="CS250" s="125">
        <v>0</v>
      </c>
      <c r="CT250" s="125">
        <v>0</v>
      </c>
      <c r="CU250" s="126">
        <v>0</v>
      </c>
    </row>
    <row r="251" spans="1:99" x14ac:dyDescent="0.25">
      <c r="A251" t="s">
        <v>246</v>
      </c>
      <c r="B251" s="2" t="s">
        <v>4</v>
      </c>
      <c r="C251" s="1">
        <v>24258</v>
      </c>
      <c r="D251" s="19">
        <v>51.5571428571429</v>
      </c>
      <c r="E251" s="18">
        <v>0</v>
      </c>
      <c r="F251" s="19">
        <v>0</v>
      </c>
      <c r="G251" s="19">
        <v>0</v>
      </c>
      <c r="H251" s="19">
        <v>0</v>
      </c>
      <c r="I251" s="19">
        <f>SUM(E251:H251)/Variables!$E$3</f>
        <v>0</v>
      </c>
      <c r="J251" s="4">
        <v>0</v>
      </c>
      <c r="K251">
        <v>0</v>
      </c>
      <c r="L251">
        <v>0</v>
      </c>
      <c r="M251">
        <v>0</v>
      </c>
      <c r="N251" s="6">
        <f>SUM(J251:M251)/Variables!$E$3</f>
        <v>0</v>
      </c>
      <c r="O251" s="4">
        <v>0</v>
      </c>
      <c r="P251">
        <v>0</v>
      </c>
      <c r="Q251">
        <v>0</v>
      </c>
      <c r="R251">
        <v>0</v>
      </c>
      <c r="S251" s="6">
        <f>SUM(O251:R251)/Variables!$E$3</f>
        <v>0</v>
      </c>
      <c r="T251" s="4">
        <v>0</v>
      </c>
      <c r="U251">
        <v>0</v>
      </c>
      <c r="V251">
        <v>0</v>
      </c>
      <c r="W251">
        <v>0</v>
      </c>
      <c r="X251" s="6">
        <f>SUM(T251:W251)/Variables!$E$3</f>
        <v>0</v>
      </c>
      <c r="Y251" s="4">
        <v>0</v>
      </c>
      <c r="Z251">
        <v>0</v>
      </c>
      <c r="AA251">
        <v>0</v>
      </c>
      <c r="AB251">
        <v>0</v>
      </c>
      <c r="AC251" s="6">
        <f>SUM(Y251:AB251)/Variables!$E$3</f>
        <v>0</v>
      </c>
      <c r="AD251" s="4">
        <v>0</v>
      </c>
      <c r="AE251" s="2">
        <v>0</v>
      </c>
      <c r="AF251" s="2">
        <v>0</v>
      </c>
      <c r="AG251" s="2">
        <v>0</v>
      </c>
      <c r="AH251" s="6">
        <f>SUM(AD251:AG251)/Variables!$E$3</f>
        <v>0</v>
      </c>
      <c r="AI251" s="4">
        <v>0</v>
      </c>
      <c r="AJ251" s="2">
        <v>0</v>
      </c>
      <c r="AK251" s="2">
        <v>0</v>
      </c>
      <c r="AL251" s="2">
        <v>0</v>
      </c>
      <c r="AM251" s="6">
        <f>SUM(AI251:AL251)/Variables!$E$3</f>
        <v>0</v>
      </c>
      <c r="AN251" s="4">
        <v>0</v>
      </c>
      <c r="AO251" s="2">
        <v>0</v>
      </c>
      <c r="AP251" s="2">
        <v>0</v>
      </c>
      <c r="AQ251" s="2">
        <v>0</v>
      </c>
      <c r="AR251" s="6">
        <f>SUM(AN251:AQ251)/Variables!$E$3</f>
        <v>0</v>
      </c>
      <c r="AS251" s="4">
        <v>0</v>
      </c>
      <c r="AT251" s="2">
        <v>0</v>
      </c>
      <c r="AU251" s="2">
        <v>0</v>
      </c>
      <c r="AV251" s="2">
        <v>0</v>
      </c>
      <c r="AW251" s="6">
        <f>SUM(AS251:AV251)/Variables!$E$3</f>
        <v>0</v>
      </c>
      <c r="AX251" s="4">
        <v>0</v>
      </c>
      <c r="AY251" s="2">
        <v>0</v>
      </c>
      <c r="AZ251" s="2">
        <v>0</v>
      </c>
      <c r="BA251" s="2">
        <v>0</v>
      </c>
      <c r="BB251" s="6">
        <f>SUM(AX251:BA251)/Variables!$E$3</f>
        <v>0</v>
      </c>
      <c r="BC251" s="12">
        <f t="shared" si="58"/>
        <v>0</v>
      </c>
      <c r="BD251" s="110">
        <f t="shared" si="58"/>
        <v>0</v>
      </c>
      <c r="BE251" s="110">
        <f t="shared" si="58"/>
        <v>0</v>
      </c>
      <c r="BF251" s="110">
        <f t="shared" si="58"/>
        <v>0</v>
      </c>
      <c r="BG251" s="6">
        <f>SUM(BC251:BF251)/Variables!$E$3</f>
        <v>0</v>
      </c>
      <c r="BH251" s="4">
        <v>0</v>
      </c>
      <c r="BI251">
        <v>0</v>
      </c>
      <c r="BJ251">
        <v>0</v>
      </c>
      <c r="BK251">
        <v>0</v>
      </c>
      <c r="BL251" s="6">
        <f>SUM(BH251:BK251)/Variables!$E$3</f>
        <v>0</v>
      </c>
      <c r="BM251" s="110">
        <v>0</v>
      </c>
      <c r="BN251" s="110">
        <v>0</v>
      </c>
      <c r="BO251" s="110">
        <v>0</v>
      </c>
      <c r="BP251" s="110">
        <v>0</v>
      </c>
      <c r="BQ251" s="6">
        <f>SUM(BM251:BP251)/Variables!$E$3</f>
        <v>0</v>
      </c>
      <c r="BS251" s="4">
        <v>249</v>
      </c>
      <c r="BT251" s="125">
        <f t="shared" si="45"/>
        <v>0</v>
      </c>
      <c r="BU251" s="125">
        <f t="shared" si="46"/>
        <v>0</v>
      </c>
      <c r="BV251" s="125">
        <f t="shared" si="47"/>
        <v>0</v>
      </c>
      <c r="BW251" s="125">
        <f t="shared" si="48"/>
        <v>0</v>
      </c>
      <c r="BX251" s="125">
        <f t="shared" si="49"/>
        <v>0</v>
      </c>
      <c r="BY251" s="125">
        <f t="shared" si="50"/>
        <v>0</v>
      </c>
      <c r="BZ251" s="125">
        <f t="shared" si="51"/>
        <v>0</v>
      </c>
      <c r="CA251" s="125">
        <f t="shared" si="52"/>
        <v>0</v>
      </c>
      <c r="CB251" s="125">
        <f t="shared" si="53"/>
        <v>0</v>
      </c>
      <c r="CC251" s="125">
        <f t="shared" si="54"/>
        <v>0</v>
      </c>
      <c r="CD251" s="125">
        <f t="shared" si="55"/>
        <v>0</v>
      </c>
      <c r="CE251" s="125">
        <f t="shared" si="56"/>
        <v>0</v>
      </c>
      <c r="CF251" s="126">
        <f t="shared" si="57"/>
        <v>0</v>
      </c>
      <c r="CH251" s="4">
        <v>249</v>
      </c>
      <c r="CI251" s="129">
        <v>0</v>
      </c>
      <c r="CJ251" s="125">
        <v>0</v>
      </c>
      <c r="CK251" s="125">
        <v>0</v>
      </c>
      <c r="CL251" s="125">
        <v>0</v>
      </c>
      <c r="CM251" s="125">
        <v>0</v>
      </c>
      <c r="CN251" s="125">
        <v>0</v>
      </c>
      <c r="CO251" s="125">
        <v>0</v>
      </c>
      <c r="CP251" s="125">
        <v>0</v>
      </c>
      <c r="CQ251" s="125">
        <v>0</v>
      </c>
      <c r="CR251" s="125">
        <v>0</v>
      </c>
      <c r="CS251" s="125">
        <v>0</v>
      </c>
      <c r="CT251" s="125">
        <v>0</v>
      </c>
      <c r="CU251" s="126">
        <v>0</v>
      </c>
    </row>
    <row r="252" spans="1:99" x14ac:dyDescent="0.25">
      <c r="A252" t="s">
        <v>246</v>
      </c>
      <c r="B252" s="2" t="s">
        <v>1</v>
      </c>
      <c r="C252" s="1">
        <v>24350</v>
      </c>
      <c r="D252" s="19">
        <v>98.185714285714297</v>
      </c>
      <c r="E252" s="18">
        <v>0</v>
      </c>
      <c r="F252" s="19">
        <v>0</v>
      </c>
      <c r="G252" s="19">
        <v>0</v>
      </c>
      <c r="H252" s="19">
        <v>0</v>
      </c>
      <c r="I252" s="19">
        <f>SUM(E252:H252)/Variables!$E$3</f>
        <v>0</v>
      </c>
      <c r="J252" s="4">
        <v>0</v>
      </c>
      <c r="K252">
        <v>0</v>
      </c>
      <c r="L252">
        <v>0</v>
      </c>
      <c r="M252">
        <v>0</v>
      </c>
      <c r="N252" s="6">
        <f>SUM(J252:M252)/Variables!$E$3</f>
        <v>0</v>
      </c>
      <c r="O252" s="4">
        <v>0</v>
      </c>
      <c r="P252">
        <v>0</v>
      </c>
      <c r="Q252">
        <v>0</v>
      </c>
      <c r="R252">
        <v>0</v>
      </c>
      <c r="S252" s="6">
        <f>SUM(O252:R252)/Variables!$E$3</f>
        <v>0</v>
      </c>
      <c r="T252" s="4">
        <v>0</v>
      </c>
      <c r="U252">
        <v>0</v>
      </c>
      <c r="V252">
        <v>0</v>
      </c>
      <c r="W252">
        <v>0</v>
      </c>
      <c r="X252" s="6">
        <f>SUM(T252:W252)/Variables!$E$3</f>
        <v>0</v>
      </c>
      <c r="Y252" s="4">
        <v>0</v>
      </c>
      <c r="Z252">
        <v>0</v>
      </c>
      <c r="AA252">
        <v>0</v>
      </c>
      <c r="AB252">
        <v>0</v>
      </c>
      <c r="AC252" s="6">
        <f>SUM(Y252:AB252)/Variables!$E$3</f>
        <v>0</v>
      </c>
      <c r="AD252" s="4">
        <v>0</v>
      </c>
      <c r="AE252" s="2">
        <v>0</v>
      </c>
      <c r="AF252" s="2">
        <v>0</v>
      </c>
      <c r="AG252" s="2">
        <v>0</v>
      </c>
      <c r="AH252" s="6">
        <f>SUM(AD252:AG252)/Variables!$E$3</f>
        <v>0</v>
      </c>
      <c r="AI252" s="4">
        <v>0</v>
      </c>
      <c r="AJ252" s="2">
        <v>0</v>
      </c>
      <c r="AK252" s="2">
        <v>0</v>
      </c>
      <c r="AL252" s="2">
        <v>0</v>
      </c>
      <c r="AM252" s="6">
        <f>SUM(AI252:AL252)/Variables!$E$3</f>
        <v>0</v>
      </c>
      <c r="AN252" s="4">
        <v>0</v>
      </c>
      <c r="AO252" s="2">
        <v>0</v>
      </c>
      <c r="AP252" s="2">
        <v>0</v>
      </c>
      <c r="AQ252" s="2">
        <v>0</v>
      </c>
      <c r="AR252" s="6">
        <f>SUM(AN252:AQ252)/Variables!$E$3</f>
        <v>0</v>
      </c>
      <c r="AS252" s="4">
        <v>0</v>
      </c>
      <c r="AT252" s="2">
        <v>0</v>
      </c>
      <c r="AU252" s="2">
        <v>0</v>
      </c>
      <c r="AV252" s="2">
        <v>0</v>
      </c>
      <c r="AW252" s="6">
        <f>SUM(AS252:AV252)/Variables!$E$3</f>
        <v>0</v>
      </c>
      <c r="AX252" s="4">
        <v>0</v>
      </c>
      <c r="AY252" s="2">
        <v>0</v>
      </c>
      <c r="AZ252" s="2">
        <v>0</v>
      </c>
      <c r="BA252" s="2">
        <v>0</v>
      </c>
      <c r="BB252" s="6">
        <f>SUM(AX252:BA252)/Variables!$E$3</f>
        <v>0</v>
      </c>
      <c r="BC252" s="12">
        <f t="shared" si="58"/>
        <v>0</v>
      </c>
      <c r="BD252" s="110">
        <f t="shared" si="58"/>
        <v>0</v>
      </c>
      <c r="BE252" s="110">
        <f t="shared" si="58"/>
        <v>0</v>
      </c>
      <c r="BF252" s="110">
        <f t="shared" si="58"/>
        <v>0</v>
      </c>
      <c r="BG252" s="6">
        <f>SUM(BC252:BF252)/Variables!$E$3</f>
        <v>0</v>
      </c>
      <c r="BH252" s="4">
        <v>0</v>
      </c>
      <c r="BI252">
        <v>0</v>
      </c>
      <c r="BJ252">
        <v>0</v>
      </c>
      <c r="BK252">
        <v>0</v>
      </c>
      <c r="BL252" s="6">
        <f>SUM(BH252:BK252)/Variables!$E$3</f>
        <v>0</v>
      </c>
      <c r="BM252" s="110">
        <v>0</v>
      </c>
      <c r="BN252" s="110">
        <v>0</v>
      </c>
      <c r="BO252" s="110">
        <v>0</v>
      </c>
      <c r="BP252" s="110">
        <v>0</v>
      </c>
      <c r="BQ252" s="6">
        <f>SUM(BM252:BP252)/Variables!$E$3</f>
        <v>0</v>
      </c>
      <c r="BS252" s="4">
        <v>250</v>
      </c>
      <c r="BT252" s="125">
        <f t="shared" si="45"/>
        <v>0</v>
      </c>
      <c r="BU252" s="125">
        <f t="shared" si="46"/>
        <v>0</v>
      </c>
      <c r="BV252" s="125">
        <f t="shared" si="47"/>
        <v>0</v>
      </c>
      <c r="BW252" s="125">
        <f t="shared" si="48"/>
        <v>0</v>
      </c>
      <c r="BX252" s="125">
        <f t="shared" si="49"/>
        <v>0</v>
      </c>
      <c r="BY252" s="125">
        <f t="shared" si="50"/>
        <v>0</v>
      </c>
      <c r="BZ252" s="125">
        <f t="shared" si="51"/>
        <v>0</v>
      </c>
      <c r="CA252" s="125">
        <f t="shared" si="52"/>
        <v>0</v>
      </c>
      <c r="CB252" s="125">
        <f t="shared" si="53"/>
        <v>0</v>
      </c>
      <c r="CC252" s="125">
        <f t="shared" si="54"/>
        <v>0</v>
      </c>
      <c r="CD252" s="125">
        <f t="shared" si="55"/>
        <v>0</v>
      </c>
      <c r="CE252" s="125">
        <f t="shared" si="56"/>
        <v>0</v>
      </c>
      <c r="CF252" s="126">
        <f t="shared" si="57"/>
        <v>0</v>
      </c>
      <c r="CH252" s="4">
        <v>250</v>
      </c>
      <c r="CI252" s="129">
        <v>0</v>
      </c>
      <c r="CJ252" s="125">
        <v>0</v>
      </c>
      <c r="CK252" s="125">
        <v>0</v>
      </c>
      <c r="CL252" s="125">
        <v>0</v>
      </c>
      <c r="CM252" s="125">
        <v>0</v>
      </c>
      <c r="CN252" s="125">
        <v>0</v>
      </c>
      <c r="CO252" s="125">
        <v>0</v>
      </c>
      <c r="CP252" s="125">
        <v>0</v>
      </c>
      <c r="CQ252" s="125">
        <v>0</v>
      </c>
      <c r="CR252" s="125">
        <v>0</v>
      </c>
      <c r="CS252" s="125">
        <v>0</v>
      </c>
      <c r="CT252" s="125">
        <v>0</v>
      </c>
      <c r="CU252" s="126">
        <v>0</v>
      </c>
    </row>
    <row r="253" spans="1:99" x14ac:dyDescent="0.25">
      <c r="A253" t="s">
        <v>246</v>
      </c>
      <c r="B253" s="2" t="s">
        <v>2</v>
      </c>
      <c r="C253" s="1">
        <v>24441</v>
      </c>
      <c r="D253" s="19">
        <v>77.5</v>
      </c>
      <c r="E253" s="18">
        <v>0</v>
      </c>
      <c r="F253" s="19">
        <v>0</v>
      </c>
      <c r="G253" s="19">
        <v>0</v>
      </c>
      <c r="H253" s="19">
        <v>0</v>
      </c>
      <c r="I253" s="19">
        <f>SUM(E253:H253)/Variables!$E$3</f>
        <v>0</v>
      </c>
      <c r="J253" s="4">
        <v>0</v>
      </c>
      <c r="K253">
        <v>0</v>
      </c>
      <c r="L253">
        <v>0</v>
      </c>
      <c r="M253">
        <v>0</v>
      </c>
      <c r="N253" s="6">
        <f>SUM(J253:M253)/Variables!$E$3</f>
        <v>0</v>
      </c>
      <c r="O253" s="4">
        <v>0</v>
      </c>
      <c r="P253">
        <v>0</v>
      </c>
      <c r="Q253">
        <v>0</v>
      </c>
      <c r="R253">
        <v>0</v>
      </c>
      <c r="S253" s="6">
        <f>SUM(O253:R253)/Variables!$E$3</f>
        <v>0</v>
      </c>
      <c r="T253" s="4">
        <v>0</v>
      </c>
      <c r="U253">
        <v>0</v>
      </c>
      <c r="V253">
        <v>0</v>
      </c>
      <c r="W253">
        <v>0</v>
      </c>
      <c r="X253" s="6">
        <f>SUM(T253:W253)/Variables!$E$3</f>
        <v>0</v>
      </c>
      <c r="Y253" s="4">
        <v>0</v>
      </c>
      <c r="Z253">
        <v>0</v>
      </c>
      <c r="AA253">
        <v>0</v>
      </c>
      <c r="AB253">
        <v>0</v>
      </c>
      <c r="AC253" s="6">
        <f>SUM(Y253:AB253)/Variables!$E$3</f>
        <v>0</v>
      </c>
      <c r="AD253" s="4">
        <v>0</v>
      </c>
      <c r="AE253" s="2">
        <v>0</v>
      </c>
      <c r="AF253" s="2">
        <v>0</v>
      </c>
      <c r="AG253" s="2">
        <v>0</v>
      </c>
      <c r="AH253" s="6">
        <f>SUM(AD253:AG253)/Variables!$E$3</f>
        <v>0</v>
      </c>
      <c r="AI253" s="4">
        <v>0</v>
      </c>
      <c r="AJ253" s="2">
        <v>0</v>
      </c>
      <c r="AK253" s="2">
        <v>0</v>
      </c>
      <c r="AL253" s="2">
        <v>0</v>
      </c>
      <c r="AM253" s="6">
        <f>SUM(AI253:AL253)/Variables!$E$3</f>
        <v>0</v>
      </c>
      <c r="AN253" s="4">
        <v>0</v>
      </c>
      <c r="AO253" s="2">
        <v>0</v>
      </c>
      <c r="AP253" s="2">
        <v>0</v>
      </c>
      <c r="AQ253" s="2">
        <v>0</v>
      </c>
      <c r="AR253" s="6">
        <f>SUM(AN253:AQ253)/Variables!$E$3</f>
        <v>0</v>
      </c>
      <c r="AS253" s="4">
        <v>0</v>
      </c>
      <c r="AT253" s="2">
        <v>0</v>
      </c>
      <c r="AU253" s="2">
        <v>0</v>
      </c>
      <c r="AV253" s="2">
        <v>0</v>
      </c>
      <c r="AW253" s="6">
        <f>SUM(AS253:AV253)/Variables!$E$3</f>
        <v>0</v>
      </c>
      <c r="AX253" s="4">
        <v>0</v>
      </c>
      <c r="AY253" s="2">
        <v>0</v>
      </c>
      <c r="AZ253" s="2">
        <v>0</v>
      </c>
      <c r="BA253" s="2">
        <v>0</v>
      </c>
      <c r="BB253" s="6">
        <f>SUM(AX253:BA253)/Variables!$E$3</f>
        <v>0</v>
      </c>
      <c r="BC253" s="12">
        <f t="shared" si="58"/>
        <v>0</v>
      </c>
      <c r="BD253" s="110">
        <f t="shared" si="58"/>
        <v>0</v>
      </c>
      <c r="BE253" s="110">
        <f t="shared" si="58"/>
        <v>0</v>
      </c>
      <c r="BF253" s="110">
        <f t="shared" si="58"/>
        <v>0</v>
      </c>
      <c r="BG253" s="6">
        <f>SUM(BC253:BF253)/Variables!$E$3</f>
        <v>0</v>
      </c>
      <c r="BH253" s="4">
        <v>0</v>
      </c>
      <c r="BI253">
        <v>0</v>
      </c>
      <c r="BJ253">
        <v>0</v>
      </c>
      <c r="BK253">
        <v>0</v>
      </c>
      <c r="BL253" s="6">
        <f>SUM(BH253:BK253)/Variables!$E$3</f>
        <v>0</v>
      </c>
      <c r="BM253" s="110">
        <v>0</v>
      </c>
      <c r="BN253" s="110">
        <v>0</v>
      </c>
      <c r="BO253" s="110">
        <v>0</v>
      </c>
      <c r="BP253" s="110">
        <v>0</v>
      </c>
      <c r="BQ253" s="6">
        <f>SUM(BM253:BP253)/Variables!$E$3</f>
        <v>0</v>
      </c>
      <c r="BS253" s="4">
        <v>251</v>
      </c>
      <c r="BT253" s="125">
        <f t="shared" si="45"/>
        <v>0</v>
      </c>
      <c r="BU253" s="125">
        <f t="shared" si="46"/>
        <v>0</v>
      </c>
      <c r="BV253" s="125">
        <f t="shared" si="47"/>
        <v>0</v>
      </c>
      <c r="BW253" s="125">
        <f t="shared" si="48"/>
        <v>0</v>
      </c>
      <c r="BX253" s="125">
        <f t="shared" si="49"/>
        <v>0</v>
      </c>
      <c r="BY253" s="125">
        <f t="shared" si="50"/>
        <v>0</v>
      </c>
      <c r="BZ253" s="125">
        <f t="shared" si="51"/>
        <v>0</v>
      </c>
      <c r="CA253" s="125">
        <f t="shared" si="52"/>
        <v>0</v>
      </c>
      <c r="CB253" s="125">
        <f t="shared" si="53"/>
        <v>0</v>
      </c>
      <c r="CC253" s="125">
        <f t="shared" si="54"/>
        <v>0</v>
      </c>
      <c r="CD253" s="125">
        <f t="shared" si="55"/>
        <v>0</v>
      </c>
      <c r="CE253" s="125">
        <f t="shared" si="56"/>
        <v>0</v>
      </c>
      <c r="CF253" s="126">
        <f t="shared" si="57"/>
        <v>0</v>
      </c>
      <c r="CH253" s="4">
        <v>251</v>
      </c>
      <c r="CI253" s="129">
        <v>0</v>
      </c>
      <c r="CJ253" s="125">
        <v>0</v>
      </c>
      <c r="CK253" s="125">
        <v>0</v>
      </c>
      <c r="CL253" s="125">
        <v>0</v>
      </c>
      <c r="CM253" s="125">
        <v>0</v>
      </c>
      <c r="CN253" s="125">
        <v>0</v>
      </c>
      <c r="CO253" s="125">
        <v>0</v>
      </c>
      <c r="CP253" s="125">
        <v>0</v>
      </c>
      <c r="CQ253" s="125">
        <v>0</v>
      </c>
      <c r="CR253" s="125">
        <v>0</v>
      </c>
      <c r="CS253" s="125">
        <v>0</v>
      </c>
      <c r="CT253" s="125">
        <v>0</v>
      </c>
      <c r="CU253" s="126">
        <v>0</v>
      </c>
    </row>
    <row r="254" spans="1:99" x14ac:dyDescent="0.25">
      <c r="A254" t="s">
        <v>247</v>
      </c>
      <c r="B254" s="2" t="s">
        <v>3</v>
      </c>
      <c r="C254" s="1">
        <v>24531</v>
      </c>
      <c r="D254" s="19">
        <v>78.137500000000003</v>
      </c>
      <c r="E254" s="18">
        <v>0</v>
      </c>
      <c r="F254" s="19">
        <v>0</v>
      </c>
      <c r="G254" s="19">
        <v>0</v>
      </c>
      <c r="H254" s="19">
        <v>0</v>
      </c>
      <c r="I254" s="19">
        <f>SUM(E254:H254)/Variables!$E$3</f>
        <v>0</v>
      </c>
      <c r="J254" s="4">
        <v>0</v>
      </c>
      <c r="K254">
        <v>0</v>
      </c>
      <c r="L254">
        <v>0</v>
      </c>
      <c r="M254">
        <v>0</v>
      </c>
      <c r="N254" s="6">
        <f>SUM(J254:M254)/Variables!$E$3</f>
        <v>0</v>
      </c>
      <c r="O254" s="4">
        <v>0</v>
      </c>
      <c r="P254">
        <v>0</v>
      </c>
      <c r="Q254">
        <v>0</v>
      </c>
      <c r="R254">
        <v>0</v>
      </c>
      <c r="S254" s="6">
        <f>SUM(O254:R254)/Variables!$E$3</f>
        <v>0</v>
      </c>
      <c r="T254" s="4">
        <v>0</v>
      </c>
      <c r="U254">
        <v>0</v>
      </c>
      <c r="V254">
        <v>0</v>
      </c>
      <c r="W254">
        <v>0</v>
      </c>
      <c r="X254" s="6">
        <f>SUM(T254:W254)/Variables!$E$3</f>
        <v>0</v>
      </c>
      <c r="Y254" s="4">
        <v>0</v>
      </c>
      <c r="Z254">
        <v>0</v>
      </c>
      <c r="AA254">
        <v>0</v>
      </c>
      <c r="AB254">
        <v>0</v>
      </c>
      <c r="AC254" s="6">
        <f>SUM(Y254:AB254)/Variables!$E$3</f>
        <v>0</v>
      </c>
      <c r="AD254" s="4">
        <v>0</v>
      </c>
      <c r="AE254" s="2">
        <v>0</v>
      </c>
      <c r="AF254" s="2">
        <v>0</v>
      </c>
      <c r="AG254" s="2">
        <v>0</v>
      </c>
      <c r="AH254" s="6">
        <f>SUM(AD254:AG254)/Variables!$E$3</f>
        <v>0</v>
      </c>
      <c r="AI254" s="4">
        <v>0</v>
      </c>
      <c r="AJ254" s="2">
        <v>0</v>
      </c>
      <c r="AK254" s="2">
        <v>0</v>
      </c>
      <c r="AL254" s="2">
        <v>0</v>
      </c>
      <c r="AM254" s="6">
        <f>SUM(AI254:AL254)/Variables!$E$3</f>
        <v>0</v>
      </c>
      <c r="AN254" s="4">
        <v>0</v>
      </c>
      <c r="AO254" s="2">
        <v>0</v>
      </c>
      <c r="AP254" s="2">
        <v>0</v>
      </c>
      <c r="AQ254" s="2">
        <v>0</v>
      </c>
      <c r="AR254" s="6">
        <f>SUM(AN254:AQ254)/Variables!$E$3</f>
        <v>0</v>
      </c>
      <c r="AS254" s="4">
        <v>0</v>
      </c>
      <c r="AT254" s="2">
        <v>0</v>
      </c>
      <c r="AU254" s="2">
        <v>0</v>
      </c>
      <c r="AV254" s="2">
        <v>0</v>
      </c>
      <c r="AW254" s="6">
        <f>SUM(AS254:AV254)/Variables!$E$3</f>
        <v>0</v>
      </c>
      <c r="AX254" s="4">
        <v>0</v>
      </c>
      <c r="AY254" s="2">
        <v>0</v>
      </c>
      <c r="AZ254" s="2">
        <v>0</v>
      </c>
      <c r="BA254" s="2">
        <v>0</v>
      </c>
      <c r="BB254" s="6">
        <f>SUM(AX254:BA254)/Variables!$E$3</f>
        <v>0</v>
      </c>
      <c r="BC254" s="12">
        <f t="shared" si="58"/>
        <v>0</v>
      </c>
      <c r="BD254" s="110">
        <f t="shared" si="58"/>
        <v>0</v>
      </c>
      <c r="BE254" s="110">
        <f t="shared" si="58"/>
        <v>0</v>
      </c>
      <c r="BF254" s="110">
        <f t="shared" si="58"/>
        <v>0</v>
      </c>
      <c r="BG254" s="6">
        <f>SUM(BC254:BF254)/Variables!$E$3</f>
        <v>0</v>
      </c>
      <c r="BH254" s="4">
        <v>0</v>
      </c>
      <c r="BI254">
        <v>0</v>
      </c>
      <c r="BJ254">
        <v>0</v>
      </c>
      <c r="BK254">
        <v>0</v>
      </c>
      <c r="BL254" s="6">
        <f>SUM(BH254:BK254)/Variables!$E$3</f>
        <v>0</v>
      </c>
      <c r="BM254" s="110">
        <v>0</v>
      </c>
      <c r="BN254" s="110">
        <v>0</v>
      </c>
      <c r="BO254" s="110">
        <v>0</v>
      </c>
      <c r="BP254" s="110">
        <v>0</v>
      </c>
      <c r="BQ254" s="6">
        <f>SUM(BM254:BP254)/Variables!$E$3</f>
        <v>0</v>
      </c>
      <c r="BS254" s="4">
        <v>252</v>
      </c>
      <c r="BT254" s="125">
        <f t="shared" si="45"/>
        <v>0</v>
      </c>
      <c r="BU254" s="125">
        <f t="shared" si="46"/>
        <v>4.1963911036508601E-5</v>
      </c>
      <c r="BV254" s="125">
        <f t="shared" si="47"/>
        <v>0</v>
      </c>
      <c r="BW254" s="125">
        <f t="shared" si="48"/>
        <v>0</v>
      </c>
      <c r="BX254" s="125">
        <f t="shared" si="49"/>
        <v>0</v>
      </c>
      <c r="BY254" s="125">
        <f t="shared" si="50"/>
        <v>0</v>
      </c>
      <c r="BZ254" s="125">
        <f t="shared" si="51"/>
        <v>0</v>
      </c>
      <c r="CA254" s="125">
        <f t="shared" si="52"/>
        <v>0</v>
      </c>
      <c r="CB254" s="125">
        <f t="shared" si="53"/>
        <v>0</v>
      </c>
      <c r="CC254" s="125">
        <f t="shared" si="54"/>
        <v>0</v>
      </c>
      <c r="CD254" s="125">
        <f t="shared" si="55"/>
        <v>0</v>
      </c>
      <c r="CE254" s="125">
        <f t="shared" si="56"/>
        <v>0</v>
      </c>
      <c r="CF254" s="126">
        <f t="shared" si="57"/>
        <v>0</v>
      </c>
      <c r="CH254" s="4">
        <v>252</v>
      </c>
      <c r="CI254" s="129">
        <v>0</v>
      </c>
      <c r="CJ254" s="125">
        <v>0</v>
      </c>
      <c r="CK254" s="125">
        <v>0</v>
      </c>
      <c r="CL254" s="125">
        <v>0</v>
      </c>
      <c r="CM254" s="125">
        <v>0</v>
      </c>
      <c r="CN254" s="125">
        <v>0</v>
      </c>
      <c r="CO254" s="125">
        <v>0</v>
      </c>
      <c r="CP254" s="125">
        <v>0</v>
      </c>
      <c r="CQ254" s="125">
        <v>0</v>
      </c>
      <c r="CR254" s="125">
        <v>0</v>
      </c>
      <c r="CS254" s="125">
        <v>0</v>
      </c>
      <c r="CT254" s="125">
        <v>0</v>
      </c>
      <c r="CU254" s="126">
        <v>0</v>
      </c>
    </row>
    <row r="255" spans="1:99" x14ac:dyDescent="0.25">
      <c r="A255" t="s">
        <v>247</v>
      </c>
      <c r="B255" s="2" t="s">
        <v>4</v>
      </c>
      <c r="C255" s="1">
        <v>24623</v>
      </c>
      <c r="D255" s="19">
        <v>160.96250000000001</v>
      </c>
      <c r="E255" s="18">
        <v>0</v>
      </c>
      <c r="F255" s="19">
        <v>0</v>
      </c>
      <c r="G255" s="19">
        <v>0</v>
      </c>
      <c r="H255" s="19">
        <v>0</v>
      </c>
      <c r="I255" s="19">
        <f>SUM(E255:H255)/Variables!$E$3</f>
        <v>0</v>
      </c>
      <c r="J255" s="4">
        <v>0</v>
      </c>
      <c r="K255">
        <v>0</v>
      </c>
      <c r="L255">
        <v>53</v>
      </c>
      <c r="M255">
        <v>0</v>
      </c>
      <c r="N255" s="6">
        <f>SUM(J255:M255)/Variables!$E$3</f>
        <v>4.1963911036508601E-5</v>
      </c>
      <c r="O255" s="4">
        <v>0</v>
      </c>
      <c r="P255">
        <v>0</v>
      </c>
      <c r="Q255">
        <v>0</v>
      </c>
      <c r="R255">
        <v>0</v>
      </c>
      <c r="S255" s="6">
        <f>SUM(O255:R255)/Variables!$E$3</f>
        <v>0</v>
      </c>
      <c r="T255" s="4">
        <v>0</v>
      </c>
      <c r="U255">
        <v>0</v>
      </c>
      <c r="V255">
        <v>0</v>
      </c>
      <c r="W255">
        <v>0</v>
      </c>
      <c r="X255" s="6">
        <f>SUM(T255:W255)/Variables!$E$3</f>
        <v>0</v>
      </c>
      <c r="Y255" s="4">
        <v>0</v>
      </c>
      <c r="Z255">
        <v>0</v>
      </c>
      <c r="AA255">
        <v>0</v>
      </c>
      <c r="AB255">
        <v>0</v>
      </c>
      <c r="AC255" s="6">
        <f>SUM(Y255:AB255)/Variables!$E$3</f>
        <v>0</v>
      </c>
      <c r="AD255" s="4">
        <v>0</v>
      </c>
      <c r="AE255" s="2">
        <v>0</v>
      </c>
      <c r="AF255" s="2">
        <v>0</v>
      </c>
      <c r="AG255" s="2">
        <v>0</v>
      </c>
      <c r="AH255" s="6">
        <f>SUM(AD255:AG255)/Variables!$E$3</f>
        <v>0</v>
      </c>
      <c r="AI255" s="4">
        <v>0</v>
      </c>
      <c r="AJ255" s="2">
        <v>0</v>
      </c>
      <c r="AK255" s="2">
        <v>0</v>
      </c>
      <c r="AL255" s="2">
        <v>0</v>
      </c>
      <c r="AM255" s="6">
        <f>SUM(AI255:AL255)/Variables!$E$3</f>
        <v>0</v>
      </c>
      <c r="AN255" s="4">
        <v>0</v>
      </c>
      <c r="AO255" s="2">
        <v>0</v>
      </c>
      <c r="AP255" s="2">
        <v>0</v>
      </c>
      <c r="AQ255" s="2">
        <v>0</v>
      </c>
      <c r="AR255" s="6">
        <f>SUM(AN255:AQ255)/Variables!$E$3</f>
        <v>0</v>
      </c>
      <c r="AS255" s="4">
        <v>0</v>
      </c>
      <c r="AT255" s="2">
        <v>0</v>
      </c>
      <c r="AU255" s="2">
        <v>0</v>
      </c>
      <c r="AV255" s="2">
        <v>0</v>
      </c>
      <c r="AW255" s="6">
        <f>SUM(AS255:AV255)/Variables!$E$3</f>
        <v>0</v>
      </c>
      <c r="AX255" s="4">
        <v>0</v>
      </c>
      <c r="AY255" s="2">
        <v>0</v>
      </c>
      <c r="AZ255" s="2">
        <v>0</v>
      </c>
      <c r="BA255" s="2">
        <v>0</v>
      </c>
      <c r="BB255" s="6">
        <f>SUM(AX255:BA255)/Variables!$E$3</f>
        <v>0</v>
      </c>
      <c r="BC255" s="12">
        <f t="shared" si="58"/>
        <v>0</v>
      </c>
      <c r="BD255" s="110">
        <f t="shared" si="58"/>
        <v>0</v>
      </c>
      <c r="BE255" s="110">
        <f t="shared" si="58"/>
        <v>0</v>
      </c>
      <c r="BF255" s="110">
        <f t="shared" si="58"/>
        <v>0</v>
      </c>
      <c r="BG255" s="6">
        <f>SUM(BC255:BF255)/Variables!$E$3</f>
        <v>0</v>
      </c>
      <c r="BH255" s="4">
        <v>0</v>
      </c>
      <c r="BI255">
        <v>0</v>
      </c>
      <c r="BJ255">
        <v>0</v>
      </c>
      <c r="BK255">
        <v>0</v>
      </c>
      <c r="BL255" s="6">
        <f>SUM(BH255:BK255)/Variables!$E$3</f>
        <v>0</v>
      </c>
      <c r="BM255" s="110">
        <v>0</v>
      </c>
      <c r="BN255" s="110">
        <v>0</v>
      </c>
      <c r="BO255" s="110">
        <v>0</v>
      </c>
      <c r="BP255" s="110">
        <v>0</v>
      </c>
      <c r="BQ255" s="6">
        <f>SUM(BM255:BP255)/Variables!$E$3</f>
        <v>0</v>
      </c>
      <c r="BS255" s="4">
        <v>253</v>
      </c>
      <c r="BT255" s="125">
        <f t="shared" si="45"/>
        <v>0</v>
      </c>
      <c r="BU255" s="125">
        <f t="shared" si="46"/>
        <v>3.7362132716806939E-2</v>
      </c>
      <c r="BV255" s="125">
        <f t="shared" si="47"/>
        <v>0</v>
      </c>
      <c r="BW255" s="125">
        <f t="shared" si="48"/>
        <v>3.1562403502798917E-3</v>
      </c>
      <c r="BX255" s="125">
        <f t="shared" si="49"/>
        <v>3.0120586861336987E-3</v>
      </c>
      <c r="BY255" s="125">
        <f t="shared" si="50"/>
        <v>1.457810433970182E-3</v>
      </c>
      <c r="BZ255" s="125">
        <f t="shared" si="51"/>
        <v>1.7602673021955833E-3</v>
      </c>
      <c r="CA255" s="125">
        <f t="shared" si="52"/>
        <v>2.2702475870751155E-3</v>
      </c>
      <c r="CB255" s="125">
        <f t="shared" si="53"/>
        <v>3.6548191197079945E-3</v>
      </c>
      <c r="CC255" s="125">
        <f t="shared" si="54"/>
        <v>2.7159359931590906E-3</v>
      </c>
      <c r="CD255" s="125">
        <f t="shared" si="55"/>
        <v>3.0120586861336987E-3</v>
      </c>
      <c r="CE255" s="125">
        <f t="shared" si="56"/>
        <v>2.0693750544343186E-3</v>
      </c>
      <c r="CF255" s="126">
        <f t="shared" si="57"/>
        <v>2.3512458530946406E-3</v>
      </c>
      <c r="CH255" s="4">
        <v>253</v>
      </c>
      <c r="CI255" s="129">
        <v>0</v>
      </c>
      <c r="CJ255" s="125">
        <v>0</v>
      </c>
      <c r="CK255" s="125">
        <v>0</v>
      </c>
      <c r="CL255" s="125">
        <v>0</v>
      </c>
      <c r="CM255" s="125">
        <v>0</v>
      </c>
      <c r="CN255" s="125">
        <v>0</v>
      </c>
      <c r="CO255" s="125">
        <v>0</v>
      </c>
      <c r="CP255" s="125">
        <v>0</v>
      </c>
      <c r="CQ255" s="125">
        <v>0</v>
      </c>
      <c r="CR255" s="125">
        <v>0</v>
      </c>
      <c r="CS255" s="125">
        <v>0</v>
      </c>
      <c r="CT255" s="125">
        <v>0</v>
      </c>
      <c r="CU255" s="126">
        <v>0</v>
      </c>
    </row>
    <row r="256" spans="1:99" x14ac:dyDescent="0.25">
      <c r="A256" t="s">
        <v>247</v>
      </c>
      <c r="B256" s="2" t="s">
        <v>1</v>
      </c>
      <c r="C256" s="1">
        <v>24715</v>
      </c>
      <c r="D256" s="19">
        <v>27.708928571428601</v>
      </c>
      <c r="E256" s="18">
        <v>0</v>
      </c>
      <c r="F256" s="19">
        <v>0</v>
      </c>
      <c r="G256" s="19">
        <v>0</v>
      </c>
      <c r="H256" s="19">
        <v>0</v>
      </c>
      <c r="I256" s="19">
        <f>SUM(E256:H256)/Variables!$E$3</f>
        <v>0</v>
      </c>
      <c r="J256" s="4">
        <v>0</v>
      </c>
      <c r="K256">
        <v>0</v>
      </c>
      <c r="L256">
        <v>47188</v>
      </c>
      <c r="M256">
        <v>0</v>
      </c>
      <c r="N256" s="6">
        <f>SUM(J256:M256)/Variables!$E$3</f>
        <v>3.7362132716806939E-2</v>
      </c>
      <c r="O256" s="4">
        <v>0</v>
      </c>
      <c r="P256">
        <v>0</v>
      </c>
      <c r="Q256">
        <v>0</v>
      </c>
      <c r="R256">
        <v>0</v>
      </c>
      <c r="S256" s="6">
        <f>SUM(O256:R256)/Variables!$E$3</f>
        <v>0</v>
      </c>
      <c r="T256" s="4">
        <v>0</v>
      </c>
      <c r="U256">
        <v>0</v>
      </c>
      <c r="V256">
        <v>3986.3</v>
      </c>
      <c r="W256">
        <v>0</v>
      </c>
      <c r="X256" s="6">
        <f>SUM(T256:W256)/Variables!$E$3</f>
        <v>3.1562403502798917E-3</v>
      </c>
      <c r="Y256" s="4">
        <v>0</v>
      </c>
      <c r="Z256">
        <v>0</v>
      </c>
      <c r="AA256">
        <v>3804.2</v>
      </c>
      <c r="AB256">
        <v>0</v>
      </c>
      <c r="AC256" s="6">
        <f>SUM(Y256:AB256)/Variables!$E$3</f>
        <v>3.0120586861336987E-3</v>
      </c>
      <c r="AD256" s="4">
        <v>0</v>
      </c>
      <c r="AE256" s="2">
        <v>0</v>
      </c>
      <c r="AF256" s="2">
        <v>1841.2</v>
      </c>
      <c r="AG256" s="2">
        <v>0</v>
      </c>
      <c r="AH256" s="6">
        <f>SUM(AD256:AG256)/Variables!$E$3</f>
        <v>1.457810433970182E-3</v>
      </c>
      <c r="AI256" s="4">
        <v>0</v>
      </c>
      <c r="AJ256" s="2">
        <v>0</v>
      </c>
      <c r="AK256" s="2">
        <v>2223.1999999999998</v>
      </c>
      <c r="AL256" s="2">
        <v>0</v>
      </c>
      <c r="AM256" s="6">
        <f>SUM(AI256:AL256)/Variables!$E$3</f>
        <v>1.7602673021955833E-3</v>
      </c>
      <c r="AN256" s="4">
        <v>0</v>
      </c>
      <c r="AO256" s="2">
        <v>0</v>
      </c>
      <c r="AP256" s="2">
        <v>2867.3</v>
      </c>
      <c r="AQ256" s="2">
        <v>0</v>
      </c>
      <c r="AR256" s="6">
        <f>SUM(AN256:AQ256)/Variables!$E$3</f>
        <v>2.2702475870751155E-3</v>
      </c>
      <c r="AS256" s="4">
        <v>0</v>
      </c>
      <c r="AT256" s="2">
        <v>0</v>
      </c>
      <c r="AU256" s="2">
        <v>4616</v>
      </c>
      <c r="AV256" s="2">
        <v>0</v>
      </c>
      <c r="AW256" s="6">
        <f>SUM(AS256:AV256)/Variables!$E$3</f>
        <v>3.6548191197079945E-3</v>
      </c>
      <c r="AX256" s="4">
        <v>0</v>
      </c>
      <c r="AY256" s="2">
        <v>0</v>
      </c>
      <c r="AZ256" s="2">
        <v>3430.2</v>
      </c>
      <c r="BA256" s="2">
        <v>0</v>
      </c>
      <c r="BB256" s="6">
        <f>SUM(AX256:BA256)/Variables!$E$3</f>
        <v>2.7159359931590906E-3</v>
      </c>
      <c r="BC256" s="12">
        <f t="shared" si="58"/>
        <v>0</v>
      </c>
      <c r="BD256" s="110">
        <f t="shared" si="58"/>
        <v>0</v>
      </c>
      <c r="BE256" s="110">
        <f t="shared" si="58"/>
        <v>3804.2</v>
      </c>
      <c r="BF256" s="110">
        <f t="shared" si="58"/>
        <v>0</v>
      </c>
      <c r="BG256" s="6">
        <f>SUM(BC256:BF256)/Variables!$E$3</f>
        <v>3.0120586861336987E-3</v>
      </c>
      <c r="BH256" s="4">
        <v>0</v>
      </c>
      <c r="BI256">
        <v>0</v>
      </c>
      <c r="BJ256">
        <v>2613.6</v>
      </c>
      <c r="BK256">
        <v>0</v>
      </c>
      <c r="BL256" s="6">
        <f>SUM(BH256:BK256)/Variables!$E$3</f>
        <v>2.0693750544343186E-3</v>
      </c>
      <c r="BM256" s="110">
        <v>0</v>
      </c>
      <c r="BN256" s="110">
        <v>0</v>
      </c>
      <c r="BO256" s="110">
        <v>2969.6</v>
      </c>
      <c r="BP256" s="110">
        <v>0</v>
      </c>
      <c r="BQ256" s="6">
        <f>SUM(BM256:BP256)/Variables!$E$3</f>
        <v>2.3512458530946406E-3</v>
      </c>
      <c r="BS256" s="4">
        <v>254</v>
      </c>
      <c r="BT256" s="125">
        <f t="shared" si="45"/>
        <v>0</v>
      </c>
      <c r="BU256" s="125">
        <f t="shared" si="46"/>
        <v>0</v>
      </c>
      <c r="BV256" s="125">
        <f t="shared" si="47"/>
        <v>0</v>
      </c>
      <c r="BW256" s="125">
        <f t="shared" si="48"/>
        <v>0</v>
      </c>
      <c r="BX256" s="125">
        <f t="shared" si="49"/>
        <v>0</v>
      </c>
      <c r="BY256" s="125">
        <f t="shared" si="50"/>
        <v>0</v>
      </c>
      <c r="BZ256" s="125">
        <f t="shared" si="51"/>
        <v>0</v>
      </c>
      <c r="CA256" s="125">
        <f t="shared" si="52"/>
        <v>0</v>
      </c>
      <c r="CB256" s="125">
        <f t="shared" si="53"/>
        <v>0</v>
      </c>
      <c r="CC256" s="125">
        <f t="shared" si="54"/>
        <v>0</v>
      </c>
      <c r="CD256" s="125">
        <f t="shared" si="55"/>
        <v>0</v>
      </c>
      <c r="CE256" s="125">
        <f t="shared" si="56"/>
        <v>0</v>
      </c>
      <c r="CF256" s="126">
        <f t="shared" si="57"/>
        <v>0</v>
      </c>
      <c r="CH256" s="4">
        <v>254</v>
      </c>
      <c r="CI256" s="129">
        <v>0</v>
      </c>
      <c r="CJ256" s="125">
        <v>0</v>
      </c>
      <c r="CK256" s="125">
        <v>0</v>
      </c>
      <c r="CL256" s="125">
        <v>0</v>
      </c>
      <c r="CM256" s="125">
        <v>0</v>
      </c>
      <c r="CN256" s="125">
        <v>0</v>
      </c>
      <c r="CO256" s="125">
        <v>0</v>
      </c>
      <c r="CP256" s="125">
        <v>0</v>
      </c>
      <c r="CQ256" s="125">
        <v>0</v>
      </c>
      <c r="CR256" s="125">
        <v>0</v>
      </c>
      <c r="CS256" s="125">
        <v>0</v>
      </c>
      <c r="CT256" s="125">
        <v>0</v>
      </c>
      <c r="CU256" s="126">
        <v>0</v>
      </c>
    </row>
    <row r="257" spans="1:99" x14ac:dyDescent="0.25">
      <c r="A257" t="s">
        <v>247</v>
      </c>
      <c r="B257" s="2" t="s">
        <v>2</v>
      </c>
      <c r="C257" s="1">
        <v>24806</v>
      </c>
      <c r="D257" s="19">
        <v>0</v>
      </c>
      <c r="E257" s="18">
        <v>0</v>
      </c>
      <c r="F257" s="19">
        <v>0</v>
      </c>
      <c r="G257" s="19">
        <v>0</v>
      </c>
      <c r="H257" s="19">
        <v>0</v>
      </c>
      <c r="I257" s="19">
        <f>SUM(E257:H257)/Variables!$E$3</f>
        <v>0</v>
      </c>
      <c r="J257" s="4">
        <v>0</v>
      </c>
      <c r="K257">
        <v>0</v>
      </c>
      <c r="L257">
        <v>0</v>
      </c>
      <c r="M257">
        <v>0</v>
      </c>
      <c r="N257" s="6">
        <f>SUM(J257:M257)/Variables!$E$3</f>
        <v>0</v>
      </c>
      <c r="O257" s="4">
        <v>0</v>
      </c>
      <c r="P257">
        <v>0</v>
      </c>
      <c r="Q257">
        <v>0</v>
      </c>
      <c r="R257">
        <v>0</v>
      </c>
      <c r="S257" s="6">
        <f>SUM(O257:R257)/Variables!$E$3</f>
        <v>0</v>
      </c>
      <c r="T257" s="4">
        <v>0</v>
      </c>
      <c r="U257">
        <v>0</v>
      </c>
      <c r="V257">
        <v>0</v>
      </c>
      <c r="W257">
        <v>0</v>
      </c>
      <c r="X257" s="6">
        <f>SUM(T257:W257)/Variables!$E$3</f>
        <v>0</v>
      </c>
      <c r="Y257" s="4">
        <v>0</v>
      </c>
      <c r="Z257">
        <v>0</v>
      </c>
      <c r="AA257">
        <v>0</v>
      </c>
      <c r="AB257">
        <v>0</v>
      </c>
      <c r="AC257" s="6">
        <f>SUM(Y257:AB257)/Variables!$E$3</f>
        <v>0</v>
      </c>
      <c r="AD257" s="4">
        <v>0</v>
      </c>
      <c r="AE257" s="2">
        <v>0</v>
      </c>
      <c r="AF257" s="2">
        <v>0</v>
      </c>
      <c r="AG257" s="2">
        <v>0</v>
      </c>
      <c r="AH257" s="6">
        <f>SUM(AD257:AG257)/Variables!$E$3</f>
        <v>0</v>
      </c>
      <c r="AI257" s="4">
        <v>0</v>
      </c>
      <c r="AJ257" s="2">
        <v>0</v>
      </c>
      <c r="AK257" s="2">
        <v>0</v>
      </c>
      <c r="AL257" s="2">
        <v>0</v>
      </c>
      <c r="AM257" s="6">
        <f>SUM(AI257:AL257)/Variables!$E$3</f>
        <v>0</v>
      </c>
      <c r="AN257" s="4">
        <v>0</v>
      </c>
      <c r="AO257" s="2">
        <v>0</v>
      </c>
      <c r="AP257" s="2">
        <v>0</v>
      </c>
      <c r="AQ257" s="2">
        <v>0</v>
      </c>
      <c r="AR257" s="6">
        <f>SUM(AN257:AQ257)/Variables!$E$3</f>
        <v>0</v>
      </c>
      <c r="AS257" s="4">
        <v>0</v>
      </c>
      <c r="AT257" s="2">
        <v>0</v>
      </c>
      <c r="AU257" s="2">
        <v>0</v>
      </c>
      <c r="AV257" s="2">
        <v>0</v>
      </c>
      <c r="AW257" s="6">
        <f>SUM(AS257:AV257)/Variables!$E$3</f>
        <v>0</v>
      </c>
      <c r="AX257" s="4">
        <v>0</v>
      </c>
      <c r="AY257" s="2">
        <v>0</v>
      </c>
      <c r="AZ257" s="2">
        <v>0</v>
      </c>
      <c r="BA257" s="2">
        <v>0</v>
      </c>
      <c r="BB257" s="6">
        <f>SUM(AX257:BA257)/Variables!$E$3</f>
        <v>0</v>
      </c>
      <c r="BC257" s="12">
        <f t="shared" si="58"/>
        <v>0</v>
      </c>
      <c r="BD257" s="110">
        <f t="shared" si="58"/>
        <v>0</v>
      </c>
      <c r="BE257" s="110">
        <f t="shared" si="58"/>
        <v>0</v>
      </c>
      <c r="BF257" s="110">
        <f t="shared" si="58"/>
        <v>0</v>
      </c>
      <c r="BG257" s="6">
        <f>SUM(BC257:BF257)/Variables!$E$3</f>
        <v>0</v>
      </c>
      <c r="BH257" s="4">
        <v>0</v>
      </c>
      <c r="BI257">
        <v>0</v>
      </c>
      <c r="BJ257">
        <v>0</v>
      </c>
      <c r="BK257">
        <v>0</v>
      </c>
      <c r="BL257" s="6">
        <f>SUM(BH257:BK257)/Variables!$E$3</f>
        <v>0</v>
      </c>
      <c r="BM257" s="110">
        <v>0</v>
      </c>
      <c r="BN257" s="110">
        <v>0</v>
      </c>
      <c r="BO257" s="110">
        <v>0</v>
      </c>
      <c r="BP257" s="110">
        <v>0</v>
      </c>
      <c r="BQ257" s="6">
        <f>SUM(BM257:BP257)/Variables!$E$3</f>
        <v>0</v>
      </c>
      <c r="BS257" s="4">
        <v>255</v>
      </c>
      <c r="BT257" s="125">
        <f t="shared" si="45"/>
        <v>0</v>
      </c>
      <c r="BU257" s="125">
        <f t="shared" si="46"/>
        <v>3.4816586037894205E-2</v>
      </c>
      <c r="BV257" s="125">
        <f t="shared" si="47"/>
        <v>0</v>
      </c>
      <c r="BW257" s="125">
        <f t="shared" si="48"/>
        <v>0</v>
      </c>
      <c r="BX257" s="125">
        <f t="shared" si="49"/>
        <v>0</v>
      </c>
      <c r="BY257" s="125">
        <f t="shared" si="50"/>
        <v>0</v>
      </c>
      <c r="BZ257" s="125">
        <f t="shared" si="51"/>
        <v>0</v>
      </c>
      <c r="CA257" s="125">
        <f t="shared" si="52"/>
        <v>0</v>
      </c>
      <c r="CB257" s="125">
        <f t="shared" si="53"/>
        <v>0</v>
      </c>
      <c r="CC257" s="125">
        <f t="shared" si="54"/>
        <v>0</v>
      </c>
      <c r="CD257" s="125">
        <f t="shared" si="55"/>
        <v>0</v>
      </c>
      <c r="CE257" s="125">
        <f t="shared" si="56"/>
        <v>0</v>
      </c>
      <c r="CF257" s="126">
        <f t="shared" si="57"/>
        <v>0</v>
      </c>
      <c r="CH257" s="4">
        <v>255</v>
      </c>
      <c r="CI257" s="129">
        <v>0</v>
      </c>
      <c r="CJ257" s="125">
        <v>0</v>
      </c>
      <c r="CK257" s="125">
        <v>0</v>
      </c>
      <c r="CL257" s="125">
        <v>0</v>
      </c>
      <c r="CM257" s="125">
        <v>0</v>
      </c>
      <c r="CN257" s="125">
        <v>0</v>
      </c>
      <c r="CO257" s="125">
        <v>0</v>
      </c>
      <c r="CP257" s="125">
        <v>0</v>
      </c>
      <c r="CQ257" s="125">
        <v>0</v>
      </c>
      <c r="CR257" s="125">
        <v>0</v>
      </c>
      <c r="CS257" s="125">
        <v>0</v>
      </c>
      <c r="CT257" s="125">
        <v>0</v>
      </c>
      <c r="CU257" s="126">
        <v>0</v>
      </c>
    </row>
    <row r="258" spans="1:99" x14ac:dyDescent="0.25">
      <c r="A258" t="s">
        <v>248</v>
      </c>
      <c r="B258" s="2" t="s">
        <v>3</v>
      </c>
      <c r="C258" s="1">
        <v>24896</v>
      </c>
      <c r="D258" s="19">
        <v>178.52500000000001</v>
      </c>
      <c r="E258" s="18">
        <v>0</v>
      </c>
      <c r="F258" s="19">
        <v>0</v>
      </c>
      <c r="G258" s="19">
        <v>0</v>
      </c>
      <c r="H258" s="19">
        <v>0</v>
      </c>
      <c r="I258" s="19">
        <f>SUM(E258:H258)/Variables!$E$3</f>
        <v>0</v>
      </c>
      <c r="J258" s="4">
        <v>0</v>
      </c>
      <c r="K258">
        <v>0</v>
      </c>
      <c r="L258">
        <v>43973</v>
      </c>
      <c r="M258">
        <v>0</v>
      </c>
      <c r="N258" s="6">
        <f>SUM(J258:M258)/Variables!$E$3</f>
        <v>3.4816586037894205E-2</v>
      </c>
      <c r="O258" s="4">
        <v>0</v>
      </c>
      <c r="P258">
        <v>0</v>
      </c>
      <c r="Q258">
        <v>0</v>
      </c>
      <c r="R258">
        <v>0</v>
      </c>
      <c r="S258" s="6">
        <f>SUM(O258:R258)/Variables!$E$3</f>
        <v>0</v>
      </c>
      <c r="T258" s="4">
        <v>0</v>
      </c>
      <c r="U258">
        <v>0</v>
      </c>
      <c r="V258">
        <v>0</v>
      </c>
      <c r="W258">
        <v>0</v>
      </c>
      <c r="X258" s="6">
        <f>SUM(T258:W258)/Variables!$E$3</f>
        <v>0</v>
      </c>
      <c r="Y258" s="4">
        <v>0</v>
      </c>
      <c r="Z258">
        <v>0</v>
      </c>
      <c r="AA258">
        <v>0</v>
      </c>
      <c r="AB258">
        <v>0</v>
      </c>
      <c r="AC258" s="6">
        <f>SUM(Y258:AB258)/Variables!$E$3</f>
        <v>0</v>
      </c>
      <c r="AD258" s="4">
        <v>0</v>
      </c>
      <c r="AE258" s="2">
        <v>0</v>
      </c>
      <c r="AF258" s="2">
        <v>0</v>
      </c>
      <c r="AG258" s="2">
        <v>0</v>
      </c>
      <c r="AH258" s="6">
        <f>SUM(AD258:AG258)/Variables!$E$3</f>
        <v>0</v>
      </c>
      <c r="AI258" s="4">
        <v>0</v>
      </c>
      <c r="AJ258" s="2">
        <v>0</v>
      </c>
      <c r="AK258" s="2">
        <v>0</v>
      </c>
      <c r="AL258" s="2">
        <v>0</v>
      </c>
      <c r="AM258" s="6">
        <f>SUM(AI258:AL258)/Variables!$E$3</f>
        <v>0</v>
      </c>
      <c r="AN258" s="4">
        <v>0</v>
      </c>
      <c r="AO258" s="2">
        <v>0</v>
      </c>
      <c r="AP258" s="2">
        <v>0</v>
      </c>
      <c r="AQ258" s="2">
        <v>0</v>
      </c>
      <c r="AR258" s="6">
        <f>SUM(AN258:AQ258)/Variables!$E$3</f>
        <v>0</v>
      </c>
      <c r="AS258" s="4">
        <v>0</v>
      </c>
      <c r="AT258" s="2">
        <v>0</v>
      </c>
      <c r="AU258" s="2">
        <v>0</v>
      </c>
      <c r="AV258" s="2">
        <v>0</v>
      </c>
      <c r="AW258" s="6">
        <f>SUM(AS258:AV258)/Variables!$E$3</f>
        <v>0</v>
      </c>
      <c r="AX258" s="4">
        <v>0</v>
      </c>
      <c r="AY258" s="2">
        <v>0</v>
      </c>
      <c r="AZ258" s="2">
        <v>0</v>
      </c>
      <c r="BA258" s="2">
        <v>0</v>
      </c>
      <c r="BB258" s="6">
        <f>SUM(AX258:BA258)/Variables!$E$3</f>
        <v>0</v>
      </c>
      <c r="BC258" s="12">
        <f t="shared" si="58"/>
        <v>0</v>
      </c>
      <c r="BD258" s="110">
        <f t="shared" si="58"/>
        <v>0</v>
      </c>
      <c r="BE258" s="110">
        <f t="shared" si="58"/>
        <v>0</v>
      </c>
      <c r="BF258" s="110">
        <f t="shared" si="58"/>
        <v>0</v>
      </c>
      <c r="BG258" s="6">
        <f>SUM(BC258:BF258)/Variables!$E$3</f>
        <v>0</v>
      </c>
      <c r="BH258" s="4">
        <v>0</v>
      </c>
      <c r="BI258">
        <v>0</v>
      </c>
      <c r="BJ258">
        <v>0</v>
      </c>
      <c r="BK258">
        <v>0</v>
      </c>
      <c r="BL258" s="6">
        <f>SUM(BH258:BK258)/Variables!$E$3</f>
        <v>0</v>
      </c>
      <c r="BM258" s="110">
        <v>0</v>
      </c>
      <c r="BN258" s="110">
        <v>0</v>
      </c>
      <c r="BO258" s="110">
        <v>0</v>
      </c>
      <c r="BP258" s="110">
        <v>0</v>
      </c>
      <c r="BQ258" s="6">
        <f>SUM(BM258:BP258)/Variables!$E$3</f>
        <v>0</v>
      </c>
      <c r="BS258" s="4">
        <v>256</v>
      </c>
      <c r="BT258" s="125">
        <f t="shared" si="45"/>
        <v>0</v>
      </c>
      <c r="BU258" s="125">
        <f t="shared" si="46"/>
        <v>0</v>
      </c>
      <c r="BV258" s="125">
        <f t="shared" si="47"/>
        <v>0</v>
      </c>
      <c r="BW258" s="125">
        <f t="shared" si="48"/>
        <v>0</v>
      </c>
      <c r="BX258" s="125">
        <f t="shared" si="49"/>
        <v>0</v>
      </c>
      <c r="BY258" s="125">
        <f t="shared" si="50"/>
        <v>0</v>
      </c>
      <c r="BZ258" s="125">
        <f t="shared" si="51"/>
        <v>0</v>
      </c>
      <c r="CA258" s="125">
        <f t="shared" si="52"/>
        <v>0</v>
      </c>
      <c r="CB258" s="125">
        <f t="shared" si="53"/>
        <v>0</v>
      </c>
      <c r="CC258" s="125">
        <f t="shared" si="54"/>
        <v>0</v>
      </c>
      <c r="CD258" s="125">
        <f t="shared" si="55"/>
        <v>0</v>
      </c>
      <c r="CE258" s="125">
        <f t="shared" si="56"/>
        <v>0</v>
      </c>
      <c r="CF258" s="126">
        <f t="shared" si="57"/>
        <v>0</v>
      </c>
      <c r="CH258" s="4">
        <v>256</v>
      </c>
      <c r="CI258" s="129">
        <v>0</v>
      </c>
      <c r="CJ258" s="125">
        <v>0</v>
      </c>
      <c r="CK258" s="125">
        <v>0</v>
      </c>
      <c r="CL258" s="125">
        <v>0</v>
      </c>
      <c r="CM258" s="125">
        <v>0</v>
      </c>
      <c r="CN258" s="125">
        <v>0</v>
      </c>
      <c r="CO258" s="125">
        <v>0</v>
      </c>
      <c r="CP258" s="125">
        <v>0</v>
      </c>
      <c r="CQ258" s="125">
        <v>0</v>
      </c>
      <c r="CR258" s="125">
        <v>0</v>
      </c>
      <c r="CS258" s="125">
        <v>0</v>
      </c>
      <c r="CT258" s="125">
        <v>0</v>
      </c>
      <c r="CU258" s="126">
        <v>0</v>
      </c>
    </row>
    <row r="259" spans="1:99" x14ac:dyDescent="0.25">
      <c r="A259" t="s">
        <v>248</v>
      </c>
      <c r="B259" s="2" t="s">
        <v>4</v>
      </c>
      <c r="C259" s="1">
        <v>24989</v>
      </c>
      <c r="D259" s="19">
        <v>114.825</v>
      </c>
      <c r="E259" s="18">
        <v>0</v>
      </c>
      <c r="F259" s="19">
        <v>0</v>
      </c>
      <c r="G259" s="19">
        <v>0</v>
      </c>
      <c r="H259" s="19">
        <v>0</v>
      </c>
      <c r="I259" s="19">
        <f>SUM(E259:H259)/Variables!$E$3</f>
        <v>0</v>
      </c>
      <c r="J259" s="4">
        <v>0</v>
      </c>
      <c r="K259">
        <v>0</v>
      </c>
      <c r="L259">
        <v>0</v>
      </c>
      <c r="M259">
        <v>0</v>
      </c>
      <c r="N259" s="6">
        <f>SUM(J259:M259)/Variables!$E$3</f>
        <v>0</v>
      </c>
      <c r="O259" s="4">
        <v>0</v>
      </c>
      <c r="P259">
        <v>0</v>
      </c>
      <c r="Q259">
        <v>0</v>
      </c>
      <c r="R259">
        <v>0</v>
      </c>
      <c r="S259" s="6">
        <f>SUM(O259:R259)/Variables!$E$3</f>
        <v>0</v>
      </c>
      <c r="T259" s="4">
        <v>0</v>
      </c>
      <c r="U259">
        <v>0</v>
      </c>
      <c r="V259">
        <v>0</v>
      </c>
      <c r="W259">
        <v>0</v>
      </c>
      <c r="X259" s="6">
        <f>SUM(T259:W259)/Variables!$E$3</f>
        <v>0</v>
      </c>
      <c r="Y259" s="4">
        <v>0</v>
      </c>
      <c r="Z259">
        <v>0</v>
      </c>
      <c r="AA259">
        <v>0</v>
      </c>
      <c r="AB259">
        <v>0</v>
      </c>
      <c r="AC259" s="6">
        <f>SUM(Y259:AB259)/Variables!$E$3</f>
        <v>0</v>
      </c>
      <c r="AD259" s="4">
        <v>0</v>
      </c>
      <c r="AE259" s="2">
        <v>0</v>
      </c>
      <c r="AF259" s="2">
        <v>0</v>
      </c>
      <c r="AG259" s="2">
        <v>0</v>
      </c>
      <c r="AH259" s="6">
        <f>SUM(AD259:AG259)/Variables!$E$3</f>
        <v>0</v>
      </c>
      <c r="AI259" s="4">
        <v>0</v>
      </c>
      <c r="AJ259" s="2">
        <v>0</v>
      </c>
      <c r="AK259" s="2">
        <v>0</v>
      </c>
      <c r="AL259" s="2">
        <v>0</v>
      </c>
      <c r="AM259" s="6">
        <f>SUM(AI259:AL259)/Variables!$E$3</f>
        <v>0</v>
      </c>
      <c r="AN259" s="4">
        <v>0</v>
      </c>
      <c r="AO259" s="2">
        <v>0</v>
      </c>
      <c r="AP259" s="2">
        <v>0</v>
      </c>
      <c r="AQ259" s="2">
        <v>0</v>
      </c>
      <c r="AR259" s="6">
        <f>SUM(AN259:AQ259)/Variables!$E$3</f>
        <v>0</v>
      </c>
      <c r="AS259" s="4">
        <v>0</v>
      </c>
      <c r="AT259" s="2">
        <v>0</v>
      </c>
      <c r="AU259" s="2">
        <v>0</v>
      </c>
      <c r="AV259" s="2">
        <v>0</v>
      </c>
      <c r="AW259" s="6">
        <f>SUM(AS259:AV259)/Variables!$E$3</f>
        <v>0</v>
      </c>
      <c r="AX259" s="4">
        <v>0</v>
      </c>
      <c r="AY259" s="2">
        <v>0</v>
      </c>
      <c r="AZ259" s="2">
        <v>0</v>
      </c>
      <c r="BA259" s="2">
        <v>0</v>
      </c>
      <c r="BB259" s="6">
        <f>SUM(AX259:BA259)/Variables!$E$3</f>
        <v>0</v>
      </c>
      <c r="BC259" s="12">
        <f t="shared" si="58"/>
        <v>0</v>
      </c>
      <c r="BD259" s="110">
        <f t="shared" si="58"/>
        <v>0</v>
      </c>
      <c r="BE259" s="110">
        <f t="shared" si="58"/>
        <v>0</v>
      </c>
      <c r="BF259" s="110">
        <f t="shared" si="58"/>
        <v>0</v>
      </c>
      <c r="BG259" s="6">
        <f>SUM(BC259:BF259)/Variables!$E$3</f>
        <v>0</v>
      </c>
      <c r="BH259" s="4">
        <v>0</v>
      </c>
      <c r="BI259">
        <v>0</v>
      </c>
      <c r="BJ259">
        <v>0</v>
      </c>
      <c r="BK259">
        <v>0</v>
      </c>
      <c r="BL259" s="6">
        <f>SUM(BH259:BK259)/Variables!$E$3</f>
        <v>0</v>
      </c>
      <c r="BM259" s="110">
        <v>0</v>
      </c>
      <c r="BN259" s="110">
        <v>0</v>
      </c>
      <c r="BO259" s="110">
        <v>0</v>
      </c>
      <c r="BP259" s="110">
        <v>0</v>
      </c>
      <c r="BQ259" s="6">
        <f>SUM(BM259:BP259)/Variables!$E$3</f>
        <v>0</v>
      </c>
      <c r="BS259" s="4">
        <v>257</v>
      </c>
      <c r="BT259" s="125">
        <f t="shared" si="45"/>
        <v>0</v>
      </c>
      <c r="BU259" s="125">
        <f t="shared" ref="BU259:BU322" si="59">N260</f>
        <v>0</v>
      </c>
      <c r="BV259" s="125">
        <f t="shared" ref="BV259:BV322" si="60">S260</f>
        <v>0</v>
      </c>
      <c r="BW259" s="125">
        <f t="shared" ref="BW259:BW322" si="61">X260</f>
        <v>0</v>
      </c>
      <c r="BX259" s="125">
        <f t="shared" ref="BX259:BX322" si="62">AC260</f>
        <v>0</v>
      </c>
      <c r="BY259" s="125">
        <f t="shared" ref="BY259:BY322" si="63">AH260</f>
        <v>0</v>
      </c>
      <c r="BZ259" s="125">
        <f t="shared" ref="BZ259:BZ322" si="64">AM260</f>
        <v>0</v>
      </c>
      <c r="CA259" s="125">
        <f t="shared" ref="CA259:CA322" si="65">AR260</f>
        <v>0</v>
      </c>
      <c r="CB259" s="125">
        <f t="shared" ref="CB259:CB322" si="66">AW260</f>
        <v>0</v>
      </c>
      <c r="CC259" s="125">
        <f t="shared" ref="CC259:CC322" si="67">BB260</f>
        <v>0</v>
      </c>
      <c r="CD259" s="125">
        <f t="shared" ref="CD259:CD322" si="68">BG260</f>
        <v>0</v>
      </c>
      <c r="CE259" s="125">
        <f t="shared" si="56"/>
        <v>0</v>
      </c>
      <c r="CF259" s="126">
        <f t="shared" si="57"/>
        <v>0</v>
      </c>
      <c r="CH259" s="4">
        <v>257</v>
      </c>
      <c r="CI259" s="129">
        <v>0</v>
      </c>
      <c r="CJ259" s="125">
        <v>0</v>
      </c>
      <c r="CK259" s="125">
        <v>0</v>
      </c>
      <c r="CL259" s="125">
        <v>0</v>
      </c>
      <c r="CM259" s="125">
        <v>0</v>
      </c>
      <c r="CN259" s="125">
        <v>0</v>
      </c>
      <c r="CO259" s="125">
        <v>0</v>
      </c>
      <c r="CP259" s="125">
        <v>0</v>
      </c>
      <c r="CQ259" s="125">
        <v>0</v>
      </c>
      <c r="CR259" s="125">
        <v>0</v>
      </c>
      <c r="CS259" s="125">
        <v>0</v>
      </c>
      <c r="CT259" s="125">
        <v>0</v>
      </c>
      <c r="CU259" s="126">
        <v>0</v>
      </c>
    </row>
    <row r="260" spans="1:99" x14ac:dyDescent="0.25">
      <c r="A260" t="s">
        <v>248</v>
      </c>
      <c r="B260" s="2" t="s">
        <v>1</v>
      </c>
      <c r="C260" s="1">
        <v>25081</v>
      </c>
      <c r="D260" s="19">
        <v>20.875</v>
      </c>
      <c r="E260" s="18">
        <v>0</v>
      </c>
      <c r="F260" s="19">
        <v>0</v>
      </c>
      <c r="G260" s="19">
        <v>0</v>
      </c>
      <c r="H260" s="19">
        <v>0</v>
      </c>
      <c r="I260" s="19">
        <f>SUM(E260:H260)/Variables!$E$3</f>
        <v>0</v>
      </c>
      <c r="J260" s="4">
        <v>0</v>
      </c>
      <c r="K260">
        <v>0</v>
      </c>
      <c r="L260">
        <v>0</v>
      </c>
      <c r="M260">
        <v>0</v>
      </c>
      <c r="N260" s="6">
        <f>SUM(J260:M260)/Variables!$E$3</f>
        <v>0</v>
      </c>
      <c r="O260" s="4">
        <v>0</v>
      </c>
      <c r="P260">
        <v>0</v>
      </c>
      <c r="Q260">
        <v>0</v>
      </c>
      <c r="R260">
        <v>0</v>
      </c>
      <c r="S260" s="6">
        <f>SUM(O260:R260)/Variables!$E$3</f>
        <v>0</v>
      </c>
      <c r="T260" s="4">
        <v>0</v>
      </c>
      <c r="U260">
        <v>0</v>
      </c>
      <c r="V260">
        <v>0</v>
      </c>
      <c r="W260">
        <v>0</v>
      </c>
      <c r="X260" s="6">
        <f>SUM(T260:W260)/Variables!$E$3</f>
        <v>0</v>
      </c>
      <c r="Y260" s="4">
        <v>0</v>
      </c>
      <c r="Z260">
        <v>0</v>
      </c>
      <c r="AA260">
        <v>0</v>
      </c>
      <c r="AB260">
        <v>0</v>
      </c>
      <c r="AC260" s="6">
        <f>SUM(Y260:AB260)/Variables!$E$3</f>
        <v>0</v>
      </c>
      <c r="AD260" s="4">
        <v>0</v>
      </c>
      <c r="AE260" s="2">
        <v>0</v>
      </c>
      <c r="AF260" s="2">
        <v>0</v>
      </c>
      <c r="AG260" s="2">
        <v>0</v>
      </c>
      <c r="AH260" s="6">
        <f>SUM(AD260:AG260)/Variables!$E$3</f>
        <v>0</v>
      </c>
      <c r="AI260" s="4">
        <v>0</v>
      </c>
      <c r="AJ260" s="2">
        <v>0</v>
      </c>
      <c r="AK260" s="2">
        <v>0</v>
      </c>
      <c r="AL260" s="2">
        <v>0</v>
      </c>
      <c r="AM260" s="6">
        <f>SUM(AI260:AL260)/Variables!$E$3</f>
        <v>0</v>
      </c>
      <c r="AN260" s="4">
        <v>0</v>
      </c>
      <c r="AO260" s="2">
        <v>0</v>
      </c>
      <c r="AP260" s="2">
        <v>0</v>
      </c>
      <c r="AQ260" s="2">
        <v>0</v>
      </c>
      <c r="AR260" s="6">
        <f>SUM(AN260:AQ260)/Variables!$E$3</f>
        <v>0</v>
      </c>
      <c r="AS260" s="4">
        <v>0</v>
      </c>
      <c r="AT260" s="2">
        <v>0</v>
      </c>
      <c r="AU260" s="2">
        <v>0</v>
      </c>
      <c r="AV260" s="2">
        <v>0</v>
      </c>
      <c r="AW260" s="6">
        <f>SUM(AS260:AV260)/Variables!$E$3</f>
        <v>0</v>
      </c>
      <c r="AX260" s="4">
        <v>0</v>
      </c>
      <c r="AY260" s="2">
        <v>0</v>
      </c>
      <c r="AZ260" s="2">
        <v>0</v>
      </c>
      <c r="BA260" s="2">
        <v>0</v>
      </c>
      <c r="BB260" s="6">
        <f>SUM(AX260:BA260)/Variables!$E$3</f>
        <v>0</v>
      </c>
      <c r="BC260" s="12">
        <f t="shared" si="58"/>
        <v>0</v>
      </c>
      <c r="BD260" s="110">
        <f t="shared" si="58"/>
        <v>0</v>
      </c>
      <c r="BE260" s="110">
        <f t="shared" si="58"/>
        <v>0</v>
      </c>
      <c r="BF260" s="110">
        <f t="shared" ref="BF260:BF323" si="69">AB260</f>
        <v>0</v>
      </c>
      <c r="BG260" s="6">
        <f>SUM(BC260:BF260)/Variables!$E$3</f>
        <v>0</v>
      </c>
      <c r="BH260" s="4">
        <v>0</v>
      </c>
      <c r="BI260">
        <v>0</v>
      </c>
      <c r="BJ260">
        <v>0</v>
      </c>
      <c r="BK260">
        <v>0</v>
      </c>
      <c r="BL260" s="6">
        <f>SUM(BH260:BK260)/Variables!$E$3</f>
        <v>0</v>
      </c>
      <c r="BM260" s="110">
        <v>0</v>
      </c>
      <c r="BN260" s="110">
        <v>0</v>
      </c>
      <c r="BO260" s="110">
        <v>0</v>
      </c>
      <c r="BP260" s="110">
        <v>0</v>
      </c>
      <c r="BQ260" s="6">
        <f>SUM(BM260:BP260)/Variables!$E$3</f>
        <v>0</v>
      </c>
      <c r="BS260" s="4">
        <v>258</v>
      </c>
      <c r="BT260" s="125">
        <f t="shared" si="45"/>
        <v>0</v>
      </c>
      <c r="BU260" s="125">
        <f t="shared" si="59"/>
        <v>0</v>
      </c>
      <c r="BV260" s="125">
        <f t="shared" si="60"/>
        <v>0</v>
      </c>
      <c r="BW260" s="125">
        <f t="shared" si="61"/>
        <v>0</v>
      </c>
      <c r="BX260" s="125">
        <f t="shared" si="62"/>
        <v>0</v>
      </c>
      <c r="BY260" s="125">
        <f t="shared" si="63"/>
        <v>0</v>
      </c>
      <c r="BZ260" s="125">
        <f t="shared" si="64"/>
        <v>0</v>
      </c>
      <c r="CA260" s="125">
        <f t="shared" si="65"/>
        <v>0</v>
      </c>
      <c r="CB260" s="125">
        <f t="shared" si="66"/>
        <v>0</v>
      </c>
      <c r="CC260" s="125">
        <f t="shared" si="67"/>
        <v>0</v>
      </c>
      <c r="CD260" s="125">
        <f t="shared" si="68"/>
        <v>0</v>
      </c>
      <c r="CE260" s="125">
        <f t="shared" ref="CE260:CE323" si="70">BL261</f>
        <v>0</v>
      </c>
      <c r="CF260" s="126">
        <f t="shared" ref="CF260:CF323" si="71">BQ261</f>
        <v>0</v>
      </c>
      <c r="CH260" s="4">
        <v>258</v>
      </c>
      <c r="CI260" s="129">
        <v>0</v>
      </c>
      <c r="CJ260" s="125">
        <v>0</v>
      </c>
      <c r="CK260" s="125">
        <v>0</v>
      </c>
      <c r="CL260" s="125">
        <v>0</v>
      </c>
      <c r="CM260" s="125">
        <v>0</v>
      </c>
      <c r="CN260" s="125">
        <v>0</v>
      </c>
      <c r="CO260" s="125">
        <v>0</v>
      </c>
      <c r="CP260" s="125">
        <v>0</v>
      </c>
      <c r="CQ260" s="125">
        <v>0</v>
      </c>
      <c r="CR260" s="125">
        <v>0</v>
      </c>
      <c r="CS260" s="125">
        <v>0</v>
      </c>
      <c r="CT260" s="125">
        <v>0</v>
      </c>
      <c r="CU260" s="126">
        <v>0</v>
      </c>
    </row>
    <row r="261" spans="1:99" x14ac:dyDescent="0.25">
      <c r="A261" t="s">
        <v>248</v>
      </c>
      <c r="B261" s="2" t="s">
        <v>2</v>
      </c>
      <c r="C261" s="1">
        <v>25172</v>
      </c>
      <c r="D261" s="19">
        <v>14.2</v>
      </c>
      <c r="E261" s="18">
        <v>0</v>
      </c>
      <c r="F261" s="19">
        <v>0</v>
      </c>
      <c r="G261" s="19">
        <v>0</v>
      </c>
      <c r="H261" s="19">
        <v>0</v>
      </c>
      <c r="I261" s="19">
        <f>SUM(E261:H261)/Variables!$E$3</f>
        <v>0</v>
      </c>
      <c r="J261" s="4">
        <v>0</v>
      </c>
      <c r="K261">
        <v>0</v>
      </c>
      <c r="L261">
        <v>0</v>
      </c>
      <c r="M261">
        <v>0</v>
      </c>
      <c r="N261" s="6">
        <f>SUM(J261:M261)/Variables!$E$3</f>
        <v>0</v>
      </c>
      <c r="O261" s="4">
        <v>0</v>
      </c>
      <c r="P261">
        <v>0</v>
      </c>
      <c r="Q261">
        <v>0</v>
      </c>
      <c r="R261">
        <v>0</v>
      </c>
      <c r="S261" s="6">
        <f>SUM(O261:R261)/Variables!$E$3</f>
        <v>0</v>
      </c>
      <c r="T261" s="4">
        <v>0</v>
      </c>
      <c r="U261">
        <v>0</v>
      </c>
      <c r="V261">
        <v>0</v>
      </c>
      <c r="W261">
        <v>0</v>
      </c>
      <c r="X261" s="6">
        <f>SUM(T261:W261)/Variables!$E$3</f>
        <v>0</v>
      </c>
      <c r="Y261" s="4">
        <v>0</v>
      </c>
      <c r="Z261">
        <v>0</v>
      </c>
      <c r="AA261">
        <v>0</v>
      </c>
      <c r="AB261">
        <v>0</v>
      </c>
      <c r="AC261" s="6">
        <f>SUM(Y261:AB261)/Variables!$E$3</f>
        <v>0</v>
      </c>
      <c r="AD261" s="4">
        <v>0</v>
      </c>
      <c r="AE261" s="2">
        <v>0</v>
      </c>
      <c r="AF261" s="2">
        <v>0</v>
      </c>
      <c r="AG261" s="2">
        <v>0</v>
      </c>
      <c r="AH261" s="6">
        <f>SUM(AD261:AG261)/Variables!$E$3</f>
        <v>0</v>
      </c>
      <c r="AI261" s="4">
        <v>0</v>
      </c>
      <c r="AJ261" s="2">
        <v>0</v>
      </c>
      <c r="AK261" s="2">
        <v>0</v>
      </c>
      <c r="AL261" s="2">
        <v>0</v>
      </c>
      <c r="AM261" s="6">
        <f>SUM(AI261:AL261)/Variables!$E$3</f>
        <v>0</v>
      </c>
      <c r="AN261" s="4">
        <v>0</v>
      </c>
      <c r="AO261" s="2">
        <v>0</v>
      </c>
      <c r="AP261" s="2">
        <v>0</v>
      </c>
      <c r="AQ261" s="2">
        <v>0</v>
      </c>
      <c r="AR261" s="6">
        <f>SUM(AN261:AQ261)/Variables!$E$3</f>
        <v>0</v>
      </c>
      <c r="AS261" s="4">
        <v>0</v>
      </c>
      <c r="AT261" s="2">
        <v>0</v>
      </c>
      <c r="AU261" s="2">
        <v>0</v>
      </c>
      <c r="AV261" s="2">
        <v>0</v>
      </c>
      <c r="AW261" s="6">
        <f>SUM(AS261:AV261)/Variables!$E$3</f>
        <v>0</v>
      </c>
      <c r="AX261" s="4">
        <v>0</v>
      </c>
      <c r="AY261" s="2">
        <v>0</v>
      </c>
      <c r="AZ261" s="2">
        <v>0</v>
      </c>
      <c r="BA261" s="2">
        <v>0</v>
      </c>
      <c r="BB261" s="6">
        <f>SUM(AX261:BA261)/Variables!$E$3</f>
        <v>0</v>
      </c>
      <c r="BC261" s="12">
        <f t="shared" ref="BC261:BF324" si="72">Y261</f>
        <v>0</v>
      </c>
      <c r="BD261" s="110">
        <f t="shared" si="72"/>
        <v>0</v>
      </c>
      <c r="BE261" s="110">
        <f t="shared" si="72"/>
        <v>0</v>
      </c>
      <c r="BF261" s="110">
        <f t="shared" si="69"/>
        <v>0</v>
      </c>
      <c r="BG261" s="6">
        <f>SUM(BC261:BF261)/Variables!$E$3</f>
        <v>0</v>
      </c>
      <c r="BH261" s="4">
        <v>0</v>
      </c>
      <c r="BI261">
        <v>0</v>
      </c>
      <c r="BJ261">
        <v>0</v>
      </c>
      <c r="BK261">
        <v>0</v>
      </c>
      <c r="BL261" s="6">
        <f>SUM(BH261:BK261)/Variables!$E$3</f>
        <v>0</v>
      </c>
      <c r="BM261" s="110">
        <v>0</v>
      </c>
      <c r="BN261" s="110">
        <v>0</v>
      </c>
      <c r="BO261" s="110">
        <v>0</v>
      </c>
      <c r="BP261" s="110">
        <v>0</v>
      </c>
      <c r="BQ261" s="6">
        <f>SUM(BM261:BP261)/Variables!$E$3</f>
        <v>0</v>
      </c>
      <c r="BS261" s="4">
        <v>259</v>
      </c>
      <c r="BT261" s="125">
        <f t="shared" si="45"/>
        <v>0</v>
      </c>
      <c r="BU261" s="125">
        <f t="shared" si="59"/>
        <v>0</v>
      </c>
      <c r="BV261" s="125">
        <f t="shared" si="60"/>
        <v>0</v>
      </c>
      <c r="BW261" s="125">
        <f t="shared" si="61"/>
        <v>0</v>
      </c>
      <c r="BX261" s="125">
        <f t="shared" si="62"/>
        <v>0</v>
      </c>
      <c r="BY261" s="125">
        <f t="shared" si="63"/>
        <v>0</v>
      </c>
      <c r="BZ261" s="125">
        <f t="shared" si="64"/>
        <v>0</v>
      </c>
      <c r="CA261" s="125">
        <f t="shared" si="65"/>
        <v>0</v>
      </c>
      <c r="CB261" s="125">
        <f t="shared" si="66"/>
        <v>0</v>
      </c>
      <c r="CC261" s="125">
        <f t="shared" si="67"/>
        <v>0</v>
      </c>
      <c r="CD261" s="125">
        <f t="shared" si="68"/>
        <v>0</v>
      </c>
      <c r="CE261" s="125">
        <f t="shared" si="70"/>
        <v>0</v>
      </c>
      <c r="CF261" s="126">
        <f t="shared" si="71"/>
        <v>0</v>
      </c>
      <c r="CH261" s="4">
        <v>259</v>
      </c>
      <c r="CI261" s="129">
        <v>0</v>
      </c>
      <c r="CJ261" s="125">
        <v>0</v>
      </c>
      <c r="CK261" s="125">
        <v>0</v>
      </c>
      <c r="CL261" s="125">
        <v>0</v>
      </c>
      <c r="CM261" s="125">
        <v>0</v>
      </c>
      <c r="CN261" s="125">
        <v>0</v>
      </c>
      <c r="CO261" s="125">
        <v>0</v>
      </c>
      <c r="CP261" s="125">
        <v>0</v>
      </c>
      <c r="CQ261" s="125">
        <v>0</v>
      </c>
      <c r="CR261" s="125">
        <v>0</v>
      </c>
      <c r="CS261" s="125">
        <v>0</v>
      </c>
      <c r="CT261" s="125">
        <v>0</v>
      </c>
      <c r="CU261" s="126">
        <v>0</v>
      </c>
    </row>
    <row r="262" spans="1:99" x14ac:dyDescent="0.25">
      <c r="A262" t="s">
        <v>249</v>
      </c>
      <c r="B262" s="2" t="s">
        <v>3</v>
      </c>
      <c r="C262" s="1">
        <v>25262</v>
      </c>
      <c r="D262" s="19">
        <v>73.016071428571394</v>
      </c>
      <c r="E262" s="18">
        <v>0</v>
      </c>
      <c r="F262" s="19">
        <v>0</v>
      </c>
      <c r="G262" s="19">
        <v>0</v>
      </c>
      <c r="H262" s="19">
        <v>0</v>
      </c>
      <c r="I262" s="19">
        <f>SUM(E262:H262)/Variables!$E$3</f>
        <v>0</v>
      </c>
      <c r="J262" s="4">
        <v>0</v>
      </c>
      <c r="K262">
        <v>0</v>
      </c>
      <c r="L262">
        <v>0</v>
      </c>
      <c r="M262">
        <v>0</v>
      </c>
      <c r="N262" s="6">
        <f>SUM(J262:M262)/Variables!$E$3</f>
        <v>0</v>
      </c>
      <c r="O262" s="4">
        <v>0</v>
      </c>
      <c r="P262">
        <v>0</v>
      </c>
      <c r="Q262">
        <v>0</v>
      </c>
      <c r="R262">
        <v>0</v>
      </c>
      <c r="S262" s="6">
        <f>SUM(O262:R262)/Variables!$E$3</f>
        <v>0</v>
      </c>
      <c r="T262" s="4">
        <v>0</v>
      </c>
      <c r="U262">
        <v>0</v>
      </c>
      <c r="V262">
        <v>0</v>
      </c>
      <c r="W262">
        <v>0</v>
      </c>
      <c r="X262" s="6">
        <f>SUM(T262:W262)/Variables!$E$3</f>
        <v>0</v>
      </c>
      <c r="Y262" s="4">
        <v>0</v>
      </c>
      <c r="Z262">
        <v>0</v>
      </c>
      <c r="AA262">
        <v>0</v>
      </c>
      <c r="AB262">
        <v>0</v>
      </c>
      <c r="AC262" s="6">
        <f>SUM(Y262:AB262)/Variables!$E$3</f>
        <v>0</v>
      </c>
      <c r="AD262" s="4">
        <v>0</v>
      </c>
      <c r="AE262" s="2">
        <v>0</v>
      </c>
      <c r="AF262" s="2">
        <v>0</v>
      </c>
      <c r="AG262" s="2">
        <v>0</v>
      </c>
      <c r="AH262" s="6">
        <f>SUM(AD262:AG262)/Variables!$E$3</f>
        <v>0</v>
      </c>
      <c r="AI262" s="4">
        <v>0</v>
      </c>
      <c r="AJ262" s="2">
        <v>0</v>
      </c>
      <c r="AK262" s="2">
        <v>0</v>
      </c>
      <c r="AL262" s="2">
        <v>0</v>
      </c>
      <c r="AM262" s="6">
        <f>SUM(AI262:AL262)/Variables!$E$3</f>
        <v>0</v>
      </c>
      <c r="AN262" s="4">
        <v>0</v>
      </c>
      <c r="AO262" s="2">
        <v>0</v>
      </c>
      <c r="AP262" s="2">
        <v>0</v>
      </c>
      <c r="AQ262" s="2">
        <v>0</v>
      </c>
      <c r="AR262" s="6">
        <f>SUM(AN262:AQ262)/Variables!$E$3</f>
        <v>0</v>
      </c>
      <c r="AS262" s="4">
        <v>0</v>
      </c>
      <c r="AT262" s="2">
        <v>0</v>
      </c>
      <c r="AU262" s="2">
        <v>0</v>
      </c>
      <c r="AV262" s="2">
        <v>0</v>
      </c>
      <c r="AW262" s="6">
        <f>SUM(AS262:AV262)/Variables!$E$3</f>
        <v>0</v>
      </c>
      <c r="AX262" s="4">
        <v>0</v>
      </c>
      <c r="AY262" s="2">
        <v>0</v>
      </c>
      <c r="AZ262" s="2">
        <v>0</v>
      </c>
      <c r="BA262" s="2">
        <v>0</v>
      </c>
      <c r="BB262" s="6">
        <f>SUM(AX262:BA262)/Variables!$E$3</f>
        <v>0</v>
      </c>
      <c r="BC262" s="12">
        <f t="shared" si="72"/>
        <v>0</v>
      </c>
      <c r="BD262" s="110">
        <f t="shared" si="72"/>
        <v>0</v>
      </c>
      <c r="BE262" s="110">
        <f t="shared" si="72"/>
        <v>0</v>
      </c>
      <c r="BF262" s="110">
        <f t="shared" si="69"/>
        <v>0</v>
      </c>
      <c r="BG262" s="6">
        <f>SUM(BC262:BF262)/Variables!$E$3</f>
        <v>0</v>
      </c>
      <c r="BH262" s="4">
        <v>0</v>
      </c>
      <c r="BI262">
        <v>0</v>
      </c>
      <c r="BJ262">
        <v>0</v>
      </c>
      <c r="BK262">
        <v>0</v>
      </c>
      <c r="BL262" s="6">
        <f>SUM(BH262:BK262)/Variables!$E$3</f>
        <v>0</v>
      </c>
      <c r="BM262" s="110">
        <v>0</v>
      </c>
      <c r="BN262" s="110">
        <v>0</v>
      </c>
      <c r="BO262" s="110">
        <v>0</v>
      </c>
      <c r="BP262" s="110">
        <v>0</v>
      </c>
      <c r="BQ262" s="6">
        <f>SUM(BM262:BP262)/Variables!$E$3</f>
        <v>0</v>
      </c>
      <c r="BS262" s="4">
        <v>260</v>
      </c>
      <c r="BT262" s="125">
        <f t="shared" si="45"/>
        <v>0</v>
      </c>
      <c r="BU262" s="125">
        <f t="shared" si="59"/>
        <v>0</v>
      </c>
      <c r="BV262" s="125">
        <f t="shared" si="60"/>
        <v>0</v>
      </c>
      <c r="BW262" s="125">
        <f t="shared" si="61"/>
        <v>0</v>
      </c>
      <c r="BX262" s="125">
        <f t="shared" si="62"/>
        <v>0</v>
      </c>
      <c r="BY262" s="125">
        <f t="shared" si="63"/>
        <v>0</v>
      </c>
      <c r="BZ262" s="125">
        <f t="shared" si="64"/>
        <v>0</v>
      </c>
      <c r="CA262" s="125">
        <f t="shared" si="65"/>
        <v>0</v>
      </c>
      <c r="CB262" s="125">
        <f t="shared" si="66"/>
        <v>0</v>
      </c>
      <c r="CC262" s="125">
        <f t="shared" si="67"/>
        <v>0</v>
      </c>
      <c r="CD262" s="125">
        <f t="shared" si="68"/>
        <v>0</v>
      </c>
      <c r="CE262" s="125">
        <f t="shared" si="70"/>
        <v>0</v>
      </c>
      <c r="CF262" s="126">
        <f t="shared" si="71"/>
        <v>0</v>
      </c>
      <c r="CH262" s="4">
        <v>260</v>
      </c>
      <c r="CI262" s="129">
        <v>0</v>
      </c>
      <c r="CJ262" s="125">
        <v>0</v>
      </c>
      <c r="CK262" s="125">
        <v>0</v>
      </c>
      <c r="CL262" s="125">
        <v>0</v>
      </c>
      <c r="CM262" s="125">
        <v>0</v>
      </c>
      <c r="CN262" s="125">
        <v>0</v>
      </c>
      <c r="CO262" s="125">
        <v>0</v>
      </c>
      <c r="CP262" s="125">
        <v>0</v>
      </c>
      <c r="CQ262" s="125">
        <v>0</v>
      </c>
      <c r="CR262" s="125">
        <v>0</v>
      </c>
      <c r="CS262" s="125">
        <v>0</v>
      </c>
      <c r="CT262" s="125">
        <v>0</v>
      </c>
      <c r="CU262" s="126">
        <v>0</v>
      </c>
    </row>
    <row r="263" spans="1:99" x14ac:dyDescent="0.25">
      <c r="A263" t="s">
        <v>249</v>
      </c>
      <c r="B263" s="2" t="s">
        <v>4</v>
      </c>
      <c r="C263" s="1">
        <v>25354</v>
      </c>
      <c r="D263" s="19">
        <v>141.57499999999999</v>
      </c>
      <c r="E263" s="18">
        <v>0</v>
      </c>
      <c r="F263" s="19">
        <v>0</v>
      </c>
      <c r="G263" s="19">
        <v>0</v>
      </c>
      <c r="H263" s="19">
        <v>0</v>
      </c>
      <c r="I263" s="19">
        <f>SUM(E263:H263)/Variables!$E$3</f>
        <v>0</v>
      </c>
      <c r="J263" s="4">
        <v>0</v>
      </c>
      <c r="K263">
        <v>0</v>
      </c>
      <c r="L263">
        <v>0</v>
      </c>
      <c r="M263">
        <v>0</v>
      </c>
      <c r="N263" s="6">
        <f>SUM(J263:M263)/Variables!$E$3</f>
        <v>0</v>
      </c>
      <c r="O263" s="4">
        <v>0</v>
      </c>
      <c r="P263">
        <v>0</v>
      </c>
      <c r="Q263">
        <v>0</v>
      </c>
      <c r="R263">
        <v>0</v>
      </c>
      <c r="S263" s="6">
        <f>SUM(O263:R263)/Variables!$E$3</f>
        <v>0</v>
      </c>
      <c r="T263" s="4">
        <v>0</v>
      </c>
      <c r="U263">
        <v>0</v>
      </c>
      <c r="V263">
        <v>0</v>
      </c>
      <c r="W263">
        <v>0</v>
      </c>
      <c r="X263" s="6">
        <f>SUM(T263:W263)/Variables!$E$3</f>
        <v>0</v>
      </c>
      <c r="Y263" s="4">
        <v>0</v>
      </c>
      <c r="Z263">
        <v>0</v>
      </c>
      <c r="AA263">
        <v>0</v>
      </c>
      <c r="AB263">
        <v>0</v>
      </c>
      <c r="AC263" s="6">
        <f>SUM(Y263:AB263)/Variables!$E$3</f>
        <v>0</v>
      </c>
      <c r="AD263" s="4">
        <v>0</v>
      </c>
      <c r="AE263" s="2">
        <v>0</v>
      </c>
      <c r="AF263" s="2">
        <v>0</v>
      </c>
      <c r="AG263" s="2">
        <v>0</v>
      </c>
      <c r="AH263" s="6">
        <f>SUM(AD263:AG263)/Variables!$E$3</f>
        <v>0</v>
      </c>
      <c r="AI263" s="4">
        <v>0</v>
      </c>
      <c r="AJ263" s="2">
        <v>0</v>
      </c>
      <c r="AK263" s="2">
        <v>0</v>
      </c>
      <c r="AL263" s="2">
        <v>0</v>
      </c>
      <c r="AM263" s="6">
        <f>SUM(AI263:AL263)/Variables!$E$3</f>
        <v>0</v>
      </c>
      <c r="AN263" s="4">
        <v>0</v>
      </c>
      <c r="AO263" s="2">
        <v>0</v>
      </c>
      <c r="AP263" s="2">
        <v>0</v>
      </c>
      <c r="AQ263" s="2">
        <v>0</v>
      </c>
      <c r="AR263" s="6">
        <f>SUM(AN263:AQ263)/Variables!$E$3</f>
        <v>0</v>
      </c>
      <c r="AS263" s="4">
        <v>0</v>
      </c>
      <c r="AT263" s="2">
        <v>0</v>
      </c>
      <c r="AU263" s="2">
        <v>0</v>
      </c>
      <c r="AV263" s="2">
        <v>0</v>
      </c>
      <c r="AW263" s="6">
        <f>SUM(AS263:AV263)/Variables!$E$3</f>
        <v>0</v>
      </c>
      <c r="AX263" s="4">
        <v>0</v>
      </c>
      <c r="AY263" s="2">
        <v>0</v>
      </c>
      <c r="AZ263" s="2">
        <v>0</v>
      </c>
      <c r="BA263" s="2">
        <v>0</v>
      </c>
      <c r="BB263" s="6">
        <f>SUM(AX263:BA263)/Variables!$E$3</f>
        <v>0</v>
      </c>
      <c r="BC263" s="12">
        <f t="shared" si="72"/>
        <v>0</v>
      </c>
      <c r="BD263" s="110">
        <f t="shared" si="72"/>
        <v>0</v>
      </c>
      <c r="BE263" s="110">
        <f t="shared" si="72"/>
        <v>0</v>
      </c>
      <c r="BF263" s="110">
        <f t="shared" si="69"/>
        <v>0</v>
      </c>
      <c r="BG263" s="6">
        <f>SUM(BC263:BF263)/Variables!$E$3</f>
        <v>0</v>
      </c>
      <c r="BH263" s="4">
        <v>0</v>
      </c>
      <c r="BI263">
        <v>0</v>
      </c>
      <c r="BJ263">
        <v>0</v>
      </c>
      <c r="BK263">
        <v>0</v>
      </c>
      <c r="BL263" s="6">
        <f>SUM(BH263:BK263)/Variables!$E$3</f>
        <v>0</v>
      </c>
      <c r="BM263" s="110">
        <v>0</v>
      </c>
      <c r="BN263" s="110">
        <v>0</v>
      </c>
      <c r="BO263" s="110">
        <v>0</v>
      </c>
      <c r="BP263" s="110">
        <v>0</v>
      </c>
      <c r="BQ263" s="6">
        <f>SUM(BM263:BP263)/Variables!$E$3</f>
        <v>0</v>
      </c>
      <c r="BS263" s="4">
        <v>261</v>
      </c>
      <c r="BT263" s="125">
        <f t="shared" ref="BT263:BT326" si="73">I264</f>
        <v>0</v>
      </c>
      <c r="BU263" s="125">
        <f t="shared" si="59"/>
        <v>2.3198916856032115E-3</v>
      </c>
      <c r="BV263" s="125">
        <f t="shared" si="60"/>
        <v>0</v>
      </c>
      <c r="BW263" s="125">
        <f t="shared" si="61"/>
        <v>0</v>
      </c>
      <c r="BX263" s="125">
        <f t="shared" si="62"/>
        <v>0</v>
      </c>
      <c r="BY263" s="125">
        <f t="shared" si="63"/>
        <v>0</v>
      </c>
      <c r="BZ263" s="125">
        <f t="shared" si="64"/>
        <v>0</v>
      </c>
      <c r="CA263" s="125">
        <f t="shared" si="65"/>
        <v>0</v>
      </c>
      <c r="CB263" s="125">
        <f t="shared" si="66"/>
        <v>0</v>
      </c>
      <c r="CC263" s="125">
        <f t="shared" si="67"/>
        <v>0</v>
      </c>
      <c r="CD263" s="125">
        <f t="shared" si="68"/>
        <v>0</v>
      </c>
      <c r="CE263" s="125">
        <f t="shared" si="70"/>
        <v>0</v>
      </c>
      <c r="CF263" s="126">
        <f t="shared" si="71"/>
        <v>0</v>
      </c>
      <c r="CH263" s="4">
        <v>261</v>
      </c>
      <c r="CI263" s="129">
        <v>0</v>
      </c>
      <c r="CJ263" s="125">
        <v>0</v>
      </c>
      <c r="CK263" s="125">
        <v>0</v>
      </c>
      <c r="CL263" s="125">
        <v>0</v>
      </c>
      <c r="CM263" s="125">
        <v>0</v>
      </c>
      <c r="CN263" s="125">
        <v>0</v>
      </c>
      <c r="CO263" s="125">
        <v>0</v>
      </c>
      <c r="CP263" s="125">
        <v>0</v>
      </c>
      <c r="CQ263" s="125">
        <v>0</v>
      </c>
      <c r="CR263" s="125">
        <v>0</v>
      </c>
      <c r="CS263" s="125">
        <v>0</v>
      </c>
      <c r="CT263" s="125">
        <v>0</v>
      </c>
      <c r="CU263" s="126">
        <v>0</v>
      </c>
    </row>
    <row r="264" spans="1:99" x14ac:dyDescent="0.25">
      <c r="A264" t="s">
        <v>249</v>
      </c>
      <c r="B264" s="2" t="s">
        <v>1</v>
      </c>
      <c r="C264" s="1">
        <v>25446</v>
      </c>
      <c r="D264" s="19">
        <v>62.712499999999999</v>
      </c>
      <c r="E264" s="18">
        <v>0</v>
      </c>
      <c r="F264" s="19">
        <v>0</v>
      </c>
      <c r="G264" s="19">
        <v>0</v>
      </c>
      <c r="H264" s="19">
        <v>0</v>
      </c>
      <c r="I264" s="19">
        <f>SUM(E264:H264)/Variables!$E$3</f>
        <v>0</v>
      </c>
      <c r="J264" s="4">
        <v>0</v>
      </c>
      <c r="K264">
        <v>0</v>
      </c>
      <c r="L264">
        <v>2930</v>
      </c>
      <c r="M264">
        <v>0</v>
      </c>
      <c r="N264" s="6">
        <f>SUM(J264:M264)/Variables!$E$3</f>
        <v>2.3198916856032115E-3</v>
      </c>
      <c r="O264" s="4">
        <v>0</v>
      </c>
      <c r="P264">
        <v>0</v>
      </c>
      <c r="Q264">
        <v>0</v>
      </c>
      <c r="R264">
        <v>0</v>
      </c>
      <c r="S264" s="6">
        <f>SUM(O264:R264)/Variables!$E$3</f>
        <v>0</v>
      </c>
      <c r="T264" s="4">
        <v>0</v>
      </c>
      <c r="U264">
        <v>0</v>
      </c>
      <c r="V264">
        <v>0</v>
      </c>
      <c r="W264">
        <v>0</v>
      </c>
      <c r="X264" s="6">
        <f>SUM(T264:W264)/Variables!$E$3</f>
        <v>0</v>
      </c>
      <c r="Y264" s="4">
        <v>0</v>
      </c>
      <c r="Z264">
        <v>0</v>
      </c>
      <c r="AA264">
        <v>0</v>
      </c>
      <c r="AB264">
        <v>0</v>
      </c>
      <c r="AC264" s="6">
        <f>SUM(Y264:AB264)/Variables!$E$3</f>
        <v>0</v>
      </c>
      <c r="AD264" s="4">
        <v>0</v>
      </c>
      <c r="AE264" s="2">
        <v>0</v>
      </c>
      <c r="AF264" s="2">
        <v>0</v>
      </c>
      <c r="AG264" s="2">
        <v>0</v>
      </c>
      <c r="AH264" s="6">
        <f>SUM(AD264:AG264)/Variables!$E$3</f>
        <v>0</v>
      </c>
      <c r="AI264" s="4">
        <v>0</v>
      </c>
      <c r="AJ264" s="2">
        <v>0</v>
      </c>
      <c r="AK264" s="2">
        <v>0</v>
      </c>
      <c r="AL264" s="2">
        <v>0</v>
      </c>
      <c r="AM264" s="6">
        <f>SUM(AI264:AL264)/Variables!$E$3</f>
        <v>0</v>
      </c>
      <c r="AN264" s="4">
        <v>0</v>
      </c>
      <c r="AO264" s="2">
        <v>0</v>
      </c>
      <c r="AP264" s="2">
        <v>0</v>
      </c>
      <c r="AQ264" s="2">
        <v>0</v>
      </c>
      <c r="AR264" s="6">
        <f>SUM(AN264:AQ264)/Variables!$E$3</f>
        <v>0</v>
      </c>
      <c r="AS264" s="4">
        <v>0</v>
      </c>
      <c r="AT264" s="2">
        <v>0</v>
      </c>
      <c r="AU264" s="2">
        <v>0</v>
      </c>
      <c r="AV264" s="2">
        <v>0</v>
      </c>
      <c r="AW264" s="6">
        <f>SUM(AS264:AV264)/Variables!$E$3</f>
        <v>0</v>
      </c>
      <c r="AX264" s="4">
        <v>0</v>
      </c>
      <c r="AY264" s="2">
        <v>0</v>
      </c>
      <c r="AZ264" s="2">
        <v>0</v>
      </c>
      <c r="BA264" s="2">
        <v>0</v>
      </c>
      <c r="BB264" s="6">
        <f>SUM(AX264:BA264)/Variables!$E$3</f>
        <v>0</v>
      </c>
      <c r="BC264" s="12">
        <f t="shared" si="72"/>
        <v>0</v>
      </c>
      <c r="BD264" s="110">
        <f t="shared" si="72"/>
        <v>0</v>
      </c>
      <c r="BE264" s="110">
        <f t="shared" si="72"/>
        <v>0</v>
      </c>
      <c r="BF264" s="110">
        <f t="shared" si="69"/>
        <v>0</v>
      </c>
      <c r="BG264" s="6">
        <f>SUM(BC264:BF264)/Variables!$E$3</f>
        <v>0</v>
      </c>
      <c r="BH264" s="4">
        <v>0</v>
      </c>
      <c r="BI264">
        <v>0</v>
      </c>
      <c r="BJ264">
        <v>0</v>
      </c>
      <c r="BK264">
        <v>0</v>
      </c>
      <c r="BL264" s="6">
        <f>SUM(BH264:BK264)/Variables!$E$3</f>
        <v>0</v>
      </c>
      <c r="BM264" s="110">
        <v>0</v>
      </c>
      <c r="BN264" s="110">
        <v>0</v>
      </c>
      <c r="BO264" s="110">
        <v>0</v>
      </c>
      <c r="BP264" s="110">
        <v>0</v>
      </c>
      <c r="BQ264" s="6">
        <f>SUM(BM264:BP264)/Variables!$E$3</f>
        <v>0</v>
      </c>
      <c r="BS264" s="4">
        <v>262</v>
      </c>
      <c r="BT264" s="125">
        <f t="shared" si="73"/>
        <v>0</v>
      </c>
      <c r="BU264" s="125">
        <f t="shared" si="59"/>
        <v>2.1465728153033672E-2</v>
      </c>
      <c r="BV264" s="125">
        <f t="shared" si="60"/>
        <v>0</v>
      </c>
      <c r="BW264" s="125">
        <f t="shared" si="61"/>
        <v>3.9501500407762531E-4</v>
      </c>
      <c r="BX264" s="125">
        <f t="shared" si="62"/>
        <v>3.0815762595111682E-4</v>
      </c>
      <c r="BY264" s="125">
        <f t="shared" si="63"/>
        <v>0</v>
      </c>
      <c r="BZ264" s="125">
        <f t="shared" si="64"/>
        <v>0</v>
      </c>
      <c r="CA264" s="125">
        <f t="shared" si="65"/>
        <v>0</v>
      </c>
      <c r="CB264" s="125">
        <f t="shared" si="66"/>
        <v>6.6999738715270906E-4</v>
      </c>
      <c r="CC264" s="125">
        <f t="shared" si="67"/>
        <v>6.3500106889207201E-5</v>
      </c>
      <c r="CD264" s="125">
        <f t="shared" si="68"/>
        <v>3.0815762595111682E-4</v>
      </c>
      <c r="CE264" s="125">
        <f t="shared" si="70"/>
        <v>0</v>
      </c>
      <c r="CF264" s="126">
        <f t="shared" si="71"/>
        <v>4.4972644280635796E-5</v>
      </c>
      <c r="CH264" s="4">
        <v>262</v>
      </c>
      <c r="CI264" s="129">
        <v>0</v>
      </c>
      <c r="CJ264" s="125">
        <v>0</v>
      </c>
      <c r="CK264" s="125">
        <v>0</v>
      </c>
      <c r="CL264" s="125">
        <v>0</v>
      </c>
      <c r="CM264" s="125">
        <v>0</v>
      </c>
      <c r="CN264" s="125">
        <v>0</v>
      </c>
      <c r="CO264" s="125">
        <v>0</v>
      </c>
      <c r="CP264" s="125">
        <v>0</v>
      </c>
      <c r="CQ264" s="125">
        <v>0</v>
      </c>
      <c r="CR264" s="125">
        <v>0</v>
      </c>
      <c r="CS264" s="125">
        <v>0</v>
      </c>
      <c r="CT264" s="125">
        <v>0</v>
      </c>
      <c r="CU264" s="126">
        <v>0</v>
      </c>
    </row>
    <row r="265" spans="1:99" x14ac:dyDescent="0.25">
      <c r="A265" t="s">
        <v>249</v>
      </c>
      <c r="B265" s="2" t="s">
        <v>2</v>
      </c>
      <c r="C265" s="1">
        <v>25537</v>
      </c>
      <c r="D265" s="19">
        <v>99.546428571428606</v>
      </c>
      <c r="E265" s="18">
        <v>0</v>
      </c>
      <c r="F265" s="19">
        <v>0</v>
      </c>
      <c r="G265" s="19">
        <v>0</v>
      </c>
      <c r="H265" s="19">
        <v>0</v>
      </c>
      <c r="I265" s="19">
        <f>SUM(E265:H265)/Variables!$E$3</f>
        <v>0</v>
      </c>
      <c r="J265" s="4">
        <v>0</v>
      </c>
      <c r="K265">
        <v>0</v>
      </c>
      <c r="L265">
        <v>27111</v>
      </c>
      <c r="M265">
        <v>0</v>
      </c>
      <c r="N265" s="6">
        <f>SUM(J265:M265)/Variables!$E$3</f>
        <v>2.1465728153033672E-2</v>
      </c>
      <c r="O265" s="4">
        <v>0</v>
      </c>
      <c r="P265">
        <v>0</v>
      </c>
      <c r="Q265">
        <v>0</v>
      </c>
      <c r="R265">
        <v>0</v>
      </c>
      <c r="S265" s="6">
        <f>SUM(O265:R265)/Variables!$E$3</f>
        <v>0</v>
      </c>
      <c r="T265" s="4">
        <v>0</v>
      </c>
      <c r="U265">
        <v>0</v>
      </c>
      <c r="V265">
        <v>498.9</v>
      </c>
      <c r="W265">
        <v>0</v>
      </c>
      <c r="X265" s="6">
        <f>SUM(T265:W265)/Variables!$E$3</f>
        <v>3.9501500407762531E-4</v>
      </c>
      <c r="Y265" s="4">
        <v>0</v>
      </c>
      <c r="Z265">
        <v>0</v>
      </c>
      <c r="AA265">
        <v>389.20000000000101</v>
      </c>
      <c r="AB265">
        <v>0</v>
      </c>
      <c r="AC265" s="6">
        <f>SUM(Y265:AB265)/Variables!$E$3</f>
        <v>3.0815762595111682E-4</v>
      </c>
      <c r="AD265" s="4">
        <v>0</v>
      </c>
      <c r="AE265" s="2">
        <v>0</v>
      </c>
      <c r="AF265" s="2">
        <v>0</v>
      </c>
      <c r="AG265" s="2">
        <v>0</v>
      </c>
      <c r="AH265" s="6">
        <f>SUM(AD265:AG265)/Variables!$E$3</f>
        <v>0</v>
      </c>
      <c r="AI265" s="4">
        <v>0</v>
      </c>
      <c r="AJ265" s="2">
        <v>0</v>
      </c>
      <c r="AK265" s="2">
        <v>0</v>
      </c>
      <c r="AL265" s="2">
        <v>0</v>
      </c>
      <c r="AM265" s="6">
        <f>SUM(AI265:AL265)/Variables!$E$3</f>
        <v>0</v>
      </c>
      <c r="AN265" s="4">
        <v>0</v>
      </c>
      <c r="AO265" s="2">
        <v>0</v>
      </c>
      <c r="AP265" s="2">
        <v>0</v>
      </c>
      <c r="AQ265" s="2">
        <v>0</v>
      </c>
      <c r="AR265" s="6">
        <f>SUM(AN265:AQ265)/Variables!$E$3</f>
        <v>0</v>
      </c>
      <c r="AS265" s="4">
        <v>0</v>
      </c>
      <c r="AT265" s="2">
        <v>0</v>
      </c>
      <c r="AU265" s="2">
        <v>846.2</v>
      </c>
      <c r="AV265" s="2">
        <v>0</v>
      </c>
      <c r="AW265" s="6">
        <f>SUM(AS265:AV265)/Variables!$E$3</f>
        <v>6.6999738715270906E-4</v>
      </c>
      <c r="AX265" s="4">
        <v>0</v>
      </c>
      <c r="AY265" s="2">
        <v>0</v>
      </c>
      <c r="AZ265" s="2">
        <v>80.199999999999804</v>
      </c>
      <c r="BA265" s="2">
        <v>0</v>
      </c>
      <c r="BB265" s="6">
        <f>SUM(AX265:BA265)/Variables!$E$3</f>
        <v>6.3500106889207201E-5</v>
      </c>
      <c r="BC265" s="12">
        <f t="shared" si="72"/>
        <v>0</v>
      </c>
      <c r="BD265" s="110">
        <f t="shared" si="72"/>
        <v>0</v>
      </c>
      <c r="BE265" s="110">
        <f t="shared" si="72"/>
        <v>389.20000000000101</v>
      </c>
      <c r="BF265" s="110">
        <f t="shared" si="69"/>
        <v>0</v>
      </c>
      <c r="BG265" s="6">
        <f>SUM(BC265:BF265)/Variables!$E$3</f>
        <v>3.0815762595111682E-4</v>
      </c>
      <c r="BH265" s="4">
        <v>0</v>
      </c>
      <c r="BI265">
        <v>0</v>
      </c>
      <c r="BJ265">
        <v>0</v>
      </c>
      <c r="BK265">
        <v>0</v>
      </c>
      <c r="BL265" s="6">
        <f>SUM(BH265:BK265)/Variables!$E$3</f>
        <v>0</v>
      </c>
      <c r="BM265" s="110">
        <v>0</v>
      </c>
      <c r="BN265" s="110">
        <v>0</v>
      </c>
      <c r="BO265" s="110">
        <v>56.800000000000203</v>
      </c>
      <c r="BP265" s="110">
        <v>0</v>
      </c>
      <c r="BQ265" s="6">
        <f>SUM(BM265:BP265)/Variables!$E$3</f>
        <v>4.4972644280635796E-5</v>
      </c>
      <c r="BS265" s="4">
        <v>263</v>
      </c>
      <c r="BT265" s="125">
        <f t="shared" si="73"/>
        <v>0</v>
      </c>
      <c r="BU265" s="125">
        <f t="shared" si="59"/>
        <v>1.2157657621992257E-2</v>
      </c>
      <c r="BV265" s="125">
        <f t="shared" si="60"/>
        <v>0</v>
      </c>
      <c r="BW265" s="125">
        <f t="shared" si="61"/>
        <v>2.3190999136968619E-4</v>
      </c>
      <c r="BX265" s="125">
        <f t="shared" si="62"/>
        <v>1.2296217705603371E-4</v>
      </c>
      <c r="BY265" s="125">
        <f t="shared" si="63"/>
        <v>0</v>
      </c>
      <c r="BZ265" s="125">
        <f t="shared" si="64"/>
        <v>0</v>
      </c>
      <c r="CA265" s="125">
        <f t="shared" si="65"/>
        <v>0</v>
      </c>
      <c r="CB265" s="125">
        <f t="shared" si="66"/>
        <v>2.5930529932936922E-4</v>
      </c>
      <c r="CC265" s="125">
        <f t="shared" si="67"/>
        <v>0</v>
      </c>
      <c r="CD265" s="125">
        <f t="shared" si="68"/>
        <v>1.2296217705603371E-4</v>
      </c>
      <c r="CE265" s="125">
        <f t="shared" si="70"/>
        <v>0</v>
      </c>
      <c r="CF265" s="126">
        <f t="shared" si="71"/>
        <v>0</v>
      </c>
      <c r="CH265" s="4">
        <v>263</v>
      </c>
      <c r="CI265" s="129">
        <v>0</v>
      </c>
      <c r="CJ265" s="125">
        <v>0</v>
      </c>
      <c r="CK265" s="125">
        <v>0</v>
      </c>
      <c r="CL265" s="125">
        <v>0</v>
      </c>
      <c r="CM265" s="125">
        <v>0</v>
      </c>
      <c r="CN265" s="125">
        <v>0</v>
      </c>
      <c r="CO265" s="125">
        <v>0</v>
      </c>
      <c r="CP265" s="125">
        <v>0</v>
      </c>
      <c r="CQ265" s="125">
        <v>0</v>
      </c>
      <c r="CR265" s="125">
        <v>0</v>
      </c>
      <c r="CS265" s="125">
        <v>0</v>
      </c>
      <c r="CT265" s="125">
        <v>0</v>
      </c>
      <c r="CU265" s="126">
        <v>0</v>
      </c>
    </row>
    <row r="266" spans="1:99" x14ac:dyDescent="0.25">
      <c r="A266" t="s">
        <v>250</v>
      </c>
      <c r="B266" s="2" t="s">
        <v>3</v>
      </c>
      <c r="C266" s="1">
        <v>25627</v>
      </c>
      <c r="D266" s="19">
        <v>84.762500000000003</v>
      </c>
      <c r="E266" s="18">
        <v>0</v>
      </c>
      <c r="F266" s="19">
        <v>0</v>
      </c>
      <c r="G266" s="19">
        <v>0</v>
      </c>
      <c r="H266" s="19">
        <v>0</v>
      </c>
      <c r="I266" s="19">
        <f>SUM(E266:H266)/Variables!$E$3</f>
        <v>0</v>
      </c>
      <c r="J266" s="4">
        <v>0</v>
      </c>
      <c r="K266">
        <v>0</v>
      </c>
      <c r="L266">
        <v>15355</v>
      </c>
      <c r="M266">
        <v>0</v>
      </c>
      <c r="N266" s="6">
        <f>SUM(J266:M266)/Variables!$E$3</f>
        <v>1.2157657621992257E-2</v>
      </c>
      <c r="O266" s="4">
        <v>0</v>
      </c>
      <c r="P266">
        <v>0</v>
      </c>
      <c r="Q266">
        <v>0</v>
      </c>
      <c r="R266">
        <v>0</v>
      </c>
      <c r="S266" s="6">
        <f>SUM(O266:R266)/Variables!$E$3</f>
        <v>0</v>
      </c>
      <c r="T266" s="4">
        <v>0</v>
      </c>
      <c r="U266">
        <v>0</v>
      </c>
      <c r="V266">
        <v>292.89999999999998</v>
      </c>
      <c r="W266">
        <v>0</v>
      </c>
      <c r="X266" s="6">
        <f>SUM(T266:W266)/Variables!$E$3</f>
        <v>2.3190999136968619E-4</v>
      </c>
      <c r="Y266" s="4">
        <v>0</v>
      </c>
      <c r="Z266">
        <v>0</v>
      </c>
      <c r="AA266">
        <v>155.30000000000001</v>
      </c>
      <c r="AB266">
        <v>0</v>
      </c>
      <c r="AC266" s="6">
        <f>SUM(Y266:AB266)/Variables!$E$3</f>
        <v>1.2296217705603371E-4</v>
      </c>
      <c r="AD266" s="4">
        <v>0</v>
      </c>
      <c r="AE266" s="2">
        <v>0</v>
      </c>
      <c r="AF266" s="2">
        <v>0</v>
      </c>
      <c r="AG266" s="2">
        <v>0</v>
      </c>
      <c r="AH266" s="6">
        <f>SUM(AD266:AG266)/Variables!$E$3</f>
        <v>0</v>
      </c>
      <c r="AI266" s="4">
        <v>0</v>
      </c>
      <c r="AJ266" s="2">
        <v>0</v>
      </c>
      <c r="AK266" s="2">
        <v>0</v>
      </c>
      <c r="AL266" s="2">
        <v>0</v>
      </c>
      <c r="AM266" s="6">
        <f>SUM(AI266:AL266)/Variables!$E$3</f>
        <v>0</v>
      </c>
      <c r="AN266" s="4">
        <v>0</v>
      </c>
      <c r="AO266" s="2">
        <v>0</v>
      </c>
      <c r="AP266" s="2">
        <v>0</v>
      </c>
      <c r="AQ266" s="2">
        <v>0</v>
      </c>
      <c r="AR266" s="6">
        <f>SUM(AN266:AQ266)/Variables!$E$3</f>
        <v>0</v>
      </c>
      <c r="AS266" s="4">
        <v>0</v>
      </c>
      <c r="AT266" s="2">
        <v>0</v>
      </c>
      <c r="AU266" s="2">
        <v>327.5</v>
      </c>
      <c r="AV266" s="2">
        <v>0</v>
      </c>
      <c r="AW266" s="6">
        <f>SUM(AS266:AV266)/Variables!$E$3</f>
        <v>2.5930529932936922E-4</v>
      </c>
      <c r="AX266" s="4">
        <v>0</v>
      </c>
      <c r="AY266" s="2">
        <v>0</v>
      </c>
      <c r="AZ266" s="2">
        <v>0</v>
      </c>
      <c r="BA266" s="2">
        <v>0</v>
      </c>
      <c r="BB266" s="6">
        <f>SUM(AX266:BA266)/Variables!$E$3</f>
        <v>0</v>
      </c>
      <c r="BC266" s="12">
        <f t="shared" si="72"/>
        <v>0</v>
      </c>
      <c r="BD266" s="110">
        <f t="shared" si="72"/>
        <v>0</v>
      </c>
      <c r="BE266" s="110">
        <f t="shared" si="72"/>
        <v>155.30000000000001</v>
      </c>
      <c r="BF266" s="110">
        <f t="shared" si="69"/>
        <v>0</v>
      </c>
      <c r="BG266" s="6">
        <f>SUM(BC266:BF266)/Variables!$E$3</f>
        <v>1.2296217705603371E-4</v>
      </c>
      <c r="BH266" s="4">
        <v>0</v>
      </c>
      <c r="BI266">
        <v>0</v>
      </c>
      <c r="BJ266">
        <v>0</v>
      </c>
      <c r="BK266">
        <v>0</v>
      </c>
      <c r="BL266" s="6">
        <f>SUM(BH266:BK266)/Variables!$E$3</f>
        <v>0</v>
      </c>
      <c r="BM266" s="110">
        <v>0</v>
      </c>
      <c r="BN266" s="110">
        <v>0</v>
      </c>
      <c r="BO266" s="110">
        <v>0</v>
      </c>
      <c r="BP266" s="110">
        <v>0</v>
      </c>
      <c r="BQ266" s="6">
        <f>SUM(BM266:BP266)/Variables!$E$3</f>
        <v>0</v>
      </c>
      <c r="BS266" s="4">
        <v>264</v>
      </c>
      <c r="BT266" s="125">
        <f t="shared" si="73"/>
        <v>0</v>
      </c>
      <c r="BU266" s="125">
        <f t="shared" si="59"/>
        <v>0</v>
      </c>
      <c r="BV266" s="125">
        <f t="shared" si="60"/>
        <v>0</v>
      </c>
      <c r="BW266" s="125">
        <f t="shared" si="61"/>
        <v>0</v>
      </c>
      <c r="BX266" s="125">
        <f t="shared" si="62"/>
        <v>0</v>
      </c>
      <c r="BY266" s="125">
        <f t="shared" si="63"/>
        <v>0</v>
      </c>
      <c r="BZ266" s="125">
        <f t="shared" si="64"/>
        <v>0</v>
      </c>
      <c r="CA266" s="125">
        <f t="shared" si="65"/>
        <v>0</v>
      </c>
      <c r="CB266" s="125">
        <f t="shared" si="66"/>
        <v>0</v>
      </c>
      <c r="CC266" s="125">
        <f t="shared" si="67"/>
        <v>0</v>
      </c>
      <c r="CD266" s="125">
        <f t="shared" si="68"/>
        <v>0</v>
      </c>
      <c r="CE266" s="125">
        <f t="shared" si="70"/>
        <v>0</v>
      </c>
      <c r="CF266" s="126">
        <f t="shared" si="71"/>
        <v>0</v>
      </c>
      <c r="CH266" s="4">
        <v>264</v>
      </c>
      <c r="CI266" s="129">
        <v>0</v>
      </c>
      <c r="CJ266" s="125">
        <v>0</v>
      </c>
      <c r="CK266" s="125">
        <v>0</v>
      </c>
      <c r="CL266" s="125">
        <v>0</v>
      </c>
      <c r="CM266" s="125">
        <v>0</v>
      </c>
      <c r="CN266" s="125">
        <v>0</v>
      </c>
      <c r="CO266" s="125">
        <v>0</v>
      </c>
      <c r="CP266" s="125">
        <v>0</v>
      </c>
      <c r="CQ266" s="125">
        <v>0</v>
      </c>
      <c r="CR266" s="125">
        <v>0</v>
      </c>
      <c r="CS266" s="125">
        <v>0</v>
      </c>
      <c r="CT266" s="125">
        <v>0</v>
      </c>
      <c r="CU266" s="126">
        <v>0</v>
      </c>
    </row>
    <row r="267" spans="1:99" x14ac:dyDescent="0.25">
      <c r="A267" t="s">
        <v>250</v>
      </c>
      <c r="B267" s="2" t="s">
        <v>4</v>
      </c>
      <c r="C267" s="1">
        <v>25719</v>
      </c>
      <c r="D267" s="19">
        <v>76.5625</v>
      </c>
      <c r="E267" s="18">
        <v>0</v>
      </c>
      <c r="F267" s="19">
        <v>0</v>
      </c>
      <c r="G267" s="19">
        <v>0</v>
      </c>
      <c r="H267" s="19">
        <v>0</v>
      </c>
      <c r="I267" s="19">
        <f>SUM(E267:H267)/Variables!$E$3</f>
        <v>0</v>
      </c>
      <c r="J267" s="4">
        <v>0</v>
      </c>
      <c r="K267">
        <v>0</v>
      </c>
      <c r="L267">
        <v>0</v>
      </c>
      <c r="M267">
        <v>0</v>
      </c>
      <c r="N267" s="6">
        <f>SUM(J267:M267)/Variables!$E$3</f>
        <v>0</v>
      </c>
      <c r="O267" s="4">
        <v>0</v>
      </c>
      <c r="P267">
        <v>0</v>
      </c>
      <c r="Q267">
        <v>0</v>
      </c>
      <c r="R267">
        <v>0</v>
      </c>
      <c r="S267" s="6">
        <f>SUM(O267:R267)/Variables!$E$3</f>
        <v>0</v>
      </c>
      <c r="T267" s="4">
        <v>0</v>
      </c>
      <c r="U267">
        <v>0</v>
      </c>
      <c r="V267">
        <v>0</v>
      </c>
      <c r="W267">
        <v>0</v>
      </c>
      <c r="X267" s="6">
        <f>SUM(T267:W267)/Variables!$E$3</f>
        <v>0</v>
      </c>
      <c r="Y267" s="4">
        <v>0</v>
      </c>
      <c r="Z267">
        <v>0</v>
      </c>
      <c r="AA267">
        <v>0</v>
      </c>
      <c r="AB267">
        <v>0</v>
      </c>
      <c r="AC267" s="6">
        <f>SUM(Y267:AB267)/Variables!$E$3</f>
        <v>0</v>
      </c>
      <c r="AD267" s="4">
        <v>0</v>
      </c>
      <c r="AE267" s="2">
        <v>0</v>
      </c>
      <c r="AF267" s="2">
        <v>0</v>
      </c>
      <c r="AG267" s="2">
        <v>0</v>
      </c>
      <c r="AH267" s="6">
        <f>SUM(AD267:AG267)/Variables!$E$3</f>
        <v>0</v>
      </c>
      <c r="AI267" s="4">
        <v>0</v>
      </c>
      <c r="AJ267" s="2">
        <v>0</v>
      </c>
      <c r="AK267" s="2">
        <v>0</v>
      </c>
      <c r="AL267" s="2">
        <v>0</v>
      </c>
      <c r="AM267" s="6">
        <f>SUM(AI267:AL267)/Variables!$E$3</f>
        <v>0</v>
      </c>
      <c r="AN267" s="4">
        <v>0</v>
      </c>
      <c r="AO267" s="2">
        <v>0</v>
      </c>
      <c r="AP267" s="2">
        <v>0</v>
      </c>
      <c r="AQ267" s="2">
        <v>0</v>
      </c>
      <c r="AR267" s="6">
        <f>SUM(AN267:AQ267)/Variables!$E$3</f>
        <v>0</v>
      </c>
      <c r="AS267" s="4">
        <v>0</v>
      </c>
      <c r="AT267" s="2">
        <v>0</v>
      </c>
      <c r="AU267" s="2">
        <v>0</v>
      </c>
      <c r="AV267" s="2">
        <v>0</v>
      </c>
      <c r="AW267" s="6">
        <f>SUM(AS267:AV267)/Variables!$E$3</f>
        <v>0</v>
      </c>
      <c r="AX267" s="4">
        <v>0</v>
      </c>
      <c r="AY267" s="2">
        <v>0</v>
      </c>
      <c r="AZ267" s="2">
        <v>0</v>
      </c>
      <c r="BA267" s="2">
        <v>0</v>
      </c>
      <c r="BB267" s="6">
        <f>SUM(AX267:BA267)/Variables!$E$3</f>
        <v>0</v>
      </c>
      <c r="BC267" s="12">
        <f t="shared" si="72"/>
        <v>0</v>
      </c>
      <c r="BD267" s="110">
        <f t="shared" si="72"/>
        <v>0</v>
      </c>
      <c r="BE267" s="110">
        <f t="shared" si="72"/>
        <v>0</v>
      </c>
      <c r="BF267" s="110">
        <f t="shared" si="69"/>
        <v>0</v>
      </c>
      <c r="BG267" s="6">
        <f>SUM(BC267:BF267)/Variables!$E$3</f>
        <v>0</v>
      </c>
      <c r="BH267" s="4">
        <v>0</v>
      </c>
      <c r="BI267">
        <v>0</v>
      </c>
      <c r="BJ267">
        <v>0</v>
      </c>
      <c r="BK267">
        <v>0</v>
      </c>
      <c r="BL267" s="6">
        <f>SUM(BH267:BK267)/Variables!$E$3</f>
        <v>0</v>
      </c>
      <c r="BM267" s="110">
        <v>0</v>
      </c>
      <c r="BN267" s="110">
        <v>0</v>
      </c>
      <c r="BO267" s="110">
        <v>0</v>
      </c>
      <c r="BP267" s="110">
        <v>0</v>
      </c>
      <c r="BQ267" s="6">
        <f>SUM(BM267:BP267)/Variables!$E$3</f>
        <v>0</v>
      </c>
      <c r="BS267" s="4">
        <v>265</v>
      </c>
      <c r="BT267" s="125">
        <f t="shared" si="73"/>
        <v>0</v>
      </c>
      <c r="BU267" s="125">
        <f t="shared" si="59"/>
        <v>0</v>
      </c>
      <c r="BV267" s="125">
        <f t="shared" si="60"/>
        <v>0</v>
      </c>
      <c r="BW267" s="125">
        <f t="shared" si="61"/>
        <v>0</v>
      </c>
      <c r="BX267" s="125">
        <f t="shared" si="62"/>
        <v>0</v>
      </c>
      <c r="BY267" s="125">
        <f t="shared" si="63"/>
        <v>0</v>
      </c>
      <c r="BZ267" s="125">
        <f t="shared" si="64"/>
        <v>0</v>
      </c>
      <c r="CA267" s="125">
        <f t="shared" si="65"/>
        <v>0</v>
      </c>
      <c r="CB267" s="125">
        <f t="shared" si="66"/>
        <v>0</v>
      </c>
      <c r="CC267" s="125">
        <f t="shared" si="67"/>
        <v>0</v>
      </c>
      <c r="CD267" s="125">
        <f t="shared" si="68"/>
        <v>0</v>
      </c>
      <c r="CE267" s="125">
        <f t="shared" si="70"/>
        <v>0</v>
      </c>
      <c r="CF267" s="126">
        <f t="shared" si="71"/>
        <v>0</v>
      </c>
      <c r="CH267" s="4">
        <v>265</v>
      </c>
      <c r="CI267" s="129">
        <v>0</v>
      </c>
      <c r="CJ267" s="125">
        <v>0</v>
      </c>
      <c r="CK267" s="125">
        <v>0</v>
      </c>
      <c r="CL267" s="125">
        <v>0</v>
      </c>
      <c r="CM267" s="125">
        <v>0</v>
      </c>
      <c r="CN267" s="125">
        <v>0</v>
      </c>
      <c r="CO267" s="125">
        <v>0</v>
      </c>
      <c r="CP267" s="125">
        <v>0</v>
      </c>
      <c r="CQ267" s="125">
        <v>0</v>
      </c>
      <c r="CR267" s="125">
        <v>0</v>
      </c>
      <c r="CS267" s="125">
        <v>0</v>
      </c>
      <c r="CT267" s="125">
        <v>0</v>
      </c>
      <c r="CU267" s="126">
        <v>0</v>
      </c>
    </row>
    <row r="268" spans="1:99" x14ac:dyDescent="0.25">
      <c r="A268" t="s">
        <v>250</v>
      </c>
      <c r="B268" s="2" t="s">
        <v>1</v>
      </c>
      <c r="C268" s="1">
        <v>25811</v>
      </c>
      <c r="D268" s="19">
        <v>12.3857142857143</v>
      </c>
      <c r="E268" s="18">
        <v>0</v>
      </c>
      <c r="F268" s="19">
        <v>0</v>
      </c>
      <c r="G268" s="19">
        <v>0</v>
      </c>
      <c r="H268" s="19">
        <v>0</v>
      </c>
      <c r="I268" s="19">
        <f>SUM(E268:H268)/Variables!$E$3</f>
        <v>0</v>
      </c>
      <c r="J268" s="4">
        <v>0</v>
      </c>
      <c r="K268">
        <v>0</v>
      </c>
      <c r="L268">
        <v>0</v>
      </c>
      <c r="M268">
        <v>0</v>
      </c>
      <c r="N268" s="6">
        <f>SUM(J268:M268)/Variables!$E$3</f>
        <v>0</v>
      </c>
      <c r="O268" s="4">
        <v>0</v>
      </c>
      <c r="P268">
        <v>0</v>
      </c>
      <c r="Q268">
        <v>0</v>
      </c>
      <c r="R268">
        <v>0</v>
      </c>
      <c r="S268" s="6">
        <f>SUM(O268:R268)/Variables!$E$3</f>
        <v>0</v>
      </c>
      <c r="T268" s="4">
        <v>0</v>
      </c>
      <c r="U268">
        <v>0</v>
      </c>
      <c r="V268">
        <v>0</v>
      </c>
      <c r="W268">
        <v>0</v>
      </c>
      <c r="X268" s="6">
        <f>SUM(T268:W268)/Variables!$E$3</f>
        <v>0</v>
      </c>
      <c r="Y268" s="4">
        <v>0</v>
      </c>
      <c r="Z268">
        <v>0</v>
      </c>
      <c r="AA268">
        <v>0</v>
      </c>
      <c r="AB268">
        <v>0</v>
      </c>
      <c r="AC268" s="6">
        <f>SUM(Y268:AB268)/Variables!$E$3</f>
        <v>0</v>
      </c>
      <c r="AD268" s="4">
        <v>0</v>
      </c>
      <c r="AE268" s="2">
        <v>0</v>
      </c>
      <c r="AF268" s="2">
        <v>0</v>
      </c>
      <c r="AG268" s="2">
        <v>0</v>
      </c>
      <c r="AH268" s="6">
        <f>SUM(AD268:AG268)/Variables!$E$3</f>
        <v>0</v>
      </c>
      <c r="AI268" s="4">
        <v>0</v>
      </c>
      <c r="AJ268" s="2">
        <v>0</v>
      </c>
      <c r="AK268" s="2">
        <v>0</v>
      </c>
      <c r="AL268" s="2">
        <v>0</v>
      </c>
      <c r="AM268" s="6">
        <f>SUM(AI268:AL268)/Variables!$E$3</f>
        <v>0</v>
      </c>
      <c r="AN268" s="4">
        <v>0</v>
      </c>
      <c r="AO268" s="2">
        <v>0</v>
      </c>
      <c r="AP268" s="2">
        <v>0</v>
      </c>
      <c r="AQ268" s="2">
        <v>0</v>
      </c>
      <c r="AR268" s="6">
        <f>SUM(AN268:AQ268)/Variables!$E$3</f>
        <v>0</v>
      </c>
      <c r="AS268" s="4">
        <v>0</v>
      </c>
      <c r="AT268" s="2">
        <v>0</v>
      </c>
      <c r="AU268" s="2">
        <v>0</v>
      </c>
      <c r="AV268" s="2">
        <v>0</v>
      </c>
      <c r="AW268" s="6">
        <f>SUM(AS268:AV268)/Variables!$E$3</f>
        <v>0</v>
      </c>
      <c r="AX268" s="4">
        <v>0</v>
      </c>
      <c r="AY268" s="2">
        <v>0</v>
      </c>
      <c r="AZ268" s="2">
        <v>0</v>
      </c>
      <c r="BA268" s="2">
        <v>0</v>
      </c>
      <c r="BB268" s="6">
        <f>SUM(AX268:BA268)/Variables!$E$3</f>
        <v>0</v>
      </c>
      <c r="BC268" s="12">
        <f t="shared" si="72"/>
        <v>0</v>
      </c>
      <c r="BD268" s="110">
        <f t="shared" si="72"/>
        <v>0</v>
      </c>
      <c r="BE268" s="110">
        <f t="shared" si="72"/>
        <v>0</v>
      </c>
      <c r="BF268" s="110">
        <f t="shared" si="69"/>
        <v>0</v>
      </c>
      <c r="BG268" s="6">
        <f>SUM(BC268:BF268)/Variables!$E$3</f>
        <v>0</v>
      </c>
      <c r="BH268" s="4">
        <v>0</v>
      </c>
      <c r="BI268">
        <v>0</v>
      </c>
      <c r="BJ268">
        <v>0</v>
      </c>
      <c r="BK268">
        <v>0</v>
      </c>
      <c r="BL268" s="6">
        <f>SUM(BH268:BK268)/Variables!$E$3</f>
        <v>0</v>
      </c>
      <c r="BM268" s="110">
        <v>0</v>
      </c>
      <c r="BN268" s="110">
        <v>0</v>
      </c>
      <c r="BO268" s="110">
        <v>0</v>
      </c>
      <c r="BP268" s="110">
        <v>0</v>
      </c>
      <c r="BQ268" s="6">
        <f>SUM(BM268:BP268)/Variables!$E$3</f>
        <v>0</v>
      </c>
      <c r="BS268" s="4">
        <v>266</v>
      </c>
      <c r="BT268" s="125">
        <f t="shared" si="73"/>
        <v>0</v>
      </c>
      <c r="BU268" s="125">
        <f t="shared" si="59"/>
        <v>0</v>
      </c>
      <c r="BV268" s="125">
        <f t="shared" si="60"/>
        <v>0</v>
      </c>
      <c r="BW268" s="125">
        <f t="shared" si="61"/>
        <v>0</v>
      </c>
      <c r="BX268" s="125">
        <f t="shared" si="62"/>
        <v>0</v>
      </c>
      <c r="BY268" s="125">
        <f t="shared" si="63"/>
        <v>0</v>
      </c>
      <c r="BZ268" s="125">
        <f t="shared" si="64"/>
        <v>0</v>
      </c>
      <c r="CA268" s="125">
        <f t="shared" si="65"/>
        <v>0</v>
      </c>
      <c r="CB268" s="125">
        <f t="shared" si="66"/>
        <v>0</v>
      </c>
      <c r="CC268" s="125">
        <f t="shared" si="67"/>
        <v>0</v>
      </c>
      <c r="CD268" s="125">
        <f t="shared" si="68"/>
        <v>0</v>
      </c>
      <c r="CE268" s="125">
        <f t="shared" si="70"/>
        <v>0</v>
      </c>
      <c r="CF268" s="126">
        <f t="shared" si="71"/>
        <v>0</v>
      </c>
      <c r="CH268" s="4">
        <v>266</v>
      </c>
      <c r="CI268" s="129">
        <v>0</v>
      </c>
      <c r="CJ268" s="125">
        <v>0</v>
      </c>
      <c r="CK268" s="125">
        <v>0</v>
      </c>
      <c r="CL268" s="125">
        <v>0</v>
      </c>
      <c r="CM268" s="125">
        <v>0</v>
      </c>
      <c r="CN268" s="125">
        <v>0</v>
      </c>
      <c r="CO268" s="125">
        <v>0</v>
      </c>
      <c r="CP268" s="125">
        <v>0</v>
      </c>
      <c r="CQ268" s="125">
        <v>0</v>
      </c>
      <c r="CR268" s="125">
        <v>0</v>
      </c>
      <c r="CS268" s="125">
        <v>0</v>
      </c>
      <c r="CT268" s="125">
        <v>0</v>
      </c>
      <c r="CU268" s="126">
        <v>0</v>
      </c>
    </row>
    <row r="269" spans="1:99" x14ac:dyDescent="0.25">
      <c r="A269" t="s">
        <v>250</v>
      </c>
      <c r="B269" s="2" t="s">
        <v>2</v>
      </c>
      <c r="C269" s="1">
        <v>25902</v>
      </c>
      <c r="D269" s="19">
        <v>131.185714285714</v>
      </c>
      <c r="E269" s="18">
        <v>0</v>
      </c>
      <c r="F269" s="19">
        <v>0</v>
      </c>
      <c r="G269" s="19">
        <v>0</v>
      </c>
      <c r="H269" s="19">
        <v>0</v>
      </c>
      <c r="I269" s="19">
        <f>SUM(E269:H269)/Variables!$E$3</f>
        <v>0</v>
      </c>
      <c r="J269" s="4">
        <v>0</v>
      </c>
      <c r="K269">
        <v>0</v>
      </c>
      <c r="L269">
        <v>0</v>
      </c>
      <c r="M269">
        <v>0</v>
      </c>
      <c r="N269" s="6">
        <f>SUM(J269:M269)/Variables!$E$3</f>
        <v>0</v>
      </c>
      <c r="O269" s="4">
        <v>0</v>
      </c>
      <c r="P269">
        <v>0</v>
      </c>
      <c r="Q269">
        <v>0</v>
      </c>
      <c r="R269">
        <v>0</v>
      </c>
      <c r="S269" s="6">
        <f>SUM(O269:R269)/Variables!$E$3</f>
        <v>0</v>
      </c>
      <c r="T269" s="4">
        <v>0</v>
      </c>
      <c r="U269">
        <v>0</v>
      </c>
      <c r="V269">
        <v>0</v>
      </c>
      <c r="W269">
        <v>0</v>
      </c>
      <c r="X269" s="6">
        <f>SUM(T269:W269)/Variables!$E$3</f>
        <v>0</v>
      </c>
      <c r="Y269" s="4">
        <v>0</v>
      </c>
      <c r="Z269">
        <v>0</v>
      </c>
      <c r="AA269">
        <v>0</v>
      </c>
      <c r="AB269">
        <v>0</v>
      </c>
      <c r="AC269" s="6">
        <f>SUM(Y269:AB269)/Variables!$E$3</f>
        <v>0</v>
      </c>
      <c r="AD269" s="4">
        <v>0</v>
      </c>
      <c r="AE269" s="2">
        <v>0</v>
      </c>
      <c r="AF269" s="2">
        <v>0</v>
      </c>
      <c r="AG269" s="2">
        <v>0</v>
      </c>
      <c r="AH269" s="6">
        <f>SUM(AD269:AG269)/Variables!$E$3</f>
        <v>0</v>
      </c>
      <c r="AI269" s="4">
        <v>0</v>
      </c>
      <c r="AJ269" s="2">
        <v>0</v>
      </c>
      <c r="AK269" s="2">
        <v>0</v>
      </c>
      <c r="AL269" s="2">
        <v>0</v>
      </c>
      <c r="AM269" s="6">
        <f>SUM(AI269:AL269)/Variables!$E$3</f>
        <v>0</v>
      </c>
      <c r="AN269" s="4">
        <v>0</v>
      </c>
      <c r="AO269" s="2">
        <v>0</v>
      </c>
      <c r="AP269" s="2">
        <v>0</v>
      </c>
      <c r="AQ269" s="2">
        <v>0</v>
      </c>
      <c r="AR269" s="6">
        <f>SUM(AN269:AQ269)/Variables!$E$3</f>
        <v>0</v>
      </c>
      <c r="AS269" s="4">
        <v>0</v>
      </c>
      <c r="AT269" s="2">
        <v>0</v>
      </c>
      <c r="AU269" s="2">
        <v>0</v>
      </c>
      <c r="AV269" s="2">
        <v>0</v>
      </c>
      <c r="AW269" s="6">
        <f>SUM(AS269:AV269)/Variables!$E$3</f>
        <v>0</v>
      </c>
      <c r="AX269" s="4">
        <v>0</v>
      </c>
      <c r="AY269" s="2">
        <v>0</v>
      </c>
      <c r="AZ269" s="2">
        <v>0</v>
      </c>
      <c r="BA269" s="2">
        <v>0</v>
      </c>
      <c r="BB269" s="6">
        <f>SUM(AX269:BA269)/Variables!$E$3</f>
        <v>0</v>
      </c>
      <c r="BC269" s="12">
        <f t="shared" si="72"/>
        <v>0</v>
      </c>
      <c r="BD269" s="110">
        <f t="shared" si="72"/>
        <v>0</v>
      </c>
      <c r="BE269" s="110">
        <f t="shared" si="72"/>
        <v>0</v>
      </c>
      <c r="BF269" s="110">
        <f t="shared" si="69"/>
        <v>0</v>
      </c>
      <c r="BG269" s="6">
        <f>SUM(BC269:BF269)/Variables!$E$3</f>
        <v>0</v>
      </c>
      <c r="BH269" s="4">
        <v>0</v>
      </c>
      <c r="BI269">
        <v>0</v>
      </c>
      <c r="BJ269">
        <v>0</v>
      </c>
      <c r="BK269">
        <v>0</v>
      </c>
      <c r="BL269" s="6">
        <f>SUM(BH269:BK269)/Variables!$E$3</f>
        <v>0</v>
      </c>
      <c r="BM269" s="110">
        <v>0</v>
      </c>
      <c r="BN269" s="110">
        <v>0</v>
      </c>
      <c r="BO269" s="110">
        <v>0</v>
      </c>
      <c r="BP269" s="110">
        <v>0</v>
      </c>
      <c r="BQ269" s="6">
        <f>SUM(BM269:BP269)/Variables!$E$3</f>
        <v>0</v>
      </c>
      <c r="BS269" s="4">
        <v>267</v>
      </c>
      <c r="BT269" s="125">
        <f t="shared" si="73"/>
        <v>0</v>
      </c>
      <c r="BU269" s="125">
        <f t="shared" si="59"/>
        <v>1.1082170088440921</v>
      </c>
      <c r="BV269" s="125">
        <f t="shared" si="60"/>
        <v>0.3249550669443147</v>
      </c>
      <c r="BW269" s="125">
        <f t="shared" si="61"/>
        <v>0.56169478776554049</v>
      </c>
      <c r="BX269" s="125">
        <f t="shared" si="62"/>
        <v>0.55679728263881745</v>
      </c>
      <c r="BY269" s="125">
        <f t="shared" si="63"/>
        <v>0.48353391554960845</v>
      </c>
      <c r="BZ269" s="125">
        <f t="shared" si="64"/>
        <v>0.42334824503756957</v>
      </c>
      <c r="CA269" s="125">
        <f t="shared" si="65"/>
        <v>0.45071560344895845</v>
      </c>
      <c r="CB269" s="125">
        <f t="shared" si="66"/>
        <v>0.60086984061631521</v>
      </c>
      <c r="CC269" s="125">
        <f t="shared" si="67"/>
        <v>0.49718905137807906</v>
      </c>
      <c r="CD269" s="125">
        <f t="shared" si="68"/>
        <v>0.55679728263881745</v>
      </c>
      <c r="CE269" s="125">
        <f t="shared" si="70"/>
        <v>0.49199328577423412</v>
      </c>
      <c r="CF269" s="126">
        <f t="shared" si="71"/>
        <v>0.5053498444168204</v>
      </c>
      <c r="CH269" s="4">
        <v>267</v>
      </c>
      <c r="CI269" s="129">
        <v>0</v>
      </c>
      <c r="CJ269" s="125">
        <v>1.8025954283090126</v>
      </c>
      <c r="CK269" s="125">
        <v>0</v>
      </c>
      <c r="CL269" s="125">
        <v>0.52184142392259636</v>
      </c>
      <c r="CM269" s="125">
        <v>0.52173437636085795</v>
      </c>
      <c r="CN269" s="125">
        <v>0.45775552458847657</v>
      </c>
      <c r="CO269" s="125">
        <v>0.34996310342916415</v>
      </c>
      <c r="CP269" s="125">
        <v>0.37161466044861796</v>
      </c>
      <c r="CQ269" s="125">
        <v>0.54316926499813933</v>
      </c>
      <c r="CR269" s="125">
        <v>0.43116073761470791</v>
      </c>
      <c r="CS269" s="125">
        <v>0.52173437636085795</v>
      </c>
      <c r="CT269" s="125">
        <v>0.43105012707939094</v>
      </c>
      <c r="CU269" s="126">
        <v>0.45105851986159828</v>
      </c>
    </row>
    <row r="270" spans="1:99" x14ac:dyDescent="0.25">
      <c r="A270" t="s">
        <v>251</v>
      </c>
      <c r="B270" s="2" t="s">
        <v>3</v>
      </c>
      <c r="C270" s="1">
        <v>25992</v>
      </c>
      <c r="D270" s="19">
        <v>206.66071428571399</v>
      </c>
      <c r="E270" s="18">
        <v>0</v>
      </c>
      <c r="F270" s="19">
        <v>0</v>
      </c>
      <c r="G270" s="19">
        <v>0</v>
      </c>
      <c r="H270" s="19">
        <v>0</v>
      </c>
      <c r="I270" s="19">
        <f>SUM(E270:H270)/Variables!$E$3</f>
        <v>0</v>
      </c>
      <c r="J270" s="4">
        <v>55207</v>
      </c>
      <c r="K270">
        <v>86070</v>
      </c>
      <c r="L270">
        <v>1014730</v>
      </c>
      <c r="M270">
        <v>243660</v>
      </c>
      <c r="N270" s="6">
        <f>SUM(J270:M270)/Variables!$E$3</f>
        <v>1.1082170088440921</v>
      </c>
      <c r="O270" s="4">
        <v>1775</v>
      </c>
      <c r="P270">
        <v>5000</v>
      </c>
      <c r="Q270">
        <v>299288</v>
      </c>
      <c r="R270">
        <v>104352</v>
      </c>
      <c r="S270" s="6">
        <f>SUM(O270:R270)/Variables!$E$3</f>
        <v>0.3249550669443147</v>
      </c>
      <c r="T270" s="4">
        <v>5688.3</v>
      </c>
      <c r="U270">
        <v>13716.8</v>
      </c>
      <c r="V270">
        <v>544857.4</v>
      </c>
      <c r="W270">
        <v>145152.4</v>
      </c>
      <c r="X270" s="6">
        <f>SUM(T270:W270)/Variables!$E$3</f>
        <v>0.56169478776554049</v>
      </c>
      <c r="Y270" s="4">
        <v>5722.2</v>
      </c>
      <c r="Z270">
        <v>13752.9</v>
      </c>
      <c r="AA270">
        <v>538386.30000000005</v>
      </c>
      <c r="AB270">
        <v>145368</v>
      </c>
      <c r="AC270" s="6">
        <f>SUM(Y270:AB270)/Variables!$E$3</f>
        <v>0.55679728263881745</v>
      </c>
      <c r="AD270" s="4">
        <v>6286.6</v>
      </c>
      <c r="AE270" s="2">
        <v>14417.6</v>
      </c>
      <c r="AF270" s="2">
        <v>462181.2</v>
      </c>
      <c r="AG270" s="2">
        <v>127813.1</v>
      </c>
      <c r="AH270" s="6">
        <f>SUM(AD270:AG270)/Variables!$E$3</f>
        <v>0.48353391554960845</v>
      </c>
      <c r="AI270" s="4">
        <v>2267.6</v>
      </c>
      <c r="AJ270" s="2">
        <v>6736</v>
      </c>
      <c r="AK270" s="2">
        <v>413485.3</v>
      </c>
      <c r="AL270" s="2">
        <v>112195.7</v>
      </c>
      <c r="AM270" s="6">
        <f>SUM(AI270:AL270)/Variables!$E$3</f>
        <v>0.42334824503756957</v>
      </c>
      <c r="AN270" s="4">
        <v>2510.4</v>
      </c>
      <c r="AO270" s="2">
        <v>7113.1</v>
      </c>
      <c r="AP270" s="2">
        <v>421465.2</v>
      </c>
      <c r="AQ270" s="2">
        <v>138160.6</v>
      </c>
      <c r="AR270" s="6">
        <f>SUM(AN270:AQ270)/Variables!$E$3</f>
        <v>0.45071560344895845</v>
      </c>
      <c r="AS270" s="4">
        <v>9359.2000000000007</v>
      </c>
      <c r="AT270" s="2">
        <v>18422.5</v>
      </c>
      <c r="AU270" s="2">
        <v>556433.4</v>
      </c>
      <c r="AV270" s="2">
        <v>174677.5</v>
      </c>
      <c r="AW270" s="6">
        <f>SUM(AS270:AV270)/Variables!$E$3</f>
        <v>0.60086984061631521</v>
      </c>
      <c r="AX270" s="4">
        <v>4470.5</v>
      </c>
      <c r="AY270" s="2">
        <v>11083.2</v>
      </c>
      <c r="AZ270" s="2">
        <v>469244.4</v>
      </c>
      <c r="BA270" s="2">
        <v>143146.70000000001</v>
      </c>
      <c r="BB270" s="6">
        <f>SUM(AX270:BA270)/Variables!$E$3</f>
        <v>0.49718905137807906</v>
      </c>
      <c r="BC270" s="12">
        <f t="shared" si="72"/>
        <v>5722.2</v>
      </c>
      <c r="BD270" s="110">
        <f t="shared" si="72"/>
        <v>13752.9</v>
      </c>
      <c r="BE270" s="110">
        <f t="shared" si="72"/>
        <v>538386.30000000005</v>
      </c>
      <c r="BF270" s="110">
        <f t="shared" si="69"/>
        <v>145368</v>
      </c>
      <c r="BG270" s="6">
        <f>SUM(BC270:BF270)/Variables!$E$3</f>
        <v>0.55679728263881745</v>
      </c>
      <c r="BH270" s="4">
        <v>4615</v>
      </c>
      <c r="BI270">
        <v>11161.8</v>
      </c>
      <c r="BJ270">
        <v>459710.9</v>
      </c>
      <c r="BK270">
        <v>145894.9</v>
      </c>
      <c r="BL270" s="6">
        <f>SUM(BH270:BK270)/Variables!$E$3</f>
        <v>0.49199328577423412</v>
      </c>
      <c r="BM270" s="110">
        <v>5380.4</v>
      </c>
      <c r="BN270" s="110">
        <v>12397.7</v>
      </c>
      <c r="BO270" s="110">
        <v>478664.9</v>
      </c>
      <c r="BP270" s="110">
        <v>141808.79999999999</v>
      </c>
      <c r="BQ270" s="6">
        <f>SUM(BM270:BP270)/Variables!$E$3</f>
        <v>0.5053498444168204</v>
      </c>
      <c r="BS270" s="4">
        <v>268</v>
      </c>
      <c r="BT270" s="125">
        <f t="shared" si="73"/>
        <v>0</v>
      </c>
      <c r="BU270" s="125">
        <f t="shared" si="59"/>
        <v>0.40565641849895884</v>
      </c>
      <c r="BV270" s="125">
        <f t="shared" si="60"/>
        <v>0.31082906436313829</v>
      </c>
      <c r="BW270" s="125">
        <f t="shared" si="61"/>
        <v>0.32627471318062695</v>
      </c>
      <c r="BX270" s="125">
        <f t="shared" si="62"/>
        <v>0.326110737218822</v>
      </c>
      <c r="BY270" s="125">
        <f t="shared" si="63"/>
        <v>0.32409551936278197</v>
      </c>
      <c r="BZ270" s="125">
        <f t="shared" si="64"/>
        <v>0.3099269986302346</v>
      </c>
      <c r="CA270" s="125">
        <f t="shared" si="65"/>
        <v>0.31746688414001695</v>
      </c>
      <c r="CB270" s="125">
        <f t="shared" si="66"/>
        <v>0.32905264491405317</v>
      </c>
      <c r="CC270" s="125">
        <f t="shared" si="67"/>
        <v>0.31778105923245631</v>
      </c>
      <c r="CD270" s="125">
        <f t="shared" si="68"/>
        <v>0.326110737218822</v>
      </c>
      <c r="CE270" s="125">
        <f t="shared" si="70"/>
        <v>0.32114513970815289</v>
      </c>
      <c r="CF270" s="126">
        <f t="shared" si="71"/>
        <v>0.3183657827852952</v>
      </c>
      <c r="CH270" s="4">
        <v>268</v>
      </c>
      <c r="CI270" s="129">
        <v>0</v>
      </c>
      <c r="CJ270" s="125">
        <v>1.1299851938653513</v>
      </c>
      <c r="CK270" s="125">
        <v>0.44894971456622779</v>
      </c>
      <c r="CL270" s="125">
        <v>0.60212471991068817</v>
      </c>
      <c r="CM270" s="125">
        <v>0.60200120349329767</v>
      </c>
      <c r="CN270" s="125">
        <v>0.59707242337627375</v>
      </c>
      <c r="CO270" s="125">
        <v>0.48605986587383909</v>
      </c>
      <c r="CP270" s="125">
        <v>0.48896665848502363</v>
      </c>
      <c r="CQ270" s="125">
        <v>0.6035214055534881</v>
      </c>
      <c r="CR270" s="125">
        <v>0.54875002969144648</v>
      </c>
      <c r="CS270" s="125">
        <v>0.60200120349329767</v>
      </c>
      <c r="CT270" s="125">
        <v>0.54860925264649762</v>
      </c>
      <c r="CU270" s="126">
        <v>0.56872595982549345</v>
      </c>
    </row>
    <row r="271" spans="1:99" x14ac:dyDescent="0.25">
      <c r="A271" t="s">
        <v>251</v>
      </c>
      <c r="B271" s="2" t="s">
        <v>4</v>
      </c>
      <c r="C271" s="1">
        <v>26084</v>
      </c>
      <c r="D271" s="19">
        <v>82.262500000000003</v>
      </c>
      <c r="E271" s="18">
        <v>0</v>
      </c>
      <c r="F271" s="19">
        <v>0</v>
      </c>
      <c r="G271" s="19">
        <v>0</v>
      </c>
      <c r="H271" s="19">
        <v>0</v>
      </c>
      <c r="I271" s="19">
        <f>SUM(E271:H271)/Variables!$E$3</f>
        <v>0</v>
      </c>
      <c r="J271" s="4">
        <v>52469</v>
      </c>
      <c r="K271">
        <v>58093</v>
      </c>
      <c r="L271">
        <v>362451</v>
      </c>
      <c r="M271">
        <v>39327</v>
      </c>
      <c r="N271" s="6">
        <f>SUM(J271:M271)/Variables!$E$3</f>
        <v>0.40565641849895884</v>
      </c>
      <c r="O271" s="4">
        <v>30478</v>
      </c>
      <c r="P271">
        <v>34153</v>
      </c>
      <c r="Q271">
        <v>304508</v>
      </c>
      <c r="R271">
        <v>23435</v>
      </c>
      <c r="S271" s="6">
        <f>SUM(O271:R271)/Variables!$E$3</f>
        <v>0.31082906436313829</v>
      </c>
      <c r="T271" s="4">
        <v>34066.699999999997</v>
      </c>
      <c r="U271">
        <v>37319.300000000003</v>
      </c>
      <c r="V271">
        <v>312361</v>
      </c>
      <c r="W271">
        <v>28334.7</v>
      </c>
      <c r="X271" s="6">
        <f>SUM(T271:W271)/Variables!$E$3</f>
        <v>0.32627471318062695</v>
      </c>
      <c r="Y271" s="4">
        <v>34033.300000000003</v>
      </c>
      <c r="Z271">
        <v>37280.1</v>
      </c>
      <c r="AA271">
        <v>312283.3</v>
      </c>
      <c r="AB271">
        <v>28277.9</v>
      </c>
      <c r="AC271" s="6">
        <f>SUM(Y271:AB271)/Variables!$E$3</f>
        <v>0.326110737218822</v>
      </c>
      <c r="AD271" s="4">
        <v>33313.699999999997</v>
      </c>
      <c r="AE271" s="2">
        <v>36705.599999999999</v>
      </c>
      <c r="AF271" s="2">
        <v>311001.3</v>
      </c>
      <c r="AG271" s="2">
        <v>28308.799999999999</v>
      </c>
      <c r="AH271" s="6">
        <f>SUM(AD271:AG271)/Variables!$E$3</f>
        <v>0.32409551936278197</v>
      </c>
      <c r="AI271" s="4">
        <v>28634.400000000001</v>
      </c>
      <c r="AJ271" s="2">
        <v>32747.8</v>
      </c>
      <c r="AK271" s="2">
        <v>305984.7</v>
      </c>
      <c r="AL271" s="2">
        <v>24067.8</v>
      </c>
      <c r="AM271" s="6">
        <f>SUM(AI271:AL271)/Variables!$E$3</f>
        <v>0.3099269986302346</v>
      </c>
      <c r="AN271" s="4">
        <v>29284.799999999999</v>
      </c>
      <c r="AO271" s="2">
        <v>33276.400000000001</v>
      </c>
      <c r="AP271" s="2">
        <v>307598.59999999998</v>
      </c>
      <c r="AQ271" s="2">
        <v>30797.7</v>
      </c>
      <c r="AR271" s="6">
        <f>SUM(AN271:AQ271)/Variables!$E$3</f>
        <v>0.31746688414001695</v>
      </c>
      <c r="AS271" s="4">
        <v>33545</v>
      </c>
      <c r="AT271" s="2">
        <v>36507.300000000003</v>
      </c>
      <c r="AU271" s="2">
        <v>311319.40000000002</v>
      </c>
      <c r="AV271" s="2">
        <v>34218.5</v>
      </c>
      <c r="AW271" s="6">
        <f>SUM(AS271:AV271)/Variables!$E$3</f>
        <v>0.32905264491405317</v>
      </c>
      <c r="AX271" s="4">
        <v>30747.1</v>
      </c>
      <c r="AY271" s="2">
        <v>34265.699999999997</v>
      </c>
      <c r="AZ271" s="2">
        <v>305484.09999999998</v>
      </c>
      <c r="BA271" s="2">
        <v>30857.4</v>
      </c>
      <c r="BB271" s="6">
        <f>SUM(AX271:BA271)/Variables!$E$3</f>
        <v>0.31778105923245631</v>
      </c>
      <c r="BC271" s="12">
        <f t="shared" si="72"/>
        <v>34033.300000000003</v>
      </c>
      <c r="BD271" s="110">
        <f t="shared" si="72"/>
        <v>37280.1</v>
      </c>
      <c r="BE271" s="110">
        <f t="shared" si="72"/>
        <v>312283.3</v>
      </c>
      <c r="BF271" s="110">
        <f t="shared" si="69"/>
        <v>28277.9</v>
      </c>
      <c r="BG271" s="6">
        <f>SUM(BC271:BF271)/Variables!$E$3</f>
        <v>0.326110737218822</v>
      </c>
      <c r="BH271" s="4">
        <v>30735.7</v>
      </c>
      <c r="BI271">
        <v>34275.199999999997</v>
      </c>
      <c r="BJ271">
        <v>305719</v>
      </c>
      <c r="BK271">
        <v>34873.199999999997</v>
      </c>
      <c r="BL271" s="6">
        <f>SUM(BH271:BK271)/Variables!$E$3</f>
        <v>0.32114513970815289</v>
      </c>
      <c r="BM271" s="110">
        <v>30782.9</v>
      </c>
      <c r="BN271" s="110">
        <v>34305.699999999997</v>
      </c>
      <c r="BO271" s="110">
        <v>306059</v>
      </c>
      <c r="BP271" s="110">
        <v>30945.200000000001</v>
      </c>
      <c r="BQ271" s="6">
        <f>SUM(BM271:BP271)/Variables!$E$3</f>
        <v>0.3183657827852952</v>
      </c>
      <c r="BS271" s="4">
        <v>269</v>
      </c>
      <c r="BT271" s="125">
        <f t="shared" si="73"/>
        <v>0</v>
      </c>
      <c r="BU271" s="125">
        <f t="shared" si="59"/>
        <v>0</v>
      </c>
      <c r="BV271" s="125">
        <f t="shared" si="60"/>
        <v>0</v>
      </c>
      <c r="BW271" s="125">
        <f t="shared" si="61"/>
        <v>0</v>
      </c>
      <c r="BX271" s="125">
        <f t="shared" si="62"/>
        <v>0</v>
      </c>
      <c r="BY271" s="125">
        <f t="shared" si="63"/>
        <v>0</v>
      </c>
      <c r="BZ271" s="125">
        <f t="shared" si="64"/>
        <v>0</v>
      </c>
      <c r="CA271" s="125">
        <f t="shared" si="65"/>
        <v>0</v>
      </c>
      <c r="CB271" s="125">
        <f t="shared" si="66"/>
        <v>0</v>
      </c>
      <c r="CC271" s="125">
        <f t="shared" si="67"/>
        <v>0</v>
      </c>
      <c r="CD271" s="125">
        <f t="shared" si="68"/>
        <v>0</v>
      </c>
      <c r="CE271" s="125">
        <f t="shared" si="70"/>
        <v>0</v>
      </c>
      <c r="CF271" s="126">
        <f t="shared" si="71"/>
        <v>0</v>
      </c>
      <c r="CH271" s="4">
        <v>269</v>
      </c>
      <c r="CI271" s="129">
        <v>0</v>
      </c>
      <c r="CJ271" s="125">
        <v>0</v>
      </c>
      <c r="CK271" s="125">
        <v>0</v>
      </c>
      <c r="CL271" s="125">
        <v>0</v>
      </c>
      <c r="CM271" s="125">
        <v>0</v>
      </c>
      <c r="CN271" s="125">
        <v>0</v>
      </c>
      <c r="CO271" s="125">
        <v>0</v>
      </c>
      <c r="CP271" s="125">
        <v>0</v>
      </c>
      <c r="CQ271" s="125">
        <v>0</v>
      </c>
      <c r="CR271" s="125">
        <v>0</v>
      </c>
      <c r="CS271" s="125">
        <v>0</v>
      </c>
      <c r="CT271" s="125">
        <v>0</v>
      </c>
      <c r="CU271" s="126">
        <v>0</v>
      </c>
    </row>
    <row r="272" spans="1:99" x14ac:dyDescent="0.25">
      <c r="A272" t="s">
        <v>251</v>
      </c>
      <c r="B272" s="2" t="s">
        <v>1</v>
      </c>
      <c r="C272" s="1">
        <v>26176</v>
      </c>
      <c r="D272" s="19">
        <v>87.6142857142857</v>
      </c>
      <c r="E272" s="18">
        <v>0</v>
      </c>
      <c r="F272" s="19">
        <v>0</v>
      </c>
      <c r="G272" s="19">
        <v>0</v>
      </c>
      <c r="H272" s="19">
        <v>0</v>
      </c>
      <c r="I272" s="19">
        <f>SUM(E272:H272)/Variables!$E$3</f>
        <v>0</v>
      </c>
      <c r="J272" s="4">
        <v>0</v>
      </c>
      <c r="K272">
        <v>0</v>
      </c>
      <c r="L272">
        <v>0</v>
      </c>
      <c r="M272">
        <v>0</v>
      </c>
      <c r="N272" s="6">
        <f>SUM(J272:M272)/Variables!$E$3</f>
        <v>0</v>
      </c>
      <c r="O272" s="4">
        <v>0</v>
      </c>
      <c r="P272">
        <v>0</v>
      </c>
      <c r="Q272">
        <v>0</v>
      </c>
      <c r="R272">
        <v>0</v>
      </c>
      <c r="S272" s="6">
        <f>SUM(O272:R272)/Variables!$E$3</f>
        <v>0</v>
      </c>
      <c r="T272" s="4">
        <v>0</v>
      </c>
      <c r="U272">
        <v>0</v>
      </c>
      <c r="V272">
        <v>0</v>
      </c>
      <c r="W272">
        <v>0</v>
      </c>
      <c r="X272" s="6">
        <f>SUM(T272:W272)/Variables!$E$3</f>
        <v>0</v>
      </c>
      <c r="Y272" s="4">
        <v>0</v>
      </c>
      <c r="Z272">
        <v>0</v>
      </c>
      <c r="AA272">
        <v>0</v>
      </c>
      <c r="AB272">
        <v>0</v>
      </c>
      <c r="AC272" s="6">
        <f>SUM(Y272:AB272)/Variables!$E$3</f>
        <v>0</v>
      </c>
      <c r="AD272" s="4">
        <v>0</v>
      </c>
      <c r="AE272" s="2">
        <v>0</v>
      </c>
      <c r="AF272" s="2">
        <v>0</v>
      </c>
      <c r="AG272" s="2">
        <v>0</v>
      </c>
      <c r="AH272" s="6">
        <f>SUM(AD272:AG272)/Variables!$E$3</f>
        <v>0</v>
      </c>
      <c r="AI272" s="4">
        <v>0</v>
      </c>
      <c r="AJ272" s="2">
        <v>0</v>
      </c>
      <c r="AK272" s="2">
        <v>0</v>
      </c>
      <c r="AL272" s="2">
        <v>0</v>
      </c>
      <c r="AM272" s="6">
        <f>SUM(AI272:AL272)/Variables!$E$3</f>
        <v>0</v>
      </c>
      <c r="AN272" s="4">
        <v>0</v>
      </c>
      <c r="AO272" s="2">
        <v>0</v>
      </c>
      <c r="AP272" s="2">
        <v>0</v>
      </c>
      <c r="AQ272" s="2">
        <v>0</v>
      </c>
      <c r="AR272" s="6">
        <f>SUM(AN272:AQ272)/Variables!$E$3</f>
        <v>0</v>
      </c>
      <c r="AS272" s="4">
        <v>0</v>
      </c>
      <c r="AT272" s="2">
        <v>0</v>
      </c>
      <c r="AU272" s="2">
        <v>0</v>
      </c>
      <c r="AV272" s="2">
        <v>0</v>
      </c>
      <c r="AW272" s="6">
        <f>SUM(AS272:AV272)/Variables!$E$3</f>
        <v>0</v>
      </c>
      <c r="AX272" s="4">
        <v>0</v>
      </c>
      <c r="AY272" s="2">
        <v>0</v>
      </c>
      <c r="AZ272" s="2">
        <v>0</v>
      </c>
      <c r="BA272" s="2">
        <v>0</v>
      </c>
      <c r="BB272" s="6">
        <f>SUM(AX272:BA272)/Variables!$E$3</f>
        <v>0</v>
      </c>
      <c r="BC272" s="12">
        <f t="shared" si="72"/>
        <v>0</v>
      </c>
      <c r="BD272" s="110">
        <f t="shared" si="72"/>
        <v>0</v>
      </c>
      <c r="BE272" s="110">
        <f t="shared" si="72"/>
        <v>0</v>
      </c>
      <c r="BF272" s="110">
        <f t="shared" si="69"/>
        <v>0</v>
      </c>
      <c r="BG272" s="6">
        <f>SUM(BC272:BF272)/Variables!$E$3</f>
        <v>0</v>
      </c>
      <c r="BH272" s="4">
        <v>0</v>
      </c>
      <c r="BI272">
        <v>0</v>
      </c>
      <c r="BJ272">
        <v>0</v>
      </c>
      <c r="BK272">
        <v>0</v>
      </c>
      <c r="BL272" s="6">
        <f>SUM(BH272:BK272)/Variables!$E$3</f>
        <v>0</v>
      </c>
      <c r="BM272" s="110">
        <v>0</v>
      </c>
      <c r="BN272" s="110">
        <v>0</v>
      </c>
      <c r="BO272" s="110">
        <v>0</v>
      </c>
      <c r="BP272" s="110">
        <v>0</v>
      </c>
      <c r="BQ272" s="6">
        <f>SUM(BM272:BP272)/Variables!$E$3</f>
        <v>0</v>
      </c>
      <c r="BS272" s="4">
        <v>270</v>
      </c>
      <c r="BT272" s="125">
        <f t="shared" si="73"/>
        <v>0</v>
      </c>
      <c r="BU272" s="125">
        <f t="shared" si="59"/>
        <v>0</v>
      </c>
      <c r="BV272" s="125">
        <f t="shared" si="60"/>
        <v>0</v>
      </c>
      <c r="BW272" s="125">
        <f t="shared" si="61"/>
        <v>0</v>
      </c>
      <c r="BX272" s="125">
        <f t="shared" si="62"/>
        <v>0</v>
      </c>
      <c r="BY272" s="125">
        <f t="shared" si="63"/>
        <v>0</v>
      </c>
      <c r="BZ272" s="125">
        <f t="shared" si="64"/>
        <v>0</v>
      </c>
      <c r="CA272" s="125">
        <f t="shared" si="65"/>
        <v>0</v>
      </c>
      <c r="CB272" s="125">
        <f t="shared" si="66"/>
        <v>0</v>
      </c>
      <c r="CC272" s="125">
        <f t="shared" si="67"/>
        <v>0</v>
      </c>
      <c r="CD272" s="125">
        <f t="shared" si="68"/>
        <v>0</v>
      </c>
      <c r="CE272" s="125">
        <f t="shared" si="70"/>
        <v>0</v>
      </c>
      <c r="CF272" s="126">
        <f t="shared" si="71"/>
        <v>0</v>
      </c>
      <c r="CH272" s="4">
        <v>270</v>
      </c>
      <c r="CI272" s="129">
        <v>0</v>
      </c>
      <c r="CJ272" s="125">
        <v>0</v>
      </c>
      <c r="CK272" s="125">
        <v>0</v>
      </c>
      <c r="CL272" s="125">
        <v>0</v>
      </c>
      <c r="CM272" s="125">
        <v>0</v>
      </c>
      <c r="CN272" s="125">
        <v>0</v>
      </c>
      <c r="CO272" s="125">
        <v>0</v>
      </c>
      <c r="CP272" s="125">
        <v>0</v>
      </c>
      <c r="CQ272" s="125">
        <v>0</v>
      </c>
      <c r="CR272" s="125">
        <v>0</v>
      </c>
      <c r="CS272" s="125">
        <v>0</v>
      </c>
      <c r="CT272" s="125">
        <v>0</v>
      </c>
      <c r="CU272" s="126">
        <v>0</v>
      </c>
    </row>
    <row r="273" spans="1:99" x14ac:dyDescent="0.25">
      <c r="A273" t="s">
        <v>251</v>
      </c>
      <c r="B273" s="2" t="s">
        <v>2</v>
      </c>
      <c r="C273" s="1">
        <v>26267</v>
      </c>
      <c r="D273" s="19">
        <v>25.251785714285699</v>
      </c>
      <c r="E273" s="18">
        <v>0</v>
      </c>
      <c r="F273" s="19">
        <v>0</v>
      </c>
      <c r="G273" s="19">
        <v>0</v>
      </c>
      <c r="H273" s="19">
        <v>0</v>
      </c>
      <c r="I273" s="19">
        <f>SUM(E273:H273)/Variables!$E$3</f>
        <v>0</v>
      </c>
      <c r="J273" s="4">
        <v>0</v>
      </c>
      <c r="K273">
        <v>0</v>
      </c>
      <c r="L273">
        <v>0</v>
      </c>
      <c r="M273">
        <v>0</v>
      </c>
      <c r="N273" s="6">
        <f>SUM(J273:M273)/Variables!$E$3</f>
        <v>0</v>
      </c>
      <c r="O273" s="4">
        <v>0</v>
      </c>
      <c r="P273">
        <v>0</v>
      </c>
      <c r="Q273">
        <v>0</v>
      </c>
      <c r="R273">
        <v>0</v>
      </c>
      <c r="S273" s="6">
        <f>SUM(O273:R273)/Variables!$E$3</f>
        <v>0</v>
      </c>
      <c r="T273" s="4">
        <v>0</v>
      </c>
      <c r="U273">
        <v>0</v>
      </c>
      <c r="V273">
        <v>0</v>
      </c>
      <c r="W273">
        <v>0</v>
      </c>
      <c r="X273" s="6">
        <f>SUM(T273:W273)/Variables!$E$3</f>
        <v>0</v>
      </c>
      <c r="Y273" s="4">
        <v>0</v>
      </c>
      <c r="Z273">
        <v>0</v>
      </c>
      <c r="AA273">
        <v>0</v>
      </c>
      <c r="AB273">
        <v>0</v>
      </c>
      <c r="AC273" s="6">
        <f>SUM(Y273:AB273)/Variables!$E$3</f>
        <v>0</v>
      </c>
      <c r="AD273" s="4">
        <v>0</v>
      </c>
      <c r="AE273" s="2">
        <v>0</v>
      </c>
      <c r="AF273" s="2">
        <v>0</v>
      </c>
      <c r="AG273" s="2">
        <v>0</v>
      </c>
      <c r="AH273" s="6">
        <f>SUM(AD273:AG273)/Variables!$E$3</f>
        <v>0</v>
      </c>
      <c r="AI273" s="4">
        <v>0</v>
      </c>
      <c r="AJ273" s="2">
        <v>0</v>
      </c>
      <c r="AK273" s="2">
        <v>0</v>
      </c>
      <c r="AL273" s="2">
        <v>0</v>
      </c>
      <c r="AM273" s="6">
        <f>SUM(AI273:AL273)/Variables!$E$3</f>
        <v>0</v>
      </c>
      <c r="AN273" s="4">
        <v>0</v>
      </c>
      <c r="AO273" s="2">
        <v>0</v>
      </c>
      <c r="AP273" s="2">
        <v>0</v>
      </c>
      <c r="AQ273" s="2">
        <v>0</v>
      </c>
      <c r="AR273" s="6">
        <f>SUM(AN273:AQ273)/Variables!$E$3</f>
        <v>0</v>
      </c>
      <c r="AS273" s="4">
        <v>0</v>
      </c>
      <c r="AT273" s="2">
        <v>0</v>
      </c>
      <c r="AU273" s="2">
        <v>0</v>
      </c>
      <c r="AV273" s="2">
        <v>0</v>
      </c>
      <c r="AW273" s="6">
        <f>SUM(AS273:AV273)/Variables!$E$3</f>
        <v>0</v>
      </c>
      <c r="AX273" s="4">
        <v>0</v>
      </c>
      <c r="AY273" s="2">
        <v>0</v>
      </c>
      <c r="AZ273" s="2">
        <v>0</v>
      </c>
      <c r="BA273" s="2">
        <v>0</v>
      </c>
      <c r="BB273" s="6">
        <f>SUM(AX273:BA273)/Variables!$E$3</f>
        <v>0</v>
      </c>
      <c r="BC273" s="12">
        <f t="shared" si="72"/>
        <v>0</v>
      </c>
      <c r="BD273" s="110">
        <f t="shared" si="72"/>
        <v>0</v>
      </c>
      <c r="BE273" s="110">
        <f t="shared" si="72"/>
        <v>0</v>
      </c>
      <c r="BF273" s="110">
        <f t="shared" si="69"/>
        <v>0</v>
      </c>
      <c r="BG273" s="6">
        <f>SUM(BC273:BF273)/Variables!$E$3</f>
        <v>0</v>
      </c>
      <c r="BH273" s="4">
        <v>0</v>
      </c>
      <c r="BI273">
        <v>0</v>
      </c>
      <c r="BJ273">
        <v>0</v>
      </c>
      <c r="BK273">
        <v>0</v>
      </c>
      <c r="BL273" s="6">
        <f>SUM(BH273:BK273)/Variables!$E$3</f>
        <v>0</v>
      </c>
      <c r="BM273" s="110">
        <v>0</v>
      </c>
      <c r="BN273" s="110">
        <v>0</v>
      </c>
      <c r="BO273" s="110">
        <v>0</v>
      </c>
      <c r="BP273" s="110">
        <v>0</v>
      </c>
      <c r="BQ273" s="6">
        <f>SUM(BM273:BP273)/Variables!$E$3</f>
        <v>0</v>
      </c>
      <c r="BS273" s="4">
        <v>271</v>
      </c>
      <c r="BT273" s="125">
        <f t="shared" si="73"/>
        <v>0</v>
      </c>
      <c r="BU273" s="125">
        <f t="shared" si="59"/>
        <v>0.3253659965637099</v>
      </c>
      <c r="BV273" s="125">
        <f t="shared" si="60"/>
        <v>3.4859341720837059E-2</v>
      </c>
      <c r="BW273" s="125">
        <f t="shared" si="61"/>
        <v>0.1037366883348245</v>
      </c>
      <c r="BX273" s="125">
        <f t="shared" si="62"/>
        <v>0.10213976357690877</v>
      </c>
      <c r="BY273" s="125">
        <f t="shared" si="63"/>
        <v>7.861051948154775E-2</v>
      </c>
      <c r="BZ273" s="125">
        <f t="shared" si="64"/>
        <v>6.6423645476211213E-2</v>
      </c>
      <c r="CA273" s="125">
        <f t="shared" si="65"/>
        <v>7.5767979160563423E-2</v>
      </c>
      <c r="CB273" s="125">
        <f t="shared" si="66"/>
        <v>0.11480288838391435</v>
      </c>
      <c r="CC273" s="125">
        <f t="shared" si="67"/>
        <v>8.4437010585990388E-2</v>
      </c>
      <c r="CD273" s="125">
        <f t="shared" si="68"/>
        <v>0.10213976357690877</v>
      </c>
      <c r="CE273" s="125">
        <f t="shared" si="70"/>
        <v>8.0264610171101911E-2</v>
      </c>
      <c r="CF273" s="126">
        <f t="shared" si="71"/>
        <v>8.6844551421626462E-2</v>
      </c>
      <c r="CH273" s="4">
        <v>271</v>
      </c>
      <c r="CI273" s="129">
        <v>0</v>
      </c>
      <c r="CJ273" s="125">
        <v>0.31541777844638519</v>
      </c>
      <c r="CK273" s="125">
        <v>0</v>
      </c>
      <c r="CL273" s="125">
        <v>0</v>
      </c>
      <c r="CM273" s="125">
        <v>0</v>
      </c>
      <c r="CN273" s="125">
        <v>0</v>
      </c>
      <c r="CO273" s="125">
        <v>0</v>
      </c>
      <c r="CP273" s="125">
        <v>0</v>
      </c>
      <c r="CQ273" s="125">
        <v>0</v>
      </c>
      <c r="CR273" s="125">
        <v>0</v>
      </c>
      <c r="CS273" s="125">
        <v>0</v>
      </c>
      <c r="CT273" s="125">
        <v>0</v>
      </c>
      <c r="CU273" s="126">
        <v>0</v>
      </c>
    </row>
    <row r="274" spans="1:99" x14ac:dyDescent="0.25">
      <c r="A274" t="s">
        <v>252</v>
      </c>
      <c r="B274" s="2" t="s">
        <v>3</v>
      </c>
      <c r="C274" s="1">
        <v>26357</v>
      </c>
      <c r="D274" s="19">
        <v>133.0575</v>
      </c>
      <c r="E274" s="18">
        <v>0</v>
      </c>
      <c r="F274" s="19">
        <v>0</v>
      </c>
      <c r="G274" s="19">
        <v>0</v>
      </c>
      <c r="H274" s="19">
        <v>0</v>
      </c>
      <c r="I274" s="19">
        <f>SUM(E274:H274)/Variables!$E$3</f>
        <v>0</v>
      </c>
      <c r="J274" s="4">
        <v>18680</v>
      </c>
      <c r="K274">
        <v>28119</v>
      </c>
      <c r="L274">
        <v>304729</v>
      </c>
      <c r="M274">
        <v>59406</v>
      </c>
      <c r="N274" s="6">
        <f>SUM(J274:M274)/Variables!$E$3</f>
        <v>0.3253659965637099</v>
      </c>
      <c r="O274" s="4">
        <v>0</v>
      </c>
      <c r="P274">
        <v>0</v>
      </c>
      <c r="Q274">
        <v>36292</v>
      </c>
      <c r="R274">
        <v>7735</v>
      </c>
      <c r="S274" s="6">
        <f>SUM(O274:R274)/Variables!$E$3</f>
        <v>3.4859341720837059E-2</v>
      </c>
      <c r="T274" s="4">
        <v>0</v>
      </c>
      <c r="U274">
        <v>0</v>
      </c>
      <c r="V274">
        <v>111566.7</v>
      </c>
      <c r="W274">
        <v>19451.7</v>
      </c>
      <c r="X274" s="6">
        <f>SUM(T274:W274)/Variables!$E$3</f>
        <v>0.1037366883348245</v>
      </c>
      <c r="Y274" s="4">
        <v>0</v>
      </c>
      <c r="Z274">
        <v>0</v>
      </c>
      <c r="AA274">
        <v>109301.5</v>
      </c>
      <c r="AB274">
        <v>19700</v>
      </c>
      <c r="AC274" s="6">
        <f>SUM(Y274:AB274)/Variables!$E$3</f>
        <v>0.10213976357690877</v>
      </c>
      <c r="AD274" s="4">
        <v>0</v>
      </c>
      <c r="AE274" s="2">
        <v>43</v>
      </c>
      <c r="AF274" s="2">
        <v>81546.7</v>
      </c>
      <c r="AG274" s="2">
        <v>17694.599999999999</v>
      </c>
      <c r="AH274" s="6">
        <f>SUM(AD274:AG274)/Variables!$E$3</f>
        <v>7.861051948154775E-2</v>
      </c>
      <c r="AI274" s="4">
        <v>0</v>
      </c>
      <c r="AJ274" s="2">
        <v>0</v>
      </c>
      <c r="AK274" s="2">
        <v>72944.7</v>
      </c>
      <c r="AL274" s="2">
        <v>10947.7</v>
      </c>
      <c r="AM274" s="6">
        <f>SUM(AI274:AL274)/Variables!$E$3</f>
        <v>6.6423645476211213E-2</v>
      </c>
      <c r="AN274" s="4">
        <v>0</v>
      </c>
      <c r="AO274" s="2">
        <v>0</v>
      </c>
      <c r="AP274" s="2">
        <v>76736.899999999994</v>
      </c>
      <c r="AQ274" s="2">
        <v>18957.3</v>
      </c>
      <c r="AR274" s="6">
        <f>SUM(AN274:AQ274)/Variables!$E$3</f>
        <v>7.5767979160563423E-2</v>
      </c>
      <c r="AS274" s="4">
        <v>0</v>
      </c>
      <c r="AT274" s="2">
        <v>1350</v>
      </c>
      <c r="AU274" s="2">
        <v>114521.5</v>
      </c>
      <c r="AV274" s="2">
        <v>29123.4</v>
      </c>
      <c r="AW274" s="6">
        <f>SUM(AS274:AV274)/Variables!$E$3</f>
        <v>0.11480288838391435</v>
      </c>
      <c r="AX274" s="4">
        <v>0</v>
      </c>
      <c r="AY274" s="2">
        <v>0</v>
      </c>
      <c r="AZ274" s="2">
        <v>85623.8</v>
      </c>
      <c r="BA274" s="2">
        <v>21019.3</v>
      </c>
      <c r="BB274" s="6">
        <f>SUM(AX274:BA274)/Variables!$E$3</f>
        <v>8.4437010585990388E-2</v>
      </c>
      <c r="BC274" s="12">
        <f t="shared" si="72"/>
        <v>0</v>
      </c>
      <c r="BD274" s="110">
        <f t="shared" si="72"/>
        <v>0</v>
      </c>
      <c r="BE274" s="110">
        <f t="shared" si="72"/>
        <v>109301.5</v>
      </c>
      <c r="BF274" s="110">
        <f t="shared" si="69"/>
        <v>19700</v>
      </c>
      <c r="BG274" s="6">
        <f>SUM(BC274:BF274)/Variables!$E$3</f>
        <v>0.10213976357690877</v>
      </c>
      <c r="BH274" s="4">
        <v>0</v>
      </c>
      <c r="BI274">
        <v>0</v>
      </c>
      <c r="BJ274">
        <v>84190.399999999994</v>
      </c>
      <c r="BK274">
        <v>17183</v>
      </c>
      <c r="BL274" s="6">
        <f>SUM(BH274:BK274)/Variables!$E$3</f>
        <v>8.0264610171101911E-2</v>
      </c>
      <c r="BM274" s="110">
        <v>0</v>
      </c>
      <c r="BN274" s="110">
        <v>0</v>
      </c>
      <c r="BO274" s="110">
        <v>89036.6</v>
      </c>
      <c r="BP274" s="110">
        <v>20647.2</v>
      </c>
      <c r="BQ274" s="6">
        <f>SUM(BM274:BP274)/Variables!$E$3</f>
        <v>8.6844551421626462E-2</v>
      </c>
      <c r="BS274" s="4">
        <v>272</v>
      </c>
      <c r="BT274" s="125">
        <f t="shared" si="73"/>
        <v>0</v>
      </c>
      <c r="BU274" s="125">
        <f t="shared" si="59"/>
        <v>0</v>
      </c>
      <c r="BV274" s="125">
        <f t="shared" si="60"/>
        <v>0</v>
      </c>
      <c r="BW274" s="125">
        <f t="shared" si="61"/>
        <v>0</v>
      </c>
      <c r="BX274" s="125">
        <f t="shared" si="62"/>
        <v>0</v>
      </c>
      <c r="BY274" s="125">
        <f t="shared" si="63"/>
        <v>0</v>
      </c>
      <c r="BZ274" s="125">
        <f t="shared" si="64"/>
        <v>0</v>
      </c>
      <c r="CA274" s="125">
        <f t="shared" si="65"/>
        <v>0</v>
      </c>
      <c r="CB274" s="125">
        <f t="shared" si="66"/>
        <v>0</v>
      </c>
      <c r="CC274" s="125">
        <f t="shared" si="67"/>
        <v>0</v>
      </c>
      <c r="CD274" s="125">
        <f t="shared" si="68"/>
        <v>0</v>
      </c>
      <c r="CE274" s="125">
        <f t="shared" si="70"/>
        <v>0</v>
      </c>
      <c r="CF274" s="126">
        <f t="shared" si="71"/>
        <v>0</v>
      </c>
      <c r="CH274" s="4">
        <v>272</v>
      </c>
      <c r="CI274" s="129">
        <v>0</v>
      </c>
      <c r="CJ274" s="125">
        <v>0</v>
      </c>
      <c r="CK274" s="125">
        <v>0</v>
      </c>
      <c r="CL274" s="125">
        <v>0</v>
      </c>
      <c r="CM274" s="125">
        <v>0</v>
      </c>
      <c r="CN274" s="125">
        <v>0</v>
      </c>
      <c r="CO274" s="125">
        <v>0</v>
      </c>
      <c r="CP274" s="125">
        <v>0</v>
      </c>
      <c r="CQ274" s="125">
        <v>0</v>
      </c>
      <c r="CR274" s="125">
        <v>0</v>
      </c>
      <c r="CS274" s="125">
        <v>0</v>
      </c>
      <c r="CT274" s="125">
        <v>0</v>
      </c>
      <c r="CU274" s="126">
        <v>0</v>
      </c>
    </row>
    <row r="275" spans="1:99" x14ac:dyDescent="0.25">
      <c r="A275" t="s">
        <v>252</v>
      </c>
      <c r="B275" s="2" t="s">
        <v>4</v>
      </c>
      <c r="C275" s="1">
        <v>26450</v>
      </c>
      <c r="D275" s="19">
        <v>41.233333333333299</v>
      </c>
      <c r="E275" s="18">
        <v>0</v>
      </c>
      <c r="F275" s="19">
        <v>0</v>
      </c>
      <c r="G275" s="19">
        <v>0</v>
      </c>
      <c r="H275" s="19">
        <v>0</v>
      </c>
      <c r="I275" s="19">
        <f>SUM(E275:H275)/Variables!$E$3</f>
        <v>0</v>
      </c>
      <c r="J275" s="4">
        <v>0</v>
      </c>
      <c r="K275">
        <v>0</v>
      </c>
      <c r="L275">
        <v>0</v>
      </c>
      <c r="M275">
        <v>0</v>
      </c>
      <c r="N275" s="6">
        <f>SUM(J275:M275)/Variables!$E$3</f>
        <v>0</v>
      </c>
      <c r="O275" s="4">
        <v>0</v>
      </c>
      <c r="P275">
        <v>0</v>
      </c>
      <c r="Q275">
        <v>0</v>
      </c>
      <c r="R275">
        <v>0</v>
      </c>
      <c r="S275" s="6">
        <f>SUM(O275:R275)/Variables!$E$3</f>
        <v>0</v>
      </c>
      <c r="T275" s="4">
        <v>0</v>
      </c>
      <c r="U275">
        <v>0</v>
      </c>
      <c r="V275">
        <v>0</v>
      </c>
      <c r="W275">
        <v>0</v>
      </c>
      <c r="X275" s="6">
        <f>SUM(T275:W275)/Variables!$E$3</f>
        <v>0</v>
      </c>
      <c r="Y275" s="4">
        <v>0</v>
      </c>
      <c r="Z275">
        <v>0</v>
      </c>
      <c r="AA275">
        <v>0</v>
      </c>
      <c r="AB275">
        <v>0</v>
      </c>
      <c r="AC275" s="6">
        <f>SUM(Y275:AB275)/Variables!$E$3</f>
        <v>0</v>
      </c>
      <c r="AD275" s="4">
        <v>0</v>
      </c>
      <c r="AE275" s="2">
        <v>0</v>
      </c>
      <c r="AF275" s="2">
        <v>0</v>
      </c>
      <c r="AG275" s="2">
        <v>0</v>
      </c>
      <c r="AH275" s="6">
        <f>SUM(AD275:AG275)/Variables!$E$3</f>
        <v>0</v>
      </c>
      <c r="AI275" s="4">
        <v>0</v>
      </c>
      <c r="AJ275" s="2">
        <v>0</v>
      </c>
      <c r="AK275" s="2">
        <v>0</v>
      </c>
      <c r="AL275" s="2">
        <v>0</v>
      </c>
      <c r="AM275" s="6">
        <f>SUM(AI275:AL275)/Variables!$E$3</f>
        <v>0</v>
      </c>
      <c r="AN275" s="4">
        <v>0</v>
      </c>
      <c r="AO275" s="2">
        <v>0</v>
      </c>
      <c r="AP275" s="2">
        <v>0</v>
      </c>
      <c r="AQ275" s="2">
        <v>0</v>
      </c>
      <c r="AR275" s="6">
        <f>SUM(AN275:AQ275)/Variables!$E$3</f>
        <v>0</v>
      </c>
      <c r="AS275" s="4">
        <v>0</v>
      </c>
      <c r="AT275" s="2">
        <v>0</v>
      </c>
      <c r="AU275" s="2">
        <v>0</v>
      </c>
      <c r="AV275" s="2">
        <v>0</v>
      </c>
      <c r="AW275" s="6">
        <f>SUM(AS275:AV275)/Variables!$E$3</f>
        <v>0</v>
      </c>
      <c r="AX275" s="4">
        <v>0</v>
      </c>
      <c r="AY275" s="2">
        <v>0</v>
      </c>
      <c r="AZ275" s="2">
        <v>0</v>
      </c>
      <c r="BA275" s="2">
        <v>0</v>
      </c>
      <c r="BB275" s="6">
        <f>SUM(AX275:BA275)/Variables!$E$3</f>
        <v>0</v>
      </c>
      <c r="BC275" s="12">
        <f t="shared" si="72"/>
        <v>0</v>
      </c>
      <c r="BD275" s="110">
        <f t="shared" si="72"/>
        <v>0</v>
      </c>
      <c r="BE275" s="110">
        <f t="shared" si="72"/>
        <v>0</v>
      </c>
      <c r="BF275" s="110">
        <f t="shared" si="69"/>
        <v>0</v>
      </c>
      <c r="BG275" s="6">
        <f>SUM(BC275:BF275)/Variables!$E$3</f>
        <v>0</v>
      </c>
      <c r="BH275" s="4">
        <v>0</v>
      </c>
      <c r="BI275">
        <v>0</v>
      </c>
      <c r="BJ275">
        <v>0</v>
      </c>
      <c r="BK275">
        <v>0</v>
      </c>
      <c r="BL275" s="6">
        <f>SUM(BH275:BK275)/Variables!$E$3</f>
        <v>0</v>
      </c>
      <c r="BM275" s="110">
        <v>0</v>
      </c>
      <c r="BN275" s="110">
        <v>0</v>
      </c>
      <c r="BO275" s="110">
        <v>0</v>
      </c>
      <c r="BP275" s="110">
        <v>0</v>
      </c>
      <c r="BQ275" s="6">
        <f>SUM(BM275:BP275)/Variables!$E$3</f>
        <v>0</v>
      </c>
      <c r="BS275" s="4">
        <v>273</v>
      </c>
      <c r="BT275" s="125">
        <f t="shared" si="73"/>
        <v>0</v>
      </c>
      <c r="BU275" s="125">
        <f t="shared" si="59"/>
        <v>0</v>
      </c>
      <c r="BV275" s="125">
        <f t="shared" si="60"/>
        <v>0</v>
      </c>
      <c r="BW275" s="125">
        <f t="shared" si="61"/>
        <v>0</v>
      </c>
      <c r="BX275" s="125">
        <f t="shared" si="62"/>
        <v>0</v>
      </c>
      <c r="BY275" s="125">
        <f t="shared" si="63"/>
        <v>0</v>
      </c>
      <c r="BZ275" s="125">
        <f t="shared" si="64"/>
        <v>0</v>
      </c>
      <c r="CA275" s="125">
        <f t="shared" si="65"/>
        <v>0</v>
      </c>
      <c r="CB275" s="125">
        <f t="shared" si="66"/>
        <v>0</v>
      </c>
      <c r="CC275" s="125">
        <f t="shared" si="67"/>
        <v>0</v>
      </c>
      <c r="CD275" s="125">
        <f t="shared" si="68"/>
        <v>0</v>
      </c>
      <c r="CE275" s="125">
        <f t="shared" si="70"/>
        <v>0</v>
      </c>
      <c r="CF275" s="126">
        <f t="shared" si="71"/>
        <v>0</v>
      </c>
      <c r="CH275" s="4">
        <v>273</v>
      </c>
      <c r="CI275" s="129">
        <v>0</v>
      </c>
      <c r="CJ275" s="125">
        <v>0</v>
      </c>
      <c r="CK275" s="125">
        <v>0</v>
      </c>
      <c r="CL275" s="125">
        <v>0</v>
      </c>
      <c r="CM275" s="125">
        <v>0</v>
      </c>
      <c r="CN275" s="125">
        <v>0</v>
      </c>
      <c r="CO275" s="125">
        <v>0</v>
      </c>
      <c r="CP275" s="125">
        <v>0</v>
      </c>
      <c r="CQ275" s="125">
        <v>0</v>
      </c>
      <c r="CR275" s="125">
        <v>0</v>
      </c>
      <c r="CS275" s="125">
        <v>0</v>
      </c>
      <c r="CT275" s="125">
        <v>0</v>
      </c>
      <c r="CU275" s="126">
        <v>0</v>
      </c>
    </row>
    <row r="276" spans="1:99" x14ac:dyDescent="0.25">
      <c r="A276" t="s">
        <v>252</v>
      </c>
      <c r="B276" s="2" t="s">
        <v>1</v>
      </c>
      <c r="C276" s="1">
        <v>26542</v>
      </c>
      <c r="D276" s="19">
        <v>13.85</v>
      </c>
      <c r="E276" s="18">
        <v>0</v>
      </c>
      <c r="F276" s="19">
        <v>0</v>
      </c>
      <c r="G276" s="19">
        <v>0</v>
      </c>
      <c r="H276" s="19">
        <v>0</v>
      </c>
      <c r="I276" s="19">
        <f>SUM(E276:H276)/Variables!$E$3</f>
        <v>0</v>
      </c>
      <c r="J276" s="4">
        <v>0</v>
      </c>
      <c r="K276">
        <v>0</v>
      </c>
      <c r="L276">
        <v>0</v>
      </c>
      <c r="M276">
        <v>0</v>
      </c>
      <c r="N276" s="6">
        <f>SUM(J276:M276)/Variables!$E$3</f>
        <v>0</v>
      </c>
      <c r="O276" s="4">
        <v>0</v>
      </c>
      <c r="P276">
        <v>0</v>
      </c>
      <c r="Q276">
        <v>0</v>
      </c>
      <c r="R276">
        <v>0</v>
      </c>
      <c r="S276" s="6">
        <f>SUM(O276:R276)/Variables!$E$3</f>
        <v>0</v>
      </c>
      <c r="T276" s="4">
        <v>0</v>
      </c>
      <c r="U276">
        <v>0</v>
      </c>
      <c r="V276">
        <v>0</v>
      </c>
      <c r="W276">
        <v>0</v>
      </c>
      <c r="X276" s="6">
        <f>SUM(T276:W276)/Variables!$E$3</f>
        <v>0</v>
      </c>
      <c r="Y276" s="4">
        <v>0</v>
      </c>
      <c r="Z276">
        <v>0</v>
      </c>
      <c r="AA276">
        <v>0</v>
      </c>
      <c r="AB276">
        <v>0</v>
      </c>
      <c r="AC276" s="6">
        <f>SUM(Y276:AB276)/Variables!$E$3</f>
        <v>0</v>
      </c>
      <c r="AD276" s="4">
        <v>0</v>
      </c>
      <c r="AE276" s="2">
        <v>0</v>
      </c>
      <c r="AF276" s="2">
        <v>0</v>
      </c>
      <c r="AG276" s="2">
        <v>0</v>
      </c>
      <c r="AH276" s="6">
        <f>SUM(AD276:AG276)/Variables!$E$3</f>
        <v>0</v>
      </c>
      <c r="AI276" s="4">
        <v>0</v>
      </c>
      <c r="AJ276" s="2">
        <v>0</v>
      </c>
      <c r="AK276" s="2">
        <v>0</v>
      </c>
      <c r="AL276" s="2">
        <v>0</v>
      </c>
      <c r="AM276" s="6">
        <f>SUM(AI276:AL276)/Variables!$E$3</f>
        <v>0</v>
      </c>
      <c r="AN276" s="4">
        <v>0</v>
      </c>
      <c r="AO276" s="2">
        <v>0</v>
      </c>
      <c r="AP276" s="2">
        <v>0</v>
      </c>
      <c r="AQ276" s="2">
        <v>0</v>
      </c>
      <c r="AR276" s="6">
        <f>SUM(AN276:AQ276)/Variables!$E$3</f>
        <v>0</v>
      </c>
      <c r="AS276" s="4">
        <v>0</v>
      </c>
      <c r="AT276" s="2">
        <v>0</v>
      </c>
      <c r="AU276" s="2">
        <v>0</v>
      </c>
      <c r="AV276" s="2">
        <v>0</v>
      </c>
      <c r="AW276" s="6">
        <f>SUM(AS276:AV276)/Variables!$E$3</f>
        <v>0</v>
      </c>
      <c r="AX276" s="4">
        <v>0</v>
      </c>
      <c r="AY276" s="2">
        <v>0</v>
      </c>
      <c r="AZ276" s="2">
        <v>0</v>
      </c>
      <c r="BA276" s="2">
        <v>0</v>
      </c>
      <c r="BB276" s="6">
        <f>SUM(AX276:BA276)/Variables!$E$3</f>
        <v>0</v>
      </c>
      <c r="BC276" s="12">
        <f t="shared" si="72"/>
        <v>0</v>
      </c>
      <c r="BD276" s="110">
        <f t="shared" si="72"/>
        <v>0</v>
      </c>
      <c r="BE276" s="110">
        <f t="shared" si="72"/>
        <v>0</v>
      </c>
      <c r="BF276" s="110">
        <f t="shared" si="69"/>
        <v>0</v>
      </c>
      <c r="BG276" s="6">
        <f>SUM(BC276:BF276)/Variables!$E$3</f>
        <v>0</v>
      </c>
      <c r="BH276" s="4">
        <v>0</v>
      </c>
      <c r="BI276">
        <v>0</v>
      </c>
      <c r="BJ276">
        <v>0</v>
      </c>
      <c r="BK276">
        <v>0</v>
      </c>
      <c r="BL276" s="6">
        <f>SUM(BH276:BK276)/Variables!$E$3</f>
        <v>0</v>
      </c>
      <c r="BM276" s="110">
        <v>0</v>
      </c>
      <c r="BN276" s="110">
        <v>0</v>
      </c>
      <c r="BO276" s="110">
        <v>0</v>
      </c>
      <c r="BP276" s="110">
        <v>0</v>
      </c>
      <c r="BQ276" s="6">
        <f>SUM(BM276:BP276)/Variables!$E$3</f>
        <v>0</v>
      </c>
      <c r="BS276" s="4">
        <v>274</v>
      </c>
      <c r="BT276" s="125">
        <f t="shared" si="73"/>
        <v>0</v>
      </c>
      <c r="BU276" s="125">
        <f t="shared" si="59"/>
        <v>0.14824345402576425</v>
      </c>
      <c r="BV276" s="125">
        <f t="shared" si="60"/>
        <v>0</v>
      </c>
      <c r="BW276" s="125">
        <f t="shared" si="61"/>
        <v>2.8082170088440921E-2</v>
      </c>
      <c r="BX276" s="125">
        <f t="shared" si="62"/>
        <v>2.6915969247579156E-2</v>
      </c>
      <c r="BY276" s="125">
        <f t="shared" si="63"/>
        <v>1.3502007141782596E-2</v>
      </c>
      <c r="BZ276" s="125">
        <f t="shared" si="64"/>
        <v>9.8708620020744424E-3</v>
      </c>
      <c r="CA276" s="125">
        <f t="shared" si="65"/>
        <v>1.3532094474223866E-2</v>
      </c>
      <c r="CB276" s="125">
        <f t="shared" si="66"/>
        <v>3.2499703085535118E-2</v>
      </c>
      <c r="CC276" s="125">
        <f t="shared" si="67"/>
        <v>1.9428419860806501E-2</v>
      </c>
      <c r="CD276" s="125">
        <f t="shared" si="68"/>
        <v>2.6915969247579156E-2</v>
      </c>
      <c r="CE276" s="125">
        <f t="shared" si="70"/>
        <v>1.4660052732008964E-2</v>
      </c>
      <c r="CF276" s="126">
        <f t="shared" si="71"/>
        <v>1.9787092534382697E-2</v>
      </c>
      <c r="CH276" s="4">
        <v>274</v>
      </c>
      <c r="CI276" s="129">
        <v>0</v>
      </c>
      <c r="CJ276" s="125">
        <v>0.1363557906238371</v>
      </c>
      <c r="CK276" s="125">
        <v>0</v>
      </c>
      <c r="CL276" s="125">
        <v>0</v>
      </c>
      <c r="CM276" s="125">
        <v>0</v>
      </c>
      <c r="CN276" s="125">
        <v>0</v>
      </c>
      <c r="CO276" s="125">
        <v>0</v>
      </c>
      <c r="CP276" s="125">
        <v>0</v>
      </c>
      <c r="CQ276" s="125">
        <v>0</v>
      </c>
      <c r="CR276" s="125">
        <v>0</v>
      </c>
      <c r="CS276" s="125">
        <v>0</v>
      </c>
      <c r="CT276" s="125">
        <v>0</v>
      </c>
      <c r="CU276" s="126">
        <v>0</v>
      </c>
    </row>
    <row r="277" spans="1:99" x14ac:dyDescent="0.25">
      <c r="A277" t="s">
        <v>252</v>
      </c>
      <c r="B277" s="2" t="s">
        <v>2</v>
      </c>
      <c r="C277" s="1">
        <v>26633</v>
      </c>
      <c r="D277" s="19">
        <v>80.3125</v>
      </c>
      <c r="E277" s="18">
        <v>0</v>
      </c>
      <c r="F277" s="19">
        <v>0</v>
      </c>
      <c r="G277" s="19">
        <v>0</v>
      </c>
      <c r="H277" s="19">
        <v>0</v>
      </c>
      <c r="I277" s="19">
        <f>SUM(E277:H277)/Variables!$E$3</f>
        <v>0</v>
      </c>
      <c r="J277" s="4">
        <v>574</v>
      </c>
      <c r="K277">
        <v>8122</v>
      </c>
      <c r="L277">
        <v>161971</v>
      </c>
      <c r="M277">
        <v>16563</v>
      </c>
      <c r="N277" s="6">
        <f>SUM(J277:M277)/Variables!$E$3</f>
        <v>0.14824345402576425</v>
      </c>
      <c r="O277" s="4">
        <v>0</v>
      </c>
      <c r="P277">
        <v>0</v>
      </c>
      <c r="Q277">
        <v>0</v>
      </c>
      <c r="R277">
        <v>0</v>
      </c>
      <c r="S277" s="6">
        <f>SUM(O277:R277)/Variables!$E$3</f>
        <v>0</v>
      </c>
      <c r="T277" s="4">
        <v>0</v>
      </c>
      <c r="U277">
        <v>0</v>
      </c>
      <c r="V277">
        <v>33715.699999999997</v>
      </c>
      <c r="W277">
        <v>1751.8</v>
      </c>
      <c r="X277" s="6">
        <f>SUM(T277:W277)/Variables!$E$3</f>
        <v>2.8082170088440921E-2</v>
      </c>
      <c r="Y277" s="4">
        <v>0</v>
      </c>
      <c r="Z277">
        <v>0</v>
      </c>
      <c r="AA277">
        <v>32177.4</v>
      </c>
      <c r="AB277">
        <v>1817.2</v>
      </c>
      <c r="AC277" s="6">
        <f>SUM(Y277:AB277)/Variables!$E$3</f>
        <v>2.6915969247579156E-2</v>
      </c>
      <c r="AD277" s="4">
        <v>0</v>
      </c>
      <c r="AE277" s="2">
        <v>0</v>
      </c>
      <c r="AF277" s="2">
        <v>14244.1</v>
      </c>
      <c r="AG277" s="2">
        <v>2808.8</v>
      </c>
      <c r="AH277" s="6">
        <f>SUM(AD277:AG277)/Variables!$E$3</f>
        <v>1.3502007141782596E-2</v>
      </c>
      <c r="AI277" s="4">
        <v>0</v>
      </c>
      <c r="AJ277" s="2">
        <v>0</v>
      </c>
      <c r="AK277" s="2">
        <v>11988.2</v>
      </c>
      <c r="AL277" s="2">
        <v>478.599999999999</v>
      </c>
      <c r="AM277" s="6">
        <f>SUM(AI277:AL277)/Variables!$E$3</f>
        <v>9.8708620020744424E-3</v>
      </c>
      <c r="AN277" s="4">
        <v>0</v>
      </c>
      <c r="AO277" s="2">
        <v>0</v>
      </c>
      <c r="AP277" s="2">
        <v>14216</v>
      </c>
      <c r="AQ277" s="2">
        <v>2874.9</v>
      </c>
      <c r="AR277" s="6">
        <f>SUM(AN277:AQ277)/Variables!$E$3</f>
        <v>1.3532094474223866E-2</v>
      </c>
      <c r="AS277" s="4">
        <v>0</v>
      </c>
      <c r="AT277" s="2">
        <v>0</v>
      </c>
      <c r="AU277" s="2">
        <v>35731.9</v>
      </c>
      <c r="AV277" s="2">
        <v>5314.9</v>
      </c>
      <c r="AW277" s="6">
        <f>SUM(AS277:AV277)/Variables!$E$3</f>
        <v>3.2499703085535118E-2</v>
      </c>
      <c r="AX277" s="4">
        <v>0</v>
      </c>
      <c r="AY277" s="2">
        <v>0</v>
      </c>
      <c r="AZ277" s="2">
        <v>20603.7</v>
      </c>
      <c r="BA277" s="2">
        <v>3934.2</v>
      </c>
      <c r="BB277" s="6">
        <f>SUM(AX277:BA277)/Variables!$E$3</f>
        <v>1.9428419860806501E-2</v>
      </c>
      <c r="BC277" s="12">
        <f t="shared" si="72"/>
        <v>0</v>
      </c>
      <c r="BD277" s="110">
        <f t="shared" si="72"/>
        <v>0</v>
      </c>
      <c r="BE277" s="110">
        <f t="shared" si="72"/>
        <v>32177.4</v>
      </c>
      <c r="BF277" s="110">
        <f t="shared" si="69"/>
        <v>1817.2</v>
      </c>
      <c r="BG277" s="6">
        <f>SUM(BC277:BF277)/Variables!$E$3</f>
        <v>2.6915969247579156E-2</v>
      </c>
      <c r="BH277" s="4">
        <v>0</v>
      </c>
      <c r="BI277">
        <v>0</v>
      </c>
      <c r="BJ277">
        <v>17281</v>
      </c>
      <c r="BK277">
        <v>1234.5</v>
      </c>
      <c r="BL277" s="6">
        <f>SUM(BH277:BK277)/Variables!$E$3</f>
        <v>1.4660052732008964E-2</v>
      </c>
      <c r="BM277" s="110">
        <v>0</v>
      </c>
      <c r="BN277" s="110">
        <v>0</v>
      </c>
      <c r="BO277" s="110">
        <v>21312.5</v>
      </c>
      <c r="BP277" s="110">
        <v>3678.4</v>
      </c>
      <c r="BQ277" s="6">
        <f>SUM(BM277:BP277)/Variables!$E$3</f>
        <v>1.9787092534382697E-2</v>
      </c>
      <c r="BS277" s="4">
        <v>275</v>
      </c>
      <c r="BT277" s="125">
        <f t="shared" si="73"/>
        <v>0</v>
      </c>
      <c r="BU277" s="125">
        <f t="shared" si="59"/>
        <v>1.4437960712278007E-2</v>
      </c>
      <c r="BV277" s="125">
        <f t="shared" si="60"/>
        <v>0</v>
      </c>
      <c r="BW277" s="125">
        <f t="shared" si="61"/>
        <v>1.304523392900973E-3</v>
      </c>
      <c r="BX277" s="125">
        <f t="shared" si="62"/>
        <v>1.1780774194570028E-3</v>
      </c>
      <c r="BY277" s="125">
        <f t="shared" si="63"/>
        <v>0</v>
      </c>
      <c r="BZ277" s="125">
        <f t="shared" si="64"/>
        <v>4.9644098528095867E-5</v>
      </c>
      <c r="CA277" s="125">
        <f t="shared" si="65"/>
        <v>2.3848169819238474E-4</v>
      </c>
      <c r="CB277" s="125">
        <f t="shared" si="66"/>
        <v>1.4897980189866903E-3</v>
      </c>
      <c r="CC277" s="125">
        <f t="shared" si="67"/>
        <v>5.5313185377556359E-4</v>
      </c>
      <c r="CD277" s="125">
        <f t="shared" si="68"/>
        <v>1.1780774194570028E-3</v>
      </c>
      <c r="CE277" s="125">
        <f t="shared" si="70"/>
        <v>3.4259970387730699E-4</v>
      </c>
      <c r="CF277" s="126">
        <f t="shared" si="71"/>
        <v>5.3745477002984981E-4</v>
      </c>
      <c r="CH277" s="4">
        <v>275</v>
      </c>
      <c r="CI277" s="129">
        <v>0</v>
      </c>
      <c r="CJ277" s="125">
        <v>0</v>
      </c>
      <c r="CK277" s="125">
        <v>0</v>
      </c>
      <c r="CL277" s="125">
        <v>0</v>
      </c>
      <c r="CM277" s="125">
        <v>0</v>
      </c>
      <c r="CN277" s="125">
        <v>0</v>
      </c>
      <c r="CO277" s="125">
        <v>0</v>
      </c>
      <c r="CP277" s="125">
        <v>0</v>
      </c>
      <c r="CQ277" s="125">
        <v>0</v>
      </c>
      <c r="CR277" s="125">
        <v>0</v>
      </c>
      <c r="CS277" s="125">
        <v>0</v>
      </c>
      <c r="CT277" s="125">
        <v>0</v>
      </c>
      <c r="CU277" s="126">
        <v>0</v>
      </c>
    </row>
    <row r="278" spans="1:99" x14ac:dyDescent="0.25">
      <c r="A278" t="s">
        <v>253</v>
      </c>
      <c r="B278" s="2" t="s">
        <v>3</v>
      </c>
      <c r="C278" s="1">
        <v>26723</v>
      </c>
      <c r="D278" s="19">
        <v>163.36250000000001</v>
      </c>
      <c r="E278" s="18">
        <v>0</v>
      </c>
      <c r="F278" s="19">
        <v>0</v>
      </c>
      <c r="G278" s="19">
        <v>0</v>
      </c>
      <c r="H278" s="19">
        <v>0</v>
      </c>
      <c r="I278" s="19">
        <f>SUM(E278:H278)/Variables!$E$3</f>
        <v>0</v>
      </c>
      <c r="J278" s="4">
        <v>0</v>
      </c>
      <c r="K278">
        <v>0</v>
      </c>
      <c r="L278">
        <v>18235</v>
      </c>
      <c r="M278">
        <v>0</v>
      </c>
      <c r="N278" s="6">
        <f>SUM(J278:M278)/Variables!$E$3</f>
        <v>1.4437960712278007E-2</v>
      </c>
      <c r="O278" s="4">
        <v>0</v>
      </c>
      <c r="P278">
        <v>0</v>
      </c>
      <c r="Q278">
        <v>0</v>
      </c>
      <c r="R278">
        <v>0</v>
      </c>
      <c r="S278" s="6">
        <f>SUM(O278:R278)/Variables!$E$3</f>
        <v>0</v>
      </c>
      <c r="T278" s="4">
        <v>0</v>
      </c>
      <c r="U278">
        <v>0</v>
      </c>
      <c r="V278">
        <v>1647.6</v>
      </c>
      <c r="W278">
        <v>0</v>
      </c>
      <c r="X278" s="6">
        <f>SUM(T278:W278)/Variables!$E$3</f>
        <v>1.304523392900973E-3</v>
      </c>
      <c r="Y278" s="4">
        <v>0</v>
      </c>
      <c r="Z278">
        <v>0</v>
      </c>
      <c r="AA278">
        <v>1487.9</v>
      </c>
      <c r="AB278">
        <v>0</v>
      </c>
      <c r="AC278" s="6">
        <f>SUM(Y278:AB278)/Variables!$E$3</f>
        <v>1.1780774194570028E-3</v>
      </c>
      <c r="AD278" s="4">
        <v>0</v>
      </c>
      <c r="AE278" s="2">
        <v>0</v>
      </c>
      <c r="AF278" s="2">
        <v>0</v>
      </c>
      <c r="AG278" s="2">
        <v>0</v>
      </c>
      <c r="AH278" s="6">
        <f>SUM(AD278:AG278)/Variables!$E$3</f>
        <v>0</v>
      </c>
      <c r="AI278" s="4">
        <v>0</v>
      </c>
      <c r="AJ278" s="2">
        <v>0</v>
      </c>
      <c r="AK278" s="2">
        <v>62.699999999999797</v>
      </c>
      <c r="AL278" s="2">
        <v>0</v>
      </c>
      <c r="AM278" s="6">
        <f>SUM(AI278:AL278)/Variables!$E$3</f>
        <v>4.9644098528095867E-5</v>
      </c>
      <c r="AN278" s="4">
        <v>0</v>
      </c>
      <c r="AO278" s="2">
        <v>0</v>
      </c>
      <c r="AP278" s="2">
        <v>301.2</v>
      </c>
      <c r="AQ278" s="2">
        <v>0</v>
      </c>
      <c r="AR278" s="6">
        <f>SUM(AN278:AQ278)/Variables!$E$3</f>
        <v>2.3848169819238474E-4</v>
      </c>
      <c r="AS278" s="4">
        <v>0</v>
      </c>
      <c r="AT278" s="2">
        <v>0</v>
      </c>
      <c r="AU278" s="2">
        <v>1881.6</v>
      </c>
      <c r="AV278" s="2">
        <v>0</v>
      </c>
      <c r="AW278" s="6">
        <f>SUM(AS278:AV278)/Variables!$E$3</f>
        <v>1.4897980189866903E-3</v>
      </c>
      <c r="AX278" s="4">
        <v>0</v>
      </c>
      <c r="AY278" s="2">
        <v>0</v>
      </c>
      <c r="AZ278" s="2">
        <v>698.599999999999</v>
      </c>
      <c r="BA278" s="2">
        <v>0</v>
      </c>
      <c r="BB278" s="6">
        <f>SUM(AX278:BA278)/Variables!$E$3</f>
        <v>5.5313185377556359E-4</v>
      </c>
      <c r="BC278" s="12">
        <f t="shared" si="72"/>
        <v>0</v>
      </c>
      <c r="BD278" s="110">
        <f t="shared" si="72"/>
        <v>0</v>
      </c>
      <c r="BE278" s="110">
        <f t="shared" si="72"/>
        <v>1487.9</v>
      </c>
      <c r="BF278" s="110">
        <f t="shared" si="69"/>
        <v>0</v>
      </c>
      <c r="BG278" s="6">
        <f>SUM(BC278:BF278)/Variables!$E$3</f>
        <v>1.1780774194570028E-3</v>
      </c>
      <c r="BH278" s="4">
        <v>0</v>
      </c>
      <c r="BI278">
        <v>0</v>
      </c>
      <c r="BJ278">
        <v>432.7</v>
      </c>
      <c r="BK278">
        <v>0</v>
      </c>
      <c r="BL278" s="6">
        <f>SUM(BH278:BK278)/Variables!$E$3</f>
        <v>3.4259970387730699E-4</v>
      </c>
      <c r="BM278" s="110">
        <v>0</v>
      </c>
      <c r="BN278" s="110">
        <v>0</v>
      </c>
      <c r="BO278" s="110">
        <v>678.8</v>
      </c>
      <c r="BP278" s="110">
        <v>0</v>
      </c>
      <c r="BQ278" s="6">
        <f>SUM(BM278:BP278)/Variables!$E$3</f>
        <v>5.3745477002984981E-4</v>
      </c>
      <c r="BS278" s="4">
        <v>276</v>
      </c>
      <c r="BT278" s="125">
        <f t="shared" si="73"/>
        <v>0</v>
      </c>
      <c r="BU278" s="125">
        <f t="shared" si="59"/>
        <v>5.1148465150159539E-4</v>
      </c>
      <c r="BV278" s="125">
        <f t="shared" si="60"/>
        <v>0</v>
      </c>
      <c r="BW278" s="125">
        <f t="shared" si="61"/>
        <v>0</v>
      </c>
      <c r="BX278" s="125">
        <f t="shared" si="62"/>
        <v>0</v>
      </c>
      <c r="BY278" s="125">
        <f t="shared" si="63"/>
        <v>0</v>
      </c>
      <c r="BZ278" s="125">
        <f t="shared" si="64"/>
        <v>0</v>
      </c>
      <c r="CA278" s="125">
        <f t="shared" si="65"/>
        <v>0</v>
      </c>
      <c r="CB278" s="125">
        <f t="shared" si="66"/>
        <v>0</v>
      </c>
      <c r="CC278" s="125">
        <f t="shared" si="67"/>
        <v>0</v>
      </c>
      <c r="CD278" s="125">
        <f t="shared" si="68"/>
        <v>0</v>
      </c>
      <c r="CE278" s="125">
        <f t="shared" si="70"/>
        <v>0</v>
      </c>
      <c r="CF278" s="126">
        <f t="shared" si="71"/>
        <v>0</v>
      </c>
      <c r="CH278" s="4">
        <v>276</v>
      </c>
      <c r="CI278" s="129">
        <v>0</v>
      </c>
      <c r="CJ278" s="125">
        <v>0</v>
      </c>
      <c r="CK278" s="125">
        <v>0</v>
      </c>
      <c r="CL278" s="125">
        <v>0</v>
      </c>
      <c r="CM278" s="125">
        <v>0</v>
      </c>
      <c r="CN278" s="125">
        <v>0</v>
      </c>
      <c r="CO278" s="125">
        <v>0</v>
      </c>
      <c r="CP278" s="125">
        <v>0</v>
      </c>
      <c r="CQ278" s="125">
        <v>0</v>
      </c>
      <c r="CR278" s="125">
        <v>0</v>
      </c>
      <c r="CS278" s="125">
        <v>0</v>
      </c>
      <c r="CT278" s="125">
        <v>0</v>
      </c>
      <c r="CU278" s="126">
        <v>0</v>
      </c>
    </row>
    <row r="279" spans="1:99" x14ac:dyDescent="0.25">
      <c r="A279" t="s">
        <v>253</v>
      </c>
      <c r="B279" s="2" t="s">
        <v>4</v>
      </c>
      <c r="C279" s="1">
        <v>26815</v>
      </c>
      <c r="D279" s="19">
        <v>50.639285714285698</v>
      </c>
      <c r="E279" s="18">
        <v>0</v>
      </c>
      <c r="F279" s="19">
        <v>0</v>
      </c>
      <c r="G279" s="19">
        <v>0</v>
      </c>
      <c r="H279" s="19">
        <v>0</v>
      </c>
      <c r="I279" s="19">
        <f>SUM(E279:H279)/Variables!$E$3</f>
        <v>0</v>
      </c>
      <c r="J279" s="4">
        <v>0</v>
      </c>
      <c r="K279">
        <v>0</v>
      </c>
      <c r="L279">
        <v>646</v>
      </c>
      <c r="M279">
        <v>0</v>
      </c>
      <c r="N279" s="6">
        <f>SUM(J279:M279)/Variables!$E$3</f>
        <v>5.1148465150159539E-4</v>
      </c>
      <c r="O279" s="4">
        <v>0</v>
      </c>
      <c r="P279">
        <v>0</v>
      </c>
      <c r="Q279">
        <v>0</v>
      </c>
      <c r="R279">
        <v>0</v>
      </c>
      <c r="S279" s="6">
        <f>SUM(O279:R279)/Variables!$E$3</f>
        <v>0</v>
      </c>
      <c r="T279" s="4">
        <v>0</v>
      </c>
      <c r="U279">
        <v>0</v>
      </c>
      <c r="V279">
        <v>0</v>
      </c>
      <c r="W279">
        <v>0</v>
      </c>
      <c r="X279" s="6">
        <f>SUM(T279:W279)/Variables!$E$3</f>
        <v>0</v>
      </c>
      <c r="Y279" s="4">
        <v>0</v>
      </c>
      <c r="Z279">
        <v>0</v>
      </c>
      <c r="AA279">
        <v>0</v>
      </c>
      <c r="AB279">
        <v>0</v>
      </c>
      <c r="AC279" s="6">
        <f>SUM(Y279:AB279)/Variables!$E$3</f>
        <v>0</v>
      </c>
      <c r="AD279" s="4">
        <v>0</v>
      </c>
      <c r="AE279" s="2">
        <v>0</v>
      </c>
      <c r="AF279" s="2">
        <v>0</v>
      </c>
      <c r="AG279" s="2">
        <v>0</v>
      </c>
      <c r="AH279" s="6">
        <f>SUM(AD279:AG279)/Variables!$E$3</f>
        <v>0</v>
      </c>
      <c r="AI279" s="4">
        <v>0</v>
      </c>
      <c r="AJ279" s="2">
        <v>0</v>
      </c>
      <c r="AK279" s="2">
        <v>0</v>
      </c>
      <c r="AL279" s="2">
        <v>0</v>
      </c>
      <c r="AM279" s="6">
        <f>SUM(AI279:AL279)/Variables!$E$3</f>
        <v>0</v>
      </c>
      <c r="AN279" s="4">
        <v>0</v>
      </c>
      <c r="AO279" s="2">
        <v>0</v>
      </c>
      <c r="AP279" s="2">
        <v>0</v>
      </c>
      <c r="AQ279" s="2">
        <v>0</v>
      </c>
      <c r="AR279" s="6">
        <f>SUM(AN279:AQ279)/Variables!$E$3</f>
        <v>0</v>
      </c>
      <c r="AS279" s="4">
        <v>0</v>
      </c>
      <c r="AT279" s="2">
        <v>0</v>
      </c>
      <c r="AU279" s="2">
        <v>0</v>
      </c>
      <c r="AV279" s="2">
        <v>0</v>
      </c>
      <c r="AW279" s="6">
        <f>SUM(AS279:AV279)/Variables!$E$3</f>
        <v>0</v>
      </c>
      <c r="AX279" s="4">
        <v>0</v>
      </c>
      <c r="AY279" s="2">
        <v>0</v>
      </c>
      <c r="AZ279" s="2">
        <v>0</v>
      </c>
      <c r="BA279" s="2">
        <v>0</v>
      </c>
      <c r="BB279" s="6">
        <f>SUM(AX279:BA279)/Variables!$E$3</f>
        <v>0</v>
      </c>
      <c r="BC279" s="12">
        <f t="shared" si="72"/>
        <v>0</v>
      </c>
      <c r="BD279" s="110">
        <f t="shared" si="72"/>
        <v>0</v>
      </c>
      <c r="BE279" s="110">
        <f t="shared" si="72"/>
        <v>0</v>
      </c>
      <c r="BF279" s="110">
        <f t="shared" si="69"/>
        <v>0</v>
      </c>
      <c r="BG279" s="6">
        <f>SUM(BC279:BF279)/Variables!$E$3</f>
        <v>0</v>
      </c>
      <c r="BH279" s="4">
        <v>0</v>
      </c>
      <c r="BI279">
        <v>0</v>
      </c>
      <c r="BJ279">
        <v>0</v>
      </c>
      <c r="BK279">
        <v>0</v>
      </c>
      <c r="BL279" s="6">
        <f>SUM(BH279:BK279)/Variables!$E$3</f>
        <v>0</v>
      </c>
      <c r="BM279" s="110">
        <v>0</v>
      </c>
      <c r="BN279" s="110">
        <v>0</v>
      </c>
      <c r="BO279" s="110">
        <v>0</v>
      </c>
      <c r="BP279" s="110">
        <v>0</v>
      </c>
      <c r="BQ279" s="6">
        <f>SUM(BM279:BP279)/Variables!$E$3</f>
        <v>0</v>
      </c>
      <c r="BS279" s="4">
        <v>277</v>
      </c>
      <c r="BT279" s="125">
        <f t="shared" si="73"/>
        <v>0</v>
      </c>
      <c r="BU279" s="125">
        <f t="shared" si="59"/>
        <v>0</v>
      </c>
      <c r="BV279" s="125">
        <f t="shared" si="60"/>
        <v>0</v>
      </c>
      <c r="BW279" s="125">
        <f t="shared" si="61"/>
        <v>0</v>
      </c>
      <c r="BX279" s="125">
        <f t="shared" si="62"/>
        <v>0</v>
      </c>
      <c r="BY279" s="125">
        <f t="shared" si="63"/>
        <v>0</v>
      </c>
      <c r="BZ279" s="125">
        <f t="shared" si="64"/>
        <v>0</v>
      </c>
      <c r="CA279" s="125">
        <f t="shared" si="65"/>
        <v>0</v>
      </c>
      <c r="CB279" s="125">
        <f t="shared" si="66"/>
        <v>0</v>
      </c>
      <c r="CC279" s="125">
        <f t="shared" si="67"/>
        <v>0</v>
      </c>
      <c r="CD279" s="125">
        <f t="shared" si="68"/>
        <v>0</v>
      </c>
      <c r="CE279" s="125">
        <f t="shared" si="70"/>
        <v>0</v>
      </c>
      <c r="CF279" s="126">
        <f t="shared" si="71"/>
        <v>0</v>
      </c>
      <c r="CH279" s="4">
        <v>277</v>
      </c>
      <c r="CI279" s="129">
        <v>0</v>
      </c>
      <c r="CJ279" s="125">
        <v>0</v>
      </c>
      <c r="CK279" s="125">
        <v>0</v>
      </c>
      <c r="CL279" s="125">
        <v>0</v>
      </c>
      <c r="CM279" s="125">
        <v>0</v>
      </c>
      <c r="CN279" s="125">
        <v>0</v>
      </c>
      <c r="CO279" s="125">
        <v>0</v>
      </c>
      <c r="CP279" s="125">
        <v>0</v>
      </c>
      <c r="CQ279" s="125">
        <v>0</v>
      </c>
      <c r="CR279" s="125">
        <v>0</v>
      </c>
      <c r="CS279" s="125">
        <v>0</v>
      </c>
      <c r="CT279" s="125">
        <v>0</v>
      </c>
      <c r="CU279" s="126">
        <v>0</v>
      </c>
    </row>
    <row r="280" spans="1:99" x14ac:dyDescent="0.25">
      <c r="A280" t="s">
        <v>253</v>
      </c>
      <c r="B280" s="2" t="s">
        <v>1</v>
      </c>
      <c r="C280" s="1">
        <v>26907</v>
      </c>
      <c r="D280" s="19">
        <v>73.633333333333297</v>
      </c>
      <c r="E280" s="18">
        <v>0</v>
      </c>
      <c r="F280" s="19">
        <v>0</v>
      </c>
      <c r="G280" s="19">
        <v>0</v>
      </c>
      <c r="H280" s="19">
        <v>0</v>
      </c>
      <c r="I280" s="19">
        <f>SUM(E280:H280)/Variables!$E$3</f>
        <v>0</v>
      </c>
      <c r="J280" s="4">
        <v>0</v>
      </c>
      <c r="K280">
        <v>0</v>
      </c>
      <c r="L280">
        <v>0</v>
      </c>
      <c r="M280">
        <v>0</v>
      </c>
      <c r="N280" s="6">
        <f>SUM(J280:M280)/Variables!$E$3</f>
        <v>0</v>
      </c>
      <c r="O280" s="4">
        <v>0</v>
      </c>
      <c r="P280">
        <v>0</v>
      </c>
      <c r="Q280">
        <v>0</v>
      </c>
      <c r="R280">
        <v>0</v>
      </c>
      <c r="S280" s="6">
        <f>SUM(O280:R280)/Variables!$E$3</f>
        <v>0</v>
      </c>
      <c r="T280" s="4">
        <v>0</v>
      </c>
      <c r="U280">
        <v>0</v>
      </c>
      <c r="V280">
        <v>0</v>
      </c>
      <c r="W280">
        <v>0</v>
      </c>
      <c r="X280" s="6">
        <f>SUM(T280:W280)/Variables!$E$3</f>
        <v>0</v>
      </c>
      <c r="Y280" s="4">
        <v>0</v>
      </c>
      <c r="Z280">
        <v>0</v>
      </c>
      <c r="AA280">
        <v>0</v>
      </c>
      <c r="AB280">
        <v>0</v>
      </c>
      <c r="AC280" s="6">
        <f>SUM(Y280:AB280)/Variables!$E$3</f>
        <v>0</v>
      </c>
      <c r="AD280" s="4">
        <v>0</v>
      </c>
      <c r="AE280" s="2">
        <v>0</v>
      </c>
      <c r="AF280" s="2">
        <v>0</v>
      </c>
      <c r="AG280" s="2">
        <v>0</v>
      </c>
      <c r="AH280" s="6">
        <f>SUM(AD280:AG280)/Variables!$E$3</f>
        <v>0</v>
      </c>
      <c r="AI280" s="4">
        <v>0</v>
      </c>
      <c r="AJ280" s="2">
        <v>0</v>
      </c>
      <c r="AK280" s="2">
        <v>0</v>
      </c>
      <c r="AL280" s="2">
        <v>0</v>
      </c>
      <c r="AM280" s="6">
        <f>SUM(AI280:AL280)/Variables!$E$3</f>
        <v>0</v>
      </c>
      <c r="AN280" s="4">
        <v>0</v>
      </c>
      <c r="AO280" s="2">
        <v>0</v>
      </c>
      <c r="AP280" s="2">
        <v>0</v>
      </c>
      <c r="AQ280" s="2">
        <v>0</v>
      </c>
      <c r="AR280" s="6">
        <f>SUM(AN280:AQ280)/Variables!$E$3</f>
        <v>0</v>
      </c>
      <c r="AS280" s="4">
        <v>0</v>
      </c>
      <c r="AT280" s="2">
        <v>0</v>
      </c>
      <c r="AU280" s="2">
        <v>0</v>
      </c>
      <c r="AV280" s="2">
        <v>0</v>
      </c>
      <c r="AW280" s="6">
        <f>SUM(AS280:AV280)/Variables!$E$3</f>
        <v>0</v>
      </c>
      <c r="AX280" s="4">
        <v>0</v>
      </c>
      <c r="AY280" s="2">
        <v>0</v>
      </c>
      <c r="AZ280" s="2">
        <v>0</v>
      </c>
      <c r="BA280" s="2">
        <v>0</v>
      </c>
      <c r="BB280" s="6">
        <f>SUM(AX280:BA280)/Variables!$E$3</f>
        <v>0</v>
      </c>
      <c r="BC280" s="12">
        <f t="shared" si="72"/>
        <v>0</v>
      </c>
      <c r="BD280" s="110">
        <f t="shared" si="72"/>
        <v>0</v>
      </c>
      <c r="BE280" s="110">
        <f t="shared" si="72"/>
        <v>0</v>
      </c>
      <c r="BF280" s="110">
        <f t="shared" si="69"/>
        <v>0</v>
      </c>
      <c r="BG280" s="6">
        <f>SUM(BC280:BF280)/Variables!$E$3</f>
        <v>0</v>
      </c>
      <c r="BH280" s="4">
        <v>0</v>
      </c>
      <c r="BI280">
        <v>0</v>
      </c>
      <c r="BJ280">
        <v>0</v>
      </c>
      <c r="BK280">
        <v>0</v>
      </c>
      <c r="BL280" s="6">
        <f>SUM(BH280:BK280)/Variables!$E$3</f>
        <v>0</v>
      </c>
      <c r="BM280" s="110">
        <v>0</v>
      </c>
      <c r="BN280" s="110">
        <v>0</v>
      </c>
      <c r="BO280" s="110">
        <v>0</v>
      </c>
      <c r="BP280" s="110">
        <v>0</v>
      </c>
      <c r="BQ280" s="6">
        <f>SUM(BM280:BP280)/Variables!$E$3</f>
        <v>0</v>
      </c>
      <c r="BS280" s="4">
        <v>278</v>
      </c>
      <c r="BT280" s="125">
        <f t="shared" si="73"/>
        <v>0</v>
      </c>
      <c r="BU280" s="125">
        <f t="shared" si="59"/>
        <v>0</v>
      </c>
      <c r="BV280" s="125">
        <f t="shared" si="60"/>
        <v>0</v>
      </c>
      <c r="BW280" s="125">
        <f t="shared" si="61"/>
        <v>0</v>
      </c>
      <c r="BX280" s="125">
        <f t="shared" si="62"/>
        <v>0</v>
      </c>
      <c r="BY280" s="125">
        <f t="shared" si="63"/>
        <v>0</v>
      </c>
      <c r="BZ280" s="125">
        <f t="shared" si="64"/>
        <v>0</v>
      </c>
      <c r="CA280" s="125">
        <f t="shared" si="65"/>
        <v>0</v>
      </c>
      <c r="CB280" s="125">
        <f t="shared" si="66"/>
        <v>0</v>
      </c>
      <c r="CC280" s="125">
        <f t="shared" si="67"/>
        <v>0</v>
      </c>
      <c r="CD280" s="125">
        <f t="shared" si="68"/>
        <v>0</v>
      </c>
      <c r="CE280" s="125">
        <f t="shared" si="70"/>
        <v>0</v>
      </c>
      <c r="CF280" s="126">
        <f t="shared" si="71"/>
        <v>0</v>
      </c>
      <c r="CH280" s="4">
        <v>278</v>
      </c>
      <c r="CI280" s="129">
        <v>0</v>
      </c>
      <c r="CJ280" s="125">
        <v>0</v>
      </c>
      <c r="CK280" s="125">
        <v>0</v>
      </c>
      <c r="CL280" s="125">
        <v>0</v>
      </c>
      <c r="CM280" s="125">
        <v>0</v>
      </c>
      <c r="CN280" s="125">
        <v>0</v>
      </c>
      <c r="CO280" s="125">
        <v>0</v>
      </c>
      <c r="CP280" s="125">
        <v>0</v>
      </c>
      <c r="CQ280" s="125">
        <v>0</v>
      </c>
      <c r="CR280" s="125">
        <v>0</v>
      </c>
      <c r="CS280" s="125">
        <v>0</v>
      </c>
      <c r="CT280" s="125">
        <v>0</v>
      </c>
      <c r="CU280" s="126">
        <v>0</v>
      </c>
    </row>
    <row r="281" spans="1:99" x14ac:dyDescent="0.25">
      <c r="A281" t="s">
        <v>253</v>
      </c>
      <c r="B281" s="2" t="s">
        <v>2</v>
      </c>
      <c r="C281" s="1">
        <v>26998</v>
      </c>
      <c r="D281" s="19">
        <v>150.94999999999999</v>
      </c>
      <c r="E281" s="18">
        <v>0</v>
      </c>
      <c r="F281" s="19">
        <v>0</v>
      </c>
      <c r="G281" s="19">
        <v>0</v>
      </c>
      <c r="H281" s="19">
        <v>0</v>
      </c>
      <c r="I281" s="19">
        <f>SUM(E281:H281)/Variables!$E$3</f>
        <v>0</v>
      </c>
      <c r="J281" s="4">
        <v>0</v>
      </c>
      <c r="K281">
        <v>0</v>
      </c>
      <c r="L281">
        <v>0</v>
      </c>
      <c r="M281">
        <v>0</v>
      </c>
      <c r="N281" s="6">
        <f>SUM(J281:M281)/Variables!$E$3</f>
        <v>0</v>
      </c>
      <c r="O281" s="4">
        <v>0</v>
      </c>
      <c r="P281">
        <v>0</v>
      </c>
      <c r="Q281">
        <v>0</v>
      </c>
      <c r="R281">
        <v>0</v>
      </c>
      <c r="S281" s="6">
        <f>SUM(O281:R281)/Variables!$E$3</f>
        <v>0</v>
      </c>
      <c r="T281" s="4">
        <v>0</v>
      </c>
      <c r="U281">
        <v>0</v>
      </c>
      <c r="V281">
        <v>0</v>
      </c>
      <c r="W281">
        <v>0</v>
      </c>
      <c r="X281" s="6">
        <f>SUM(T281:W281)/Variables!$E$3</f>
        <v>0</v>
      </c>
      <c r="Y281" s="4">
        <v>0</v>
      </c>
      <c r="Z281">
        <v>0</v>
      </c>
      <c r="AA281">
        <v>0</v>
      </c>
      <c r="AB281">
        <v>0</v>
      </c>
      <c r="AC281" s="6">
        <f>SUM(Y281:AB281)/Variables!$E$3</f>
        <v>0</v>
      </c>
      <c r="AD281" s="4">
        <v>0</v>
      </c>
      <c r="AE281" s="2">
        <v>0</v>
      </c>
      <c r="AF281" s="2">
        <v>0</v>
      </c>
      <c r="AG281" s="2">
        <v>0</v>
      </c>
      <c r="AH281" s="6">
        <f>SUM(AD281:AG281)/Variables!$E$3</f>
        <v>0</v>
      </c>
      <c r="AI281" s="4">
        <v>0</v>
      </c>
      <c r="AJ281" s="2">
        <v>0</v>
      </c>
      <c r="AK281" s="2">
        <v>0</v>
      </c>
      <c r="AL281" s="2">
        <v>0</v>
      </c>
      <c r="AM281" s="6">
        <f>SUM(AI281:AL281)/Variables!$E$3</f>
        <v>0</v>
      </c>
      <c r="AN281" s="4">
        <v>0</v>
      </c>
      <c r="AO281" s="2">
        <v>0</v>
      </c>
      <c r="AP281" s="2">
        <v>0</v>
      </c>
      <c r="AQ281" s="2">
        <v>0</v>
      </c>
      <c r="AR281" s="6">
        <f>SUM(AN281:AQ281)/Variables!$E$3</f>
        <v>0</v>
      </c>
      <c r="AS281" s="4">
        <v>0</v>
      </c>
      <c r="AT281" s="2">
        <v>0</v>
      </c>
      <c r="AU281" s="2">
        <v>0</v>
      </c>
      <c r="AV281" s="2">
        <v>0</v>
      </c>
      <c r="AW281" s="6">
        <f>SUM(AS281:AV281)/Variables!$E$3</f>
        <v>0</v>
      </c>
      <c r="AX281" s="4">
        <v>0</v>
      </c>
      <c r="AY281" s="2">
        <v>0</v>
      </c>
      <c r="AZ281" s="2">
        <v>0</v>
      </c>
      <c r="BA281" s="2">
        <v>0</v>
      </c>
      <c r="BB281" s="6">
        <f>SUM(AX281:BA281)/Variables!$E$3</f>
        <v>0</v>
      </c>
      <c r="BC281" s="12">
        <f t="shared" si="72"/>
        <v>0</v>
      </c>
      <c r="BD281" s="110">
        <f t="shared" si="72"/>
        <v>0</v>
      </c>
      <c r="BE281" s="110">
        <f t="shared" si="72"/>
        <v>0</v>
      </c>
      <c r="BF281" s="110">
        <f t="shared" si="69"/>
        <v>0</v>
      </c>
      <c r="BG281" s="6">
        <f>SUM(BC281:BF281)/Variables!$E$3</f>
        <v>0</v>
      </c>
      <c r="BH281" s="4">
        <v>0</v>
      </c>
      <c r="BI281">
        <v>0</v>
      </c>
      <c r="BJ281">
        <v>0</v>
      </c>
      <c r="BK281">
        <v>0</v>
      </c>
      <c r="BL281" s="6">
        <f>SUM(BH281:BK281)/Variables!$E$3</f>
        <v>0</v>
      </c>
      <c r="BM281" s="110">
        <v>0</v>
      </c>
      <c r="BN281" s="110">
        <v>0</v>
      </c>
      <c r="BO281" s="110">
        <v>0</v>
      </c>
      <c r="BP281" s="110">
        <v>0</v>
      </c>
      <c r="BQ281" s="6">
        <f>SUM(BM281:BP281)/Variables!$E$3</f>
        <v>0</v>
      </c>
      <c r="BS281" s="4">
        <v>279</v>
      </c>
      <c r="BT281" s="125">
        <f t="shared" si="73"/>
        <v>0</v>
      </c>
      <c r="BU281" s="125">
        <f t="shared" si="59"/>
        <v>0.43232329630480049</v>
      </c>
      <c r="BV281" s="125">
        <f t="shared" si="60"/>
        <v>6.4495364175488332E-2</v>
      </c>
      <c r="BW281" s="125">
        <f t="shared" si="61"/>
        <v>0.15871234134870427</v>
      </c>
      <c r="BX281" s="125">
        <f t="shared" si="62"/>
        <v>0.15611152899072833</v>
      </c>
      <c r="BY281" s="125">
        <f t="shared" si="63"/>
        <v>0.12832571912683394</v>
      </c>
      <c r="BZ281" s="125">
        <f t="shared" si="64"/>
        <v>0.10687305521025503</v>
      </c>
      <c r="CA281" s="125">
        <f t="shared" si="65"/>
        <v>0.12056492925518016</v>
      </c>
      <c r="CB281" s="125">
        <f t="shared" si="66"/>
        <v>0.17872983950783458</v>
      </c>
      <c r="CC281" s="125">
        <f t="shared" si="67"/>
        <v>0.132885771067071</v>
      </c>
      <c r="CD281" s="125">
        <f t="shared" si="68"/>
        <v>0.15611152899072833</v>
      </c>
      <c r="CE281" s="125">
        <f t="shared" si="70"/>
        <v>0.12437517320010452</v>
      </c>
      <c r="CF281" s="126">
        <f t="shared" si="71"/>
        <v>0.13787171711573329</v>
      </c>
      <c r="CH281" s="4">
        <v>279</v>
      </c>
      <c r="CI281" s="129">
        <v>0</v>
      </c>
      <c r="CJ281" s="125">
        <v>0.40206177404413335</v>
      </c>
      <c r="CK281" s="125">
        <v>0</v>
      </c>
      <c r="CL281" s="125">
        <v>6.9774978424215553E-2</v>
      </c>
      <c r="CM281" s="125">
        <v>6.9185266708366652E-2</v>
      </c>
      <c r="CN281" s="125">
        <v>5.5947948914876602E-2</v>
      </c>
      <c r="CO281" s="125">
        <v>0</v>
      </c>
      <c r="CP281" s="125">
        <v>0</v>
      </c>
      <c r="CQ281" s="125">
        <v>9.3648128647099343E-2</v>
      </c>
      <c r="CR281" s="125">
        <v>3.5164332259162781E-2</v>
      </c>
      <c r="CS281" s="125">
        <v>6.9185266708366652E-2</v>
      </c>
      <c r="CT281" s="125">
        <v>0</v>
      </c>
      <c r="CU281" s="126">
        <v>7.3111267705999253E-2</v>
      </c>
    </row>
    <row r="282" spans="1:99" x14ac:dyDescent="0.25">
      <c r="A282" t="s">
        <v>254</v>
      </c>
      <c r="B282" s="2" t="s">
        <v>3</v>
      </c>
      <c r="C282" s="1">
        <v>27088</v>
      </c>
      <c r="D282" s="19">
        <v>463.65</v>
      </c>
      <c r="E282" s="18">
        <v>0</v>
      </c>
      <c r="F282" s="19">
        <v>0</v>
      </c>
      <c r="G282" s="19">
        <v>0</v>
      </c>
      <c r="H282" s="19">
        <v>0</v>
      </c>
      <c r="I282" s="19">
        <f>SUM(E282:H282)/Variables!$E$3</f>
        <v>0</v>
      </c>
      <c r="J282" s="4">
        <v>28739</v>
      </c>
      <c r="K282">
        <v>38643</v>
      </c>
      <c r="L282">
        <v>399330</v>
      </c>
      <c r="M282">
        <v>79308</v>
      </c>
      <c r="N282" s="6">
        <f>SUM(J282:M282)/Variables!$E$3</f>
        <v>0.43232329630480049</v>
      </c>
      <c r="O282" s="4">
        <v>0</v>
      </c>
      <c r="P282">
        <v>37</v>
      </c>
      <c r="Q282">
        <v>64928</v>
      </c>
      <c r="R282">
        <v>16492</v>
      </c>
      <c r="S282" s="6">
        <f>SUM(O282:R282)/Variables!$E$3</f>
        <v>6.4495364175488332E-2</v>
      </c>
      <c r="T282" s="4">
        <v>334</v>
      </c>
      <c r="U282">
        <v>2669.5</v>
      </c>
      <c r="V282">
        <v>165524</v>
      </c>
      <c r="W282">
        <v>31924.6</v>
      </c>
      <c r="X282" s="6">
        <f>SUM(T282:W282)/Variables!$E$3</f>
        <v>0.15871234134870427</v>
      </c>
      <c r="Y282" s="4">
        <v>330.5</v>
      </c>
      <c r="Z282">
        <v>2662</v>
      </c>
      <c r="AA282">
        <v>162150.79999999999</v>
      </c>
      <c r="AB282">
        <v>32024</v>
      </c>
      <c r="AC282" s="6">
        <f>SUM(Y282:AB282)/Variables!$E$3</f>
        <v>0.15611152899072833</v>
      </c>
      <c r="AD282" s="4">
        <v>659.70000000000095</v>
      </c>
      <c r="AE282" s="2">
        <v>3307.6</v>
      </c>
      <c r="AF282" s="2">
        <v>128644.2</v>
      </c>
      <c r="AG282" s="2">
        <v>29462.6</v>
      </c>
      <c r="AH282" s="6">
        <f>SUM(AD282:AG282)/Variables!$E$3</f>
        <v>0.12832571912683394</v>
      </c>
      <c r="AI282" s="4">
        <v>63.199999999999797</v>
      </c>
      <c r="AJ282" s="2">
        <v>1651.9</v>
      </c>
      <c r="AK282" s="2">
        <v>113711.3</v>
      </c>
      <c r="AL282" s="2">
        <v>19553.2</v>
      </c>
      <c r="AM282" s="6">
        <f>SUM(AI282:AL282)/Variables!$E$3</f>
        <v>0.10687305521025503</v>
      </c>
      <c r="AN282" s="4">
        <v>263.10000000000002</v>
      </c>
      <c r="AO282" s="2">
        <v>2164.1999999999998</v>
      </c>
      <c r="AP282" s="2">
        <v>118297.5</v>
      </c>
      <c r="AQ282" s="2">
        <v>31547.5</v>
      </c>
      <c r="AR282" s="6">
        <f>SUM(AN282:AQ282)/Variables!$E$3</f>
        <v>0.12056492925518016</v>
      </c>
      <c r="AS282" s="4">
        <v>2500</v>
      </c>
      <c r="AT282" s="2">
        <v>6566.4</v>
      </c>
      <c r="AU282" s="2">
        <v>171066.1</v>
      </c>
      <c r="AV282" s="2">
        <v>45601.5</v>
      </c>
      <c r="AW282" s="6">
        <f>SUM(AS282:AV282)/Variables!$E$3</f>
        <v>0.17872983950783458</v>
      </c>
      <c r="AX282" s="4">
        <v>431.1</v>
      </c>
      <c r="AY282" s="2">
        <v>2455.6999999999998</v>
      </c>
      <c r="AZ282" s="2">
        <v>130515.1</v>
      </c>
      <c r="BA282" s="2">
        <v>34431.5</v>
      </c>
      <c r="BB282" s="6">
        <f>SUM(AX282:BA282)/Variables!$E$3</f>
        <v>0.132885771067071</v>
      </c>
      <c r="BC282" s="12">
        <f t="shared" si="72"/>
        <v>330.5</v>
      </c>
      <c r="BD282" s="110">
        <f t="shared" si="72"/>
        <v>2662</v>
      </c>
      <c r="BE282" s="110">
        <f t="shared" si="72"/>
        <v>162150.79999999999</v>
      </c>
      <c r="BF282" s="110">
        <f t="shared" si="69"/>
        <v>32024</v>
      </c>
      <c r="BG282" s="6">
        <f>SUM(BC282:BF282)/Variables!$E$3</f>
        <v>0.15611152899072833</v>
      </c>
      <c r="BH282" s="4">
        <v>430.2</v>
      </c>
      <c r="BI282">
        <v>2442.9</v>
      </c>
      <c r="BJ282">
        <v>126666.3</v>
      </c>
      <c r="BK282">
        <v>27545.200000000001</v>
      </c>
      <c r="BL282" s="6">
        <f>SUM(BH282:BK282)/Variables!$E$3</f>
        <v>0.12437517320010452</v>
      </c>
      <c r="BM282" s="110">
        <v>829.3</v>
      </c>
      <c r="BN282" s="110">
        <v>3294.8</v>
      </c>
      <c r="BO282" s="110">
        <v>136087.79999999999</v>
      </c>
      <c r="BP282" s="110">
        <v>33918.699999999997</v>
      </c>
      <c r="BQ282" s="6">
        <f>SUM(BM282:BP282)/Variables!$E$3</f>
        <v>0.13787171711573329</v>
      </c>
      <c r="BS282" s="4">
        <v>280</v>
      </c>
      <c r="BT282" s="125">
        <f t="shared" si="73"/>
        <v>0</v>
      </c>
      <c r="BU282" s="125">
        <f t="shared" si="59"/>
        <v>4.3389100467937196E-4</v>
      </c>
      <c r="BV282" s="125">
        <f t="shared" si="60"/>
        <v>0</v>
      </c>
      <c r="BW282" s="125">
        <f t="shared" si="61"/>
        <v>0</v>
      </c>
      <c r="BX282" s="125">
        <f t="shared" si="62"/>
        <v>0</v>
      </c>
      <c r="BY282" s="125">
        <f t="shared" si="63"/>
        <v>0</v>
      </c>
      <c r="BZ282" s="125">
        <f t="shared" si="64"/>
        <v>0</v>
      </c>
      <c r="CA282" s="125">
        <f t="shared" si="65"/>
        <v>0</v>
      </c>
      <c r="CB282" s="125">
        <f t="shared" si="66"/>
        <v>0</v>
      </c>
      <c r="CC282" s="125">
        <f t="shared" si="67"/>
        <v>0</v>
      </c>
      <c r="CD282" s="125">
        <f t="shared" si="68"/>
        <v>0</v>
      </c>
      <c r="CE282" s="125">
        <f t="shared" si="70"/>
        <v>0</v>
      </c>
      <c r="CF282" s="126">
        <f t="shared" si="71"/>
        <v>0</v>
      </c>
      <c r="CH282" s="4">
        <v>280</v>
      </c>
      <c r="CI282" s="129">
        <v>0</v>
      </c>
      <c r="CJ282" s="125">
        <v>0</v>
      </c>
      <c r="CK282" s="125">
        <v>0</v>
      </c>
      <c r="CL282" s="125">
        <v>0</v>
      </c>
      <c r="CM282" s="125">
        <v>0</v>
      </c>
      <c r="CN282" s="125">
        <v>0</v>
      </c>
      <c r="CO282" s="125">
        <v>0</v>
      </c>
      <c r="CP282" s="125">
        <v>0</v>
      </c>
      <c r="CQ282" s="125">
        <v>0</v>
      </c>
      <c r="CR282" s="125">
        <v>0</v>
      </c>
      <c r="CS282" s="125">
        <v>0</v>
      </c>
      <c r="CT282" s="125">
        <v>0</v>
      </c>
      <c r="CU282" s="126">
        <v>0</v>
      </c>
    </row>
    <row r="283" spans="1:99" x14ac:dyDescent="0.25">
      <c r="A283" t="s">
        <v>254</v>
      </c>
      <c r="B283" s="2" t="s">
        <v>4</v>
      </c>
      <c r="C283" s="1">
        <v>27180</v>
      </c>
      <c r="D283" s="19">
        <v>159.51249999999999</v>
      </c>
      <c r="E283" s="18">
        <v>0</v>
      </c>
      <c r="F283" s="19">
        <v>0</v>
      </c>
      <c r="G283" s="19">
        <v>0</v>
      </c>
      <c r="H283" s="19">
        <v>0</v>
      </c>
      <c r="I283" s="19">
        <f>SUM(E283:H283)/Variables!$E$3</f>
        <v>0</v>
      </c>
      <c r="J283" s="4">
        <v>0</v>
      </c>
      <c r="K283">
        <v>548</v>
      </c>
      <c r="L283">
        <v>0</v>
      </c>
      <c r="M283">
        <v>0</v>
      </c>
      <c r="N283" s="6">
        <f>SUM(J283:M283)/Variables!$E$3</f>
        <v>4.3389100467937196E-4</v>
      </c>
      <c r="O283" s="4">
        <v>0</v>
      </c>
      <c r="P283">
        <v>0</v>
      </c>
      <c r="Q283">
        <v>0</v>
      </c>
      <c r="R283">
        <v>0</v>
      </c>
      <c r="S283" s="6">
        <f>SUM(O283:R283)/Variables!$E$3</f>
        <v>0</v>
      </c>
      <c r="T283" s="4">
        <v>0</v>
      </c>
      <c r="U283">
        <v>0</v>
      </c>
      <c r="V283">
        <v>0</v>
      </c>
      <c r="W283">
        <v>0</v>
      </c>
      <c r="X283" s="6">
        <f>SUM(T283:W283)/Variables!$E$3</f>
        <v>0</v>
      </c>
      <c r="Y283" s="4">
        <v>0</v>
      </c>
      <c r="Z283">
        <v>0</v>
      </c>
      <c r="AA283">
        <v>0</v>
      </c>
      <c r="AB283">
        <v>0</v>
      </c>
      <c r="AC283" s="6">
        <f>SUM(Y283:AB283)/Variables!$E$3</f>
        <v>0</v>
      </c>
      <c r="AD283" s="4">
        <v>0</v>
      </c>
      <c r="AE283" s="2">
        <v>0</v>
      </c>
      <c r="AF283" s="2">
        <v>0</v>
      </c>
      <c r="AG283" s="2">
        <v>0</v>
      </c>
      <c r="AH283" s="6">
        <f>SUM(AD283:AG283)/Variables!$E$3</f>
        <v>0</v>
      </c>
      <c r="AI283" s="4">
        <v>0</v>
      </c>
      <c r="AJ283" s="2">
        <v>0</v>
      </c>
      <c r="AK283" s="2">
        <v>0</v>
      </c>
      <c r="AL283" s="2">
        <v>0</v>
      </c>
      <c r="AM283" s="6">
        <f>SUM(AI283:AL283)/Variables!$E$3</f>
        <v>0</v>
      </c>
      <c r="AN283" s="4">
        <v>0</v>
      </c>
      <c r="AO283" s="2">
        <v>0</v>
      </c>
      <c r="AP283" s="2">
        <v>0</v>
      </c>
      <c r="AQ283" s="2">
        <v>0</v>
      </c>
      <c r="AR283" s="6">
        <f>SUM(AN283:AQ283)/Variables!$E$3</f>
        <v>0</v>
      </c>
      <c r="AS283" s="4">
        <v>0</v>
      </c>
      <c r="AT283" s="2">
        <v>0</v>
      </c>
      <c r="AU283" s="2">
        <v>0</v>
      </c>
      <c r="AV283" s="2">
        <v>0</v>
      </c>
      <c r="AW283" s="6">
        <f>SUM(AS283:AV283)/Variables!$E$3</f>
        <v>0</v>
      </c>
      <c r="AX283" s="4">
        <v>0</v>
      </c>
      <c r="AY283" s="2">
        <v>0</v>
      </c>
      <c r="AZ283" s="2">
        <v>0</v>
      </c>
      <c r="BA283" s="2">
        <v>0</v>
      </c>
      <c r="BB283" s="6">
        <f>SUM(AX283:BA283)/Variables!$E$3</f>
        <v>0</v>
      </c>
      <c r="BC283" s="12">
        <f t="shared" si="72"/>
        <v>0</v>
      </c>
      <c r="BD283" s="110">
        <f t="shared" si="72"/>
        <v>0</v>
      </c>
      <c r="BE283" s="110">
        <f t="shared" si="72"/>
        <v>0</v>
      </c>
      <c r="BF283" s="110">
        <f t="shared" si="69"/>
        <v>0</v>
      </c>
      <c r="BG283" s="6">
        <f>SUM(BC283:BF283)/Variables!$E$3</f>
        <v>0</v>
      </c>
      <c r="BH283" s="4">
        <v>0</v>
      </c>
      <c r="BI283">
        <v>0</v>
      </c>
      <c r="BJ283">
        <v>0</v>
      </c>
      <c r="BK283">
        <v>0</v>
      </c>
      <c r="BL283" s="6">
        <f>SUM(BH283:BK283)/Variables!$E$3</f>
        <v>0</v>
      </c>
      <c r="BM283" s="110">
        <v>0</v>
      </c>
      <c r="BN283" s="110">
        <v>0</v>
      </c>
      <c r="BO283" s="110">
        <v>0</v>
      </c>
      <c r="BP283" s="110">
        <v>0</v>
      </c>
      <c r="BQ283" s="6">
        <f>SUM(BM283:BP283)/Variables!$E$3</f>
        <v>0</v>
      </c>
      <c r="BS283" s="4">
        <v>281</v>
      </c>
      <c r="BT283" s="125">
        <f t="shared" si="73"/>
        <v>0</v>
      </c>
      <c r="BU283" s="125">
        <f t="shared" si="59"/>
        <v>0</v>
      </c>
      <c r="BV283" s="125">
        <f t="shared" si="60"/>
        <v>0</v>
      </c>
      <c r="BW283" s="125">
        <f t="shared" si="61"/>
        <v>0</v>
      </c>
      <c r="BX283" s="125">
        <f t="shared" si="62"/>
        <v>0</v>
      </c>
      <c r="BY283" s="125">
        <f t="shared" si="63"/>
        <v>0</v>
      </c>
      <c r="BZ283" s="125">
        <f t="shared" si="64"/>
        <v>0</v>
      </c>
      <c r="CA283" s="125">
        <f t="shared" si="65"/>
        <v>0</v>
      </c>
      <c r="CB283" s="125">
        <f t="shared" si="66"/>
        <v>0</v>
      </c>
      <c r="CC283" s="125">
        <f t="shared" si="67"/>
        <v>0</v>
      </c>
      <c r="CD283" s="125">
        <f t="shared" si="68"/>
        <v>0</v>
      </c>
      <c r="CE283" s="125">
        <f t="shared" si="70"/>
        <v>0</v>
      </c>
      <c r="CF283" s="126">
        <f t="shared" si="71"/>
        <v>0</v>
      </c>
      <c r="CH283" s="4">
        <v>281</v>
      </c>
      <c r="CI283" s="129">
        <v>0</v>
      </c>
      <c r="CJ283" s="125">
        <v>0</v>
      </c>
      <c r="CK283" s="125">
        <v>0</v>
      </c>
      <c r="CL283" s="125">
        <v>0</v>
      </c>
      <c r="CM283" s="125">
        <v>0</v>
      </c>
      <c r="CN283" s="125">
        <v>0</v>
      </c>
      <c r="CO283" s="125">
        <v>0</v>
      </c>
      <c r="CP283" s="125">
        <v>0</v>
      </c>
      <c r="CQ283" s="125">
        <v>0</v>
      </c>
      <c r="CR283" s="125">
        <v>0</v>
      </c>
      <c r="CS283" s="125">
        <v>0</v>
      </c>
      <c r="CT283" s="125">
        <v>0</v>
      </c>
      <c r="CU283" s="126">
        <v>0</v>
      </c>
    </row>
    <row r="284" spans="1:99" x14ac:dyDescent="0.25">
      <c r="A284" t="s">
        <v>254</v>
      </c>
      <c r="B284" s="2" t="s">
        <v>1</v>
      </c>
      <c r="C284" s="1">
        <v>27272</v>
      </c>
      <c r="D284" s="19">
        <v>79.076666666666597</v>
      </c>
      <c r="E284" s="18">
        <v>0</v>
      </c>
      <c r="F284" s="19">
        <v>0</v>
      </c>
      <c r="G284" s="19">
        <v>0</v>
      </c>
      <c r="H284" s="19">
        <v>0</v>
      </c>
      <c r="I284" s="19">
        <f>SUM(E284:H284)/Variables!$E$3</f>
        <v>0</v>
      </c>
      <c r="J284" s="4">
        <v>0</v>
      </c>
      <c r="K284">
        <v>0</v>
      </c>
      <c r="L284">
        <v>0</v>
      </c>
      <c r="M284">
        <v>0</v>
      </c>
      <c r="N284" s="6">
        <f>SUM(J284:M284)/Variables!$E$3</f>
        <v>0</v>
      </c>
      <c r="O284" s="4">
        <v>0</v>
      </c>
      <c r="P284">
        <v>0</v>
      </c>
      <c r="Q284">
        <v>0</v>
      </c>
      <c r="R284">
        <v>0</v>
      </c>
      <c r="S284" s="6">
        <f>SUM(O284:R284)/Variables!$E$3</f>
        <v>0</v>
      </c>
      <c r="T284" s="4">
        <v>0</v>
      </c>
      <c r="U284">
        <v>0</v>
      </c>
      <c r="V284">
        <v>0</v>
      </c>
      <c r="W284">
        <v>0</v>
      </c>
      <c r="X284" s="6">
        <f>SUM(T284:W284)/Variables!$E$3</f>
        <v>0</v>
      </c>
      <c r="Y284" s="4">
        <v>0</v>
      </c>
      <c r="Z284">
        <v>0</v>
      </c>
      <c r="AA284">
        <v>0</v>
      </c>
      <c r="AB284">
        <v>0</v>
      </c>
      <c r="AC284" s="6">
        <f>SUM(Y284:AB284)/Variables!$E$3</f>
        <v>0</v>
      </c>
      <c r="AD284" s="4">
        <v>0</v>
      </c>
      <c r="AE284" s="2">
        <v>0</v>
      </c>
      <c r="AF284" s="2">
        <v>0</v>
      </c>
      <c r="AG284" s="2">
        <v>0</v>
      </c>
      <c r="AH284" s="6">
        <f>SUM(AD284:AG284)/Variables!$E$3</f>
        <v>0</v>
      </c>
      <c r="AI284" s="4">
        <v>0</v>
      </c>
      <c r="AJ284" s="2">
        <v>0</v>
      </c>
      <c r="AK284" s="2">
        <v>0</v>
      </c>
      <c r="AL284" s="2">
        <v>0</v>
      </c>
      <c r="AM284" s="6">
        <f>SUM(AI284:AL284)/Variables!$E$3</f>
        <v>0</v>
      </c>
      <c r="AN284" s="4">
        <v>0</v>
      </c>
      <c r="AO284" s="2">
        <v>0</v>
      </c>
      <c r="AP284" s="2">
        <v>0</v>
      </c>
      <c r="AQ284" s="2">
        <v>0</v>
      </c>
      <c r="AR284" s="6">
        <f>SUM(AN284:AQ284)/Variables!$E$3</f>
        <v>0</v>
      </c>
      <c r="AS284" s="4">
        <v>0</v>
      </c>
      <c r="AT284" s="2">
        <v>0</v>
      </c>
      <c r="AU284" s="2">
        <v>0</v>
      </c>
      <c r="AV284" s="2">
        <v>0</v>
      </c>
      <c r="AW284" s="6">
        <f>SUM(AS284:AV284)/Variables!$E$3</f>
        <v>0</v>
      </c>
      <c r="AX284" s="4">
        <v>0</v>
      </c>
      <c r="AY284" s="2">
        <v>0</v>
      </c>
      <c r="AZ284" s="2">
        <v>0</v>
      </c>
      <c r="BA284" s="2">
        <v>0</v>
      </c>
      <c r="BB284" s="6">
        <f>SUM(AX284:BA284)/Variables!$E$3</f>
        <v>0</v>
      </c>
      <c r="BC284" s="12">
        <f t="shared" si="72"/>
        <v>0</v>
      </c>
      <c r="BD284" s="110">
        <f t="shared" si="72"/>
        <v>0</v>
      </c>
      <c r="BE284" s="110">
        <f t="shared" si="72"/>
        <v>0</v>
      </c>
      <c r="BF284" s="110">
        <f t="shared" si="69"/>
        <v>0</v>
      </c>
      <c r="BG284" s="6">
        <f>SUM(BC284:BF284)/Variables!$E$3</f>
        <v>0</v>
      </c>
      <c r="BH284" s="4">
        <v>0</v>
      </c>
      <c r="BI284">
        <v>0</v>
      </c>
      <c r="BJ284">
        <v>0</v>
      </c>
      <c r="BK284">
        <v>0</v>
      </c>
      <c r="BL284" s="6">
        <f>SUM(BH284:BK284)/Variables!$E$3</f>
        <v>0</v>
      </c>
      <c r="BM284" s="110">
        <v>0</v>
      </c>
      <c r="BN284" s="110">
        <v>0</v>
      </c>
      <c r="BO284" s="110">
        <v>0</v>
      </c>
      <c r="BP284" s="110">
        <v>0</v>
      </c>
      <c r="BQ284" s="6">
        <f>SUM(BM284:BP284)/Variables!$E$3</f>
        <v>0</v>
      </c>
      <c r="BS284" s="4">
        <v>282</v>
      </c>
      <c r="BT284" s="125">
        <f t="shared" si="73"/>
        <v>0</v>
      </c>
      <c r="BU284" s="125">
        <f t="shared" si="59"/>
        <v>0</v>
      </c>
      <c r="BV284" s="125">
        <f t="shared" si="60"/>
        <v>0</v>
      </c>
      <c r="BW284" s="125">
        <f t="shared" si="61"/>
        <v>0</v>
      </c>
      <c r="BX284" s="125">
        <f t="shared" si="62"/>
        <v>0</v>
      </c>
      <c r="BY284" s="125">
        <f t="shared" si="63"/>
        <v>0</v>
      </c>
      <c r="BZ284" s="125">
        <f t="shared" si="64"/>
        <v>0</v>
      </c>
      <c r="CA284" s="125">
        <f t="shared" si="65"/>
        <v>0</v>
      </c>
      <c r="CB284" s="125">
        <f t="shared" si="66"/>
        <v>0</v>
      </c>
      <c r="CC284" s="125">
        <f t="shared" si="67"/>
        <v>0</v>
      </c>
      <c r="CD284" s="125">
        <f t="shared" si="68"/>
        <v>0</v>
      </c>
      <c r="CE284" s="125">
        <f t="shared" si="70"/>
        <v>0</v>
      </c>
      <c r="CF284" s="126">
        <f t="shared" si="71"/>
        <v>0</v>
      </c>
      <c r="CH284" s="4">
        <v>282</v>
      </c>
      <c r="CI284" s="129">
        <v>0</v>
      </c>
      <c r="CJ284" s="125">
        <v>0</v>
      </c>
      <c r="CK284" s="125">
        <v>0</v>
      </c>
      <c r="CL284" s="125">
        <v>0</v>
      </c>
      <c r="CM284" s="125">
        <v>0</v>
      </c>
      <c r="CN284" s="125">
        <v>0</v>
      </c>
      <c r="CO284" s="125">
        <v>0</v>
      </c>
      <c r="CP284" s="125">
        <v>0</v>
      </c>
      <c r="CQ284" s="125">
        <v>0</v>
      </c>
      <c r="CR284" s="125">
        <v>0</v>
      </c>
      <c r="CS284" s="125">
        <v>0</v>
      </c>
      <c r="CT284" s="125">
        <v>0</v>
      </c>
      <c r="CU284" s="126">
        <v>0</v>
      </c>
    </row>
    <row r="285" spans="1:99" x14ac:dyDescent="0.25">
      <c r="A285" t="s">
        <v>254</v>
      </c>
      <c r="B285" s="2" t="s">
        <v>2</v>
      </c>
      <c r="C285" s="1">
        <v>27363</v>
      </c>
      <c r="D285" s="19">
        <v>90.310714285714297</v>
      </c>
      <c r="E285" s="18">
        <v>0</v>
      </c>
      <c r="F285" s="19">
        <v>0</v>
      </c>
      <c r="G285" s="19">
        <v>0</v>
      </c>
      <c r="H285" s="19">
        <v>0</v>
      </c>
      <c r="I285" s="19">
        <f>SUM(E285:H285)/Variables!$E$3</f>
        <v>0</v>
      </c>
      <c r="J285" s="4">
        <v>0</v>
      </c>
      <c r="K285">
        <v>0</v>
      </c>
      <c r="L285">
        <v>0</v>
      </c>
      <c r="M285">
        <v>0</v>
      </c>
      <c r="N285" s="6">
        <f>SUM(J285:M285)/Variables!$E$3</f>
        <v>0</v>
      </c>
      <c r="O285" s="4">
        <v>0</v>
      </c>
      <c r="P285">
        <v>0</v>
      </c>
      <c r="Q285">
        <v>0</v>
      </c>
      <c r="R285">
        <v>0</v>
      </c>
      <c r="S285" s="6">
        <f>SUM(O285:R285)/Variables!$E$3</f>
        <v>0</v>
      </c>
      <c r="T285" s="4">
        <v>0</v>
      </c>
      <c r="U285">
        <v>0</v>
      </c>
      <c r="V285">
        <v>0</v>
      </c>
      <c r="W285">
        <v>0</v>
      </c>
      <c r="X285" s="6">
        <f>SUM(T285:W285)/Variables!$E$3</f>
        <v>0</v>
      </c>
      <c r="Y285" s="4">
        <v>0</v>
      </c>
      <c r="Z285">
        <v>0</v>
      </c>
      <c r="AA285">
        <v>0</v>
      </c>
      <c r="AB285">
        <v>0</v>
      </c>
      <c r="AC285" s="6">
        <f>SUM(Y285:AB285)/Variables!$E$3</f>
        <v>0</v>
      </c>
      <c r="AD285" s="4">
        <v>0</v>
      </c>
      <c r="AE285" s="2">
        <v>0</v>
      </c>
      <c r="AF285" s="2">
        <v>0</v>
      </c>
      <c r="AG285" s="2">
        <v>0</v>
      </c>
      <c r="AH285" s="6">
        <f>SUM(AD285:AG285)/Variables!$E$3</f>
        <v>0</v>
      </c>
      <c r="AI285" s="4">
        <v>0</v>
      </c>
      <c r="AJ285" s="2">
        <v>0</v>
      </c>
      <c r="AK285" s="2">
        <v>0</v>
      </c>
      <c r="AL285" s="2">
        <v>0</v>
      </c>
      <c r="AM285" s="6">
        <f>SUM(AI285:AL285)/Variables!$E$3</f>
        <v>0</v>
      </c>
      <c r="AN285" s="4">
        <v>0</v>
      </c>
      <c r="AO285" s="2">
        <v>0</v>
      </c>
      <c r="AP285" s="2">
        <v>0</v>
      </c>
      <c r="AQ285" s="2">
        <v>0</v>
      </c>
      <c r="AR285" s="6">
        <f>SUM(AN285:AQ285)/Variables!$E$3</f>
        <v>0</v>
      </c>
      <c r="AS285" s="4">
        <v>0</v>
      </c>
      <c r="AT285" s="2">
        <v>0</v>
      </c>
      <c r="AU285" s="2">
        <v>0</v>
      </c>
      <c r="AV285" s="2">
        <v>0</v>
      </c>
      <c r="AW285" s="6">
        <f>SUM(AS285:AV285)/Variables!$E$3</f>
        <v>0</v>
      </c>
      <c r="AX285" s="4">
        <v>0</v>
      </c>
      <c r="AY285" s="2">
        <v>0</v>
      </c>
      <c r="AZ285" s="2">
        <v>0</v>
      </c>
      <c r="BA285" s="2">
        <v>0</v>
      </c>
      <c r="BB285" s="6">
        <f>SUM(AX285:BA285)/Variables!$E$3</f>
        <v>0</v>
      </c>
      <c r="BC285" s="12">
        <f t="shared" si="72"/>
        <v>0</v>
      </c>
      <c r="BD285" s="110">
        <f t="shared" si="72"/>
        <v>0</v>
      </c>
      <c r="BE285" s="110">
        <f t="shared" si="72"/>
        <v>0</v>
      </c>
      <c r="BF285" s="110">
        <f t="shared" si="69"/>
        <v>0</v>
      </c>
      <c r="BG285" s="6">
        <f>SUM(BC285:BF285)/Variables!$E$3</f>
        <v>0</v>
      </c>
      <c r="BH285" s="4">
        <v>0</v>
      </c>
      <c r="BI285">
        <v>0</v>
      </c>
      <c r="BJ285">
        <v>0</v>
      </c>
      <c r="BK285">
        <v>0</v>
      </c>
      <c r="BL285" s="6">
        <f>SUM(BH285:BK285)/Variables!$E$3</f>
        <v>0</v>
      </c>
      <c r="BM285" s="110">
        <v>0</v>
      </c>
      <c r="BN285" s="110">
        <v>0</v>
      </c>
      <c r="BO285" s="110">
        <v>0</v>
      </c>
      <c r="BP285" s="110">
        <v>0</v>
      </c>
      <c r="BQ285" s="6">
        <f>SUM(BM285:BP285)/Variables!$E$3</f>
        <v>0</v>
      </c>
      <c r="BS285" s="4">
        <v>283</v>
      </c>
      <c r="BT285" s="125">
        <f t="shared" si="73"/>
        <v>0</v>
      </c>
      <c r="BU285" s="125">
        <f t="shared" si="59"/>
        <v>1.6283581025978038E-2</v>
      </c>
      <c r="BV285" s="125">
        <f t="shared" si="60"/>
        <v>0</v>
      </c>
      <c r="BW285" s="125">
        <f t="shared" si="61"/>
        <v>0</v>
      </c>
      <c r="BX285" s="125">
        <f t="shared" si="62"/>
        <v>0</v>
      </c>
      <c r="BY285" s="125">
        <f t="shared" si="63"/>
        <v>0</v>
      </c>
      <c r="BZ285" s="125">
        <f t="shared" si="64"/>
        <v>0</v>
      </c>
      <c r="CA285" s="125">
        <f t="shared" si="65"/>
        <v>0</v>
      </c>
      <c r="CB285" s="125">
        <f t="shared" si="66"/>
        <v>0</v>
      </c>
      <c r="CC285" s="125">
        <f t="shared" si="67"/>
        <v>0</v>
      </c>
      <c r="CD285" s="125">
        <f t="shared" si="68"/>
        <v>0</v>
      </c>
      <c r="CE285" s="125">
        <f t="shared" si="70"/>
        <v>0</v>
      </c>
      <c r="CF285" s="126">
        <f t="shared" si="71"/>
        <v>0</v>
      </c>
      <c r="CH285" s="4">
        <v>283</v>
      </c>
      <c r="CI285" s="129">
        <v>0</v>
      </c>
      <c r="CJ285" s="125">
        <v>0</v>
      </c>
      <c r="CK285" s="125">
        <v>0</v>
      </c>
      <c r="CL285" s="125">
        <v>0</v>
      </c>
      <c r="CM285" s="125">
        <v>0</v>
      </c>
      <c r="CN285" s="125">
        <v>0</v>
      </c>
      <c r="CO285" s="125">
        <v>0</v>
      </c>
      <c r="CP285" s="125">
        <v>0</v>
      </c>
      <c r="CQ285" s="125">
        <v>0</v>
      </c>
      <c r="CR285" s="125">
        <v>0</v>
      </c>
      <c r="CS285" s="125">
        <v>0</v>
      </c>
      <c r="CT285" s="125">
        <v>0</v>
      </c>
      <c r="CU285" s="126">
        <v>0</v>
      </c>
    </row>
    <row r="286" spans="1:99" x14ac:dyDescent="0.25">
      <c r="A286" t="s">
        <v>255</v>
      </c>
      <c r="B286" s="2" t="s">
        <v>3</v>
      </c>
      <c r="C286" s="1">
        <v>27453</v>
      </c>
      <c r="D286" s="19">
        <v>168.2</v>
      </c>
      <c r="E286" s="18">
        <v>0</v>
      </c>
      <c r="F286" s="19">
        <v>0</v>
      </c>
      <c r="G286" s="19">
        <v>0</v>
      </c>
      <c r="H286" s="19">
        <v>0</v>
      </c>
      <c r="I286" s="19">
        <f>SUM(E286:H286)/Variables!$E$3</f>
        <v>0</v>
      </c>
      <c r="J286" s="4">
        <v>0</v>
      </c>
      <c r="K286">
        <v>0</v>
      </c>
      <c r="L286">
        <v>20566</v>
      </c>
      <c r="M286">
        <v>0</v>
      </c>
      <c r="N286" s="6">
        <f>SUM(J286:M286)/Variables!$E$3</f>
        <v>1.6283581025978038E-2</v>
      </c>
      <c r="O286" s="4">
        <v>0</v>
      </c>
      <c r="P286">
        <v>0</v>
      </c>
      <c r="Q286">
        <v>0</v>
      </c>
      <c r="R286">
        <v>0</v>
      </c>
      <c r="S286" s="6">
        <f>SUM(O286:R286)/Variables!$E$3</f>
        <v>0</v>
      </c>
      <c r="T286" s="4">
        <v>0</v>
      </c>
      <c r="U286">
        <v>0</v>
      </c>
      <c r="V286">
        <v>0</v>
      </c>
      <c r="W286">
        <v>0</v>
      </c>
      <c r="X286" s="6">
        <f>SUM(T286:W286)/Variables!$E$3</f>
        <v>0</v>
      </c>
      <c r="Y286" s="4">
        <v>0</v>
      </c>
      <c r="Z286">
        <v>0</v>
      </c>
      <c r="AA286">
        <v>0</v>
      </c>
      <c r="AB286">
        <v>0</v>
      </c>
      <c r="AC286" s="6">
        <f>SUM(Y286:AB286)/Variables!$E$3</f>
        <v>0</v>
      </c>
      <c r="AD286" s="4">
        <v>0</v>
      </c>
      <c r="AE286" s="2">
        <v>0</v>
      </c>
      <c r="AF286" s="2">
        <v>0</v>
      </c>
      <c r="AG286" s="2">
        <v>0</v>
      </c>
      <c r="AH286" s="6">
        <f>SUM(AD286:AG286)/Variables!$E$3</f>
        <v>0</v>
      </c>
      <c r="AI286" s="4">
        <v>0</v>
      </c>
      <c r="AJ286" s="2">
        <v>0</v>
      </c>
      <c r="AK286" s="2">
        <v>0</v>
      </c>
      <c r="AL286" s="2">
        <v>0</v>
      </c>
      <c r="AM286" s="6">
        <f>SUM(AI286:AL286)/Variables!$E$3</f>
        <v>0</v>
      </c>
      <c r="AN286" s="4">
        <v>0</v>
      </c>
      <c r="AO286" s="2">
        <v>0</v>
      </c>
      <c r="AP286" s="2">
        <v>0</v>
      </c>
      <c r="AQ286" s="2">
        <v>0</v>
      </c>
      <c r="AR286" s="6">
        <f>SUM(AN286:AQ286)/Variables!$E$3</f>
        <v>0</v>
      </c>
      <c r="AS286" s="4">
        <v>0</v>
      </c>
      <c r="AT286" s="2">
        <v>0</v>
      </c>
      <c r="AU286" s="2">
        <v>0</v>
      </c>
      <c r="AV286" s="2">
        <v>0</v>
      </c>
      <c r="AW286" s="6">
        <f>SUM(AS286:AV286)/Variables!$E$3</f>
        <v>0</v>
      </c>
      <c r="AX286" s="4">
        <v>0</v>
      </c>
      <c r="AY286" s="2">
        <v>0</v>
      </c>
      <c r="AZ286" s="2">
        <v>0</v>
      </c>
      <c r="BA286" s="2">
        <v>0</v>
      </c>
      <c r="BB286" s="6">
        <f>SUM(AX286:BA286)/Variables!$E$3</f>
        <v>0</v>
      </c>
      <c r="BC286" s="12">
        <f t="shared" si="72"/>
        <v>0</v>
      </c>
      <c r="BD286" s="110">
        <f t="shared" si="72"/>
        <v>0</v>
      </c>
      <c r="BE286" s="110">
        <f t="shared" si="72"/>
        <v>0</v>
      </c>
      <c r="BF286" s="110">
        <f t="shared" si="69"/>
        <v>0</v>
      </c>
      <c r="BG286" s="6">
        <f>SUM(BC286:BF286)/Variables!$E$3</f>
        <v>0</v>
      </c>
      <c r="BH286" s="4">
        <v>0</v>
      </c>
      <c r="BI286">
        <v>0</v>
      </c>
      <c r="BJ286">
        <v>0</v>
      </c>
      <c r="BK286">
        <v>0</v>
      </c>
      <c r="BL286" s="6">
        <f>SUM(BH286:BK286)/Variables!$E$3</f>
        <v>0</v>
      </c>
      <c r="BM286" s="110">
        <v>0</v>
      </c>
      <c r="BN286" s="110">
        <v>0</v>
      </c>
      <c r="BO286" s="110">
        <v>0</v>
      </c>
      <c r="BP286" s="110">
        <v>0</v>
      </c>
      <c r="BQ286" s="6">
        <f>SUM(BM286:BP286)/Variables!$E$3</f>
        <v>0</v>
      </c>
      <c r="BS286" s="4">
        <v>284</v>
      </c>
      <c r="BT286" s="125">
        <f t="shared" si="73"/>
        <v>0</v>
      </c>
      <c r="BU286" s="125">
        <f t="shared" si="59"/>
        <v>3.297650812753862E-2</v>
      </c>
      <c r="BV286" s="125">
        <f t="shared" si="60"/>
        <v>0</v>
      </c>
      <c r="BW286" s="125">
        <f t="shared" si="61"/>
        <v>3.0502220920197308E-3</v>
      </c>
      <c r="BX286" s="125">
        <f t="shared" si="62"/>
        <v>2.8027933712856E-3</v>
      </c>
      <c r="BY286" s="125">
        <f t="shared" si="63"/>
        <v>1.6262994956412957E-4</v>
      </c>
      <c r="BZ286" s="125">
        <f t="shared" si="64"/>
        <v>2.3555214213889263E-4</v>
      </c>
      <c r="CA286" s="125">
        <f t="shared" si="65"/>
        <v>7.395149605301744E-5</v>
      </c>
      <c r="CB286" s="125">
        <f t="shared" si="66"/>
        <v>2.6506148108852799E-3</v>
      </c>
      <c r="CC286" s="125">
        <f t="shared" si="67"/>
        <v>6.8963333043016971E-4</v>
      </c>
      <c r="CD286" s="125">
        <f t="shared" si="68"/>
        <v>2.8027933712856E-3</v>
      </c>
      <c r="CE286" s="125">
        <f t="shared" si="70"/>
        <v>1.2725358078844646E-3</v>
      </c>
      <c r="CF286" s="126">
        <f t="shared" si="71"/>
        <v>1.8358815192519337E-3</v>
      </c>
      <c r="CH286" s="4">
        <v>284</v>
      </c>
      <c r="CI286" s="129">
        <v>0</v>
      </c>
      <c r="CJ286" s="125">
        <v>0</v>
      </c>
      <c r="CK286" s="125">
        <v>0</v>
      </c>
      <c r="CL286" s="125">
        <v>0</v>
      </c>
      <c r="CM286" s="125">
        <v>0</v>
      </c>
      <c r="CN286" s="125">
        <v>0</v>
      </c>
      <c r="CO286" s="125">
        <v>0</v>
      </c>
      <c r="CP286" s="125">
        <v>0</v>
      </c>
      <c r="CQ286" s="125">
        <v>0</v>
      </c>
      <c r="CR286" s="125">
        <v>0</v>
      </c>
      <c r="CS286" s="125">
        <v>0</v>
      </c>
      <c r="CT286" s="125">
        <v>0</v>
      </c>
      <c r="CU286" s="126">
        <v>0</v>
      </c>
    </row>
    <row r="287" spans="1:99" x14ac:dyDescent="0.25">
      <c r="A287" t="s">
        <v>255</v>
      </c>
      <c r="B287" s="2" t="s">
        <v>4</v>
      </c>
      <c r="C287" s="1">
        <v>27545</v>
      </c>
      <c r="D287" s="19">
        <v>19.3</v>
      </c>
      <c r="E287" s="18">
        <v>0</v>
      </c>
      <c r="F287" s="19">
        <v>0</v>
      </c>
      <c r="G287" s="19">
        <v>0</v>
      </c>
      <c r="H287" s="19">
        <v>0</v>
      </c>
      <c r="I287" s="19">
        <f>SUM(E287:H287)/Variables!$E$3</f>
        <v>0</v>
      </c>
      <c r="J287" s="4">
        <v>0</v>
      </c>
      <c r="K287">
        <v>0</v>
      </c>
      <c r="L287">
        <v>41649</v>
      </c>
      <c r="M287">
        <v>0</v>
      </c>
      <c r="N287" s="6">
        <f>SUM(J287:M287)/Variables!$E$3</f>
        <v>3.297650812753862E-2</v>
      </c>
      <c r="O287" s="4">
        <v>0</v>
      </c>
      <c r="P287">
        <v>0</v>
      </c>
      <c r="Q287">
        <v>0</v>
      </c>
      <c r="R287">
        <v>0</v>
      </c>
      <c r="S287" s="6">
        <f>SUM(O287:R287)/Variables!$E$3</f>
        <v>0</v>
      </c>
      <c r="T287" s="4">
        <v>0</v>
      </c>
      <c r="U287">
        <v>0</v>
      </c>
      <c r="V287">
        <v>3852.4</v>
      </c>
      <c r="W287">
        <v>0</v>
      </c>
      <c r="X287" s="6">
        <f>SUM(T287:W287)/Variables!$E$3</f>
        <v>3.0502220920197308E-3</v>
      </c>
      <c r="Y287" s="4">
        <v>0</v>
      </c>
      <c r="Z287">
        <v>0</v>
      </c>
      <c r="AA287">
        <v>3539.9</v>
      </c>
      <c r="AB287">
        <v>0</v>
      </c>
      <c r="AC287" s="6">
        <f>SUM(Y287:AB287)/Variables!$E$3</f>
        <v>2.8027933712856E-3</v>
      </c>
      <c r="AD287" s="4">
        <v>0</v>
      </c>
      <c r="AE287" s="2">
        <v>0</v>
      </c>
      <c r="AF287" s="2">
        <v>205.4</v>
      </c>
      <c r="AG287" s="2">
        <v>0</v>
      </c>
      <c r="AH287" s="6">
        <f>SUM(AD287:AG287)/Variables!$E$3</f>
        <v>1.6262994956412957E-4</v>
      </c>
      <c r="AI287" s="4">
        <v>0</v>
      </c>
      <c r="AJ287" s="2">
        <v>0</v>
      </c>
      <c r="AK287" s="2">
        <v>297.5</v>
      </c>
      <c r="AL287" s="2">
        <v>0</v>
      </c>
      <c r="AM287" s="6">
        <f>SUM(AI287:AL287)/Variables!$E$3</f>
        <v>2.3555214213889263E-4</v>
      </c>
      <c r="AN287" s="4">
        <v>0</v>
      </c>
      <c r="AO287" s="2">
        <v>0</v>
      </c>
      <c r="AP287" s="2">
        <v>93.400000000000503</v>
      </c>
      <c r="AQ287" s="2">
        <v>0</v>
      </c>
      <c r="AR287" s="6">
        <f>SUM(AN287:AQ287)/Variables!$E$3</f>
        <v>7.395149605301744E-5</v>
      </c>
      <c r="AS287" s="4">
        <v>0</v>
      </c>
      <c r="AT287" s="2">
        <v>0</v>
      </c>
      <c r="AU287" s="2">
        <v>3347.7</v>
      </c>
      <c r="AV287" s="2">
        <v>0</v>
      </c>
      <c r="AW287" s="6">
        <f>SUM(AS287:AV287)/Variables!$E$3</f>
        <v>2.6506148108852799E-3</v>
      </c>
      <c r="AX287" s="4">
        <v>0</v>
      </c>
      <c r="AY287" s="2">
        <v>0</v>
      </c>
      <c r="AZ287" s="2">
        <v>871</v>
      </c>
      <c r="BA287" s="2">
        <v>0</v>
      </c>
      <c r="BB287" s="6">
        <f>SUM(AX287:BA287)/Variables!$E$3</f>
        <v>6.8963333043016971E-4</v>
      </c>
      <c r="BC287" s="12">
        <f t="shared" si="72"/>
        <v>0</v>
      </c>
      <c r="BD287" s="110">
        <f t="shared" si="72"/>
        <v>0</v>
      </c>
      <c r="BE287" s="110">
        <f t="shared" si="72"/>
        <v>3539.9</v>
      </c>
      <c r="BF287" s="110">
        <f t="shared" si="69"/>
        <v>0</v>
      </c>
      <c r="BG287" s="6">
        <f>SUM(BC287:BF287)/Variables!$E$3</f>
        <v>2.8027933712856E-3</v>
      </c>
      <c r="BH287" s="4">
        <v>0</v>
      </c>
      <c r="BI287">
        <v>0</v>
      </c>
      <c r="BJ287">
        <v>1607.2</v>
      </c>
      <c r="BK287">
        <v>0</v>
      </c>
      <c r="BL287" s="6">
        <f>SUM(BH287:BK287)/Variables!$E$3</f>
        <v>1.2725358078844646E-3</v>
      </c>
      <c r="BM287" s="110">
        <v>0</v>
      </c>
      <c r="BN287" s="110">
        <v>0</v>
      </c>
      <c r="BO287" s="110">
        <v>2318.6999999999998</v>
      </c>
      <c r="BP287" s="110">
        <v>0</v>
      </c>
      <c r="BQ287" s="6">
        <f>SUM(BM287:BP287)/Variables!$E$3</f>
        <v>1.8358815192519337E-3</v>
      </c>
      <c r="BS287" s="4">
        <v>285</v>
      </c>
      <c r="BT287" s="125">
        <f t="shared" si="73"/>
        <v>0</v>
      </c>
      <c r="BU287" s="125">
        <f t="shared" si="59"/>
        <v>0</v>
      </c>
      <c r="BV287" s="125">
        <f t="shared" si="60"/>
        <v>0</v>
      </c>
      <c r="BW287" s="125">
        <f t="shared" si="61"/>
        <v>0</v>
      </c>
      <c r="BX287" s="125">
        <f t="shared" si="62"/>
        <v>0</v>
      </c>
      <c r="BY287" s="125">
        <f t="shared" si="63"/>
        <v>0</v>
      </c>
      <c r="BZ287" s="125">
        <f t="shared" si="64"/>
        <v>0</v>
      </c>
      <c r="CA287" s="125">
        <f t="shared" si="65"/>
        <v>0</v>
      </c>
      <c r="CB287" s="125">
        <f t="shared" si="66"/>
        <v>0</v>
      </c>
      <c r="CC287" s="125">
        <f t="shared" si="67"/>
        <v>0</v>
      </c>
      <c r="CD287" s="125">
        <f t="shared" si="68"/>
        <v>0</v>
      </c>
      <c r="CE287" s="125">
        <f t="shared" si="70"/>
        <v>0</v>
      </c>
      <c r="CF287" s="126">
        <f t="shared" si="71"/>
        <v>0</v>
      </c>
      <c r="CH287" s="4">
        <v>285</v>
      </c>
      <c r="CI287" s="129">
        <v>0</v>
      </c>
      <c r="CJ287" s="125">
        <v>0</v>
      </c>
      <c r="CK287" s="125">
        <v>0</v>
      </c>
      <c r="CL287" s="125">
        <v>0</v>
      </c>
      <c r="CM287" s="125">
        <v>0</v>
      </c>
      <c r="CN287" s="125">
        <v>0</v>
      </c>
      <c r="CO287" s="125">
        <v>0</v>
      </c>
      <c r="CP287" s="125">
        <v>0</v>
      </c>
      <c r="CQ287" s="125">
        <v>0</v>
      </c>
      <c r="CR287" s="125">
        <v>0</v>
      </c>
      <c r="CS287" s="125">
        <v>0</v>
      </c>
      <c r="CT287" s="125">
        <v>0</v>
      </c>
      <c r="CU287" s="126">
        <v>0</v>
      </c>
    </row>
    <row r="288" spans="1:99" x14ac:dyDescent="0.25">
      <c r="A288" t="s">
        <v>255</v>
      </c>
      <c r="B288" s="2" t="s">
        <v>1</v>
      </c>
      <c r="C288" s="1">
        <v>27637</v>
      </c>
      <c r="D288" s="19">
        <v>73.5</v>
      </c>
      <c r="E288" s="18">
        <v>0</v>
      </c>
      <c r="F288" s="19">
        <v>0</v>
      </c>
      <c r="G288" s="19">
        <v>0</v>
      </c>
      <c r="H288" s="19">
        <v>0</v>
      </c>
      <c r="I288" s="19">
        <f>SUM(E288:H288)/Variables!$E$3</f>
        <v>0</v>
      </c>
      <c r="J288" s="4">
        <v>0</v>
      </c>
      <c r="K288">
        <v>0</v>
      </c>
      <c r="L288">
        <v>0</v>
      </c>
      <c r="M288">
        <v>0</v>
      </c>
      <c r="N288" s="6">
        <f>SUM(J288:M288)/Variables!$E$3</f>
        <v>0</v>
      </c>
      <c r="O288" s="4">
        <v>0</v>
      </c>
      <c r="P288">
        <v>0</v>
      </c>
      <c r="Q288">
        <v>0</v>
      </c>
      <c r="R288">
        <v>0</v>
      </c>
      <c r="S288" s="6">
        <f>SUM(O288:R288)/Variables!$E$3</f>
        <v>0</v>
      </c>
      <c r="T288" s="4">
        <v>0</v>
      </c>
      <c r="U288">
        <v>0</v>
      </c>
      <c r="V288">
        <v>0</v>
      </c>
      <c r="W288">
        <v>0</v>
      </c>
      <c r="X288" s="6">
        <f>SUM(T288:W288)/Variables!$E$3</f>
        <v>0</v>
      </c>
      <c r="Y288" s="4">
        <v>0</v>
      </c>
      <c r="Z288">
        <v>0</v>
      </c>
      <c r="AA288">
        <v>0</v>
      </c>
      <c r="AB288">
        <v>0</v>
      </c>
      <c r="AC288" s="6">
        <f>SUM(Y288:AB288)/Variables!$E$3</f>
        <v>0</v>
      </c>
      <c r="AD288" s="4">
        <v>0</v>
      </c>
      <c r="AE288" s="2">
        <v>0</v>
      </c>
      <c r="AF288" s="2">
        <v>0</v>
      </c>
      <c r="AG288" s="2">
        <v>0</v>
      </c>
      <c r="AH288" s="6">
        <f>SUM(AD288:AG288)/Variables!$E$3</f>
        <v>0</v>
      </c>
      <c r="AI288" s="4">
        <v>0</v>
      </c>
      <c r="AJ288" s="2">
        <v>0</v>
      </c>
      <c r="AK288" s="2">
        <v>0</v>
      </c>
      <c r="AL288" s="2">
        <v>0</v>
      </c>
      <c r="AM288" s="6">
        <f>SUM(AI288:AL288)/Variables!$E$3</f>
        <v>0</v>
      </c>
      <c r="AN288" s="4">
        <v>0</v>
      </c>
      <c r="AO288" s="2">
        <v>0</v>
      </c>
      <c r="AP288" s="2">
        <v>0</v>
      </c>
      <c r="AQ288" s="2">
        <v>0</v>
      </c>
      <c r="AR288" s="6">
        <f>SUM(AN288:AQ288)/Variables!$E$3</f>
        <v>0</v>
      </c>
      <c r="AS288" s="4">
        <v>0</v>
      </c>
      <c r="AT288" s="2">
        <v>0</v>
      </c>
      <c r="AU288" s="2">
        <v>0</v>
      </c>
      <c r="AV288" s="2">
        <v>0</v>
      </c>
      <c r="AW288" s="6">
        <f>SUM(AS288:AV288)/Variables!$E$3</f>
        <v>0</v>
      </c>
      <c r="AX288" s="4">
        <v>0</v>
      </c>
      <c r="AY288" s="2">
        <v>0</v>
      </c>
      <c r="AZ288" s="2">
        <v>0</v>
      </c>
      <c r="BA288" s="2">
        <v>0</v>
      </c>
      <c r="BB288" s="6">
        <f>SUM(AX288:BA288)/Variables!$E$3</f>
        <v>0</v>
      </c>
      <c r="BC288" s="12">
        <f t="shared" si="72"/>
        <v>0</v>
      </c>
      <c r="BD288" s="110">
        <f t="shared" si="72"/>
        <v>0</v>
      </c>
      <c r="BE288" s="110">
        <f t="shared" si="72"/>
        <v>0</v>
      </c>
      <c r="BF288" s="110">
        <f t="shared" si="69"/>
        <v>0</v>
      </c>
      <c r="BG288" s="6">
        <f>SUM(BC288:BF288)/Variables!$E$3</f>
        <v>0</v>
      </c>
      <c r="BH288" s="4">
        <v>0</v>
      </c>
      <c r="BI288">
        <v>0</v>
      </c>
      <c r="BJ288">
        <v>0</v>
      </c>
      <c r="BK288">
        <v>0</v>
      </c>
      <c r="BL288" s="6">
        <f>SUM(BH288:BK288)/Variables!$E$3</f>
        <v>0</v>
      </c>
      <c r="BM288" s="110">
        <v>0</v>
      </c>
      <c r="BN288" s="110">
        <v>0</v>
      </c>
      <c r="BO288" s="110">
        <v>0</v>
      </c>
      <c r="BP288" s="110">
        <v>0</v>
      </c>
      <c r="BQ288" s="6">
        <f>SUM(BM288:BP288)/Variables!$E$3</f>
        <v>0</v>
      </c>
      <c r="BS288" s="4">
        <v>286</v>
      </c>
      <c r="BT288" s="125">
        <f t="shared" si="73"/>
        <v>0</v>
      </c>
      <c r="BU288" s="125">
        <f t="shared" si="59"/>
        <v>0</v>
      </c>
      <c r="BV288" s="125">
        <f t="shared" si="60"/>
        <v>0</v>
      </c>
      <c r="BW288" s="125">
        <f t="shared" si="61"/>
        <v>0</v>
      </c>
      <c r="BX288" s="125">
        <f t="shared" si="62"/>
        <v>0</v>
      </c>
      <c r="BY288" s="125">
        <f t="shared" si="63"/>
        <v>0</v>
      </c>
      <c r="BZ288" s="125">
        <f t="shared" si="64"/>
        <v>0</v>
      </c>
      <c r="CA288" s="125">
        <f t="shared" si="65"/>
        <v>0</v>
      </c>
      <c r="CB288" s="125">
        <f t="shared" si="66"/>
        <v>0</v>
      </c>
      <c r="CC288" s="125">
        <f t="shared" si="67"/>
        <v>0</v>
      </c>
      <c r="CD288" s="125">
        <f t="shared" si="68"/>
        <v>0</v>
      </c>
      <c r="CE288" s="125">
        <f t="shared" si="70"/>
        <v>0</v>
      </c>
      <c r="CF288" s="126">
        <f t="shared" si="71"/>
        <v>0</v>
      </c>
      <c r="CH288" s="4">
        <v>286</v>
      </c>
      <c r="CI288" s="129">
        <v>0</v>
      </c>
      <c r="CJ288" s="125">
        <v>0</v>
      </c>
      <c r="CK288" s="125">
        <v>0</v>
      </c>
      <c r="CL288" s="125">
        <v>0</v>
      </c>
      <c r="CM288" s="125">
        <v>0</v>
      </c>
      <c r="CN288" s="125">
        <v>0</v>
      </c>
      <c r="CO288" s="125">
        <v>0</v>
      </c>
      <c r="CP288" s="125">
        <v>0</v>
      </c>
      <c r="CQ288" s="125">
        <v>0</v>
      </c>
      <c r="CR288" s="125">
        <v>0</v>
      </c>
      <c r="CS288" s="125">
        <v>0</v>
      </c>
      <c r="CT288" s="125">
        <v>0</v>
      </c>
      <c r="CU288" s="126">
        <v>0</v>
      </c>
    </row>
    <row r="289" spans="1:99" x14ac:dyDescent="0.25">
      <c r="A289" t="s">
        <v>255</v>
      </c>
      <c r="B289" s="2" t="s">
        <v>2</v>
      </c>
      <c r="C289" s="1">
        <v>27728</v>
      </c>
      <c r="D289" s="19">
        <v>44.3857142857143</v>
      </c>
      <c r="E289" s="18">
        <v>0</v>
      </c>
      <c r="F289" s="19">
        <v>0</v>
      </c>
      <c r="G289" s="19">
        <v>0</v>
      </c>
      <c r="H289" s="19">
        <v>0</v>
      </c>
      <c r="I289" s="19">
        <f>SUM(E289:H289)/Variables!$E$3</f>
        <v>0</v>
      </c>
      <c r="J289" s="4">
        <v>0</v>
      </c>
      <c r="K289">
        <v>0</v>
      </c>
      <c r="L289">
        <v>0</v>
      </c>
      <c r="M289">
        <v>0</v>
      </c>
      <c r="N289" s="6">
        <f>SUM(J289:M289)/Variables!$E$3</f>
        <v>0</v>
      </c>
      <c r="O289" s="4">
        <v>0</v>
      </c>
      <c r="P289">
        <v>0</v>
      </c>
      <c r="Q289">
        <v>0</v>
      </c>
      <c r="R289">
        <v>0</v>
      </c>
      <c r="S289" s="6">
        <f>SUM(O289:R289)/Variables!$E$3</f>
        <v>0</v>
      </c>
      <c r="T289" s="4">
        <v>0</v>
      </c>
      <c r="U289">
        <v>0</v>
      </c>
      <c r="V289">
        <v>0</v>
      </c>
      <c r="W289">
        <v>0</v>
      </c>
      <c r="X289" s="6">
        <f>SUM(T289:W289)/Variables!$E$3</f>
        <v>0</v>
      </c>
      <c r="Y289" s="4">
        <v>0</v>
      </c>
      <c r="Z289">
        <v>0</v>
      </c>
      <c r="AA289">
        <v>0</v>
      </c>
      <c r="AB289">
        <v>0</v>
      </c>
      <c r="AC289" s="6">
        <f>SUM(Y289:AB289)/Variables!$E$3</f>
        <v>0</v>
      </c>
      <c r="AD289" s="4">
        <v>0</v>
      </c>
      <c r="AE289" s="2">
        <v>0</v>
      </c>
      <c r="AF289" s="2">
        <v>0</v>
      </c>
      <c r="AG289" s="2">
        <v>0</v>
      </c>
      <c r="AH289" s="6">
        <f>SUM(AD289:AG289)/Variables!$E$3</f>
        <v>0</v>
      </c>
      <c r="AI289" s="4">
        <v>0</v>
      </c>
      <c r="AJ289" s="2">
        <v>0</v>
      </c>
      <c r="AK289" s="2">
        <v>0</v>
      </c>
      <c r="AL289" s="2">
        <v>0</v>
      </c>
      <c r="AM289" s="6">
        <f>SUM(AI289:AL289)/Variables!$E$3</f>
        <v>0</v>
      </c>
      <c r="AN289" s="4">
        <v>0</v>
      </c>
      <c r="AO289" s="2">
        <v>0</v>
      </c>
      <c r="AP289" s="2">
        <v>0</v>
      </c>
      <c r="AQ289" s="2">
        <v>0</v>
      </c>
      <c r="AR289" s="6">
        <f>SUM(AN289:AQ289)/Variables!$E$3</f>
        <v>0</v>
      </c>
      <c r="AS289" s="4">
        <v>0</v>
      </c>
      <c r="AT289" s="2">
        <v>0</v>
      </c>
      <c r="AU289" s="2">
        <v>0</v>
      </c>
      <c r="AV289" s="2">
        <v>0</v>
      </c>
      <c r="AW289" s="6">
        <f>SUM(AS289:AV289)/Variables!$E$3</f>
        <v>0</v>
      </c>
      <c r="AX289" s="4">
        <v>0</v>
      </c>
      <c r="AY289" s="2">
        <v>0</v>
      </c>
      <c r="AZ289" s="2">
        <v>0</v>
      </c>
      <c r="BA289" s="2">
        <v>0</v>
      </c>
      <c r="BB289" s="6">
        <f>SUM(AX289:BA289)/Variables!$E$3</f>
        <v>0</v>
      </c>
      <c r="BC289" s="12">
        <f t="shared" si="72"/>
        <v>0</v>
      </c>
      <c r="BD289" s="110">
        <f t="shared" si="72"/>
        <v>0</v>
      </c>
      <c r="BE289" s="110">
        <f t="shared" si="72"/>
        <v>0</v>
      </c>
      <c r="BF289" s="110">
        <f t="shared" si="69"/>
        <v>0</v>
      </c>
      <c r="BG289" s="6">
        <f>SUM(BC289:BF289)/Variables!$E$3</f>
        <v>0</v>
      </c>
      <c r="BH289" s="4">
        <v>0</v>
      </c>
      <c r="BI289">
        <v>0</v>
      </c>
      <c r="BJ289">
        <v>0</v>
      </c>
      <c r="BK289">
        <v>0</v>
      </c>
      <c r="BL289" s="6">
        <f>SUM(BH289:BK289)/Variables!$E$3</f>
        <v>0</v>
      </c>
      <c r="BM289" s="110">
        <v>0</v>
      </c>
      <c r="BN289" s="110">
        <v>0</v>
      </c>
      <c r="BO289" s="110">
        <v>0</v>
      </c>
      <c r="BP289" s="110">
        <v>0</v>
      </c>
      <c r="BQ289" s="6">
        <f>SUM(BM289:BP289)/Variables!$E$3</f>
        <v>0</v>
      </c>
      <c r="BS289" s="4">
        <v>287</v>
      </c>
      <c r="BT289" s="125">
        <f t="shared" si="73"/>
        <v>0</v>
      </c>
      <c r="BU289" s="125">
        <f t="shared" si="59"/>
        <v>0.46076928558420888</v>
      </c>
      <c r="BV289" s="125">
        <f t="shared" si="60"/>
        <v>5.1075622134775414E-2</v>
      </c>
      <c r="BW289" s="125">
        <f t="shared" si="61"/>
        <v>0.15130333573504146</v>
      </c>
      <c r="BX289" s="125">
        <f t="shared" si="62"/>
        <v>0.14833617051599773</v>
      </c>
      <c r="BY289" s="125">
        <f t="shared" si="63"/>
        <v>0.11298434666941148</v>
      </c>
      <c r="BZ289" s="125">
        <f t="shared" si="64"/>
        <v>9.5737812650931509E-2</v>
      </c>
      <c r="CA289" s="125">
        <f t="shared" si="65"/>
        <v>0.10851439837211696</v>
      </c>
      <c r="CB289" s="125">
        <f t="shared" si="66"/>
        <v>0.16924069074181111</v>
      </c>
      <c r="CC289" s="125">
        <f t="shared" si="67"/>
        <v>0.12053397097364192</v>
      </c>
      <c r="CD289" s="125">
        <f t="shared" si="68"/>
        <v>0.14833617051599773</v>
      </c>
      <c r="CE289" s="125">
        <f t="shared" si="70"/>
        <v>0.11219692950854718</v>
      </c>
      <c r="CF289" s="126">
        <f t="shared" si="71"/>
        <v>0.12636806308838547</v>
      </c>
      <c r="CH289" s="4">
        <v>287</v>
      </c>
      <c r="CI289" s="129">
        <v>0</v>
      </c>
      <c r="CJ289" s="125">
        <v>0.68735500676964978</v>
      </c>
      <c r="CK289" s="125">
        <v>0</v>
      </c>
      <c r="CL289" s="125">
        <v>0.2770824788794844</v>
      </c>
      <c r="CM289" s="125">
        <v>0.27465775659348057</v>
      </c>
      <c r="CN289" s="125">
        <v>0.21704605737179233</v>
      </c>
      <c r="CO289" s="125">
        <v>0</v>
      </c>
      <c r="CP289" s="125">
        <v>0</v>
      </c>
      <c r="CQ289" s="125">
        <v>0.16368601493281815</v>
      </c>
      <c r="CR289" s="125">
        <v>0</v>
      </c>
      <c r="CS289" s="125">
        <v>0.27465775659348057</v>
      </c>
      <c r="CT289" s="125">
        <v>0</v>
      </c>
      <c r="CU289" s="126">
        <v>0</v>
      </c>
    </row>
    <row r="290" spans="1:99" x14ac:dyDescent="0.25">
      <c r="A290" t="s">
        <v>256</v>
      </c>
      <c r="B290" s="2" t="s">
        <v>3</v>
      </c>
      <c r="C290" s="1">
        <v>27818</v>
      </c>
      <c r="D290" s="19">
        <v>463.90357142857101</v>
      </c>
      <c r="E290" s="18">
        <v>0</v>
      </c>
      <c r="F290" s="19">
        <v>0</v>
      </c>
      <c r="G290" s="19">
        <v>0</v>
      </c>
      <c r="H290" s="19">
        <v>0</v>
      </c>
      <c r="I290" s="19">
        <f>SUM(E290:H290)/Variables!$E$3</f>
        <v>0</v>
      </c>
      <c r="J290" s="4">
        <v>22473</v>
      </c>
      <c r="K290">
        <v>30093</v>
      </c>
      <c r="L290">
        <v>452595</v>
      </c>
      <c r="M290">
        <v>76786</v>
      </c>
      <c r="N290" s="6">
        <f>SUM(J290:M290)/Variables!$E$3</f>
        <v>0.46076928558420888</v>
      </c>
      <c r="O290" s="4">
        <v>0</v>
      </c>
      <c r="P290">
        <v>0</v>
      </c>
      <c r="Q290">
        <v>47911</v>
      </c>
      <c r="R290">
        <v>16597</v>
      </c>
      <c r="S290" s="6">
        <f>SUM(O290:R290)/Variables!$E$3</f>
        <v>5.1075622134775414E-2</v>
      </c>
      <c r="T290" s="4">
        <v>212.69999999999899</v>
      </c>
      <c r="U290">
        <v>2210.1</v>
      </c>
      <c r="V290">
        <v>157380.1</v>
      </c>
      <c r="W290">
        <v>31291.7</v>
      </c>
      <c r="X290" s="6">
        <f>SUM(T290:W290)/Variables!$E$3</f>
        <v>0.15130333573504146</v>
      </c>
      <c r="Y290" s="4">
        <v>236.4</v>
      </c>
      <c r="Z290">
        <v>2256.4</v>
      </c>
      <c r="AA290">
        <v>153368.5</v>
      </c>
      <c r="AB290">
        <v>31485.8</v>
      </c>
      <c r="AC290" s="6">
        <f>SUM(Y290:AB290)/Variables!$E$3</f>
        <v>0.14833617051599773</v>
      </c>
      <c r="AD290" s="4">
        <v>363.7</v>
      </c>
      <c r="AE290" s="2">
        <v>2435.5</v>
      </c>
      <c r="AF290" s="2">
        <v>111478.6</v>
      </c>
      <c r="AG290" s="2">
        <v>28420.3</v>
      </c>
      <c r="AH290" s="6">
        <f>SUM(AD290:AG290)/Variables!$E$3</f>
        <v>0.11298434666941148</v>
      </c>
      <c r="AI290" s="4">
        <v>0</v>
      </c>
      <c r="AJ290" s="2">
        <v>1302.7</v>
      </c>
      <c r="AK290" s="2">
        <v>99993.2</v>
      </c>
      <c r="AL290" s="2">
        <v>19620</v>
      </c>
      <c r="AM290" s="6">
        <f>SUM(AI290:AL290)/Variables!$E$3</f>
        <v>9.5737812650931509E-2</v>
      </c>
      <c r="AN290" s="4">
        <v>41.800000000000203</v>
      </c>
      <c r="AO290" s="2">
        <v>1473.7</v>
      </c>
      <c r="AP290" s="2">
        <v>105363.7</v>
      </c>
      <c r="AQ290" s="2">
        <v>30173.4</v>
      </c>
      <c r="AR290" s="6">
        <f>SUM(AN290:AQ290)/Variables!$E$3</f>
        <v>0.10851439837211696</v>
      </c>
      <c r="AS290" s="4">
        <v>2467.4</v>
      </c>
      <c r="AT290" s="2">
        <v>5729.6</v>
      </c>
      <c r="AU290" s="2">
        <v>161674.20000000001</v>
      </c>
      <c r="AV290" s="2">
        <v>43878.1</v>
      </c>
      <c r="AW290" s="6">
        <f>SUM(AS290:AV290)/Variables!$E$3</f>
        <v>0.16924069074181111</v>
      </c>
      <c r="AX290" s="4">
        <v>108.299999999999</v>
      </c>
      <c r="AY290" s="2">
        <v>1741.4</v>
      </c>
      <c r="AZ290" s="2">
        <v>116924.6</v>
      </c>
      <c r="BA290" s="2">
        <v>33458.9</v>
      </c>
      <c r="BB290" s="6">
        <f>SUM(AX290:BA290)/Variables!$E$3</f>
        <v>0.12053397097364192</v>
      </c>
      <c r="BC290" s="12">
        <f t="shared" si="72"/>
        <v>236.4</v>
      </c>
      <c r="BD290" s="110">
        <f t="shared" si="72"/>
        <v>2256.4</v>
      </c>
      <c r="BE290" s="110">
        <f t="shared" si="72"/>
        <v>153368.5</v>
      </c>
      <c r="BF290" s="110">
        <f t="shared" si="69"/>
        <v>31485.8</v>
      </c>
      <c r="BG290" s="6">
        <f>SUM(BC290:BF290)/Variables!$E$3</f>
        <v>0.14833617051599773</v>
      </c>
      <c r="BH290" s="4">
        <v>152.099999999999</v>
      </c>
      <c r="BI290">
        <v>1881.1</v>
      </c>
      <c r="BJ290">
        <v>113148.2</v>
      </c>
      <c r="BK290">
        <v>26522.2</v>
      </c>
      <c r="BL290" s="6">
        <f>SUM(BH290:BK290)/Variables!$E$3</f>
        <v>0.11219692950854718</v>
      </c>
      <c r="BM290" s="110">
        <v>553.20000000000005</v>
      </c>
      <c r="BN290" s="110">
        <v>2632.2</v>
      </c>
      <c r="BO290" s="110">
        <v>123519.4</v>
      </c>
      <c r="BP290" s="110">
        <v>32896.800000000003</v>
      </c>
      <c r="BQ290" s="6">
        <f>SUM(BM290:BP290)/Variables!$E$3</f>
        <v>0.12636806308838547</v>
      </c>
      <c r="BS290" s="4">
        <v>288</v>
      </c>
      <c r="BT290" s="125">
        <f t="shared" si="73"/>
        <v>0</v>
      </c>
      <c r="BU290" s="125">
        <f t="shared" si="59"/>
        <v>0.29401024552846816</v>
      </c>
      <c r="BV290" s="125">
        <f t="shared" si="60"/>
        <v>9.6331720757884071E-2</v>
      </c>
      <c r="BW290" s="125">
        <f t="shared" si="61"/>
        <v>0.16170476409156051</v>
      </c>
      <c r="BX290" s="125">
        <f t="shared" si="62"/>
        <v>0.15949880838328093</v>
      </c>
      <c r="BY290" s="125">
        <f t="shared" si="63"/>
        <v>0.13879690258830238</v>
      </c>
      <c r="BZ290" s="125">
        <f t="shared" si="64"/>
        <v>0.12274586497121909</v>
      </c>
      <c r="CA290" s="125">
        <f t="shared" si="65"/>
        <v>0.12655650480209663</v>
      </c>
      <c r="CB290" s="125">
        <f t="shared" si="66"/>
        <v>0.16722673972082122</v>
      </c>
      <c r="CC290" s="125">
        <f t="shared" si="67"/>
        <v>0.1347872904773593</v>
      </c>
      <c r="CD290" s="125">
        <f t="shared" si="68"/>
        <v>0.15949880838328093</v>
      </c>
      <c r="CE290" s="125">
        <f t="shared" si="70"/>
        <v>0.13114339780995893</v>
      </c>
      <c r="CF290" s="126">
        <f t="shared" si="71"/>
        <v>0.14088813054735194</v>
      </c>
      <c r="CH290" s="4">
        <v>288</v>
      </c>
      <c r="CI290" s="129">
        <v>0</v>
      </c>
      <c r="CJ290" s="125">
        <v>0.5498840054157198</v>
      </c>
      <c r="CK290" s="125">
        <v>0</v>
      </c>
      <c r="CL290" s="125">
        <v>0.1385412394397422</v>
      </c>
      <c r="CM290" s="125">
        <v>0.13732887829674029</v>
      </c>
      <c r="CN290" s="125">
        <v>0.10852302868589617</v>
      </c>
      <c r="CO290" s="125">
        <v>5.8693338822951892E-2</v>
      </c>
      <c r="CP290" s="125">
        <v>5.8694288949239504E-2</v>
      </c>
      <c r="CQ290" s="125">
        <v>0.16368601493281815</v>
      </c>
      <c r="CR290" s="125">
        <v>6.0657724922604302E-2</v>
      </c>
      <c r="CS290" s="125">
        <v>0.13732887829674029</v>
      </c>
      <c r="CT290" s="125">
        <v>6.0258434350232384E-2</v>
      </c>
      <c r="CU290" s="126">
        <v>7.3911551160341732E-2</v>
      </c>
    </row>
    <row r="291" spans="1:99" x14ac:dyDescent="0.25">
      <c r="A291" t="s">
        <v>256</v>
      </c>
      <c r="B291" s="2" t="s">
        <v>4</v>
      </c>
      <c r="C291" s="1">
        <v>27911</v>
      </c>
      <c r="D291" s="19">
        <v>36.112499999999997</v>
      </c>
      <c r="E291" s="18">
        <v>0</v>
      </c>
      <c r="F291" s="19">
        <v>0</v>
      </c>
      <c r="G291" s="19">
        <v>0</v>
      </c>
      <c r="H291" s="19">
        <v>0</v>
      </c>
      <c r="I291" s="19">
        <f>SUM(E291:H291)/Variables!$E$3</f>
        <v>0</v>
      </c>
      <c r="J291" s="4">
        <v>18644</v>
      </c>
      <c r="K291">
        <v>30344</v>
      </c>
      <c r="L291">
        <v>279324</v>
      </c>
      <c r="M291">
        <v>43020</v>
      </c>
      <c r="N291" s="6">
        <f>SUM(J291:M291)/Variables!$E$3</f>
        <v>0.29401024552846816</v>
      </c>
      <c r="O291" s="4">
        <v>712</v>
      </c>
      <c r="P291">
        <v>3244</v>
      </c>
      <c r="Q291">
        <v>91719</v>
      </c>
      <c r="R291">
        <v>25991</v>
      </c>
      <c r="S291" s="6">
        <f>SUM(O291:R291)/Variables!$E$3</f>
        <v>9.6331720757884071E-2</v>
      </c>
      <c r="T291" s="4">
        <v>4528.8</v>
      </c>
      <c r="U291">
        <v>8559.9</v>
      </c>
      <c r="V291">
        <v>157559.9</v>
      </c>
      <c r="W291">
        <v>33582.9</v>
      </c>
      <c r="X291" s="6">
        <f>SUM(T291:W291)/Variables!$E$3</f>
        <v>0.16170476409156051</v>
      </c>
      <c r="Y291" s="4">
        <v>4514.5</v>
      </c>
      <c r="Z291">
        <v>8541</v>
      </c>
      <c r="AA291">
        <v>154870.39999999999</v>
      </c>
      <c r="AB291">
        <v>33519.5</v>
      </c>
      <c r="AC291" s="6">
        <f>SUM(Y291:AB291)/Variables!$E$3</f>
        <v>0.15949880838328093</v>
      </c>
      <c r="AD291" s="4">
        <v>5418.8</v>
      </c>
      <c r="AE291" s="2">
        <v>9691.6</v>
      </c>
      <c r="AF291" s="2">
        <v>132955.5</v>
      </c>
      <c r="AG291" s="2">
        <v>27233.200000000001</v>
      </c>
      <c r="AH291" s="6">
        <f>SUM(AD291:AG291)/Variables!$E$3</f>
        <v>0.13879690258830238</v>
      </c>
      <c r="AI291" s="4">
        <v>2643.3</v>
      </c>
      <c r="AJ291" s="2">
        <v>6001.6</v>
      </c>
      <c r="AK291" s="2">
        <v>120794.4</v>
      </c>
      <c r="AL291" s="2">
        <v>25587.5</v>
      </c>
      <c r="AM291" s="6">
        <f>SUM(AI291:AL291)/Variables!$E$3</f>
        <v>0.12274586497121909</v>
      </c>
      <c r="AN291" s="4">
        <v>2626.8</v>
      </c>
      <c r="AO291" s="2">
        <v>5958.2</v>
      </c>
      <c r="AP291" s="2">
        <v>122071.3</v>
      </c>
      <c r="AQ291" s="2">
        <v>29183.3</v>
      </c>
      <c r="AR291" s="6">
        <f>SUM(AN291:AQ291)/Variables!$E$3</f>
        <v>0.12655650480209663</v>
      </c>
      <c r="AS291" s="4">
        <v>4771.8</v>
      </c>
      <c r="AT291" s="2">
        <v>8902.7999999999993</v>
      </c>
      <c r="AU291" s="2">
        <v>159769.9</v>
      </c>
      <c r="AV291" s="2">
        <v>37761.199999999997</v>
      </c>
      <c r="AW291" s="6">
        <f>SUM(AS291:AV291)/Variables!$E$3</f>
        <v>0.16722673972082122</v>
      </c>
      <c r="AX291" s="4">
        <v>2850</v>
      </c>
      <c r="AY291" s="2">
        <v>6298.4</v>
      </c>
      <c r="AZ291" s="2">
        <v>130725.6</v>
      </c>
      <c r="BA291" s="2">
        <v>30361</v>
      </c>
      <c r="BB291" s="6">
        <f>SUM(AX291:BA291)/Variables!$E$3</f>
        <v>0.1347872904773593</v>
      </c>
      <c r="BC291" s="12">
        <f t="shared" si="72"/>
        <v>4514.5</v>
      </c>
      <c r="BD291" s="110">
        <f t="shared" si="72"/>
        <v>8541</v>
      </c>
      <c r="BE291" s="110">
        <f t="shared" si="72"/>
        <v>154870.39999999999</v>
      </c>
      <c r="BF291" s="110">
        <f t="shared" si="69"/>
        <v>33519.5</v>
      </c>
      <c r="BG291" s="6">
        <f>SUM(BC291:BF291)/Variables!$E$3</f>
        <v>0.15949880838328093</v>
      </c>
      <c r="BH291" s="4">
        <v>2731.2</v>
      </c>
      <c r="BI291">
        <v>6102.9</v>
      </c>
      <c r="BJ291">
        <v>128962.6</v>
      </c>
      <c r="BK291">
        <v>27836.1</v>
      </c>
      <c r="BL291" s="6">
        <f>SUM(BH291:BK291)/Variables!$E$3</f>
        <v>0.13114339780995893</v>
      </c>
      <c r="BM291" s="110">
        <v>3744.9</v>
      </c>
      <c r="BN291" s="110">
        <v>7523.2</v>
      </c>
      <c r="BO291" s="110">
        <v>136260.6</v>
      </c>
      <c r="BP291" s="110">
        <v>30411.599999999999</v>
      </c>
      <c r="BQ291" s="6">
        <f>SUM(BM291:BP291)/Variables!$E$3</f>
        <v>0.14088813054735194</v>
      </c>
      <c r="BS291" s="4">
        <v>289</v>
      </c>
      <c r="BT291" s="125">
        <f t="shared" si="73"/>
        <v>0</v>
      </c>
      <c r="BU291" s="125">
        <f t="shared" si="59"/>
        <v>0</v>
      </c>
      <c r="BV291" s="125">
        <f t="shared" si="60"/>
        <v>0</v>
      </c>
      <c r="BW291" s="125">
        <f t="shared" si="61"/>
        <v>0</v>
      </c>
      <c r="BX291" s="125">
        <f t="shared" si="62"/>
        <v>0</v>
      </c>
      <c r="BY291" s="125">
        <f t="shared" si="63"/>
        <v>0</v>
      </c>
      <c r="BZ291" s="125">
        <f t="shared" si="64"/>
        <v>0</v>
      </c>
      <c r="CA291" s="125">
        <f t="shared" si="65"/>
        <v>0</v>
      </c>
      <c r="CB291" s="125">
        <f t="shared" si="66"/>
        <v>0</v>
      </c>
      <c r="CC291" s="125">
        <f t="shared" si="67"/>
        <v>0</v>
      </c>
      <c r="CD291" s="125">
        <f t="shared" si="68"/>
        <v>0</v>
      </c>
      <c r="CE291" s="125">
        <f t="shared" si="70"/>
        <v>0</v>
      </c>
      <c r="CF291" s="126">
        <f t="shared" si="71"/>
        <v>0</v>
      </c>
      <c r="CH291" s="4">
        <v>289</v>
      </c>
      <c r="CI291" s="129">
        <v>0</v>
      </c>
      <c r="CJ291" s="125">
        <v>0</v>
      </c>
      <c r="CK291" s="125">
        <v>0</v>
      </c>
      <c r="CL291" s="125">
        <v>0</v>
      </c>
      <c r="CM291" s="125">
        <v>0</v>
      </c>
      <c r="CN291" s="125">
        <v>0</v>
      </c>
      <c r="CO291" s="125">
        <v>0</v>
      </c>
      <c r="CP291" s="125">
        <v>0</v>
      </c>
      <c r="CQ291" s="125">
        <v>0</v>
      </c>
      <c r="CR291" s="125">
        <v>0</v>
      </c>
      <c r="CS291" s="125">
        <v>0</v>
      </c>
      <c r="CT291" s="125">
        <v>0</v>
      </c>
      <c r="CU291" s="126">
        <v>0</v>
      </c>
    </row>
    <row r="292" spans="1:99" x14ac:dyDescent="0.25">
      <c r="A292" t="s">
        <v>256</v>
      </c>
      <c r="B292" s="2" t="s">
        <v>1</v>
      </c>
      <c r="C292" s="1">
        <v>28003</v>
      </c>
      <c r="D292" s="19">
        <v>40.362499999999997</v>
      </c>
      <c r="E292" s="18">
        <v>0</v>
      </c>
      <c r="F292" s="19">
        <v>0</v>
      </c>
      <c r="G292" s="19">
        <v>0</v>
      </c>
      <c r="H292" s="19">
        <v>0</v>
      </c>
      <c r="I292" s="19">
        <f>SUM(E292:H292)/Variables!$E$3</f>
        <v>0</v>
      </c>
      <c r="J292" s="4">
        <v>0</v>
      </c>
      <c r="K292">
        <v>0</v>
      </c>
      <c r="L292">
        <v>0</v>
      </c>
      <c r="M292">
        <v>0</v>
      </c>
      <c r="N292" s="6">
        <f>SUM(J292:M292)/Variables!$E$3</f>
        <v>0</v>
      </c>
      <c r="O292" s="4">
        <v>0</v>
      </c>
      <c r="P292">
        <v>0</v>
      </c>
      <c r="Q292">
        <v>0</v>
      </c>
      <c r="R292">
        <v>0</v>
      </c>
      <c r="S292" s="6">
        <f>SUM(O292:R292)/Variables!$E$3</f>
        <v>0</v>
      </c>
      <c r="T292" s="4">
        <v>0</v>
      </c>
      <c r="U292">
        <v>0</v>
      </c>
      <c r="V292">
        <v>0</v>
      </c>
      <c r="W292">
        <v>0</v>
      </c>
      <c r="X292" s="6">
        <f>SUM(T292:W292)/Variables!$E$3</f>
        <v>0</v>
      </c>
      <c r="Y292" s="4">
        <v>0</v>
      </c>
      <c r="Z292">
        <v>0</v>
      </c>
      <c r="AA292">
        <v>0</v>
      </c>
      <c r="AB292">
        <v>0</v>
      </c>
      <c r="AC292" s="6">
        <f>SUM(Y292:AB292)/Variables!$E$3</f>
        <v>0</v>
      </c>
      <c r="AD292" s="4">
        <v>0</v>
      </c>
      <c r="AE292" s="2">
        <v>0</v>
      </c>
      <c r="AF292" s="2">
        <v>0</v>
      </c>
      <c r="AG292" s="2">
        <v>0</v>
      </c>
      <c r="AH292" s="6">
        <f>SUM(AD292:AG292)/Variables!$E$3</f>
        <v>0</v>
      </c>
      <c r="AI292" s="4">
        <v>0</v>
      </c>
      <c r="AJ292" s="2">
        <v>0</v>
      </c>
      <c r="AK292" s="2">
        <v>0</v>
      </c>
      <c r="AL292" s="2">
        <v>0</v>
      </c>
      <c r="AM292" s="6">
        <f>SUM(AI292:AL292)/Variables!$E$3</f>
        <v>0</v>
      </c>
      <c r="AN292" s="4">
        <v>0</v>
      </c>
      <c r="AO292" s="2">
        <v>0</v>
      </c>
      <c r="AP292" s="2">
        <v>0</v>
      </c>
      <c r="AQ292" s="2">
        <v>0</v>
      </c>
      <c r="AR292" s="6">
        <f>SUM(AN292:AQ292)/Variables!$E$3</f>
        <v>0</v>
      </c>
      <c r="AS292" s="4">
        <v>0</v>
      </c>
      <c r="AT292" s="2">
        <v>0</v>
      </c>
      <c r="AU292" s="2">
        <v>0</v>
      </c>
      <c r="AV292" s="2">
        <v>0</v>
      </c>
      <c r="AW292" s="6">
        <f>SUM(AS292:AV292)/Variables!$E$3</f>
        <v>0</v>
      </c>
      <c r="AX292" s="4">
        <v>0</v>
      </c>
      <c r="AY292" s="2">
        <v>0</v>
      </c>
      <c r="AZ292" s="2">
        <v>0</v>
      </c>
      <c r="BA292" s="2">
        <v>0</v>
      </c>
      <c r="BB292" s="6">
        <f>SUM(AX292:BA292)/Variables!$E$3</f>
        <v>0</v>
      </c>
      <c r="BC292" s="12">
        <f t="shared" si="72"/>
        <v>0</v>
      </c>
      <c r="BD292" s="110">
        <f t="shared" si="72"/>
        <v>0</v>
      </c>
      <c r="BE292" s="110">
        <f t="shared" si="72"/>
        <v>0</v>
      </c>
      <c r="BF292" s="110">
        <f t="shared" si="69"/>
        <v>0</v>
      </c>
      <c r="BG292" s="6">
        <f>SUM(BC292:BF292)/Variables!$E$3</f>
        <v>0</v>
      </c>
      <c r="BH292" s="4">
        <v>0</v>
      </c>
      <c r="BI292">
        <v>0</v>
      </c>
      <c r="BJ292">
        <v>0</v>
      </c>
      <c r="BK292">
        <v>0</v>
      </c>
      <c r="BL292" s="6">
        <f>SUM(BH292:BK292)/Variables!$E$3</f>
        <v>0</v>
      </c>
      <c r="BM292" s="110">
        <v>0</v>
      </c>
      <c r="BN292" s="110">
        <v>0</v>
      </c>
      <c r="BO292" s="110">
        <v>0</v>
      </c>
      <c r="BP292" s="110">
        <v>0</v>
      </c>
      <c r="BQ292" s="6">
        <f>SUM(BM292:BP292)/Variables!$E$3</f>
        <v>0</v>
      </c>
      <c r="BS292" s="4">
        <v>290</v>
      </c>
      <c r="BT292" s="125">
        <f t="shared" si="73"/>
        <v>0</v>
      </c>
      <c r="BU292" s="125">
        <f t="shared" si="59"/>
        <v>1.0909033325679537E-2</v>
      </c>
      <c r="BV292" s="125">
        <f t="shared" si="60"/>
        <v>0</v>
      </c>
      <c r="BW292" s="125">
        <f t="shared" si="61"/>
        <v>0</v>
      </c>
      <c r="BX292" s="125">
        <f t="shared" si="62"/>
        <v>0</v>
      </c>
      <c r="BY292" s="125">
        <f t="shared" si="63"/>
        <v>0</v>
      </c>
      <c r="BZ292" s="125">
        <f t="shared" si="64"/>
        <v>0</v>
      </c>
      <c r="CA292" s="125">
        <f t="shared" si="65"/>
        <v>0</v>
      </c>
      <c r="CB292" s="125">
        <f t="shared" si="66"/>
        <v>0</v>
      </c>
      <c r="CC292" s="125">
        <f t="shared" si="67"/>
        <v>0</v>
      </c>
      <c r="CD292" s="125">
        <f t="shared" si="68"/>
        <v>0</v>
      </c>
      <c r="CE292" s="125">
        <f t="shared" si="70"/>
        <v>0</v>
      </c>
      <c r="CF292" s="126">
        <f t="shared" si="71"/>
        <v>0</v>
      </c>
      <c r="CH292" s="4">
        <v>290</v>
      </c>
      <c r="CI292" s="129">
        <v>0</v>
      </c>
      <c r="CJ292" s="125">
        <v>0</v>
      </c>
      <c r="CK292" s="125">
        <v>0</v>
      </c>
      <c r="CL292" s="125">
        <v>0</v>
      </c>
      <c r="CM292" s="125">
        <v>0</v>
      </c>
      <c r="CN292" s="125">
        <v>0</v>
      </c>
      <c r="CO292" s="125">
        <v>0</v>
      </c>
      <c r="CP292" s="125">
        <v>0</v>
      </c>
      <c r="CQ292" s="125">
        <v>0</v>
      </c>
      <c r="CR292" s="125">
        <v>0</v>
      </c>
      <c r="CS292" s="125">
        <v>0</v>
      </c>
      <c r="CT292" s="125">
        <v>0</v>
      </c>
      <c r="CU292" s="126">
        <v>0</v>
      </c>
    </row>
    <row r="293" spans="1:99" x14ac:dyDescent="0.25">
      <c r="A293" t="s">
        <v>256</v>
      </c>
      <c r="B293" s="2" t="s">
        <v>2</v>
      </c>
      <c r="C293" s="1">
        <v>28094</v>
      </c>
      <c r="D293" s="19">
        <v>93.560714285714297</v>
      </c>
      <c r="E293" s="18">
        <v>0</v>
      </c>
      <c r="F293" s="19">
        <v>0</v>
      </c>
      <c r="G293" s="19">
        <v>0</v>
      </c>
      <c r="H293" s="19">
        <v>0</v>
      </c>
      <c r="I293" s="19">
        <f>SUM(E293:H293)/Variables!$E$3</f>
        <v>0</v>
      </c>
      <c r="J293" s="4">
        <v>0</v>
      </c>
      <c r="K293">
        <v>0</v>
      </c>
      <c r="L293">
        <v>13778</v>
      </c>
      <c r="M293">
        <v>0</v>
      </c>
      <c r="N293" s="6">
        <f>SUM(J293:M293)/Variables!$E$3</f>
        <v>1.0909033325679537E-2</v>
      </c>
      <c r="O293" s="4">
        <v>0</v>
      </c>
      <c r="P293">
        <v>0</v>
      </c>
      <c r="Q293">
        <v>0</v>
      </c>
      <c r="R293">
        <v>0</v>
      </c>
      <c r="S293" s="6">
        <f>SUM(O293:R293)/Variables!$E$3</f>
        <v>0</v>
      </c>
      <c r="T293" s="4">
        <v>0</v>
      </c>
      <c r="U293">
        <v>0</v>
      </c>
      <c r="V293">
        <v>0</v>
      </c>
      <c r="W293">
        <v>0</v>
      </c>
      <c r="X293" s="6">
        <f>SUM(T293:W293)/Variables!$E$3</f>
        <v>0</v>
      </c>
      <c r="Y293" s="4">
        <v>0</v>
      </c>
      <c r="Z293">
        <v>0</v>
      </c>
      <c r="AA293">
        <v>0</v>
      </c>
      <c r="AB293">
        <v>0</v>
      </c>
      <c r="AC293" s="6">
        <f>SUM(Y293:AB293)/Variables!$E$3</f>
        <v>0</v>
      </c>
      <c r="AD293" s="4">
        <v>0</v>
      </c>
      <c r="AE293" s="2">
        <v>0</v>
      </c>
      <c r="AF293" s="2">
        <v>0</v>
      </c>
      <c r="AG293" s="2">
        <v>0</v>
      </c>
      <c r="AH293" s="6">
        <f>SUM(AD293:AG293)/Variables!$E$3</f>
        <v>0</v>
      </c>
      <c r="AI293" s="4">
        <v>0</v>
      </c>
      <c r="AJ293" s="2">
        <v>0</v>
      </c>
      <c r="AK293" s="2">
        <v>0</v>
      </c>
      <c r="AL293" s="2">
        <v>0</v>
      </c>
      <c r="AM293" s="6">
        <f>SUM(AI293:AL293)/Variables!$E$3</f>
        <v>0</v>
      </c>
      <c r="AN293" s="4">
        <v>0</v>
      </c>
      <c r="AO293" s="2">
        <v>0</v>
      </c>
      <c r="AP293" s="2">
        <v>0</v>
      </c>
      <c r="AQ293" s="2">
        <v>0</v>
      </c>
      <c r="AR293" s="6">
        <f>SUM(AN293:AQ293)/Variables!$E$3</f>
        <v>0</v>
      </c>
      <c r="AS293" s="4">
        <v>0</v>
      </c>
      <c r="AT293" s="2">
        <v>0</v>
      </c>
      <c r="AU293" s="2">
        <v>0</v>
      </c>
      <c r="AV293" s="2">
        <v>0</v>
      </c>
      <c r="AW293" s="6">
        <f>SUM(AS293:AV293)/Variables!$E$3</f>
        <v>0</v>
      </c>
      <c r="AX293" s="4">
        <v>0</v>
      </c>
      <c r="AY293" s="2">
        <v>0</v>
      </c>
      <c r="AZ293" s="2">
        <v>0</v>
      </c>
      <c r="BA293" s="2">
        <v>0</v>
      </c>
      <c r="BB293" s="6">
        <f>SUM(AX293:BA293)/Variables!$E$3</f>
        <v>0</v>
      </c>
      <c r="BC293" s="12">
        <f t="shared" si="72"/>
        <v>0</v>
      </c>
      <c r="BD293" s="110">
        <f t="shared" si="72"/>
        <v>0</v>
      </c>
      <c r="BE293" s="110">
        <f t="shared" si="72"/>
        <v>0</v>
      </c>
      <c r="BF293" s="110">
        <f t="shared" si="69"/>
        <v>0</v>
      </c>
      <c r="BG293" s="6">
        <f>SUM(BC293:BF293)/Variables!$E$3</f>
        <v>0</v>
      </c>
      <c r="BH293" s="4">
        <v>0</v>
      </c>
      <c r="BI293">
        <v>0</v>
      </c>
      <c r="BJ293">
        <v>0</v>
      </c>
      <c r="BK293">
        <v>0</v>
      </c>
      <c r="BL293" s="6">
        <f>SUM(BH293:BK293)/Variables!$E$3</f>
        <v>0</v>
      </c>
      <c r="BM293" s="110">
        <v>0</v>
      </c>
      <c r="BN293" s="110">
        <v>0</v>
      </c>
      <c r="BO293" s="110">
        <v>0</v>
      </c>
      <c r="BP293" s="110">
        <v>0</v>
      </c>
      <c r="BQ293" s="6">
        <f>SUM(BM293:BP293)/Variables!$E$3</f>
        <v>0</v>
      </c>
      <c r="BS293" s="4">
        <v>291</v>
      </c>
      <c r="BT293" s="125">
        <f t="shared" si="73"/>
        <v>0</v>
      </c>
      <c r="BU293" s="125">
        <f t="shared" si="59"/>
        <v>8.7585808280350591E-3</v>
      </c>
      <c r="BV293" s="125">
        <f t="shared" si="60"/>
        <v>0</v>
      </c>
      <c r="BW293" s="125">
        <f t="shared" si="61"/>
        <v>0</v>
      </c>
      <c r="BX293" s="125">
        <f t="shared" si="62"/>
        <v>0</v>
      </c>
      <c r="BY293" s="125">
        <f t="shared" si="63"/>
        <v>0</v>
      </c>
      <c r="BZ293" s="125">
        <f t="shared" si="64"/>
        <v>0</v>
      </c>
      <c r="CA293" s="125">
        <f t="shared" si="65"/>
        <v>0</v>
      </c>
      <c r="CB293" s="125">
        <f t="shared" si="66"/>
        <v>0</v>
      </c>
      <c r="CC293" s="125">
        <f t="shared" si="67"/>
        <v>0</v>
      </c>
      <c r="CD293" s="125">
        <f t="shared" si="68"/>
        <v>0</v>
      </c>
      <c r="CE293" s="125">
        <f t="shared" si="70"/>
        <v>0</v>
      </c>
      <c r="CF293" s="126">
        <f t="shared" si="71"/>
        <v>0</v>
      </c>
      <c r="CH293" s="4">
        <v>291</v>
      </c>
      <c r="CI293" s="129">
        <v>0</v>
      </c>
      <c r="CJ293" s="125">
        <v>0</v>
      </c>
      <c r="CK293" s="125">
        <v>0</v>
      </c>
      <c r="CL293" s="125">
        <v>0</v>
      </c>
      <c r="CM293" s="125">
        <v>0</v>
      </c>
      <c r="CN293" s="125">
        <v>0</v>
      </c>
      <c r="CO293" s="125">
        <v>0</v>
      </c>
      <c r="CP293" s="125">
        <v>0</v>
      </c>
      <c r="CQ293" s="125">
        <v>0</v>
      </c>
      <c r="CR293" s="125">
        <v>0</v>
      </c>
      <c r="CS293" s="125">
        <v>0</v>
      </c>
      <c r="CT293" s="125">
        <v>0</v>
      </c>
      <c r="CU293" s="126">
        <v>0</v>
      </c>
    </row>
    <row r="294" spans="1:99" x14ac:dyDescent="0.25">
      <c r="A294" t="s">
        <v>257</v>
      </c>
      <c r="B294" s="2" t="s">
        <v>3</v>
      </c>
      <c r="C294" s="1">
        <v>28184</v>
      </c>
      <c r="D294" s="19">
        <v>223.90892857142899</v>
      </c>
      <c r="E294" s="18">
        <v>0</v>
      </c>
      <c r="F294" s="19">
        <v>0</v>
      </c>
      <c r="G294" s="19">
        <v>0</v>
      </c>
      <c r="H294" s="19">
        <v>0</v>
      </c>
      <c r="I294" s="19">
        <f>SUM(E294:H294)/Variables!$E$3</f>
        <v>0</v>
      </c>
      <c r="J294" s="4">
        <v>0</v>
      </c>
      <c r="K294">
        <v>0</v>
      </c>
      <c r="L294">
        <v>11062</v>
      </c>
      <c r="M294">
        <v>0</v>
      </c>
      <c r="N294" s="6">
        <f>SUM(J294:M294)/Variables!$E$3</f>
        <v>8.7585808280350591E-3</v>
      </c>
      <c r="O294" s="4">
        <v>0</v>
      </c>
      <c r="P294">
        <v>0</v>
      </c>
      <c r="Q294">
        <v>0</v>
      </c>
      <c r="R294">
        <v>0</v>
      </c>
      <c r="S294" s="6">
        <f>SUM(O294:R294)/Variables!$E$3</f>
        <v>0</v>
      </c>
      <c r="T294" s="4">
        <v>0</v>
      </c>
      <c r="U294">
        <v>0</v>
      </c>
      <c r="V294">
        <v>0</v>
      </c>
      <c r="W294">
        <v>0</v>
      </c>
      <c r="X294" s="6">
        <f>SUM(T294:W294)/Variables!$E$3</f>
        <v>0</v>
      </c>
      <c r="Y294" s="4">
        <v>0</v>
      </c>
      <c r="Z294">
        <v>0</v>
      </c>
      <c r="AA294">
        <v>0</v>
      </c>
      <c r="AB294">
        <v>0</v>
      </c>
      <c r="AC294" s="6">
        <f>SUM(Y294:AB294)/Variables!$E$3</f>
        <v>0</v>
      </c>
      <c r="AD294" s="4">
        <v>0</v>
      </c>
      <c r="AE294" s="2">
        <v>0</v>
      </c>
      <c r="AF294" s="2">
        <v>0</v>
      </c>
      <c r="AG294" s="2">
        <v>0</v>
      </c>
      <c r="AH294" s="6">
        <f>SUM(AD294:AG294)/Variables!$E$3</f>
        <v>0</v>
      </c>
      <c r="AI294" s="4">
        <v>0</v>
      </c>
      <c r="AJ294" s="2">
        <v>0</v>
      </c>
      <c r="AK294" s="2">
        <v>0</v>
      </c>
      <c r="AL294" s="2">
        <v>0</v>
      </c>
      <c r="AM294" s="6">
        <f>SUM(AI294:AL294)/Variables!$E$3</f>
        <v>0</v>
      </c>
      <c r="AN294" s="4">
        <v>0</v>
      </c>
      <c r="AO294" s="2">
        <v>0</v>
      </c>
      <c r="AP294" s="2">
        <v>0</v>
      </c>
      <c r="AQ294" s="2">
        <v>0</v>
      </c>
      <c r="AR294" s="6">
        <f>SUM(AN294:AQ294)/Variables!$E$3</f>
        <v>0</v>
      </c>
      <c r="AS294" s="4">
        <v>0</v>
      </c>
      <c r="AT294" s="2">
        <v>0</v>
      </c>
      <c r="AU294" s="2">
        <v>0</v>
      </c>
      <c r="AV294" s="2">
        <v>0</v>
      </c>
      <c r="AW294" s="6">
        <f>SUM(AS294:AV294)/Variables!$E$3</f>
        <v>0</v>
      </c>
      <c r="AX294" s="4">
        <v>0</v>
      </c>
      <c r="AY294" s="2">
        <v>0</v>
      </c>
      <c r="AZ294" s="2">
        <v>0</v>
      </c>
      <c r="BA294" s="2">
        <v>0</v>
      </c>
      <c r="BB294" s="6">
        <f>SUM(AX294:BA294)/Variables!$E$3</f>
        <v>0</v>
      </c>
      <c r="BC294" s="12">
        <f t="shared" si="72"/>
        <v>0</v>
      </c>
      <c r="BD294" s="110">
        <f t="shared" si="72"/>
        <v>0</v>
      </c>
      <c r="BE294" s="110">
        <f t="shared" si="72"/>
        <v>0</v>
      </c>
      <c r="BF294" s="110">
        <f t="shared" si="69"/>
        <v>0</v>
      </c>
      <c r="BG294" s="6">
        <f>SUM(BC294:BF294)/Variables!$E$3</f>
        <v>0</v>
      </c>
      <c r="BH294" s="4">
        <v>0</v>
      </c>
      <c r="BI294">
        <v>0</v>
      </c>
      <c r="BJ294">
        <v>0</v>
      </c>
      <c r="BK294">
        <v>0</v>
      </c>
      <c r="BL294" s="6">
        <f>SUM(BH294:BK294)/Variables!$E$3</f>
        <v>0</v>
      </c>
      <c r="BM294" s="110">
        <v>0</v>
      </c>
      <c r="BN294" s="110">
        <v>0</v>
      </c>
      <c r="BO294" s="110">
        <v>0</v>
      </c>
      <c r="BP294" s="110">
        <v>0</v>
      </c>
      <c r="BQ294" s="6">
        <f>SUM(BM294:BP294)/Variables!$E$3</f>
        <v>0</v>
      </c>
      <c r="BS294" s="4">
        <v>292</v>
      </c>
      <c r="BT294" s="125">
        <f t="shared" si="73"/>
        <v>0</v>
      </c>
      <c r="BU294" s="125">
        <f t="shared" si="59"/>
        <v>0.30953372552435093</v>
      </c>
      <c r="BV294" s="125">
        <f t="shared" si="60"/>
        <v>6.705199566108995E-2</v>
      </c>
      <c r="BW294" s="125">
        <f t="shared" si="61"/>
        <v>0.14574834321728597</v>
      </c>
      <c r="BX294" s="125">
        <f t="shared" si="62"/>
        <v>0.14446931487976944</v>
      </c>
      <c r="BY294" s="125">
        <f t="shared" si="63"/>
        <v>0.12435490383930198</v>
      </c>
      <c r="BZ294" s="125">
        <f t="shared" si="64"/>
        <v>0.10592760037688342</v>
      </c>
      <c r="CA294" s="125">
        <f t="shared" si="65"/>
        <v>0.11534374777314152</v>
      </c>
      <c r="CB294" s="125">
        <f t="shared" si="66"/>
        <v>0.1636225940031196</v>
      </c>
      <c r="CC294" s="125">
        <f t="shared" si="67"/>
        <v>0.12292037149937847</v>
      </c>
      <c r="CD294" s="125">
        <f t="shared" si="68"/>
        <v>0.14446931487976944</v>
      </c>
      <c r="CE294" s="125">
        <f t="shared" si="70"/>
        <v>0.12732808652483393</v>
      </c>
      <c r="CF294" s="126">
        <f t="shared" si="71"/>
        <v>0.12814709538476154</v>
      </c>
      <c r="CH294" s="4">
        <v>292</v>
      </c>
      <c r="CI294" s="129">
        <v>0</v>
      </c>
      <c r="CJ294" s="125">
        <v>0.28437517320010453</v>
      </c>
      <c r="CK294" s="125">
        <v>0</v>
      </c>
      <c r="CL294" s="125">
        <v>7.5616671549260092E-2</v>
      </c>
      <c r="CM294" s="125">
        <v>7.5039153120768962E-2</v>
      </c>
      <c r="CN294" s="125">
        <v>6.0931598825010494E-2</v>
      </c>
      <c r="CO294" s="125">
        <v>7.0931361293438591E-2</v>
      </c>
      <c r="CP294" s="125">
        <v>7.1939445284602416E-2</v>
      </c>
      <c r="CQ294" s="125">
        <v>7.936250484960293E-2</v>
      </c>
      <c r="CR294" s="125">
        <v>7.4467731335956744E-2</v>
      </c>
      <c r="CS294" s="125">
        <v>7.5039153120768962E-2</v>
      </c>
      <c r="CT294" s="125">
        <v>7.6725231395339627E-2</v>
      </c>
      <c r="CU294" s="126">
        <v>5.8876238133318555E-2</v>
      </c>
    </row>
    <row r="295" spans="1:99" x14ac:dyDescent="0.25">
      <c r="A295" t="s">
        <v>257</v>
      </c>
      <c r="B295" s="2" t="s">
        <v>4</v>
      </c>
      <c r="C295" s="1">
        <v>28276</v>
      </c>
      <c r="D295" s="19">
        <v>166.266071428571</v>
      </c>
      <c r="E295" s="18">
        <v>0</v>
      </c>
      <c r="F295" s="19">
        <v>0</v>
      </c>
      <c r="G295" s="19">
        <v>0</v>
      </c>
      <c r="H295" s="19">
        <v>0</v>
      </c>
      <c r="I295" s="19">
        <f>SUM(E295:H295)/Variables!$E$3</f>
        <v>0</v>
      </c>
      <c r="J295" s="4">
        <v>25636</v>
      </c>
      <c r="K295">
        <v>29790</v>
      </c>
      <c r="L295">
        <v>268675</v>
      </c>
      <c r="M295">
        <v>66837</v>
      </c>
      <c r="N295" s="6">
        <f>SUM(J295:M295)/Variables!$E$3</f>
        <v>0.30953372552435093</v>
      </c>
      <c r="O295" s="4">
        <v>0</v>
      </c>
      <c r="P295">
        <v>453</v>
      </c>
      <c r="Q295">
        <v>62369</v>
      </c>
      <c r="R295">
        <v>21864</v>
      </c>
      <c r="S295" s="6">
        <f>SUM(O295:R295)/Variables!$E$3</f>
        <v>6.705199566108995E-2</v>
      </c>
      <c r="T295" s="4">
        <v>2736.9</v>
      </c>
      <c r="U295">
        <v>5561.1</v>
      </c>
      <c r="V295">
        <v>138520.20000000001</v>
      </c>
      <c r="W295">
        <v>37260.5</v>
      </c>
      <c r="X295" s="6">
        <f>SUM(T295:W295)/Variables!$E$3</f>
        <v>0.14574834321728597</v>
      </c>
      <c r="Y295" s="4">
        <v>2775.8</v>
      </c>
      <c r="Z295">
        <v>5610.5</v>
      </c>
      <c r="AA295">
        <v>136614</v>
      </c>
      <c r="AB295">
        <v>37463</v>
      </c>
      <c r="AC295" s="6">
        <f>SUM(Y295:AB295)/Variables!$E$3</f>
        <v>0.14446931487976944</v>
      </c>
      <c r="AD295" s="4">
        <v>3845.3</v>
      </c>
      <c r="AE295" s="2">
        <v>6944.7</v>
      </c>
      <c r="AF295" s="2">
        <v>115773.5</v>
      </c>
      <c r="AG295" s="2">
        <v>30495.5</v>
      </c>
      <c r="AH295" s="6">
        <f>SUM(AD295:AG295)/Variables!$E$3</f>
        <v>0.12435490383930198</v>
      </c>
      <c r="AI295" s="4">
        <v>1530.6</v>
      </c>
      <c r="AJ295" s="2">
        <v>4051</v>
      </c>
      <c r="AK295" s="2">
        <v>103684.6</v>
      </c>
      <c r="AL295" s="2">
        <v>24519.3</v>
      </c>
      <c r="AM295" s="6">
        <f>SUM(AI295:AL295)/Variables!$E$3</f>
        <v>0.10592760037688342</v>
      </c>
      <c r="AN295" s="4">
        <v>1696.8</v>
      </c>
      <c r="AO295" s="2">
        <v>4280.8999999999996</v>
      </c>
      <c r="AP295" s="2">
        <v>106361.8</v>
      </c>
      <c r="AQ295" s="2">
        <v>33338.5</v>
      </c>
      <c r="AR295" s="6">
        <f>SUM(AN295:AQ295)/Variables!$E$3</f>
        <v>0.11534374777314152</v>
      </c>
      <c r="AS295" s="4">
        <v>5795.4</v>
      </c>
      <c r="AT295" s="2">
        <v>9631.5</v>
      </c>
      <c r="AU295" s="2">
        <v>143047.6</v>
      </c>
      <c r="AV295" s="2">
        <v>48179.199999999997</v>
      </c>
      <c r="AW295" s="6">
        <f>SUM(AS295:AV295)/Variables!$E$3</f>
        <v>0.1636225940031196</v>
      </c>
      <c r="AX295" s="4">
        <v>1930.7</v>
      </c>
      <c r="AY295" s="2">
        <v>4595.6000000000004</v>
      </c>
      <c r="AZ295" s="2">
        <v>113447.3</v>
      </c>
      <c r="BA295" s="2">
        <v>35273.599999999999</v>
      </c>
      <c r="BB295" s="6">
        <f>SUM(AX295:BA295)/Variables!$E$3</f>
        <v>0.12292037149937847</v>
      </c>
      <c r="BC295" s="12">
        <f t="shared" si="72"/>
        <v>2775.8</v>
      </c>
      <c r="BD295" s="110">
        <f t="shared" si="72"/>
        <v>5610.5</v>
      </c>
      <c r="BE295" s="110">
        <f t="shared" si="72"/>
        <v>136614</v>
      </c>
      <c r="BF295" s="110">
        <f t="shared" si="69"/>
        <v>37463</v>
      </c>
      <c r="BG295" s="6">
        <f>SUM(BC295:BF295)/Variables!$E$3</f>
        <v>0.14446931487976944</v>
      </c>
      <c r="BH295" s="4">
        <v>2508</v>
      </c>
      <c r="BI295">
        <v>5210</v>
      </c>
      <c r="BJ295">
        <v>115230.5</v>
      </c>
      <c r="BK295">
        <v>37865.599999999999</v>
      </c>
      <c r="BL295" s="6">
        <f>SUM(BH295:BK295)/Variables!$E$3</f>
        <v>0.12732808652483393</v>
      </c>
      <c r="BM295" s="110">
        <v>2830.2</v>
      </c>
      <c r="BN295" s="110">
        <v>5585.9</v>
      </c>
      <c r="BO295" s="110">
        <v>118431.3</v>
      </c>
      <c r="BP295" s="110">
        <v>35001.1</v>
      </c>
      <c r="BQ295" s="6">
        <f>SUM(BM295:BP295)/Variables!$E$3</f>
        <v>0.12814709538476154</v>
      </c>
      <c r="BS295" s="4">
        <v>293</v>
      </c>
      <c r="BT295" s="125">
        <f t="shared" si="73"/>
        <v>0</v>
      </c>
      <c r="BU295" s="125">
        <f t="shared" si="59"/>
        <v>9.925652617993809E-3</v>
      </c>
      <c r="BV295" s="125">
        <f t="shared" si="60"/>
        <v>0</v>
      </c>
      <c r="BW295" s="125">
        <f t="shared" si="61"/>
        <v>6.6698865390858199E-4</v>
      </c>
      <c r="BX295" s="125">
        <f t="shared" si="62"/>
        <v>5.3848407350810378E-4</v>
      </c>
      <c r="BY295" s="125">
        <f t="shared" si="63"/>
        <v>0</v>
      </c>
      <c r="BZ295" s="125">
        <f t="shared" si="64"/>
        <v>0</v>
      </c>
      <c r="CA295" s="125">
        <f t="shared" si="65"/>
        <v>0</v>
      </c>
      <c r="CB295" s="125">
        <f t="shared" si="66"/>
        <v>7.0633971765413821E-4</v>
      </c>
      <c r="CC295" s="125">
        <f t="shared" si="67"/>
        <v>8.53530115044458E-5</v>
      </c>
      <c r="CD295" s="125">
        <f t="shared" si="68"/>
        <v>5.3848407350810378E-4</v>
      </c>
      <c r="CE295" s="125">
        <f t="shared" si="70"/>
        <v>0</v>
      </c>
      <c r="CF295" s="126">
        <f t="shared" si="71"/>
        <v>8.2819341404128297E-5</v>
      </c>
      <c r="CH295" s="4">
        <v>293</v>
      </c>
      <c r="CI295" s="129">
        <v>0</v>
      </c>
      <c r="CJ295" s="125">
        <v>0</v>
      </c>
      <c r="CK295" s="125">
        <v>0</v>
      </c>
      <c r="CL295" s="125">
        <v>0</v>
      </c>
      <c r="CM295" s="125">
        <v>0</v>
      </c>
      <c r="CN295" s="125">
        <v>0</v>
      </c>
      <c r="CO295" s="125">
        <v>0</v>
      </c>
      <c r="CP295" s="125">
        <v>0</v>
      </c>
      <c r="CQ295" s="125">
        <v>0</v>
      </c>
      <c r="CR295" s="125">
        <v>0</v>
      </c>
      <c r="CS295" s="125">
        <v>0</v>
      </c>
      <c r="CT295" s="125">
        <v>0</v>
      </c>
      <c r="CU295" s="126">
        <v>0</v>
      </c>
    </row>
    <row r="296" spans="1:99" x14ac:dyDescent="0.25">
      <c r="A296" t="s">
        <v>257</v>
      </c>
      <c r="B296" s="2" t="s">
        <v>1</v>
      </c>
      <c r="C296" s="1">
        <v>28368</v>
      </c>
      <c r="D296" s="19">
        <v>0</v>
      </c>
      <c r="E296" s="18">
        <v>0</v>
      </c>
      <c r="F296" s="19">
        <v>0</v>
      </c>
      <c r="G296" s="19">
        <v>0</v>
      </c>
      <c r="H296" s="19">
        <v>0</v>
      </c>
      <c r="I296" s="19">
        <f>SUM(E296:H296)/Variables!$E$3</f>
        <v>0</v>
      </c>
      <c r="J296" s="4">
        <v>0</v>
      </c>
      <c r="K296">
        <v>0</v>
      </c>
      <c r="L296">
        <v>12536</v>
      </c>
      <c r="M296">
        <v>0</v>
      </c>
      <c r="N296" s="6">
        <f>SUM(J296:M296)/Variables!$E$3</f>
        <v>9.925652617993809E-3</v>
      </c>
      <c r="O296" s="4">
        <v>0</v>
      </c>
      <c r="P296">
        <v>0</v>
      </c>
      <c r="Q296">
        <v>0</v>
      </c>
      <c r="R296">
        <v>0</v>
      </c>
      <c r="S296" s="6">
        <f>SUM(O296:R296)/Variables!$E$3</f>
        <v>0</v>
      </c>
      <c r="T296" s="4">
        <v>0</v>
      </c>
      <c r="U296">
        <v>0</v>
      </c>
      <c r="V296">
        <v>842.4</v>
      </c>
      <c r="W296">
        <v>0</v>
      </c>
      <c r="X296" s="6">
        <f>SUM(T296:W296)/Variables!$E$3</f>
        <v>6.6698865390858199E-4</v>
      </c>
      <c r="Y296" s="4">
        <v>0</v>
      </c>
      <c r="Z296">
        <v>0</v>
      </c>
      <c r="AA296">
        <v>680.1</v>
      </c>
      <c r="AB296">
        <v>0</v>
      </c>
      <c r="AC296" s="6">
        <f>SUM(Y296:AB296)/Variables!$E$3</f>
        <v>5.3848407350810378E-4</v>
      </c>
      <c r="AD296" s="4">
        <v>0</v>
      </c>
      <c r="AE296" s="2">
        <v>0</v>
      </c>
      <c r="AF296" s="2">
        <v>0</v>
      </c>
      <c r="AG296" s="2">
        <v>0</v>
      </c>
      <c r="AH296" s="6">
        <f>SUM(AD296:AG296)/Variables!$E$3</f>
        <v>0</v>
      </c>
      <c r="AI296" s="4">
        <v>0</v>
      </c>
      <c r="AJ296" s="2">
        <v>0</v>
      </c>
      <c r="AK296" s="2">
        <v>0</v>
      </c>
      <c r="AL296" s="2">
        <v>0</v>
      </c>
      <c r="AM296" s="6">
        <f>SUM(AI296:AL296)/Variables!$E$3</f>
        <v>0</v>
      </c>
      <c r="AN296" s="4">
        <v>0</v>
      </c>
      <c r="AO296" s="2">
        <v>0</v>
      </c>
      <c r="AP296" s="2">
        <v>0</v>
      </c>
      <c r="AQ296" s="2">
        <v>0</v>
      </c>
      <c r="AR296" s="6">
        <f>SUM(AN296:AQ296)/Variables!$E$3</f>
        <v>0</v>
      </c>
      <c r="AS296" s="4">
        <v>0</v>
      </c>
      <c r="AT296" s="2">
        <v>0</v>
      </c>
      <c r="AU296" s="2">
        <v>892.1</v>
      </c>
      <c r="AV296" s="2">
        <v>0</v>
      </c>
      <c r="AW296" s="6">
        <f>SUM(AS296:AV296)/Variables!$E$3</f>
        <v>7.0633971765413821E-4</v>
      </c>
      <c r="AX296" s="4">
        <v>0</v>
      </c>
      <c r="AY296" s="2">
        <v>0</v>
      </c>
      <c r="AZ296" s="2">
        <v>107.8</v>
      </c>
      <c r="BA296" s="2">
        <v>0</v>
      </c>
      <c r="BB296" s="6">
        <f>SUM(AX296:BA296)/Variables!$E$3</f>
        <v>8.53530115044458E-5</v>
      </c>
      <c r="BC296" s="12">
        <f t="shared" si="72"/>
        <v>0</v>
      </c>
      <c r="BD296" s="110">
        <f t="shared" si="72"/>
        <v>0</v>
      </c>
      <c r="BE296" s="110">
        <f t="shared" si="72"/>
        <v>680.1</v>
      </c>
      <c r="BF296" s="110">
        <f t="shared" si="69"/>
        <v>0</v>
      </c>
      <c r="BG296" s="6">
        <f>SUM(BC296:BF296)/Variables!$E$3</f>
        <v>5.3848407350810378E-4</v>
      </c>
      <c r="BH296" s="4">
        <v>0</v>
      </c>
      <c r="BI296">
        <v>0</v>
      </c>
      <c r="BJ296">
        <v>0</v>
      </c>
      <c r="BK296">
        <v>0</v>
      </c>
      <c r="BL296" s="6">
        <f>SUM(BH296:BK296)/Variables!$E$3</f>
        <v>0</v>
      </c>
      <c r="BM296" s="110">
        <v>0</v>
      </c>
      <c r="BN296" s="110">
        <v>0</v>
      </c>
      <c r="BO296" s="110">
        <v>104.6</v>
      </c>
      <c r="BP296" s="110">
        <v>0</v>
      </c>
      <c r="BQ296" s="6">
        <f>SUM(BM296:BP296)/Variables!$E$3</f>
        <v>8.2819341404128297E-5</v>
      </c>
      <c r="BS296" s="4">
        <v>294</v>
      </c>
      <c r="BT296" s="125">
        <f t="shared" si="73"/>
        <v>0</v>
      </c>
      <c r="BU296" s="125">
        <f t="shared" si="59"/>
        <v>0</v>
      </c>
      <c r="BV296" s="125">
        <f t="shared" si="60"/>
        <v>0</v>
      </c>
      <c r="BW296" s="125">
        <f t="shared" si="61"/>
        <v>0</v>
      </c>
      <c r="BX296" s="125">
        <f t="shared" si="62"/>
        <v>0</v>
      </c>
      <c r="BY296" s="125">
        <f t="shared" si="63"/>
        <v>0</v>
      </c>
      <c r="BZ296" s="125">
        <f t="shared" si="64"/>
        <v>0</v>
      </c>
      <c r="CA296" s="125">
        <f t="shared" si="65"/>
        <v>0</v>
      </c>
      <c r="CB296" s="125">
        <f t="shared" si="66"/>
        <v>0</v>
      </c>
      <c r="CC296" s="125">
        <f t="shared" si="67"/>
        <v>0</v>
      </c>
      <c r="CD296" s="125">
        <f t="shared" si="68"/>
        <v>0</v>
      </c>
      <c r="CE296" s="125">
        <f t="shared" si="70"/>
        <v>0</v>
      </c>
      <c r="CF296" s="126">
        <f t="shared" si="71"/>
        <v>0</v>
      </c>
      <c r="CH296" s="4">
        <v>294</v>
      </c>
      <c r="CI296" s="129">
        <v>0</v>
      </c>
      <c r="CJ296" s="125">
        <v>0</v>
      </c>
      <c r="CK296" s="125">
        <v>0</v>
      </c>
      <c r="CL296" s="125">
        <v>0</v>
      </c>
      <c r="CM296" s="125">
        <v>0</v>
      </c>
      <c r="CN296" s="125">
        <v>0</v>
      </c>
      <c r="CO296" s="125">
        <v>0</v>
      </c>
      <c r="CP296" s="125">
        <v>0</v>
      </c>
      <c r="CQ296" s="125">
        <v>0</v>
      </c>
      <c r="CR296" s="125">
        <v>0</v>
      </c>
      <c r="CS296" s="125">
        <v>0</v>
      </c>
      <c r="CT296" s="125">
        <v>0</v>
      </c>
      <c r="CU296" s="126">
        <v>0</v>
      </c>
    </row>
    <row r="297" spans="1:99" x14ac:dyDescent="0.25">
      <c r="A297" t="s">
        <v>257</v>
      </c>
      <c r="B297" s="2" t="s">
        <v>2</v>
      </c>
      <c r="C297" s="1">
        <v>28459</v>
      </c>
      <c r="D297" s="19">
        <v>0</v>
      </c>
      <c r="E297" s="18">
        <v>0</v>
      </c>
      <c r="F297" s="19">
        <v>0</v>
      </c>
      <c r="G297" s="19">
        <v>0</v>
      </c>
      <c r="H297" s="19">
        <v>0</v>
      </c>
      <c r="I297" s="19">
        <f>SUM(E297:H297)/Variables!$E$3</f>
        <v>0</v>
      </c>
      <c r="J297" s="4">
        <v>0</v>
      </c>
      <c r="K297">
        <v>0</v>
      </c>
      <c r="L297">
        <v>0</v>
      </c>
      <c r="M297">
        <v>0</v>
      </c>
      <c r="N297" s="6">
        <f>SUM(J297:M297)/Variables!$E$3</f>
        <v>0</v>
      </c>
      <c r="O297" s="4">
        <v>0</v>
      </c>
      <c r="P297">
        <v>0</v>
      </c>
      <c r="Q297">
        <v>0</v>
      </c>
      <c r="R297">
        <v>0</v>
      </c>
      <c r="S297" s="6">
        <f>SUM(O297:R297)/Variables!$E$3</f>
        <v>0</v>
      </c>
      <c r="T297" s="4">
        <v>0</v>
      </c>
      <c r="U297">
        <v>0</v>
      </c>
      <c r="V297">
        <v>0</v>
      </c>
      <c r="W297">
        <v>0</v>
      </c>
      <c r="X297" s="6">
        <f>SUM(T297:W297)/Variables!$E$3</f>
        <v>0</v>
      </c>
      <c r="Y297" s="4">
        <v>0</v>
      </c>
      <c r="Z297">
        <v>0</v>
      </c>
      <c r="AA297">
        <v>0</v>
      </c>
      <c r="AB297">
        <v>0</v>
      </c>
      <c r="AC297" s="6">
        <f>SUM(Y297:AB297)/Variables!$E$3</f>
        <v>0</v>
      </c>
      <c r="AD297" s="4">
        <v>0</v>
      </c>
      <c r="AE297" s="2">
        <v>0</v>
      </c>
      <c r="AF297" s="2">
        <v>0</v>
      </c>
      <c r="AG297" s="2">
        <v>0</v>
      </c>
      <c r="AH297" s="6">
        <f>SUM(AD297:AG297)/Variables!$E$3</f>
        <v>0</v>
      </c>
      <c r="AI297" s="4">
        <v>0</v>
      </c>
      <c r="AJ297" s="2">
        <v>0</v>
      </c>
      <c r="AK297" s="2">
        <v>0</v>
      </c>
      <c r="AL297" s="2">
        <v>0</v>
      </c>
      <c r="AM297" s="6">
        <f>SUM(AI297:AL297)/Variables!$E$3</f>
        <v>0</v>
      </c>
      <c r="AN297" s="4">
        <v>0</v>
      </c>
      <c r="AO297" s="2">
        <v>0</v>
      </c>
      <c r="AP297" s="2">
        <v>0</v>
      </c>
      <c r="AQ297" s="2">
        <v>0</v>
      </c>
      <c r="AR297" s="6">
        <f>SUM(AN297:AQ297)/Variables!$E$3</f>
        <v>0</v>
      </c>
      <c r="AS297" s="4">
        <v>0</v>
      </c>
      <c r="AT297" s="2">
        <v>0</v>
      </c>
      <c r="AU297" s="2">
        <v>0</v>
      </c>
      <c r="AV297" s="2">
        <v>0</v>
      </c>
      <c r="AW297" s="6">
        <f>SUM(AS297:AV297)/Variables!$E$3</f>
        <v>0</v>
      </c>
      <c r="AX297" s="4">
        <v>0</v>
      </c>
      <c r="AY297" s="2">
        <v>0</v>
      </c>
      <c r="AZ297" s="2">
        <v>0</v>
      </c>
      <c r="BA297" s="2">
        <v>0</v>
      </c>
      <c r="BB297" s="6">
        <f>SUM(AX297:BA297)/Variables!$E$3</f>
        <v>0</v>
      </c>
      <c r="BC297" s="12">
        <f t="shared" si="72"/>
        <v>0</v>
      </c>
      <c r="BD297" s="110">
        <f t="shared" si="72"/>
        <v>0</v>
      </c>
      <c r="BE297" s="110">
        <f t="shared" si="72"/>
        <v>0</v>
      </c>
      <c r="BF297" s="110">
        <f t="shared" si="69"/>
        <v>0</v>
      </c>
      <c r="BG297" s="6">
        <f>SUM(BC297:BF297)/Variables!$E$3</f>
        <v>0</v>
      </c>
      <c r="BH297" s="4">
        <v>0</v>
      </c>
      <c r="BI297">
        <v>0</v>
      </c>
      <c r="BJ297">
        <v>0</v>
      </c>
      <c r="BK297">
        <v>0</v>
      </c>
      <c r="BL297" s="6">
        <f>SUM(BH297:BK297)/Variables!$E$3</f>
        <v>0</v>
      </c>
      <c r="BM297" s="110">
        <v>0</v>
      </c>
      <c r="BN297" s="110">
        <v>0</v>
      </c>
      <c r="BO297" s="110">
        <v>0</v>
      </c>
      <c r="BP297" s="110">
        <v>0</v>
      </c>
      <c r="BQ297" s="6">
        <f>SUM(BM297:BP297)/Variables!$E$3</f>
        <v>0</v>
      </c>
      <c r="BS297" s="4">
        <v>295</v>
      </c>
      <c r="BT297" s="125">
        <f t="shared" si="73"/>
        <v>0</v>
      </c>
      <c r="BU297" s="125">
        <f t="shared" si="59"/>
        <v>0</v>
      </c>
      <c r="BV297" s="125">
        <f t="shared" si="60"/>
        <v>0</v>
      </c>
      <c r="BW297" s="125">
        <f t="shared" si="61"/>
        <v>0</v>
      </c>
      <c r="BX297" s="125">
        <f t="shared" si="62"/>
        <v>0</v>
      </c>
      <c r="BY297" s="125">
        <f t="shared" si="63"/>
        <v>0</v>
      </c>
      <c r="BZ297" s="125">
        <f t="shared" si="64"/>
        <v>0</v>
      </c>
      <c r="CA297" s="125">
        <f t="shared" si="65"/>
        <v>0</v>
      </c>
      <c r="CB297" s="125">
        <f t="shared" si="66"/>
        <v>0</v>
      </c>
      <c r="CC297" s="125">
        <f t="shared" si="67"/>
        <v>0</v>
      </c>
      <c r="CD297" s="125">
        <f t="shared" si="68"/>
        <v>0</v>
      </c>
      <c r="CE297" s="125">
        <f t="shared" si="70"/>
        <v>0</v>
      </c>
      <c r="CF297" s="126">
        <f t="shared" si="71"/>
        <v>0</v>
      </c>
      <c r="CH297" s="4">
        <v>295</v>
      </c>
      <c r="CI297" s="129">
        <v>0</v>
      </c>
      <c r="CJ297" s="125">
        <v>0</v>
      </c>
      <c r="CK297" s="125">
        <v>0</v>
      </c>
      <c r="CL297" s="125">
        <v>0</v>
      </c>
      <c r="CM297" s="125">
        <v>0</v>
      </c>
      <c r="CN297" s="125">
        <v>0</v>
      </c>
      <c r="CO297" s="125">
        <v>0</v>
      </c>
      <c r="CP297" s="125">
        <v>0</v>
      </c>
      <c r="CQ297" s="125">
        <v>0</v>
      </c>
      <c r="CR297" s="125">
        <v>0</v>
      </c>
      <c r="CS297" s="125">
        <v>0</v>
      </c>
      <c r="CT297" s="125">
        <v>0</v>
      </c>
      <c r="CU297" s="126">
        <v>0</v>
      </c>
    </row>
    <row r="298" spans="1:99" x14ac:dyDescent="0.25">
      <c r="A298" t="s">
        <v>258</v>
      </c>
      <c r="B298" s="2" t="s">
        <v>3</v>
      </c>
      <c r="C298" s="1">
        <v>28549</v>
      </c>
      <c r="D298" s="19">
        <v>100.06964285714299</v>
      </c>
      <c r="E298" s="18">
        <v>0</v>
      </c>
      <c r="F298" s="19">
        <v>0</v>
      </c>
      <c r="G298" s="19">
        <v>0</v>
      </c>
      <c r="H298" s="19">
        <v>0</v>
      </c>
      <c r="I298" s="19">
        <f>SUM(E298:H298)/Variables!$E$3</f>
        <v>0</v>
      </c>
      <c r="J298" s="4">
        <v>0</v>
      </c>
      <c r="K298">
        <v>0</v>
      </c>
      <c r="L298">
        <v>0</v>
      </c>
      <c r="M298">
        <v>0</v>
      </c>
      <c r="N298" s="6">
        <f>SUM(J298:M298)/Variables!$E$3</f>
        <v>0</v>
      </c>
      <c r="O298" s="4">
        <v>0</v>
      </c>
      <c r="P298">
        <v>0</v>
      </c>
      <c r="Q298">
        <v>0</v>
      </c>
      <c r="R298">
        <v>0</v>
      </c>
      <c r="S298" s="6">
        <f>SUM(O298:R298)/Variables!$E$3</f>
        <v>0</v>
      </c>
      <c r="T298" s="4">
        <v>0</v>
      </c>
      <c r="U298">
        <v>0</v>
      </c>
      <c r="V298">
        <v>0</v>
      </c>
      <c r="W298">
        <v>0</v>
      </c>
      <c r="X298" s="6">
        <f>SUM(T298:W298)/Variables!$E$3</f>
        <v>0</v>
      </c>
      <c r="Y298" s="4">
        <v>0</v>
      </c>
      <c r="Z298">
        <v>0</v>
      </c>
      <c r="AA298">
        <v>0</v>
      </c>
      <c r="AB298">
        <v>0</v>
      </c>
      <c r="AC298" s="6">
        <f>SUM(Y298:AB298)/Variables!$E$3</f>
        <v>0</v>
      </c>
      <c r="AD298" s="4">
        <v>0</v>
      </c>
      <c r="AE298" s="2">
        <v>0</v>
      </c>
      <c r="AF298" s="2">
        <v>0</v>
      </c>
      <c r="AG298" s="2">
        <v>0</v>
      </c>
      <c r="AH298" s="6">
        <f>SUM(AD298:AG298)/Variables!$E$3</f>
        <v>0</v>
      </c>
      <c r="AI298" s="4">
        <v>0</v>
      </c>
      <c r="AJ298" s="2">
        <v>0</v>
      </c>
      <c r="AK298" s="2">
        <v>0</v>
      </c>
      <c r="AL298" s="2">
        <v>0</v>
      </c>
      <c r="AM298" s="6">
        <f>SUM(AI298:AL298)/Variables!$E$3</f>
        <v>0</v>
      </c>
      <c r="AN298" s="4">
        <v>0</v>
      </c>
      <c r="AO298" s="2">
        <v>0</v>
      </c>
      <c r="AP298" s="2">
        <v>0</v>
      </c>
      <c r="AQ298" s="2">
        <v>0</v>
      </c>
      <c r="AR298" s="6">
        <f>SUM(AN298:AQ298)/Variables!$E$3</f>
        <v>0</v>
      </c>
      <c r="AS298" s="4">
        <v>0</v>
      </c>
      <c r="AT298" s="2">
        <v>0</v>
      </c>
      <c r="AU298" s="2">
        <v>0</v>
      </c>
      <c r="AV298" s="2">
        <v>0</v>
      </c>
      <c r="AW298" s="6">
        <f>SUM(AS298:AV298)/Variables!$E$3</f>
        <v>0</v>
      </c>
      <c r="AX298" s="4">
        <v>0</v>
      </c>
      <c r="AY298" s="2">
        <v>0</v>
      </c>
      <c r="AZ298" s="2">
        <v>0</v>
      </c>
      <c r="BA298" s="2">
        <v>0</v>
      </c>
      <c r="BB298" s="6">
        <f>SUM(AX298:BA298)/Variables!$E$3</f>
        <v>0</v>
      </c>
      <c r="BC298" s="12">
        <f t="shared" si="72"/>
        <v>0</v>
      </c>
      <c r="BD298" s="110">
        <f t="shared" si="72"/>
        <v>0</v>
      </c>
      <c r="BE298" s="110">
        <f t="shared" si="72"/>
        <v>0</v>
      </c>
      <c r="BF298" s="110">
        <f t="shared" si="69"/>
        <v>0</v>
      </c>
      <c r="BG298" s="6">
        <f>SUM(BC298:BF298)/Variables!$E$3</f>
        <v>0</v>
      </c>
      <c r="BH298" s="4">
        <v>0</v>
      </c>
      <c r="BI298">
        <v>0</v>
      </c>
      <c r="BJ298">
        <v>0</v>
      </c>
      <c r="BK298">
        <v>0</v>
      </c>
      <c r="BL298" s="6">
        <f>SUM(BH298:BK298)/Variables!$E$3</f>
        <v>0</v>
      </c>
      <c r="BM298" s="110">
        <v>0</v>
      </c>
      <c r="BN298" s="110">
        <v>0</v>
      </c>
      <c r="BO298" s="110">
        <v>0</v>
      </c>
      <c r="BP298" s="110">
        <v>0</v>
      </c>
      <c r="BQ298" s="6">
        <f>SUM(BM298:BP298)/Variables!$E$3</f>
        <v>0</v>
      </c>
      <c r="BS298" s="4">
        <v>296</v>
      </c>
      <c r="BT298" s="125">
        <f t="shared" si="73"/>
        <v>0</v>
      </c>
      <c r="BU298" s="125">
        <f t="shared" si="59"/>
        <v>0</v>
      </c>
      <c r="BV298" s="125">
        <f t="shared" si="60"/>
        <v>0</v>
      </c>
      <c r="BW298" s="125">
        <f t="shared" si="61"/>
        <v>0</v>
      </c>
      <c r="BX298" s="125">
        <f t="shared" si="62"/>
        <v>0</v>
      </c>
      <c r="BY298" s="125">
        <f t="shared" si="63"/>
        <v>0</v>
      </c>
      <c r="BZ298" s="125">
        <f t="shared" si="64"/>
        <v>0</v>
      </c>
      <c r="CA298" s="125">
        <f t="shared" si="65"/>
        <v>0</v>
      </c>
      <c r="CB298" s="125">
        <f t="shared" si="66"/>
        <v>0</v>
      </c>
      <c r="CC298" s="125">
        <f t="shared" si="67"/>
        <v>0</v>
      </c>
      <c r="CD298" s="125">
        <f t="shared" si="68"/>
        <v>0</v>
      </c>
      <c r="CE298" s="125">
        <f t="shared" si="70"/>
        <v>0</v>
      </c>
      <c r="CF298" s="126">
        <f t="shared" si="71"/>
        <v>0</v>
      </c>
      <c r="CH298" s="4">
        <v>296</v>
      </c>
      <c r="CI298" s="129">
        <v>0</v>
      </c>
      <c r="CJ298" s="125">
        <v>0</v>
      </c>
      <c r="CK298" s="125">
        <v>0</v>
      </c>
      <c r="CL298" s="125">
        <v>0</v>
      </c>
      <c r="CM298" s="125">
        <v>0</v>
      </c>
      <c r="CN298" s="125">
        <v>0</v>
      </c>
      <c r="CO298" s="125">
        <v>0</v>
      </c>
      <c r="CP298" s="125">
        <v>0</v>
      </c>
      <c r="CQ298" s="125">
        <v>0</v>
      </c>
      <c r="CR298" s="125">
        <v>0</v>
      </c>
      <c r="CS298" s="125">
        <v>0</v>
      </c>
      <c r="CT298" s="125">
        <v>0</v>
      </c>
      <c r="CU298" s="126">
        <v>0</v>
      </c>
    </row>
    <row r="299" spans="1:99" x14ac:dyDescent="0.25">
      <c r="A299" t="s">
        <v>258</v>
      </c>
      <c r="B299" s="2" t="s">
        <v>4</v>
      </c>
      <c r="C299" s="1">
        <v>28641</v>
      </c>
      <c r="D299" s="19">
        <v>85.289285714285697</v>
      </c>
      <c r="E299" s="18">
        <v>0</v>
      </c>
      <c r="F299" s="19">
        <v>0</v>
      </c>
      <c r="G299" s="19">
        <v>0</v>
      </c>
      <c r="H299" s="19">
        <v>0</v>
      </c>
      <c r="I299" s="19">
        <f>SUM(E299:H299)/Variables!$E$3</f>
        <v>0</v>
      </c>
      <c r="J299" s="4">
        <v>0</v>
      </c>
      <c r="K299">
        <v>0</v>
      </c>
      <c r="L299">
        <v>0</v>
      </c>
      <c r="M299">
        <v>0</v>
      </c>
      <c r="N299" s="6">
        <f>SUM(J299:M299)/Variables!$E$3</f>
        <v>0</v>
      </c>
      <c r="O299" s="4">
        <v>0</v>
      </c>
      <c r="P299">
        <v>0</v>
      </c>
      <c r="Q299">
        <v>0</v>
      </c>
      <c r="R299">
        <v>0</v>
      </c>
      <c r="S299" s="6">
        <f>SUM(O299:R299)/Variables!$E$3</f>
        <v>0</v>
      </c>
      <c r="T299" s="4">
        <v>0</v>
      </c>
      <c r="U299">
        <v>0</v>
      </c>
      <c r="V299">
        <v>0</v>
      </c>
      <c r="W299">
        <v>0</v>
      </c>
      <c r="X299" s="6">
        <f>SUM(T299:W299)/Variables!$E$3</f>
        <v>0</v>
      </c>
      <c r="Y299" s="4">
        <v>0</v>
      </c>
      <c r="Z299">
        <v>0</v>
      </c>
      <c r="AA299">
        <v>0</v>
      </c>
      <c r="AB299">
        <v>0</v>
      </c>
      <c r="AC299" s="6">
        <f>SUM(Y299:AB299)/Variables!$E$3</f>
        <v>0</v>
      </c>
      <c r="AD299" s="4">
        <v>0</v>
      </c>
      <c r="AE299" s="2">
        <v>0</v>
      </c>
      <c r="AF299" s="2">
        <v>0</v>
      </c>
      <c r="AG299" s="2">
        <v>0</v>
      </c>
      <c r="AH299" s="6">
        <f>SUM(AD299:AG299)/Variables!$E$3</f>
        <v>0</v>
      </c>
      <c r="AI299" s="4">
        <v>0</v>
      </c>
      <c r="AJ299" s="2">
        <v>0</v>
      </c>
      <c r="AK299" s="2">
        <v>0</v>
      </c>
      <c r="AL299" s="2">
        <v>0</v>
      </c>
      <c r="AM299" s="6">
        <f>SUM(AI299:AL299)/Variables!$E$3</f>
        <v>0</v>
      </c>
      <c r="AN299" s="4">
        <v>0</v>
      </c>
      <c r="AO299" s="2">
        <v>0</v>
      </c>
      <c r="AP299" s="2">
        <v>0</v>
      </c>
      <c r="AQ299" s="2">
        <v>0</v>
      </c>
      <c r="AR299" s="6">
        <f>SUM(AN299:AQ299)/Variables!$E$3</f>
        <v>0</v>
      </c>
      <c r="AS299" s="4">
        <v>0</v>
      </c>
      <c r="AT299" s="2">
        <v>0</v>
      </c>
      <c r="AU299" s="2">
        <v>0</v>
      </c>
      <c r="AV299" s="2">
        <v>0</v>
      </c>
      <c r="AW299" s="6">
        <f>SUM(AS299:AV299)/Variables!$E$3</f>
        <v>0</v>
      </c>
      <c r="AX299" s="4">
        <v>0</v>
      </c>
      <c r="AY299" s="2">
        <v>0</v>
      </c>
      <c r="AZ299" s="2">
        <v>0</v>
      </c>
      <c r="BA299" s="2">
        <v>0</v>
      </c>
      <c r="BB299" s="6">
        <f>SUM(AX299:BA299)/Variables!$E$3</f>
        <v>0</v>
      </c>
      <c r="BC299" s="12">
        <f t="shared" si="72"/>
        <v>0</v>
      </c>
      <c r="BD299" s="110">
        <f t="shared" si="72"/>
        <v>0</v>
      </c>
      <c r="BE299" s="110">
        <f t="shared" si="72"/>
        <v>0</v>
      </c>
      <c r="BF299" s="110">
        <f t="shared" si="69"/>
        <v>0</v>
      </c>
      <c r="BG299" s="6">
        <f>SUM(BC299:BF299)/Variables!$E$3</f>
        <v>0</v>
      </c>
      <c r="BH299" s="4">
        <v>0</v>
      </c>
      <c r="BI299">
        <v>0</v>
      </c>
      <c r="BJ299">
        <v>0</v>
      </c>
      <c r="BK299">
        <v>0</v>
      </c>
      <c r="BL299" s="6">
        <f>SUM(BH299:BK299)/Variables!$E$3</f>
        <v>0</v>
      </c>
      <c r="BM299" s="110">
        <v>0</v>
      </c>
      <c r="BN299" s="110">
        <v>0</v>
      </c>
      <c r="BO299" s="110">
        <v>0</v>
      </c>
      <c r="BP299" s="110">
        <v>0</v>
      </c>
      <c r="BQ299" s="6">
        <f>SUM(BM299:BP299)/Variables!$E$3</f>
        <v>0</v>
      </c>
      <c r="BS299" s="4">
        <v>297</v>
      </c>
      <c r="BT299" s="125">
        <f t="shared" si="73"/>
        <v>0</v>
      </c>
      <c r="BU299" s="125">
        <f t="shared" si="59"/>
        <v>1.4799008701573252E-2</v>
      </c>
      <c r="BV299" s="125">
        <f t="shared" si="60"/>
        <v>0</v>
      </c>
      <c r="BW299" s="125">
        <f t="shared" si="61"/>
        <v>0</v>
      </c>
      <c r="BX299" s="125">
        <f t="shared" si="62"/>
        <v>0</v>
      </c>
      <c r="BY299" s="125">
        <f t="shared" si="63"/>
        <v>0</v>
      </c>
      <c r="BZ299" s="125">
        <f t="shared" si="64"/>
        <v>0</v>
      </c>
      <c r="CA299" s="125">
        <f t="shared" si="65"/>
        <v>0</v>
      </c>
      <c r="CB299" s="125">
        <f t="shared" si="66"/>
        <v>0</v>
      </c>
      <c r="CC299" s="125">
        <f t="shared" si="67"/>
        <v>0</v>
      </c>
      <c r="CD299" s="125">
        <f t="shared" si="68"/>
        <v>0</v>
      </c>
      <c r="CE299" s="125">
        <f t="shared" si="70"/>
        <v>0</v>
      </c>
      <c r="CF299" s="126">
        <f t="shared" si="71"/>
        <v>0</v>
      </c>
      <c r="CH299" s="4">
        <v>297</v>
      </c>
      <c r="CI299" s="129">
        <v>0</v>
      </c>
      <c r="CJ299" s="125">
        <v>0</v>
      </c>
      <c r="CK299" s="125">
        <v>0</v>
      </c>
      <c r="CL299" s="125">
        <v>0</v>
      </c>
      <c r="CM299" s="125">
        <v>0</v>
      </c>
      <c r="CN299" s="125">
        <v>0</v>
      </c>
      <c r="CO299" s="125">
        <v>0</v>
      </c>
      <c r="CP299" s="125">
        <v>0</v>
      </c>
      <c r="CQ299" s="125">
        <v>0</v>
      </c>
      <c r="CR299" s="125">
        <v>0</v>
      </c>
      <c r="CS299" s="125">
        <v>0</v>
      </c>
      <c r="CT299" s="125">
        <v>0</v>
      </c>
      <c r="CU299" s="126">
        <v>0</v>
      </c>
    </row>
    <row r="300" spans="1:99" x14ac:dyDescent="0.25">
      <c r="A300" t="s">
        <v>258</v>
      </c>
      <c r="B300" s="2" t="s">
        <v>1</v>
      </c>
      <c r="C300" s="1">
        <v>28733</v>
      </c>
      <c r="D300" s="19">
        <v>106.841071428571</v>
      </c>
      <c r="E300" s="18">
        <v>0</v>
      </c>
      <c r="F300" s="19">
        <v>0</v>
      </c>
      <c r="G300" s="19">
        <v>0</v>
      </c>
      <c r="H300" s="19">
        <v>0</v>
      </c>
      <c r="I300" s="19">
        <f>SUM(E300:H300)/Variables!$E$3</f>
        <v>0</v>
      </c>
      <c r="J300" s="4">
        <v>0</v>
      </c>
      <c r="K300">
        <v>0</v>
      </c>
      <c r="L300">
        <v>18691</v>
      </c>
      <c r="M300">
        <v>0</v>
      </c>
      <c r="N300" s="6">
        <f>SUM(J300:M300)/Variables!$E$3</f>
        <v>1.4799008701573252E-2</v>
      </c>
      <c r="O300" s="4">
        <v>0</v>
      </c>
      <c r="P300">
        <v>0</v>
      </c>
      <c r="Q300">
        <v>0</v>
      </c>
      <c r="R300">
        <v>0</v>
      </c>
      <c r="S300" s="6">
        <f>SUM(O300:R300)/Variables!$E$3</f>
        <v>0</v>
      </c>
      <c r="T300" s="4">
        <v>0</v>
      </c>
      <c r="U300">
        <v>0</v>
      </c>
      <c r="V300">
        <v>0</v>
      </c>
      <c r="W300">
        <v>0</v>
      </c>
      <c r="X300" s="6">
        <f>SUM(T300:W300)/Variables!$E$3</f>
        <v>0</v>
      </c>
      <c r="Y300" s="4">
        <v>0</v>
      </c>
      <c r="Z300">
        <v>0</v>
      </c>
      <c r="AA300">
        <v>0</v>
      </c>
      <c r="AB300">
        <v>0</v>
      </c>
      <c r="AC300" s="6">
        <f>SUM(Y300:AB300)/Variables!$E$3</f>
        <v>0</v>
      </c>
      <c r="AD300" s="4">
        <v>0</v>
      </c>
      <c r="AE300" s="2">
        <v>0</v>
      </c>
      <c r="AF300" s="2">
        <v>0</v>
      </c>
      <c r="AG300" s="2">
        <v>0</v>
      </c>
      <c r="AH300" s="6">
        <f>SUM(AD300:AG300)/Variables!$E$3</f>
        <v>0</v>
      </c>
      <c r="AI300" s="4">
        <v>0</v>
      </c>
      <c r="AJ300" s="2">
        <v>0</v>
      </c>
      <c r="AK300" s="2">
        <v>0</v>
      </c>
      <c r="AL300" s="2">
        <v>0</v>
      </c>
      <c r="AM300" s="6">
        <f>SUM(AI300:AL300)/Variables!$E$3</f>
        <v>0</v>
      </c>
      <c r="AN300" s="4">
        <v>0</v>
      </c>
      <c r="AO300" s="2">
        <v>0</v>
      </c>
      <c r="AP300" s="2">
        <v>0</v>
      </c>
      <c r="AQ300" s="2">
        <v>0</v>
      </c>
      <c r="AR300" s="6">
        <f>SUM(AN300:AQ300)/Variables!$E$3</f>
        <v>0</v>
      </c>
      <c r="AS300" s="4">
        <v>0</v>
      </c>
      <c r="AT300" s="2">
        <v>0</v>
      </c>
      <c r="AU300" s="2">
        <v>0</v>
      </c>
      <c r="AV300" s="2">
        <v>0</v>
      </c>
      <c r="AW300" s="6">
        <f>SUM(AS300:AV300)/Variables!$E$3</f>
        <v>0</v>
      </c>
      <c r="AX300" s="4">
        <v>0</v>
      </c>
      <c r="AY300" s="2">
        <v>0</v>
      </c>
      <c r="AZ300" s="2">
        <v>0</v>
      </c>
      <c r="BA300" s="2">
        <v>0</v>
      </c>
      <c r="BB300" s="6">
        <f>SUM(AX300:BA300)/Variables!$E$3</f>
        <v>0</v>
      </c>
      <c r="BC300" s="12">
        <f t="shared" si="72"/>
        <v>0</v>
      </c>
      <c r="BD300" s="110">
        <f t="shared" si="72"/>
        <v>0</v>
      </c>
      <c r="BE300" s="110">
        <f t="shared" si="72"/>
        <v>0</v>
      </c>
      <c r="BF300" s="110">
        <f t="shared" si="69"/>
        <v>0</v>
      </c>
      <c r="BG300" s="6">
        <f>SUM(BC300:BF300)/Variables!$E$3</f>
        <v>0</v>
      </c>
      <c r="BH300" s="4">
        <v>0</v>
      </c>
      <c r="BI300">
        <v>0</v>
      </c>
      <c r="BJ300">
        <v>0</v>
      </c>
      <c r="BK300">
        <v>0</v>
      </c>
      <c r="BL300" s="6">
        <f>SUM(BH300:BK300)/Variables!$E$3</f>
        <v>0</v>
      </c>
      <c r="BM300" s="110">
        <v>0</v>
      </c>
      <c r="BN300" s="110">
        <v>0</v>
      </c>
      <c r="BO300" s="110">
        <v>0</v>
      </c>
      <c r="BP300" s="110">
        <v>0</v>
      </c>
      <c r="BQ300" s="6">
        <f>SUM(BM300:BP300)/Variables!$E$3</f>
        <v>0</v>
      </c>
      <c r="BS300" s="4">
        <v>298</v>
      </c>
      <c r="BT300" s="125">
        <f t="shared" si="73"/>
        <v>0</v>
      </c>
      <c r="BU300" s="125">
        <f t="shared" si="59"/>
        <v>4.4294887528800703E-2</v>
      </c>
      <c r="BV300" s="125">
        <f t="shared" si="60"/>
        <v>0</v>
      </c>
      <c r="BW300" s="125">
        <f t="shared" si="61"/>
        <v>2.5890941337619298E-5</v>
      </c>
      <c r="BX300" s="125">
        <f t="shared" si="62"/>
        <v>0</v>
      </c>
      <c r="BY300" s="125">
        <f t="shared" si="63"/>
        <v>0</v>
      </c>
      <c r="BZ300" s="125">
        <f t="shared" si="64"/>
        <v>0</v>
      </c>
      <c r="CA300" s="125">
        <f t="shared" si="65"/>
        <v>0</v>
      </c>
      <c r="CB300" s="125">
        <f t="shared" si="66"/>
        <v>1.8464120856063785E-4</v>
      </c>
      <c r="CC300" s="125">
        <f t="shared" si="67"/>
        <v>0</v>
      </c>
      <c r="CD300" s="125">
        <f t="shared" si="68"/>
        <v>0</v>
      </c>
      <c r="CE300" s="125">
        <f t="shared" si="70"/>
        <v>0</v>
      </c>
      <c r="CF300" s="126">
        <f t="shared" si="71"/>
        <v>0</v>
      </c>
      <c r="CH300" s="4">
        <v>298</v>
      </c>
      <c r="CI300" s="129">
        <v>0</v>
      </c>
      <c r="CJ300" s="125">
        <v>0</v>
      </c>
      <c r="CK300" s="125">
        <v>0</v>
      </c>
      <c r="CL300" s="125">
        <v>0</v>
      </c>
      <c r="CM300" s="125">
        <v>0</v>
      </c>
      <c r="CN300" s="125">
        <v>0</v>
      </c>
      <c r="CO300" s="125">
        <v>0</v>
      </c>
      <c r="CP300" s="125">
        <v>0</v>
      </c>
      <c r="CQ300" s="125">
        <v>0</v>
      </c>
      <c r="CR300" s="125">
        <v>0</v>
      </c>
      <c r="CS300" s="125">
        <v>0</v>
      </c>
      <c r="CT300" s="125">
        <v>0</v>
      </c>
      <c r="CU300" s="126">
        <v>0</v>
      </c>
    </row>
    <row r="301" spans="1:99" x14ac:dyDescent="0.25">
      <c r="A301" t="s">
        <v>258</v>
      </c>
      <c r="B301" s="2" t="s">
        <v>2</v>
      </c>
      <c r="C301" s="1">
        <v>28824</v>
      </c>
      <c r="D301" s="19">
        <v>81.544047619047603</v>
      </c>
      <c r="E301" s="18">
        <v>0</v>
      </c>
      <c r="F301" s="19">
        <v>0</v>
      </c>
      <c r="G301" s="19">
        <v>0</v>
      </c>
      <c r="H301" s="19">
        <v>0</v>
      </c>
      <c r="I301" s="19">
        <f>SUM(E301:H301)/Variables!$E$3</f>
        <v>0</v>
      </c>
      <c r="J301" s="4">
        <v>0</v>
      </c>
      <c r="K301">
        <v>0</v>
      </c>
      <c r="L301">
        <v>55944</v>
      </c>
      <c r="M301">
        <v>0</v>
      </c>
      <c r="N301" s="6">
        <f>SUM(J301:M301)/Variables!$E$3</f>
        <v>4.4294887528800703E-2</v>
      </c>
      <c r="O301" s="4">
        <v>0</v>
      </c>
      <c r="P301">
        <v>0</v>
      </c>
      <c r="Q301">
        <v>0</v>
      </c>
      <c r="R301">
        <v>0</v>
      </c>
      <c r="S301" s="6">
        <f>SUM(O301:R301)/Variables!$E$3</f>
        <v>0</v>
      </c>
      <c r="T301" s="4">
        <v>0</v>
      </c>
      <c r="U301">
        <v>0</v>
      </c>
      <c r="V301">
        <v>32.699999999999797</v>
      </c>
      <c r="W301">
        <v>0</v>
      </c>
      <c r="X301" s="6">
        <f>SUM(T301:W301)/Variables!$E$3</f>
        <v>2.5890941337619298E-5</v>
      </c>
      <c r="Y301" s="4">
        <v>0</v>
      </c>
      <c r="Z301">
        <v>0</v>
      </c>
      <c r="AA301">
        <v>0</v>
      </c>
      <c r="AB301">
        <v>0</v>
      </c>
      <c r="AC301" s="6">
        <f>SUM(Y301:AB301)/Variables!$E$3</f>
        <v>0</v>
      </c>
      <c r="AD301" s="4">
        <v>0</v>
      </c>
      <c r="AE301" s="2">
        <v>0</v>
      </c>
      <c r="AF301" s="2">
        <v>0</v>
      </c>
      <c r="AG301" s="2">
        <v>0</v>
      </c>
      <c r="AH301" s="6">
        <f>SUM(AD301:AG301)/Variables!$E$3</f>
        <v>0</v>
      </c>
      <c r="AI301" s="4">
        <v>0</v>
      </c>
      <c r="AJ301" s="2">
        <v>0</v>
      </c>
      <c r="AK301" s="2">
        <v>0</v>
      </c>
      <c r="AL301" s="2">
        <v>0</v>
      </c>
      <c r="AM301" s="6">
        <f>SUM(AI301:AL301)/Variables!$E$3</f>
        <v>0</v>
      </c>
      <c r="AN301" s="4">
        <v>0</v>
      </c>
      <c r="AO301" s="2">
        <v>0</v>
      </c>
      <c r="AP301" s="2">
        <v>0</v>
      </c>
      <c r="AQ301" s="2">
        <v>0</v>
      </c>
      <c r="AR301" s="6">
        <f>SUM(AN301:AQ301)/Variables!$E$3</f>
        <v>0</v>
      </c>
      <c r="AS301" s="4">
        <v>0</v>
      </c>
      <c r="AT301" s="2">
        <v>0</v>
      </c>
      <c r="AU301" s="2">
        <v>233.2</v>
      </c>
      <c r="AV301" s="2">
        <v>0</v>
      </c>
      <c r="AW301" s="6">
        <f>SUM(AS301:AV301)/Variables!$E$3</f>
        <v>1.8464120856063785E-4</v>
      </c>
      <c r="AX301" s="4">
        <v>0</v>
      </c>
      <c r="AY301" s="2">
        <v>0</v>
      </c>
      <c r="AZ301" s="2">
        <v>0</v>
      </c>
      <c r="BA301" s="2">
        <v>0</v>
      </c>
      <c r="BB301" s="6">
        <f>SUM(AX301:BA301)/Variables!$E$3</f>
        <v>0</v>
      </c>
      <c r="BC301" s="12">
        <f t="shared" si="72"/>
        <v>0</v>
      </c>
      <c r="BD301" s="110">
        <f t="shared" si="72"/>
        <v>0</v>
      </c>
      <c r="BE301" s="110">
        <f t="shared" si="72"/>
        <v>0</v>
      </c>
      <c r="BF301" s="110">
        <f t="shared" si="69"/>
        <v>0</v>
      </c>
      <c r="BG301" s="6">
        <f>SUM(BC301:BF301)/Variables!$E$3</f>
        <v>0</v>
      </c>
      <c r="BH301" s="4">
        <v>0</v>
      </c>
      <c r="BI301">
        <v>0</v>
      </c>
      <c r="BJ301">
        <v>0</v>
      </c>
      <c r="BK301">
        <v>0</v>
      </c>
      <c r="BL301" s="6">
        <f>SUM(BH301:BK301)/Variables!$E$3</f>
        <v>0</v>
      </c>
      <c r="BM301" s="110">
        <v>0</v>
      </c>
      <c r="BN301" s="110">
        <v>0</v>
      </c>
      <c r="BO301" s="110">
        <v>0</v>
      </c>
      <c r="BP301" s="110">
        <v>0</v>
      </c>
      <c r="BQ301" s="6">
        <f>SUM(BM301:BP301)/Variables!$E$3</f>
        <v>0</v>
      </c>
      <c r="BS301" s="4">
        <v>299</v>
      </c>
      <c r="BT301" s="125">
        <f t="shared" si="73"/>
        <v>0</v>
      </c>
      <c r="BU301" s="125">
        <f t="shared" si="59"/>
        <v>0</v>
      </c>
      <c r="BV301" s="125">
        <f t="shared" si="60"/>
        <v>0</v>
      </c>
      <c r="BW301" s="125">
        <f t="shared" si="61"/>
        <v>0</v>
      </c>
      <c r="BX301" s="125">
        <f t="shared" si="62"/>
        <v>0</v>
      </c>
      <c r="BY301" s="125">
        <f t="shared" si="63"/>
        <v>0</v>
      </c>
      <c r="BZ301" s="125">
        <f t="shared" si="64"/>
        <v>0</v>
      </c>
      <c r="CA301" s="125">
        <f t="shared" si="65"/>
        <v>0</v>
      </c>
      <c r="CB301" s="125">
        <f t="shared" si="66"/>
        <v>0</v>
      </c>
      <c r="CC301" s="125">
        <f t="shared" si="67"/>
        <v>0</v>
      </c>
      <c r="CD301" s="125">
        <f t="shared" si="68"/>
        <v>0</v>
      </c>
      <c r="CE301" s="125">
        <f t="shared" si="70"/>
        <v>0</v>
      </c>
      <c r="CF301" s="126">
        <f t="shared" si="71"/>
        <v>0</v>
      </c>
      <c r="CH301" s="4">
        <v>299</v>
      </c>
      <c r="CI301" s="129">
        <v>0</v>
      </c>
      <c r="CJ301" s="125">
        <v>0</v>
      </c>
      <c r="CK301" s="125">
        <v>0</v>
      </c>
      <c r="CL301" s="125">
        <v>0</v>
      </c>
      <c r="CM301" s="125">
        <v>0</v>
      </c>
      <c r="CN301" s="125">
        <v>0</v>
      </c>
      <c r="CO301" s="125">
        <v>0</v>
      </c>
      <c r="CP301" s="125">
        <v>0</v>
      </c>
      <c r="CQ301" s="125">
        <v>0</v>
      </c>
      <c r="CR301" s="125">
        <v>0</v>
      </c>
      <c r="CS301" s="125">
        <v>0</v>
      </c>
      <c r="CT301" s="125">
        <v>0</v>
      </c>
      <c r="CU301" s="126">
        <v>0</v>
      </c>
    </row>
    <row r="302" spans="1:99" x14ac:dyDescent="0.25">
      <c r="A302" t="s">
        <v>259</v>
      </c>
      <c r="B302" s="2" t="s">
        <v>3</v>
      </c>
      <c r="C302" s="1">
        <v>28914</v>
      </c>
      <c r="D302" s="19">
        <v>93.578571428571394</v>
      </c>
      <c r="E302" s="18">
        <v>0</v>
      </c>
      <c r="F302" s="19">
        <v>0</v>
      </c>
      <c r="G302" s="19">
        <v>0</v>
      </c>
      <c r="H302" s="19">
        <v>0</v>
      </c>
      <c r="I302" s="19">
        <f>SUM(E302:H302)/Variables!$E$3</f>
        <v>0</v>
      </c>
      <c r="J302" s="4">
        <v>0</v>
      </c>
      <c r="K302">
        <v>0</v>
      </c>
      <c r="L302">
        <v>0</v>
      </c>
      <c r="M302">
        <v>0</v>
      </c>
      <c r="N302" s="6">
        <f>SUM(J302:M302)/Variables!$E$3</f>
        <v>0</v>
      </c>
      <c r="O302" s="4">
        <v>0</v>
      </c>
      <c r="P302">
        <v>0</v>
      </c>
      <c r="Q302">
        <v>0</v>
      </c>
      <c r="R302">
        <v>0</v>
      </c>
      <c r="S302" s="6">
        <f>SUM(O302:R302)/Variables!$E$3</f>
        <v>0</v>
      </c>
      <c r="T302" s="4">
        <v>0</v>
      </c>
      <c r="U302">
        <v>0</v>
      </c>
      <c r="V302">
        <v>0</v>
      </c>
      <c r="W302">
        <v>0</v>
      </c>
      <c r="X302" s="6">
        <f>SUM(T302:W302)/Variables!$E$3</f>
        <v>0</v>
      </c>
      <c r="Y302" s="4">
        <v>0</v>
      </c>
      <c r="Z302">
        <v>0</v>
      </c>
      <c r="AA302">
        <v>0</v>
      </c>
      <c r="AB302">
        <v>0</v>
      </c>
      <c r="AC302" s="6">
        <f>SUM(Y302:AB302)/Variables!$E$3</f>
        <v>0</v>
      </c>
      <c r="AD302" s="4">
        <v>0</v>
      </c>
      <c r="AE302" s="2">
        <v>0</v>
      </c>
      <c r="AF302" s="2">
        <v>0</v>
      </c>
      <c r="AG302" s="2">
        <v>0</v>
      </c>
      <c r="AH302" s="6">
        <f>SUM(AD302:AG302)/Variables!$E$3</f>
        <v>0</v>
      </c>
      <c r="AI302" s="4">
        <v>0</v>
      </c>
      <c r="AJ302" s="2">
        <v>0</v>
      </c>
      <c r="AK302" s="2">
        <v>0</v>
      </c>
      <c r="AL302" s="2">
        <v>0</v>
      </c>
      <c r="AM302" s="6">
        <f>SUM(AI302:AL302)/Variables!$E$3</f>
        <v>0</v>
      </c>
      <c r="AN302" s="4">
        <v>0</v>
      </c>
      <c r="AO302" s="2">
        <v>0</v>
      </c>
      <c r="AP302" s="2">
        <v>0</v>
      </c>
      <c r="AQ302" s="2">
        <v>0</v>
      </c>
      <c r="AR302" s="6">
        <f>SUM(AN302:AQ302)/Variables!$E$3</f>
        <v>0</v>
      </c>
      <c r="AS302" s="4">
        <v>0</v>
      </c>
      <c r="AT302" s="2">
        <v>0</v>
      </c>
      <c r="AU302" s="2">
        <v>0</v>
      </c>
      <c r="AV302" s="2">
        <v>0</v>
      </c>
      <c r="AW302" s="6">
        <f>SUM(AS302:AV302)/Variables!$E$3</f>
        <v>0</v>
      </c>
      <c r="AX302" s="4">
        <v>0</v>
      </c>
      <c r="AY302" s="2">
        <v>0</v>
      </c>
      <c r="AZ302" s="2">
        <v>0</v>
      </c>
      <c r="BA302" s="2">
        <v>0</v>
      </c>
      <c r="BB302" s="6">
        <f>SUM(AX302:BA302)/Variables!$E$3</f>
        <v>0</v>
      </c>
      <c r="BC302" s="12">
        <f t="shared" si="72"/>
        <v>0</v>
      </c>
      <c r="BD302" s="110">
        <f t="shared" si="72"/>
        <v>0</v>
      </c>
      <c r="BE302" s="110">
        <f t="shared" si="72"/>
        <v>0</v>
      </c>
      <c r="BF302" s="110">
        <f t="shared" si="69"/>
        <v>0</v>
      </c>
      <c r="BG302" s="6">
        <f>SUM(BC302:BF302)/Variables!$E$3</f>
        <v>0</v>
      </c>
      <c r="BH302" s="4">
        <v>0</v>
      </c>
      <c r="BI302">
        <v>0</v>
      </c>
      <c r="BJ302">
        <v>0</v>
      </c>
      <c r="BK302">
        <v>0</v>
      </c>
      <c r="BL302" s="6">
        <f>SUM(BH302:BK302)/Variables!$E$3</f>
        <v>0</v>
      </c>
      <c r="BM302" s="110">
        <v>0</v>
      </c>
      <c r="BN302" s="110">
        <v>0</v>
      </c>
      <c r="BO302" s="110">
        <v>0</v>
      </c>
      <c r="BP302" s="110">
        <v>0</v>
      </c>
      <c r="BQ302" s="6">
        <f>SUM(BM302:BP302)/Variables!$E$3</f>
        <v>0</v>
      </c>
      <c r="BS302" s="4">
        <v>300</v>
      </c>
      <c r="BT302" s="125">
        <f t="shared" si="73"/>
        <v>0</v>
      </c>
      <c r="BU302" s="125">
        <f t="shared" si="59"/>
        <v>3.2486401317508452E-3</v>
      </c>
      <c r="BV302" s="125">
        <f t="shared" si="60"/>
        <v>0</v>
      </c>
      <c r="BW302" s="125">
        <f t="shared" si="61"/>
        <v>0</v>
      </c>
      <c r="BX302" s="125">
        <f t="shared" si="62"/>
        <v>0</v>
      </c>
      <c r="BY302" s="125">
        <f t="shared" si="63"/>
        <v>0</v>
      </c>
      <c r="BZ302" s="125">
        <f t="shared" si="64"/>
        <v>0</v>
      </c>
      <c r="CA302" s="125">
        <f t="shared" si="65"/>
        <v>0</v>
      </c>
      <c r="CB302" s="125">
        <f t="shared" si="66"/>
        <v>0</v>
      </c>
      <c r="CC302" s="125">
        <f t="shared" si="67"/>
        <v>0</v>
      </c>
      <c r="CD302" s="125">
        <f t="shared" si="68"/>
        <v>0</v>
      </c>
      <c r="CE302" s="125">
        <f t="shared" si="70"/>
        <v>0</v>
      </c>
      <c r="CF302" s="126">
        <f t="shared" si="71"/>
        <v>0</v>
      </c>
      <c r="CH302" s="4">
        <v>300</v>
      </c>
      <c r="CI302" s="129">
        <v>0</v>
      </c>
      <c r="CJ302" s="125">
        <v>0</v>
      </c>
      <c r="CK302" s="125">
        <v>0</v>
      </c>
      <c r="CL302" s="125">
        <v>0</v>
      </c>
      <c r="CM302" s="125">
        <v>0</v>
      </c>
      <c r="CN302" s="125">
        <v>0</v>
      </c>
      <c r="CO302" s="125">
        <v>0</v>
      </c>
      <c r="CP302" s="125">
        <v>0</v>
      </c>
      <c r="CQ302" s="125">
        <v>0</v>
      </c>
      <c r="CR302" s="125">
        <v>0</v>
      </c>
      <c r="CS302" s="125">
        <v>0</v>
      </c>
      <c r="CT302" s="125">
        <v>0</v>
      </c>
      <c r="CU302" s="126">
        <v>0</v>
      </c>
    </row>
    <row r="303" spans="1:99" x14ac:dyDescent="0.25">
      <c r="A303" t="s">
        <v>259</v>
      </c>
      <c r="B303" s="2" t="s">
        <v>4</v>
      </c>
      <c r="C303" s="1">
        <v>29006</v>
      </c>
      <c r="D303" s="19">
        <v>74.047619047618994</v>
      </c>
      <c r="E303" s="18">
        <v>0</v>
      </c>
      <c r="F303" s="19">
        <v>0</v>
      </c>
      <c r="G303" s="19">
        <v>0</v>
      </c>
      <c r="H303" s="19">
        <v>0</v>
      </c>
      <c r="I303" s="19">
        <f>SUM(E303:H303)/Variables!$E$3</f>
        <v>0</v>
      </c>
      <c r="J303" s="4">
        <v>0</v>
      </c>
      <c r="K303">
        <v>0</v>
      </c>
      <c r="L303">
        <v>4103</v>
      </c>
      <c r="M303">
        <v>0</v>
      </c>
      <c r="N303" s="6">
        <f>SUM(J303:M303)/Variables!$E$3</f>
        <v>3.2486401317508452E-3</v>
      </c>
      <c r="O303" s="4">
        <v>0</v>
      </c>
      <c r="P303">
        <v>0</v>
      </c>
      <c r="Q303">
        <v>0</v>
      </c>
      <c r="R303">
        <v>0</v>
      </c>
      <c r="S303" s="6">
        <f>SUM(O303:R303)/Variables!$E$3</f>
        <v>0</v>
      </c>
      <c r="T303" s="4">
        <v>0</v>
      </c>
      <c r="U303">
        <v>0</v>
      </c>
      <c r="V303">
        <v>0</v>
      </c>
      <c r="W303">
        <v>0</v>
      </c>
      <c r="X303" s="6">
        <f>SUM(T303:W303)/Variables!$E$3</f>
        <v>0</v>
      </c>
      <c r="Y303" s="4">
        <v>0</v>
      </c>
      <c r="Z303">
        <v>0</v>
      </c>
      <c r="AA303">
        <v>0</v>
      </c>
      <c r="AB303">
        <v>0</v>
      </c>
      <c r="AC303" s="6">
        <f>SUM(Y303:AB303)/Variables!$E$3</f>
        <v>0</v>
      </c>
      <c r="AD303" s="4">
        <v>0</v>
      </c>
      <c r="AE303" s="2">
        <v>0</v>
      </c>
      <c r="AF303" s="2">
        <v>0</v>
      </c>
      <c r="AG303" s="2">
        <v>0</v>
      </c>
      <c r="AH303" s="6">
        <f>SUM(AD303:AG303)/Variables!$E$3</f>
        <v>0</v>
      </c>
      <c r="AI303" s="4">
        <v>0</v>
      </c>
      <c r="AJ303" s="2">
        <v>0</v>
      </c>
      <c r="AK303" s="2">
        <v>0</v>
      </c>
      <c r="AL303" s="2">
        <v>0</v>
      </c>
      <c r="AM303" s="6">
        <f>SUM(AI303:AL303)/Variables!$E$3</f>
        <v>0</v>
      </c>
      <c r="AN303" s="4">
        <v>0</v>
      </c>
      <c r="AO303" s="2">
        <v>0</v>
      </c>
      <c r="AP303" s="2">
        <v>0</v>
      </c>
      <c r="AQ303" s="2">
        <v>0</v>
      </c>
      <c r="AR303" s="6">
        <f>SUM(AN303:AQ303)/Variables!$E$3</f>
        <v>0</v>
      </c>
      <c r="AS303" s="4">
        <v>0</v>
      </c>
      <c r="AT303" s="2">
        <v>0</v>
      </c>
      <c r="AU303" s="2">
        <v>0</v>
      </c>
      <c r="AV303" s="2">
        <v>0</v>
      </c>
      <c r="AW303" s="6">
        <f>SUM(AS303:AV303)/Variables!$E$3</f>
        <v>0</v>
      </c>
      <c r="AX303" s="4">
        <v>0</v>
      </c>
      <c r="AY303" s="2">
        <v>0</v>
      </c>
      <c r="AZ303" s="2">
        <v>0</v>
      </c>
      <c r="BA303" s="2">
        <v>0</v>
      </c>
      <c r="BB303" s="6">
        <f>SUM(AX303:BA303)/Variables!$E$3</f>
        <v>0</v>
      </c>
      <c r="BC303" s="12">
        <f t="shared" si="72"/>
        <v>0</v>
      </c>
      <c r="BD303" s="110">
        <f t="shared" si="72"/>
        <v>0</v>
      </c>
      <c r="BE303" s="110">
        <f t="shared" si="72"/>
        <v>0</v>
      </c>
      <c r="BF303" s="110">
        <f t="shared" si="69"/>
        <v>0</v>
      </c>
      <c r="BG303" s="6">
        <f>SUM(BC303:BF303)/Variables!$E$3</f>
        <v>0</v>
      </c>
      <c r="BH303" s="4">
        <v>0</v>
      </c>
      <c r="BI303">
        <v>0</v>
      </c>
      <c r="BJ303">
        <v>0</v>
      </c>
      <c r="BK303">
        <v>0</v>
      </c>
      <c r="BL303" s="6">
        <f>SUM(BH303:BK303)/Variables!$E$3</f>
        <v>0</v>
      </c>
      <c r="BM303" s="110">
        <v>0</v>
      </c>
      <c r="BN303" s="110">
        <v>0</v>
      </c>
      <c r="BO303" s="110">
        <v>0</v>
      </c>
      <c r="BP303" s="110">
        <v>0</v>
      </c>
      <c r="BQ303" s="6">
        <f>SUM(BM303:BP303)/Variables!$E$3</f>
        <v>0</v>
      </c>
      <c r="BS303" s="4">
        <v>301</v>
      </c>
      <c r="BT303" s="125">
        <f t="shared" si="73"/>
        <v>0</v>
      </c>
      <c r="BU303" s="125">
        <f t="shared" si="59"/>
        <v>0</v>
      </c>
      <c r="BV303" s="125">
        <f t="shared" si="60"/>
        <v>0</v>
      </c>
      <c r="BW303" s="125">
        <f t="shared" si="61"/>
        <v>0</v>
      </c>
      <c r="BX303" s="125">
        <f t="shared" si="62"/>
        <v>0</v>
      </c>
      <c r="BY303" s="125">
        <f t="shared" si="63"/>
        <v>0</v>
      </c>
      <c r="BZ303" s="125">
        <f t="shared" si="64"/>
        <v>0</v>
      </c>
      <c r="CA303" s="125">
        <f t="shared" si="65"/>
        <v>0</v>
      </c>
      <c r="CB303" s="125">
        <f t="shared" si="66"/>
        <v>0</v>
      </c>
      <c r="CC303" s="125">
        <f t="shared" si="67"/>
        <v>0</v>
      </c>
      <c r="CD303" s="125">
        <f t="shared" si="68"/>
        <v>0</v>
      </c>
      <c r="CE303" s="125">
        <f t="shared" si="70"/>
        <v>0</v>
      </c>
      <c r="CF303" s="126">
        <f t="shared" si="71"/>
        <v>0</v>
      </c>
      <c r="CH303" s="4">
        <v>301</v>
      </c>
      <c r="CI303" s="129">
        <v>0</v>
      </c>
      <c r="CJ303" s="125">
        <v>0</v>
      </c>
      <c r="CK303" s="125">
        <v>0</v>
      </c>
      <c r="CL303" s="125">
        <v>0</v>
      </c>
      <c r="CM303" s="125">
        <v>0</v>
      </c>
      <c r="CN303" s="125">
        <v>0</v>
      </c>
      <c r="CO303" s="125">
        <v>0</v>
      </c>
      <c r="CP303" s="125">
        <v>0</v>
      </c>
      <c r="CQ303" s="125">
        <v>0</v>
      </c>
      <c r="CR303" s="125">
        <v>0</v>
      </c>
      <c r="CS303" s="125">
        <v>0</v>
      </c>
      <c r="CT303" s="125">
        <v>0</v>
      </c>
      <c r="CU303" s="126">
        <v>0</v>
      </c>
    </row>
    <row r="304" spans="1:99" x14ac:dyDescent="0.25">
      <c r="A304" t="s">
        <v>259</v>
      </c>
      <c r="B304" s="2" t="s">
        <v>1</v>
      </c>
      <c r="C304" s="1">
        <v>29098</v>
      </c>
      <c r="D304" s="19">
        <v>16.571428571428601</v>
      </c>
      <c r="E304" s="18">
        <v>0</v>
      </c>
      <c r="F304" s="19">
        <v>0</v>
      </c>
      <c r="G304" s="19">
        <v>0</v>
      </c>
      <c r="H304" s="19">
        <v>0</v>
      </c>
      <c r="I304" s="19">
        <f>SUM(E304:H304)/Variables!$E$3</f>
        <v>0</v>
      </c>
      <c r="J304" s="4">
        <v>0</v>
      </c>
      <c r="K304">
        <v>0</v>
      </c>
      <c r="L304">
        <v>0</v>
      </c>
      <c r="M304">
        <v>0</v>
      </c>
      <c r="N304" s="6">
        <f>SUM(J304:M304)/Variables!$E$3</f>
        <v>0</v>
      </c>
      <c r="O304" s="4">
        <v>0</v>
      </c>
      <c r="P304">
        <v>0</v>
      </c>
      <c r="Q304">
        <v>0</v>
      </c>
      <c r="R304">
        <v>0</v>
      </c>
      <c r="S304" s="6">
        <f>SUM(O304:R304)/Variables!$E$3</f>
        <v>0</v>
      </c>
      <c r="T304" s="4">
        <v>0</v>
      </c>
      <c r="U304">
        <v>0</v>
      </c>
      <c r="V304">
        <v>0</v>
      </c>
      <c r="W304">
        <v>0</v>
      </c>
      <c r="X304" s="6">
        <f>SUM(T304:W304)/Variables!$E$3</f>
        <v>0</v>
      </c>
      <c r="Y304" s="4">
        <v>0</v>
      </c>
      <c r="Z304">
        <v>0</v>
      </c>
      <c r="AA304">
        <v>0</v>
      </c>
      <c r="AB304">
        <v>0</v>
      </c>
      <c r="AC304" s="6">
        <f>SUM(Y304:AB304)/Variables!$E$3</f>
        <v>0</v>
      </c>
      <c r="AD304" s="4">
        <v>0</v>
      </c>
      <c r="AE304" s="2">
        <v>0</v>
      </c>
      <c r="AF304" s="2">
        <v>0</v>
      </c>
      <c r="AG304" s="2">
        <v>0</v>
      </c>
      <c r="AH304" s="6">
        <f>SUM(AD304:AG304)/Variables!$E$3</f>
        <v>0</v>
      </c>
      <c r="AI304" s="4">
        <v>0</v>
      </c>
      <c r="AJ304" s="2">
        <v>0</v>
      </c>
      <c r="AK304" s="2">
        <v>0</v>
      </c>
      <c r="AL304" s="2">
        <v>0</v>
      </c>
      <c r="AM304" s="6">
        <f>SUM(AI304:AL304)/Variables!$E$3</f>
        <v>0</v>
      </c>
      <c r="AN304" s="4">
        <v>0</v>
      </c>
      <c r="AO304" s="2">
        <v>0</v>
      </c>
      <c r="AP304" s="2">
        <v>0</v>
      </c>
      <c r="AQ304" s="2">
        <v>0</v>
      </c>
      <c r="AR304" s="6">
        <f>SUM(AN304:AQ304)/Variables!$E$3</f>
        <v>0</v>
      </c>
      <c r="AS304" s="4">
        <v>0</v>
      </c>
      <c r="AT304" s="2">
        <v>0</v>
      </c>
      <c r="AU304" s="2">
        <v>0</v>
      </c>
      <c r="AV304" s="2">
        <v>0</v>
      </c>
      <c r="AW304" s="6">
        <f>SUM(AS304:AV304)/Variables!$E$3</f>
        <v>0</v>
      </c>
      <c r="AX304" s="4">
        <v>0</v>
      </c>
      <c r="AY304" s="2">
        <v>0</v>
      </c>
      <c r="AZ304" s="2">
        <v>0</v>
      </c>
      <c r="BA304" s="2">
        <v>0</v>
      </c>
      <c r="BB304" s="6">
        <f>SUM(AX304:BA304)/Variables!$E$3</f>
        <v>0</v>
      </c>
      <c r="BC304" s="12">
        <f t="shared" si="72"/>
        <v>0</v>
      </c>
      <c r="BD304" s="110">
        <f t="shared" si="72"/>
        <v>0</v>
      </c>
      <c r="BE304" s="110">
        <f t="shared" si="72"/>
        <v>0</v>
      </c>
      <c r="BF304" s="110">
        <f t="shared" si="69"/>
        <v>0</v>
      </c>
      <c r="BG304" s="6">
        <f>SUM(BC304:BF304)/Variables!$E$3</f>
        <v>0</v>
      </c>
      <c r="BH304" s="4">
        <v>0</v>
      </c>
      <c r="BI304">
        <v>0</v>
      </c>
      <c r="BJ304">
        <v>0</v>
      </c>
      <c r="BK304">
        <v>0</v>
      </c>
      <c r="BL304" s="6">
        <f>SUM(BH304:BK304)/Variables!$E$3</f>
        <v>0</v>
      </c>
      <c r="BM304" s="110">
        <v>0</v>
      </c>
      <c r="BN304" s="110">
        <v>0</v>
      </c>
      <c r="BO304" s="110">
        <v>0</v>
      </c>
      <c r="BP304" s="110">
        <v>0</v>
      </c>
      <c r="BQ304" s="6">
        <f>SUM(BM304:BP304)/Variables!$E$3</f>
        <v>0</v>
      </c>
      <c r="BS304" s="4">
        <v>302</v>
      </c>
      <c r="BT304" s="125">
        <f t="shared" si="73"/>
        <v>0</v>
      </c>
      <c r="BU304" s="125">
        <f t="shared" si="59"/>
        <v>0</v>
      </c>
      <c r="BV304" s="125">
        <f t="shared" si="60"/>
        <v>0</v>
      </c>
      <c r="BW304" s="125">
        <f t="shared" si="61"/>
        <v>0</v>
      </c>
      <c r="BX304" s="125">
        <f t="shared" si="62"/>
        <v>0</v>
      </c>
      <c r="BY304" s="125">
        <f t="shared" si="63"/>
        <v>0</v>
      </c>
      <c r="BZ304" s="125">
        <f t="shared" si="64"/>
        <v>0</v>
      </c>
      <c r="CA304" s="125">
        <f t="shared" si="65"/>
        <v>0</v>
      </c>
      <c r="CB304" s="125">
        <f t="shared" si="66"/>
        <v>0</v>
      </c>
      <c r="CC304" s="125">
        <f t="shared" si="67"/>
        <v>0</v>
      </c>
      <c r="CD304" s="125">
        <f t="shared" si="68"/>
        <v>0</v>
      </c>
      <c r="CE304" s="125">
        <f t="shared" si="70"/>
        <v>0</v>
      </c>
      <c r="CF304" s="126">
        <f t="shared" si="71"/>
        <v>0</v>
      </c>
      <c r="CH304" s="4">
        <v>302</v>
      </c>
      <c r="CI304" s="129">
        <v>0</v>
      </c>
      <c r="CJ304" s="125">
        <v>0</v>
      </c>
      <c r="CK304" s="125">
        <v>0</v>
      </c>
      <c r="CL304" s="125">
        <v>0</v>
      </c>
      <c r="CM304" s="125">
        <v>0</v>
      </c>
      <c r="CN304" s="125">
        <v>0</v>
      </c>
      <c r="CO304" s="125">
        <v>0</v>
      </c>
      <c r="CP304" s="125">
        <v>0</v>
      </c>
      <c r="CQ304" s="125">
        <v>0</v>
      </c>
      <c r="CR304" s="125">
        <v>0</v>
      </c>
      <c r="CS304" s="125">
        <v>0</v>
      </c>
      <c r="CT304" s="125">
        <v>0</v>
      </c>
      <c r="CU304" s="126">
        <v>0</v>
      </c>
    </row>
    <row r="305" spans="1:99" x14ac:dyDescent="0.25">
      <c r="A305" t="s">
        <v>259</v>
      </c>
      <c r="B305" s="2" t="s">
        <v>2</v>
      </c>
      <c r="C305" s="1">
        <v>29189</v>
      </c>
      <c r="D305" s="19">
        <v>80.116071428571402</v>
      </c>
      <c r="E305" s="18">
        <v>0</v>
      </c>
      <c r="F305" s="19">
        <v>0</v>
      </c>
      <c r="G305" s="19">
        <v>0</v>
      </c>
      <c r="H305" s="19">
        <v>0</v>
      </c>
      <c r="I305" s="19">
        <f>SUM(E305:H305)/Variables!$E$3</f>
        <v>0</v>
      </c>
      <c r="J305" s="4">
        <v>0</v>
      </c>
      <c r="K305">
        <v>0</v>
      </c>
      <c r="L305">
        <v>0</v>
      </c>
      <c r="M305">
        <v>0</v>
      </c>
      <c r="N305" s="6">
        <f>SUM(J305:M305)/Variables!$E$3</f>
        <v>0</v>
      </c>
      <c r="O305" s="4">
        <v>0</v>
      </c>
      <c r="P305">
        <v>0</v>
      </c>
      <c r="Q305">
        <v>0</v>
      </c>
      <c r="R305">
        <v>0</v>
      </c>
      <c r="S305" s="6">
        <f>SUM(O305:R305)/Variables!$E$3</f>
        <v>0</v>
      </c>
      <c r="T305" s="4">
        <v>0</v>
      </c>
      <c r="U305">
        <v>0</v>
      </c>
      <c r="V305">
        <v>0</v>
      </c>
      <c r="W305">
        <v>0</v>
      </c>
      <c r="X305" s="6">
        <f>SUM(T305:W305)/Variables!$E$3</f>
        <v>0</v>
      </c>
      <c r="Y305" s="4">
        <v>0</v>
      </c>
      <c r="Z305">
        <v>0</v>
      </c>
      <c r="AA305">
        <v>0</v>
      </c>
      <c r="AB305">
        <v>0</v>
      </c>
      <c r="AC305" s="6">
        <f>SUM(Y305:AB305)/Variables!$E$3</f>
        <v>0</v>
      </c>
      <c r="AD305" s="4">
        <v>0</v>
      </c>
      <c r="AE305" s="2">
        <v>0</v>
      </c>
      <c r="AF305" s="2">
        <v>0</v>
      </c>
      <c r="AG305" s="2">
        <v>0</v>
      </c>
      <c r="AH305" s="6">
        <f>SUM(AD305:AG305)/Variables!$E$3</f>
        <v>0</v>
      </c>
      <c r="AI305" s="4">
        <v>0</v>
      </c>
      <c r="AJ305" s="2">
        <v>0</v>
      </c>
      <c r="AK305" s="2">
        <v>0</v>
      </c>
      <c r="AL305" s="2">
        <v>0</v>
      </c>
      <c r="AM305" s="6">
        <f>SUM(AI305:AL305)/Variables!$E$3</f>
        <v>0</v>
      </c>
      <c r="AN305" s="4">
        <v>0</v>
      </c>
      <c r="AO305" s="2">
        <v>0</v>
      </c>
      <c r="AP305" s="2">
        <v>0</v>
      </c>
      <c r="AQ305" s="2">
        <v>0</v>
      </c>
      <c r="AR305" s="6">
        <f>SUM(AN305:AQ305)/Variables!$E$3</f>
        <v>0</v>
      </c>
      <c r="AS305" s="4">
        <v>0</v>
      </c>
      <c r="AT305" s="2">
        <v>0</v>
      </c>
      <c r="AU305" s="2">
        <v>0</v>
      </c>
      <c r="AV305" s="2">
        <v>0</v>
      </c>
      <c r="AW305" s="6">
        <f>SUM(AS305:AV305)/Variables!$E$3</f>
        <v>0</v>
      </c>
      <c r="AX305" s="4">
        <v>0</v>
      </c>
      <c r="AY305" s="2">
        <v>0</v>
      </c>
      <c r="AZ305" s="2">
        <v>0</v>
      </c>
      <c r="BA305" s="2">
        <v>0</v>
      </c>
      <c r="BB305" s="6">
        <f>SUM(AX305:BA305)/Variables!$E$3</f>
        <v>0</v>
      </c>
      <c r="BC305" s="12">
        <f t="shared" si="72"/>
        <v>0</v>
      </c>
      <c r="BD305" s="110">
        <f t="shared" si="72"/>
        <v>0</v>
      </c>
      <c r="BE305" s="110">
        <f t="shared" si="72"/>
        <v>0</v>
      </c>
      <c r="BF305" s="110">
        <f t="shared" si="69"/>
        <v>0</v>
      </c>
      <c r="BG305" s="6">
        <f>SUM(BC305:BF305)/Variables!$E$3</f>
        <v>0</v>
      </c>
      <c r="BH305" s="4">
        <v>0</v>
      </c>
      <c r="BI305">
        <v>0</v>
      </c>
      <c r="BJ305">
        <v>0</v>
      </c>
      <c r="BK305">
        <v>0</v>
      </c>
      <c r="BL305" s="6">
        <f>SUM(BH305:BK305)/Variables!$E$3</f>
        <v>0</v>
      </c>
      <c r="BM305" s="110">
        <v>0</v>
      </c>
      <c r="BN305" s="110">
        <v>0</v>
      </c>
      <c r="BO305" s="110">
        <v>0</v>
      </c>
      <c r="BP305" s="110">
        <v>0</v>
      </c>
      <c r="BQ305" s="6">
        <f>SUM(BM305:BP305)/Variables!$E$3</f>
        <v>0</v>
      </c>
      <c r="BS305" s="4">
        <v>303</v>
      </c>
      <c r="BT305" s="125">
        <f t="shared" si="73"/>
        <v>0</v>
      </c>
      <c r="BU305" s="125">
        <f t="shared" si="59"/>
        <v>0</v>
      </c>
      <c r="BV305" s="125">
        <f t="shared" si="60"/>
        <v>0</v>
      </c>
      <c r="BW305" s="125">
        <f t="shared" si="61"/>
        <v>0</v>
      </c>
      <c r="BX305" s="125">
        <f t="shared" si="62"/>
        <v>0</v>
      </c>
      <c r="BY305" s="125">
        <f t="shared" si="63"/>
        <v>0</v>
      </c>
      <c r="BZ305" s="125">
        <f t="shared" si="64"/>
        <v>0</v>
      </c>
      <c r="CA305" s="125">
        <f t="shared" si="65"/>
        <v>0</v>
      </c>
      <c r="CB305" s="125">
        <f t="shared" si="66"/>
        <v>0</v>
      </c>
      <c r="CC305" s="125">
        <f t="shared" si="67"/>
        <v>0</v>
      </c>
      <c r="CD305" s="125">
        <f t="shared" si="68"/>
        <v>0</v>
      </c>
      <c r="CE305" s="125">
        <f t="shared" si="70"/>
        <v>0</v>
      </c>
      <c r="CF305" s="126">
        <f t="shared" si="71"/>
        <v>0</v>
      </c>
      <c r="CH305" s="4">
        <v>303</v>
      </c>
      <c r="CI305" s="129">
        <v>0</v>
      </c>
      <c r="CJ305" s="125">
        <v>0</v>
      </c>
      <c r="CK305" s="125">
        <v>0</v>
      </c>
      <c r="CL305" s="125">
        <v>0</v>
      </c>
      <c r="CM305" s="125">
        <v>0</v>
      </c>
      <c r="CN305" s="125">
        <v>0</v>
      </c>
      <c r="CO305" s="125">
        <v>0</v>
      </c>
      <c r="CP305" s="125">
        <v>0</v>
      </c>
      <c r="CQ305" s="125">
        <v>0</v>
      </c>
      <c r="CR305" s="125">
        <v>0</v>
      </c>
      <c r="CS305" s="125">
        <v>0</v>
      </c>
      <c r="CT305" s="125">
        <v>0</v>
      </c>
      <c r="CU305" s="126">
        <v>0</v>
      </c>
    </row>
    <row r="306" spans="1:99" x14ac:dyDescent="0.25">
      <c r="A306" t="s">
        <v>260</v>
      </c>
      <c r="B306" s="2" t="s">
        <v>3</v>
      </c>
      <c r="C306" s="1">
        <v>29279</v>
      </c>
      <c r="D306" s="19">
        <v>20.782142857142901</v>
      </c>
      <c r="E306" s="18">
        <v>0</v>
      </c>
      <c r="F306" s="19">
        <v>0</v>
      </c>
      <c r="G306" s="19">
        <v>0</v>
      </c>
      <c r="H306" s="19">
        <v>0</v>
      </c>
      <c r="I306" s="19">
        <f>SUM(E306:H306)/Variables!$E$3</f>
        <v>0</v>
      </c>
      <c r="J306" s="4">
        <v>0</v>
      </c>
      <c r="K306">
        <v>0</v>
      </c>
      <c r="L306">
        <v>0</v>
      </c>
      <c r="M306">
        <v>0</v>
      </c>
      <c r="N306" s="6">
        <f>SUM(J306:M306)/Variables!$E$3</f>
        <v>0</v>
      </c>
      <c r="O306" s="4">
        <v>0</v>
      </c>
      <c r="P306">
        <v>0</v>
      </c>
      <c r="Q306">
        <v>0</v>
      </c>
      <c r="R306">
        <v>0</v>
      </c>
      <c r="S306" s="6">
        <f>SUM(O306:R306)/Variables!$E$3</f>
        <v>0</v>
      </c>
      <c r="T306" s="4">
        <v>0</v>
      </c>
      <c r="U306">
        <v>0</v>
      </c>
      <c r="V306">
        <v>0</v>
      </c>
      <c r="W306">
        <v>0</v>
      </c>
      <c r="X306" s="6">
        <f>SUM(T306:W306)/Variables!$E$3</f>
        <v>0</v>
      </c>
      <c r="Y306" s="4">
        <v>0</v>
      </c>
      <c r="Z306">
        <v>0</v>
      </c>
      <c r="AA306">
        <v>0</v>
      </c>
      <c r="AB306">
        <v>0</v>
      </c>
      <c r="AC306" s="6">
        <f>SUM(Y306:AB306)/Variables!$E$3</f>
        <v>0</v>
      </c>
      <c r="AD306" s="4">
        <v>0</v>
      </c>
      <c r="AE306" s="2">
        <v>0</v>
      </c>
      <c r="AF306" s="2">
        <v>0</v>
      </c>
      <c r="AG306" s="2">
        <v>0</v>
      </c>
      <c r="AH306" s="6">
        <f>SUM(AD306:AG306)/Variables!$E$3</f>
        <v>0</v>
      </c>
      <c r="AI306" s="4">
        <v>0</v>
      </c>
      <c r="AJ306" s="2">
        <v>0</v>
      </c>
      <c r="AK306" s="2">
        <v>0</v>
      </c>
      <c r="AL306" s="2">
        <v>0</v>
      </c>
      <c r="AM306" s="6">
        <f>SUM(AI306:AL306)/Variables!$E$3</f>
        <v>0</v>
      </c>
      <c r="AN306" s="4">
        <v>0</v>
      </c>
      <c r="AO306" s="2">
        <v>0</v>
      </c>
      <c r="AP306" s="2">
        <v>0</v>
      </c>
      <c r="AQ306" s="2">
        <v>0</v>
      </c>
      <c r="AR306" s="6">
        <f>SUM(AN306:AQ306)/Variables!$E$3</f>
        <v>0</v>
      </c>
      <c r="AS306" s="4">
        <v>0</v>
      </c>
      <c r="AT306" s="2">
        <v>0</v>
      </c>
      <c r="AU306" s="2">
        <v>0</v>
      </c>
      <c r="AV306" s="2">
        <v>0</v>
      </c>
      <c r="AW306" s="6">
        <f>SUM(AS306:AV306)/Variables!$E$3</f>
        <v>0</v>
      </c>
      <c r="AX306" s="4">
        <v>0</v>
      </c>
      <c r="AY306" s="2">
        <v>0</v>
      </c>
      <c r="AZ306" s="2">
        <v>0</v>
      </c>
      <c r="BA306" s="2">
        <v>0</v>
      </c>
      <c r="BB306" s="6">
        <f>SUM(AX306:BA306)/Variables!$E$3</f>
        <v>0</v>
      </c>
      <c r="BC306" s="12">
        <f t="shared" si="72"/>
        <v>0</v>
      </c>
      <c r="BD306" s="110">
        <f t="shared" si="72"/>
        <v>0</v>
      </c>
      <c r="BE306" s="110">
        <f t="shared" si="72"/>
        <v>0</v>
      </c>
      <c r="BF306" s="110">
        <f t="shared" si="69"/>
        <v>0</v>
      </c>
      <c r="BG306" s="6">
        <f>SUM(BC306:BF306)/Variables!$E$3</f>
        <v>0</v>
      </c>
      <c r="BH306" s="4">
        <v>0</v>
      </c>
      <c r="BI306">
        <v>0</v>
      </c>
      <c r="BJ306">
        <v>0</v>
      </c>
      <c r="BK306">
        <v>0</v>
      </c>
      <c r="BL306" s="6">
        <f>SUM(BH306:BK306)/Variables!$E$3</f>
        <v>0</v>
      </c>
      <c r="BM306" s="110">
        <v>0</v>
      </c>
      <c r="BN306" s="110">
        <v>0</v>
      </c>
      <c r="BO306" s="110">
        <v>0</v>
      </c>
      <c r="BP306" s="110">
        <v>0</v>
      </c>
      <c r="BQ306" s="6">
        <f>SUM(BM306:BP306)/Variables!$E$3</f>
        <v>0</v>
      </c>
      <c r="BS306" s="4">
        <v>304</v>
      </c>
      <c r="BT306" s="125">
        <f t="shared" si="73"/>
        <v>0</v>
      </c>
      <c r="BU306" s="125">
        <f t="shared" si="59"/>
        <v>0</v>
      </c>
      <c r="BV306" s="125">
        <f t="shared" si="60"/>
        <v>0</v>
      </c>
      <c r="BW306" s="125">
        <f t="shared" si="61"/>
        <v>0</v>
      </c>
      <c r="BX306" s="125">
        <f t="shared" si="62"/>
        <v>0</v>
      </c>
      <c r="BY306" s="125">
        <f t="shared" si="63"/>
        <v>0</v>
      </c>
      <c r="BZ306" s="125">
        <f t="shared" si="64"/>
        <v>0</v>
      </c>
      <c r="CA306" s="125">
        <f t="shared" si="65"/>
        <v>0</v>
      </c>
      <c r="CB306" s="125">
        <f t="shared" si="66"/>
        <v>0</v>
      </c>
      <c r="CC306" s="125">
        <f t="shared" si="67"/>
        <v>0</v>
      </c>
      <c r="CD306" s="125">
        <f t="shared" si="68"/>
        <v>0</v>
      </c>
      <c r="CE306" s="125">
        <f t="shared" si="70"/>
        <v>0</v>
      </c>
      <c r="CF306" s="126">
        <f t="shared" si="71"/>
        <v>0</v>
      </c>
      <c r="CH306" s="4">
        <v>304</v>
      </c>
      <c r="CI306" s="129">
        <v>0</v>
      </c>
      <c r="CJ306" s="125">
        <v>0</v>
      </c>
      <c r="CK306" s="125">
        <v>0</v>
      </c>
      <c r="CL306" s="125">
        <v>0</v>
      </c>
      <c r="CM306" s="125">
        <v>0</v>
      </c>
      <c r="CN306" s="125">
        <v>0</v>
      </c>
      <c r="CO306" s="125">
        <v>0</v>
      </c>
      <c r="CP306" s="125">
        <v>0</v>
      </c>
      <c r="CQ306" s="125">
        <v>0</v>
      </c>
      <c r="CR306" s="125">
        <v>0</v>
      </c>
      <c r="CS306" s="125">
        <v>0</v>
      </c>
      <c r="CT306" s="125">
        <v>0</v>
      </c>
      <c r="CU306" s="126">
        <v>0</v>
      </c>
    </row>
    <row r="307" spans="1:99" x14ac:dyDescent="0.25">
      <c r="A307" t="s">
        <v>260</v>
      </c>
      <c r="B307" s="2" t="s">
        <v>4</v>
      </c>
      <c r="C307" s="1">
        <v>29372</v>
      </c>
      <c r="D307" s="19">
        <v>25.9892857142857</v>
      </c>
      <c r="E307" s="18">
        <v>0</v>
      </c>
      <c r="F307" s="19">
        <v>0</v>
      </c>
      <c r="G307" s="19">
        <v>0</v>
      </c>
      <c r="H307" s="19">
        <v>0</v>
      </c>
      <c r="I307" s="19">
        <f>SUM(E307:H307)/Variables!$E$3</f>
        <v>0</v>
      </c>
      <c r="J307" s="4">
        <v>0</v>
      </c>
      <c r="K307">
        <v>0</v>
      </c>
      <c r="L307">
        <v>0</v>
      </c>
      <c r="M307">
        <v>0</v>
      </c>
      <c r="N307" s="6">
        <f>SUM(J307:M307)/Variables!$E$3</f>
        <v>0</v>
      </c>
      <c r="O307" s="4">
        <v>0</v>
      </c>
      <c r="P307">
        <v>0</v>
      </c>
      <c r="Q307">
        <v>0</v>
      </c>
      <c r="R307">
        <v>0</v>
      </c>
      <c r="S307" s="6">
        <f>SUM(O307:R307)/Variables!$E$3</f>
        <v>0</v>
      </c>
      <c r="T307" s="4">
        <v>0</v>
      </c>
      <c r="U307">
        <v>0</v>
      </c>
      <c r="V307">
        <v>0</v>
      </c>
      <c r="W307">
        <v>0</v>
      </c>
      <c r="X307" s="6">
        <f>SUM(T307:W307)/Variables!$E$3</f>
        <v>0</v>
      </c>
      <c r="Y307" s="4">
        <v>0</v>
      </c>
      <c r="Z307">
        <v>0</v>
      </c>
      <c r="AA307">
        <v>0</v>
      </c>
      <c r="AB307">
        <v>0</v>
      </c>
      <c r="AC307" s="6">
        <f>SUM(Y307:AB307)/Variables!$E$3</f>
        <v>0</v>
      </c>
      <c r="AD307" s="4">
        <v>0</v>
      </c>
      <c r="AE307" s="2">
        <v>0</v>
      </c>
      <c r="AF307" s="2">
        <v>0</v>
      </c>
      <c r="AG307" s="2">
        <v>0</v>
      </c>
      <c r="AH307" s="6">
        <f>SUM(AD307:AG307)/Variables!$E$3</f>
        <v>0</v>
      </c>
      <c r="AI307" s="4">
        <v>0</v>
      </c>
      <c r="AJ307" s="2">
        <v>0</v>
      </c>
      <c r="AK307" s="2">
        <v>0</v>
      </c>
      <c r="AL307" s="2">
        <v>0</v>
      </c>
      <c r="AM307" s="6">
        <f>SUM(AI307:AL307)/Variables!$E$3</f>
        <v>0</v>
      </c>
      <c r="AN307" s="4">
        <v>0</v>
      </c>
      <c r="AO307" s="2">
        <v>0</v>
      </c>
      <c r="AP307" s="2">
        <v>0</v>
      </c>
      <c r="AQ307" s="2">
        <v>0</v>
      </c>
      <c r="AR307" s="6">
        <f>SUM(AN307:AQ307)/Variables!$E$3</f>
        <v>0</v>
      </c>
      <c r="AS307" s="4">
        <v>0</v>
      </c>
      <c r="AT307" s="2">
        <v>0</v>
      </c>
      <c r="AU307" s="2">
        <v>0</v>
      </c>
      <c r="AV307" s="2">
        <v>0</v>
      </c>
      <c r="AW307" s="6">
        <f>SUM(AS307:AV307)/Variables!$E$3</f>
        <v>0</v>
      </c>
      <c r="AX307" s="4">
        <v>0</v>
      </c>
      <c r="AY307" s="2">
        <v>0</v>
      </c>
      <c r="AZ307" s="2">
        <v>0</v>
      </c>
      <c r="BA307" s="2">
        <v>0</v>
      </c>
      <c r="BB307" s="6">
        <f>SUM(AX307:BA307)/Variables!$E$3</f>
        <v>0</v>
      </c>
      <c r="BC307" s="12">
        <f t="shared" si="72"/>
        <v>0</v>
      </c>
      <c r="BD307" s="110">
        <f t="shared" si="72"/>
        <v>0</v>
      </c>
      <c r="BE307" s="110">
        <f t="shared" si="72"/>
        <v>0</v>
      </c>
      <c r="BF307" s="110">
        <f t="shared" si="69"/>
        <v>0</v>
      </c>
      <c r="BG307" s="6">
        <f>SUM(BC307:BF307)/Variables!$E$3</f>
        <v>0</v>
      </c>
      <c r="BH307" s="4">
        <v>0</v>
      </c>
      <c r="BI307">
        <v>0</v>
      </c>
      <c r="BJ307">
        <v>0</v>
      </c>
      <c r="BK307">
        <v>0</v>
      </c>
      <c r="BL307" s="6">
        <f>SUM(BH307:BK307)/Variables!$E$3</f>
        <v>0</v>
      </c>
      <c r="BM307" s="110">
        <v>0</v>
      </c>
      <c r="BN307" s="110">
        <v>0</v>
      </c>
      <c r="BO307" s="110">
        <v>0</v>
      </c>
      <c r="BP307" s="110">
        <v>0</v>
      </c>
      <c r="BQ307" s="6">
        <f>SUM(BM307:BP307)/Variables!$E$3</f>
        <v>0</v>
      </c>
      <c r="BS307" s="4">
        <v>305</v>
      </c>
      <c r="BT307" s="125">
        <f t="shared" si="73"/>
        <v>0</v>
      </c>
      <c r="BU307" s="125">
        <f t="shared" si="59"/>
        <v>0</v>
      </c>
      <c r="BV307" s="125">
        <f t="shared" si="60"/>
        <v>0</v>
      </c>
      <c r="BW307" s="125">
        <f t="shared" si="61"/>
        <v>0</v>
      </c>
      <c r="BX307" s="125">
        <f t="shared" si="62"/>
        <v>0</v>
      </c>
      <c r="BY307" s="125">
        <f t="shared" si="63"/>
        <v>0</v>
      </c>
      <c r="BZ307" s="125">
        <f t="shared" si="64"/>
        <v>0</v>
      </c>
      <c r="CA307" s="125">
        <f t="shared" si="65"/>
        <v>0</v>
      </c>
      <c r="CB307" s="125">
        <f t="shared" si="66"/>
        <v>0</v>
      </c>
      <c r="CC307" s="125">
        <f t="shared" si="67"/>
        <v>0</v>
      </c>
      <c r="CD307" s="125">
        <f t="shared" si="68"/>
        <v>0</v>
      </c>
      <c r="CE307" s="125">
        <f t="shared" si="70"/>
        <v>0</v>
      </c>
      <c r="CF307" s="126">
        <f t="shared" si="71"/>
        <v>0</v>
      </c>
      <c r="CH307" s="4">
        <v>305</v>
      </c>
      <c r="CI307" s="129">
        <v>0</v>
      </c>
      <c r="CJ307" s="125">
        <v>0</v>
      </c>
      <c r="CK307" s="125">
        <v>0</v>
      </c>
      <c r="CL307" s="125">
        <v>0</v>
      </c>
      <c r="CM307" s="125">
        <v>0</v>
      </c>
      <c r="CN307" s="125">
        <v>0</v>
      </c>
      <c r="CO307" s="125">
        <v>0</v>
      </c>
      <c r="CP307" s="125">
        <v>0</v>
      </c>
      <c r="CQ307" s="125">
        <v>0</v>
      </c>
      <c r="CR307" s="125">
        <v>0</v>
      </c>
      <c r="CS307" s="125">
        <v>0</v>
      </c>
      <c r="CT307" s="125">
        <v>0</v>
      </c>
      <c r="CU307" s="126">
        <v>0</v>
      </c>
    </row>
    <row r="308" spans="1:99" x14ac:dyDescent="0.25">
      <c r="A308" t="s">
        <v>260</v>
      </c>
      <c r="B308" s="2" t="s">
        <v>1</v>
      </c>
      <c r="C308" s="1">
        <v>29464</v>
      </c>
      <c r="D308" s="19">
        <v>9.7750000000000004</v>
      </c>
      <c r="E308" s="18">
        <v>0</v>
      </c>
      <c r="F308" s="19">
        <v>0</v>
      </c>
      <c r="G308" s="19">
        <v>0</v>
      </c>
      <c r="H308" s="19">
        <v>0</v>
      </c>
      <c r="I308" s="19">
        <f>SUM(E308:H308)/Variables!$E$3</f>
        <v>0</v>
      </c>
      <c r="J308" s="4">
        <v>0</v>
      </c>
      <c r="K308">
        <v>0</v>
      </c>
      <c r="L308">
        <v>0</v>
      </c>
      <c r="M308">
        <v>0</v>
      </c>
      <c r="N308" s="6">
        <f>SUM(J308:M308)/Variables!$E$3</f>
        <v>0</v>
      </c>
      <c r="O308" s="4">
        <v>0</v>
      </c>
      <c r="P308">
        <v>0</v>
      </c>
      <c r="Q308">
        <v>0</v>
      </c>
      <c r="R308">
        <v>0</v>
      </c>
      <c r="S308" s="6">
        <f>SUM(O308:R308)/Variables!$E$3</f>
        <v>0</v>
      </c>
      <c r="T308" s="4">
        <v>0</v>
      </c>
      <c r="U308">
        <v>0</v>
      </c>
      <c r="V308">
        <v>0</v>
      </c>
      <c r="W308">
        <v>0</v>
      </c>
      <c r="X308" s="6">
        <f>SUM(T308:W308)/Variables!$E$3</f>
        <v>0</v>
      </c>
      <c r="Y308" s="4">
        <v>0</v>
      </c>
      <c r="Z308">
        <v>0</v>
      </c>
      <c r="AA308">
        <v>0</v>
      </c>
      <c r="AB308">
        <v>0</v>
      </c>
      <c r="AC308" s="6">
        <f>SUM(Y308:AB308)/Variables!$E$3</f>
        <v>0</v>
      </c>
      <c r="AD308" s="4">
        <v>0</v>
      </c>
      <c r="AE308" s="2">
        <v>0</v>
      </c>
      <c r="AF308" s="2">
        <v>0</v>
      </c>
      <c r="AG308" s="2">
        <v>0</v>
      </c>
      <c r="AH308" s="6">
        <f>SUM(AD308:AG308)/Variables!$E$3</f>
        <v>0</v>
      </c>
      <c r="AI308" s="4">
        <v>0</v>
      </c>
      <c r="AJ308" s="2">
        <v>0</v>
      </c>
      <c r="AK308" s="2">
        <v>0</v>
      </c>
      <c r="AL308" s="2">
        <v>0</v>
      </c>
      <c r="AM308" s="6">
        <f>SUM(AI308:AL308)/Variables!$E$3</f>
        <v>0</v>
      </c>
      <c r="AN308" s="4">
        <v>0</v>
      </c>
      <c r="AO308" s="2">
        <v>0</v>
      </c>
      <c r="AP308" s="2">
        <v>0</v>
      </c>
      <c r="AQ308" s="2">
        <v>0</v>
      </c>
      <c r="AR308" s="6">
        <f>SUM(AN308:AQ308)/Variables!$E$3</f>
        <v>0</v>
      </c>
      <c r="AS308" s="4">
        <v>0</v>
      </c>
      <c r="AT308" s="2">
        <v>0</v>
      </c>
      <c r="AU308" s="2">
        <v>0</v>
      </c>
      <c r="AV308" s="2">
        <v>0</v>
      </c>
      <c r="AW308" s="6">
        <f>SUM(AS308:AV308)/Variables!$E$3</f>
        <v>0</v>
      </c>
      <c r="AX308" s="4">
        <v>0</v>
      </c>
      <c r="AY308" s="2">
        <v>0</v>
      </c>
      <c r="AZ308" s="2">
        <v>0</v>
      </c>
      <c r="BA308" s="2">
        <v>0</v>
      </c>
      <c r="BB308" s="6">
        <f>SUM(AX308:BA308)/Variables!$E$3</f>
        <v>0</v>
      </c>
      <c r="BC308" s="12">
        <f t="shared" si="72"/>
        <v>0</v>
      </c>
      <c r="BD308" s="110">
        <f t="shared" si="72"/>
        <v>0</v>
      </c>
      <c r="BE308" s="110">
        <f t="shared" si="72"/>
        <v>0</v>
      </c>
      <c r="BF308" s="110">
        <f t="shared" si="69"/>
        <v>0</v>
      </c>
      <c r="BG308" s="6">
        <f>SUM(BC308:BF308)/Variables!$E$3</f>
        <v>0</v>
      </c>
      <c r="BH308" s="4">
        <v>0</v>
      </c>
      <c r="BI308">
        <v>0</v>
      </c>
      <c r="BJ308">
        <v>0</v>
      </c>
      <c r="BK308">
        <v>0</v>
      </c>
      <c r="BL308" s="6">
        <f>SUM(BH308:BK308)/Variables!$E$3</f>
        <v>0</v>
      </c>
      <c r="BM308" s="110">
        <v>0</v>
      </c>
      <c r="BN308" s="110">
        <v>0</v>
      </c>
      <c r="BO308" s="110">
        <v>0</v>
      </c>
      <c r="BP308" s="110">
        <v>0</v>
      </c>
      <c r="BQ308" s="6">
        <f>SUM(BM308:BP308)/Variables!$E$3</f>
        <v>0</v>
      </c>
      <c r="BS308" s="4">
        <v>306</v>
      </c>
      <c r="BT308" s="125">
        <f t="shared" si="73"/>
        <v>0</v>
      </c>
      <c r="BU308" s="125">
        <f t="shared" si="59"/>
        <v>0</v>
      </c>
      <c r="BV308" s="125">
        <f t="shared" si="60"/>
        <v>0</v>
      </c>
      <c r="BW308" s="125">
        <f t="shared" si="61"/>
        <v>0</v>
      </c>
      <c r="BX308" s="125">
        <f t="shared" si="62"/>
        <v>0</v>
      </c>
      <c r="BY308" s="125">
        <f t="shared" si="63"/>
        <v>0</v>
      </c>
      <c r="BZ308" s="125">
        <f t="shared" si="64"/>
        <v>0</v>
      </c>
      <c r="CA308" s="125">
        <f t="shared" si="65"/>
        <v>0</v>
      </c>
      <c r="CB308" s="125">
        <f t="shared" si="66"/>
        <v>0</v>
      </c>
      <c r="CC308" s="125">
        <f t="shared" si="67"/>
        <v>0</v>
      </c>
      <c r="CD308" s="125">
        <f t="shared" si="68"/>
        <v>0</v>
      </c>
      <c r="CE308" s="125">
        <f t="shared" si="70"/>
        <v>0</v>
      </c>
      <c r="CF308" s="126">
        <f t="shared" si="71"/>
        <v>0</v>
      </c>
      <c r="CH308" s="4">
        <v>306</v>
      </c>
      <c r="CI308" s="129">
        <v>0</v>
      </c>
      <c r="CJ308" s="125">
        <v>0</v>
      </c>
      <c r="CK308" s="125">
        <v>0</v>
      </c>
      <c r="CL308" s="125">
        <v>0</v>
      </c>
      <c r="CM308" s="125">
        <v>0</v>
      </c>
      <c r="CN308" s="125">
        <v>0</v>
      </c>
      <c r="CO308" s="125">
        <v>0</v>
      </c>
      <c r="CP308" s="125">
        <v>0</v>
      </c>
      <c r="CQ308" s="125">
        <v>0</v>
      </c>
      <c r="CR308" s="125">
        <v>0</v>
      </c>
      <c r="CS308" s="125">
        <v>0</v>
      </c>
      <c r="CT308" s="125">
        <v>0</v>
      </c>
      <c r="CU308" s="126">
        <v>0</v>
      </c>
    </row>
    <row r="309" spans="1:99" x14ac:dyDescent="0.25">
      <c r="A309" t="s">
        <v>260</v>
      </c>
      <c r="B309" s="2" t="s">
        <v>2</v>
      </c>
      <c r="C309" s="1">
        <v>29555</v>
      </c>
      <c r="D309" s="19">
        <v>14.2</v>
      </c>
      <c r="E309" s="18">
        <v>0</v>
      </c>
      <c r="F309" s="19">
        <v>0</v>
      </c>
      <c r="G309" s="19">
        <v>0</v>
      </c>
      <c r="H309" s="19">
        <v>0</v>
      </c>
      <c r="I309" s="19">
        <f>SUM(E309:H309)/Variables!$E$3</f>
        <v>0</v>
      </c>
      <c r="J309" s="4">
        <v>0</v>
      </c>
      <c r="K309">
        <v>0</v>
      </c>
      <c r="L309">
        <v>0</v>
      </c>
      <c r="M309">
        <v>0</v>
      </c>
      <c r="N309" s="6">
        <f>SUM(J309:M309)/Variables!$E$3</f>
        <v>0</v>
      </c>
      <c r="O309" s="4">
        <v>0</v>
      </c>
      <c r="P309">
        <v>0</v>
      </c>
      <c r="Q309">
        <v>0</v>
      </c>
      <c r="R309">
        <v>0</v>
      </c>
      <c r="S309" s="6">
        <f>SUM(O309:R309)/Variables!$E$3</f>
        <v>0</v>
      </c>
      <c r="T309" s="4">
        <v>0</v>
      </c>
      <c r="U309">
        <v>0</v>
      </c>
      <c r="V309">
        <v>0</v>
      </c>
      <c r="W309">
        <v>0</v>
      </c>
      <c r="X309" s="6">
        <f>SUM(T309:W309)/Variables!$E$3</f>
        <v>0</v>
      </c>
      <c r="Y309" s="4">
        <v>0</v>
      </c>
      <c r="Z309">
        <v>0</v>
      </c>
      <c r="AA309">
        <v>0</v>
      </c>
      <c r="AB309">
        <v>0</v>
      </c>
      <c r="AC309" s="6">
        <f>SUM(Y309:AB309)/Variables!$E$3</f>
        <v>0</v>
      </c>
      <c r="AD309" s="4">
        <v>0</v>
      </c>
      <c r="AE309" s="2">
        <v>0</v>
      </c>
      <c r="AF309" s="2">
        <v>0</v>
      </c>
      <c r="AG309" s="2">
        <v>0</v>
      </c>
      <c r="AH309" s="6">
        <f>SUM(AD309:AG309)/Variables!$E$3</f>
        <v>0</v>
      </c>
      <c r="AI309" s="4">
        <v>0</v>
      </c>
      <c r="AJ309" s="2">
        <v>0</v>
      </c>
      <c r="AK309" s="2">
        <v>0</v>
      </c>
      <c r="AL309" s="2">
        <v>0</v>
      </c>
      <c r="AM309" s="6">
        <f>SUM(AI309:AL309)/Variables!$E$3</f>
        <v>0</v>
      </c>
      <c r="AN309" s="4">
        <v>0</v>
      </c>
      <c r="AO309" s="2">
        <v>0</v>
      </c>
      <c r="AP309" s="2">
        <v>0</v>
      </c>
      <c r="AQ309" s="2">
        <v>0</v>
      </c>
      <c r="AR309" s="6">
        <f>SUM(AN309:AQ309)/Variables!$E$3</f>
        <v>0</v>
      </c>
      <c r="AS309" s="4">
        <v>0</v>
      </c>
      <c r="AT309" s="2">
        <v>0</v>
      </c>
      <c r="AU309" s="2">
        <v>0</v>
      </c>
      <c r="AV309" s="2">
        <v>0</v>
      </c>
      <c r="AW309" s="6">
        <f>SUM(AS309:AV309)/Variables!$E$3</f>
        <v>0</v>
      </c>
      <c r="AX309" s="4">
        <v>0</v>
      </c>
      <c r="AY309" s="2">
        <v>0</v>
      </c>
      <c r="AZ309" s="2">
        <v>0</v>
      </c>
      <c r="BA309" s="2">
        <v>0</v>
      </c>
      <c r="BB309" s="6">
        <f>SUM(AX309:BA309)/Variables!$E$3</f>
        <v>0</v>
      </c>
      <c r="BC309" s="12">
        <f t="shared" si="72"/>
        <v>0</v>
      </c>
      <c r="BD309" s="110">
        <f t="shared" si="72"/>
        <v>0</v>
      </c>
      <c r="BE309" s="110">
        <f t="shared" si="72"/>
        <v>0</v>
      </c>
      <c r="BF309" s="110">
        <f t="shared" si="69"/>
        <v>0</v>
      </c>
      <c r="BG309" s="6">
        <f>SUM(BC309:BF309)/Variables!$E$3</f>
        <v>0</v>
      </c>
      <c r="BH309" s="4">
        <v>0</v>
      </c>
      <c r="BI309">
        <v>0</v>
      </c>
      <c r="BJ309">
        <v>0</v>
      </c>
      <c r="BK309">
        <v>0</v>
      </c>
      <c r="BL309" s="6">
        <f>SUM(BH309:BK309)/Variables!$E$3</f>
        <v>0</v>
      </c>
      <c r="BM309" s="110">
        <v>0</v>
      </c>
      <c r="BN309" s="110">
        <v>0</v>
      </c>
      <c r="BO309" s="110">
        <v>0</v>
      </c>
      <c r="BP309" s="110">
        <v>0</v>
      </c>
      <c r="BQ309" s="6">
        <f>SUM(BM309:BP309)/Variables!$E$3</f>
        <v>0</v>
      </c>
      <c r="BS309" s="4">
        <v>307</v>
      </c>
      <c r="BT309" s="125">
        <f t="shared" si="73"/>
        <v>0</v>
      </c>
      <c r="BU309" s="125">
        <f t="shared" si="59"/>
        <v>0.20029295560534921</v>
      </c>
      <c r="BV309" s="125">
        <f t="shared" si="60"/>
        <v>2.1304998456044784E-2</v>
      </c>
      <c r="BW309" s="125">
        <f t="shared" si="61"/>
        <v>5.7969263414595525E-2</v>
      </c>
      <c r="BX309" s="125">
        <f t="shared" si="62"/>
        <v>5.7314309693663447E-2</v>
      </c>
      <c r="BY309" s="125">
        <f t="shared" si="63"/>
        <v>4.6463154894338041E-2</v>
      </c>
      <c r="BZ309" s="125">
        <f t="shared" si="64"/>
        <v>3.8425878272987116E-2</v>
      </c>
      <c r="CA309" s="125">
        <f t="shared" si="65"/>
        <v>4.4711438728731033E-2</v>
      </c>
      <c r="CB309" s="125">
        <f t="shared" si="66"/>
        <v>6.5603844844377229E-2</v>
      </c>
      <c r="CC309" s="125">
        <f t="shared" si="67"/>
        <v>4.9438079478063959E-2</v>
      </c>
      <c r="CD309" s="125">
        <f t="shared" si="68"/>
        <v>5.7314309693663447E-2</v>
      </c>
      <c r="CE309" s="125">
        <f t="shared" si="70"/>
        <v>4.49544335267896E-2</v>
      </c>
      <c r="CF309" s="126">
        <f t="shared" si="71"/>
        <v>4.9350271973649835E-2</v>
      </c>
      <c r="CH309" s="4">
        <v>307</v>
      </c>
      <c r="CI309" s="129">
        <v>0</v>
      </c>
      <c r="CJ309" s="125">
        <v>0</v>
      </c>
      <c r="CK309" s="125">
        <v>0</v>
      </c>
      <c r="CL309" s="125">
        <v>0</v>
      </c>
      <c r="CM309" s="125">
        <v>0</v>
      </c>
      <c r="CN309" s="125">
        <v>0</v>
      </c>
      <c r="CO309" s="125">
        <v>0</v>
      </c>
      <c r="CP309" s="125">
        <v>0</v>
      </c>
      <c r="CQ309" s="125">
        <v>0</v>
      </c>
      <c r="CR309" s="125">
        <v>0</v>
      </c>
      <c r="CS309" s="125">
        <v>0</v>
      </c>
      <c r="CT309" s="125">
        <v>0</v>
      </c>
      <c r="CU309" s="126">
        <v>0</v>
      </c>
    </row>
    <row r="310" spans="1:99" x14ac:dyDescent="0.25">
      <c r="A310" t="s">
        <v>261</v>
      </c>
      <c r="B310" s="2" t="s">
        <v>3</v>
      </c>
      <c r="C310" s="1">
        <v>29645</v>
      </c>
      <c r="D310" s="19">
        <v>90.6357142857143</v>
      </c>
      <c r="E310" s="18">
        <v>0</v>
      </c>
      <c r="F310" s="19">
        <v>0</v>
      </c>
      <c r="G310" s="19">
        <v>0</v>
      </c>
      <c r="H310" s="19">
        <v>0</v>
      </c>
      <c r="I310" s="19">
        <f>SUM(E310:H310)/Variables!$E$3</f>
        <v>0</v>
      </c>
      <c r="J310" s="4">
        <v>5438</v>
      </c>
      <c r="K310">
        <v>7451</v>
      </c>
      <c r="L310">
        <v>174691</v>
      </c>
      <c r="M310">
        <v>65388</v>
      </c>
      <c r="N310" s="6">
        <f>SUM(J310:M310)/Variables!$E$3</f>
        <v>0.20029295560534921</v>
      </c>
      <c r="O310" s="4">
        <v>0</v>
      </c>
      <c r="P310">
        <v>0</v>
      </c>
      <c r="Q310">
        <v>16312</v>
      </c>
      <c r="R310">
        <v>10596</v>
      </c>
      <c r="S310" s="6">
        <f>SUM(O310:R310)/Variables!$E$3</f>
        <v>2.1304998456044784E-2</v>
      </c>
      <c r="T310" s="4">
        <v>0</v>
      </c>
      <c r="U310">
        <v>0</v>
      </c>
      <c r="V310">
        <v>51985.1</v>
      </c>
      <c r="W310">
        <v>21229.5</v>
      </c>
      <c r="X310" s="6">
        <f>SUM(T310:W310)/Variables!$E$3</f>
        <v>5.7969263414595525E-2</v>
      </c>
      <c r="Y310" s="4">
        <v>0</v>
      </c>
      <c r="Z310">
        <v>0</v>
      </c>
      <c r="AA310">
        <v>50969.8</v>
      </c>
      <c r="AB310">
        <v>21417.599999999999</v>
      </c>
      <c r="AC310" s="6">
        <f>SUM(Y310:AB310)/Variables!$E$3</f>
        <v>5.7314309693663447E-2</v>
      </c>
      <c r="AD310" s="4">
        <v>0</v>
      </c>
      <c r="AE310" s="2">
        <v>0</v>
      </c>
      <c r="AF310" s="2">
        <v>39599.300000000003</v>
      </c>
      <c r="AG310" s="2">
        <v>19083.2</v>
      </c>
      <c r="AH310" s="6">
        <f>SUM(AD310:AG310)/Variables!$E$3</f>
        <v>4.6463154894338041E-2</v>
      </c>
      <c r="AI310" s="4">
        <v>0</v>
      </c>
      <c r="AJ310" s="2">
        <v>0</v>
      </c>
      <c r="AK310" s="2">
        <v>34794.5</v>
      </c>
      <c r="AL310" s="2">
        <v>13737</v>
      </c>
      <c r="AM310" s="6">
        <f>SUM(AI310:AL310)/Variables!$E$3</f>
        <v>3.8425878272987116E-2</v>
      </c>
      <c r="AN310" s="4">
        <v>0</v>
      </c>
      <c r="AO310" s="2">
        <v>0</v>
      </c>
      <c r="AP310" s="2">
        <v>36449.9</v>
      </c>
      <c r="AQ310" s="2">
        <v>20020.2</v>
      </c>
      <c r="AR310" s="6">
        <f>SUM(AN310:AQ310)/Variables!$E$3</f>
        <v>4.4711438728731033E-2</v>
      </c>
      <c r="AS310" s="4">
        <v>0</v>
      </c>
      <c r="AT310" s="2">
        <v>0</v>
      </c>
      <c r="AU310" s="2">
        <v>53636</v>
      </c>
      <c r="AV310" s="2">
        <v>29221</v>
      </c>
      <c r="AW310" s="6">
        <f>SUM(AS310:AV310)/Variables!$E$3</f>
        <v>6.5603844844377229E-2</v>
      </c>
      <c r="AX310" s="4">
        <v>0</v>
      </c>
      <c r="AY310" s="2">
        <v>0</v>
      </c>
      <c r="AZ310" s="2">
        <v>40375.800000000003</v>
      </c>
      <c r="BA310" s="2">
        <v>22064</v>
      </c>
      <c r="BB310" s="6">
        <f>SUM(AX310:BA310)/Variables!$E$3</f>
        <v>4.9438079478063959E-2</v>
      </c>
      <c r="BC310" s="12">
        <f t="shared" si="72"/>
        <v>0</v>
      </c>
      <c r="BD310" s="110">
        <f t="shared" si="72"/>
        <v>0</v>
      </c>
      <c r="BE310" s="110">
        <f t="shared" si="72"/>
        <v>50969.8</v>
      </c>
      <c r="BF310" s="110">
        <f t="shared" si="69"/>
        <v>21417.599999999999</v>
      </c>
      <c r="BG310" s="6">
        <f>SUM(BC310:BF310)/Variables!$E$3</f>
        <v>5.7314309693663447E-2</v>
      </c>
      <c r="BH310" s="4">
        <v>0</v>
      </c>
      <c r="BI310">
        <v>0</v>
      </c>
      <c r="BJ310">
        <v>38029.599999999999</v>
      </c>
      <c r="BK310">
        <v>18747.400000000001</v>
      </c>
      <c r="BL310" s="6">
        <f>SUM(BH310:BK310)/Variables!$E$3</f>
        <v>4.49544335267896E-2</v>
      </c>
      <c r="BM310" s="110">
        <v>0</v>
      </c>
      <c r="BN310" s="110">
        <v>0</v>
      </c>
      <c r="BO310" s="110">
        <v>41133.300000000003</v>
      </c>
      <c r="BP310" s="110">
        <v>21195.599999999999</v>
      </c>
      <c r="BQ310" s="6">
        <f>SUM(BM310:BP310)/Variables!$E$3</f>
        <v>4.9350271973649835E-2</v>
      </c>
      <c r="BS310" s="4">
        <v>308</v>
      </c>
      <c r="BT310" s="125">
        <f t="shared" si="73"/>
        <v>0</v>
      </c>
      <c r="BU310" s="125">
        <f t="shared" si="59"/>
        <v>0.14407398316692926</v>
      </c>
      <c r="BV310" s="125">
        <f t="shared" si="60"/>
        <v>1.7795865367105045E-2</v>
      </c>
      <c r="BW310" s="125">
        <f t="shared" si="61"/>
        <v>4.1727725476844627E-2</v>
      </c>
      <c r="BX310" s="125">
        <f t="shared" si="62"/>
        <v>4.1080372766213506E-2</v>
      </c>
      <c r="BY310" s="125">
        <f t="shared" si="63"/>
        <v>3.2253224491088604E-2</v>
      </c>
      <c r="BZ310" s="125">
        <f t="shared" si="64"/>
        <v>2.9859935549766826E-2</v>
      </c>
      <c r="CA310" s="125">
        <f t="shared" si="65"/>
        <v>3.0782824883807475E-2</v>
      </c>
      <c r="CB310" s="125">
        <f t="shared" si="66"/>
        <v>4.5787615103840891E-2</v>
      </c>
      <c r="CC310" s="125">
        <f t="shared" si="67"/>
        <v>3.3840093745793706E-2</v>
      </c>
      <c r="CD310" s="125">
        <f t="shared" si="68"/>
        <v>4.1080372766213506E-2</v>
      </c>
      <c r="CE310" s="125">
        <f t="shared" si="70"/>
        <v>3.2721715928075434E-2</v>
      </c>
      <c r="CF310" s="126">
        <f t="shared" si="71"/>
        <v>3.4951979033879921E-2</v>
      </c>
      <c r="CH310" s="4">
        <v>308</v>
      </c>
      <c r="CI310" s="129">
        <v>0</v>
      </c>
      <c r="CJ310" s="125">
        <v>0.32226383423463367</v>
      </c>
      <c r="CK310" s="125">
        <v>0</v>
      </c>
      <c r="CL310" s="125">
        <v>0</v>
      </c>
      <c r="CM310" s="125">
        <v>0</v>
      </c>
      <c r="CN310" s="125">
        <v>0</v>
      </c>
      <c r="CO310" s="125">
        <v>0</v>
      </c>
      <c r="CP310" s="125">
        <v>0</v>
      </c>
      <c r="CQ310" s="125">
        <v>3.6693243810323121E-2</v>
      </c>
      <c r="CR310" s="125">
        <v>0</v>
      </c>
      <c r="CS310" s="125">
        <v>0</v>
      </c>
      <c r="CT310" s="125">
        <v>0</v>
      </c>
      <c r="CU310" s="126">
        <v>0</v>
      </c>
    </row>
    <row r="311" spans="1:99" x14ac:dyDescent="0.25">
      <c r="A311" t="s">
        <v>261</v>
      </c>
      <c r="B311" s="2" t="s">
        <v>4</v>
      </c>
      <c r="C311" s="1">
        <v>29737</v>
      </c>
      <c r="D311" s="19">
        <v>136.74464285714299</v>
      </c>
      <c r="E311" s="18">
        <v>0</v>
      </c>
      <c r="F311" s="19">
        <v>0</v>
      </c>
      <c r="G311" s="19">
        <v>0</v>
      </c>
      <c r="H311" s="19">
        <v>0</v>
      </c>
      <c r="I311" s="19">
        <f>SUM(E311:H311)/Variables!$E$3</f>
        <v>0</v>
      </c>
      <c r="J311" s="4">
        <v>19367</v>
      </c>
      <c r="K311">
        <v>23998</v>
      </c>
      <c r="L311">
        <v>136746</v>
      </c>
      <c r="M311">
        <v>1853</v>
      </c>
      <c r="N311" s="6">
        <f>SUM(J311:M311)/Variables!$E$3</f>
        <v>0.14407398316692926</v>
      </c>
      <c r="O311" s="4">
        <v>0</v>
      </c>
      <c r="P311">
        <v>0</v>
      </c>
      <c r="Q311">
        <v>22476</v>
      </c>
      <c r="R311">
        <v>0</v>
      </c>
      <c r="S311" s="6">
        <f>SUM(O311:R311)/Variables!$E$3</f>
        <v>1.7795865367105045E-2</v>
      </c>
      <c r="T311" s="4">
        <v>0</v>
      </c>
      <c r="U311">
        <v>761.2</v>
      </c>
      <c r="V311">
        <v>51940.5</v>
      </c>
      <c r="W311">
        <v>0</v>
      </c>
      <c r="X311" s="6">
        <f>SUM(T311:W311)/Variables!$E$3</f>
        <v>4.1727725476844627E-2</v>
      </c>
      <c r="Y311" s="4">
        <v>0</v>
      </c>
      <c r="Z311">
        <v>789.6</v>
      </c>
      <c r="AA311">
        <v>51094.5</v>
      </c>
      <c r="AB311">
        <v>0</v>
      </c>
      <c r="AC311" s="6">
        <f>SUM(Y311:AB311)/Variables!$E$3</f>
        <v>4.1080372766213506E-2</v>
      </c>
      <c r="AD311" s="4">
        <v>0</v>
      </c>
      <c r="AE311" s="2">
        <v>935.4</v>
      </c>
      <c r="AF311" s="2">
        <v>39733.9</v>
      </c>
      <c r="AG311" s="2">
        <v>66.199999999999804</v>
      </c>
      <c r="AH311" s="6">
        <f>SUM(AD311:AG311)/Variables!$E$3</f>
        <v>3.2253224491088604E-2</v>
      </c>
      <c r="AI311" s="4">
        <v>0</v>
      </c>
      <c r="AJ311" s="2">
        <v>107.9</v>
      </c>
      <c r="AK311" s="2">
        <v>37604.9</v>
      </c>
      <c r="AL311" s="2">
        <v>0</v>
      </c>
      <c r="AM311" s="6">
        <f>SUM(AI311:AL311)/Variables!$E$3</f>
        <v>2.9859935549766826E-2</v>
      </c>
      <c r="AN311" s="4">
        <v>0</v>
      </c>
      <c r="AO311" s="2">
        <v>190</v>
      </c>
      <c r="AP311" s="2">
        <v>38582.9</v>
      </c>
      <c r="AQ311" s="2">
        <v>105.5</v>
      </c>
      <c r="AR311" s="6">
        <f>SUM(AN311:AQ311)/Variables!$E$3</f>
        <v>3.0782824883807475E-2</v>
      </c>
      <c r="AS311" s="4">
        <v>707.099999999999</v>
      </c>
      <c r="AT311" s="2">
        <v>3161.3</v>
      </c>
      <c r="AU311" s="2">
        <v>53323.9</v>
      </c>
      <c r="AV311" s="2">
        <v>637</v>
      </c>
      <c r="AW311" s="6">
        <f>SUM(AS311:AV311)/Variables!$E$3</f>
        <v>4.5787615103840891E-2</v>
      </c>
      <c r="AX311" s="4">
        <v>0</v>
      </c>
      <c r="AY311" s="2">
        <v>375.9</v>
      </c>
      <c r="AZ311" s="2">
        <v>42084.7</v>
      </c>
      <c r="BA311" s="2">
        <v>279.10000000000002</v>
      </c>
      <c r="BB311" s="6">
        <f>SUM(AX311:BA311)/Variables!$E$3</f>
        <v>3.3840093745793706E-2</v>
      </c>
      <c r="BC311" s="12">
        <f t="shared" si="72"/>
        <v>0</v>
      </c>
      <c r="BD311" s="110">
        <f t="shared" si="72"/>
        <v>789.6</v>
      </c>
      <c r="BE311" s="110">
        <f t="shared" si="72"/>
        <v>51094.5</v>
      </c>
      <c r="BF311" s="110">
        <f t="shared" si="69"/>
        <v>0</v>
      </c>
      <c r="BG311" s="6">
        <f>SUM(BC311:BF311)/Variables!$E$3</f>
        <v>4.1080372766213506E-2</v>
      </c>
      <c r="BH311" s="4">
        <v>0</v>
      </c>
      <c r="BI311">
        <v>285.7</v>
      </c>
      <c r="BJ311">
        <v>41041.5</v>
      </c>
      <c r="BK311">
        <v>0</v>
      </c>
      <c r="BL311" s="6">
        <f>SUM(BH311:BK311)/Variables!$E$3</f>
        <v>3.2721715928075434E-2</v>
      </c>
      <c r="BM311" s="110">
        <v>0</v>
      </c>
      <c r="BN311" s="110">
        <v>754.3</v>
      </c>
      <c r="BO311" s="110">
        <v>43157.599999999999</v>
      </c>
      <c r="BP311" s="110">
        <v>232.1</v>
      </c>
      <c r="BQ311" s="6">
        <f>SUM(BM311:BP311)/Variables!$E$3</f>
        <v>3.4951979033879921E-2</v>
      </c>
      <c r="BS311" s="4">
        <v>309</v>
      </c>
      <c r="BT311" s="125">
        <f t="shared" si="73"/>
        <v>0</v>
      </c>
      <c r="BU311" s="125">
        <f t="shared" si="59"/>
        <v>8.4006999263652127E-2</v>
      </c>
      <c r="BV311" s="125">
        <f t="shared" si="60"/>
        <v>4.6207808454540415E-3</v>
      </c>
      <c r="BW311" s="125">
        <f t="shared" si="61"/>
        <v>2.8849159534121413E-2</v>
      </c>
      <c r="BX311" s="125">
        <f t="shared" si="62"/>
        <v>2.8102835335196634E-2</v>
      </c>
      <c r="BY311" s="125">
        <f t="shared" si="63"/>
        <v>1.9050032066762208E-2</v>
      </c>
      <c r="BZ311" s="125">
        <f t="shared" si="64"/>
        <v>1.5953491318221047E-2</v>
      </c>
      <c r="CA311" s="125">
        <f t="shared" si="65"/>
        <v>1.8350659941883944E-2</v>
      </c>
      <c r="CB311" s="125">
        <f t="shared" si="66"/>
        <v>3.1652665500122724E-2</v>
      </c>
      <c r="CC311" s="125">
        <f t="shared" si="67"/>
        <v>2.1701676181125742E-2</v>
      </c>
      <c r="CD311" s="125">
        <f t="shared" si="68"/>
        <v>2.8102835335196634E-2</v>
      </c>
      <c r="CE311" s="125">
        <f t="shared" si="70"/>
        <v>1.9345838050974274E-2</v>
      </c>
      <c r="CF311" s="126">
        <f t="shared" si="71"/>
        <v>2.2624486337975754E-2</v>
      </c>
      <c r="CH311" s="4">
        <v>309</v>
      </c>
      <c r="CI311" s="129">
        <v>0</v>
      </c>
      <c r="CJ311" s="125">
        <v>5.5354357516686596E-2</v>
      </c>
      <c r="CK311" s="125">
        <v>0</v>
      </c>
      <c r="CL311" s="125">
        <v>0</v>
      </c>
      <c r="CM311" s="125">
        <v>0</v>
      </c>
      <c r="CN311" s="125">
        <v>0</v>
      </c>
      <c r="CO311" s="125">
        <v>0</v>
      </c>
      <c r="CP311" s="125">
        <v>0</v>
      </c>
      <c r="CQ311" s="125">
        <v>0</v>
      </c>
      <c r="CR311" s="125">
        <v>0</v>
      </c>
      <c r="CS311" s="125">
        <v>0</v>
      </c>
      <c r="CT311" s="125">
        <v>0</v>
      </c>
      <c r="CU311" s="126">
        <v>0</v>
      </c>
    </row>
    <row r="312" spans="1:99" x14ac:dyDescent="0.25">
      <c r="A312" t="s">
        <v>261</v>
      </c>
      <c r="B312" s="2" t="s">
        <v>1</v>
      </c>
      <c r="C312" s="1">
        <v>29829</v>
      </c>
      <c r="D312" s="19">
        <v>86.959523809523802</v>
      </c>
      <c r="E312" s="18">
        <v>0</v>
      </c>
      <c r="F312" s="19">
        <v>0</v>
      </c>
      <c r="G312" s="19">
        <v>0</v>
      </c>
      <c r="H312" s="19">
        <v>0</v>
      </c>
      <c r="I312" s="19">
        <f>SUM(E312:H312)/Variables!$E$3</f>
        <v>0</v>
      </c>
      <c r="J312" s="4">
        <v>0</v>
      </c>
      <c r="K312">
        <v>3740</v>
      </c>
      <c r="L312">
        <v>93270</v>
      </c>
      <c r="M312">
        <v>9090</v>
      </c>
      <c r="N312" s="6">
        <f>SUM(J312:M312)/Variables!$E$3</f>
        <v>8.4006999263652127E-2</v>
      </c>
      <c r="O312" s="4">
        <v>0</v>
      </c>
      <c r="P312">
        <v>0</v>
      </c>
      <c r="Q312">
        <v>5528</v>
      </c>
      <c r="R312">
        <v>308</v>
      </c>
      <c r="S312" s="6">
        <f>SUM(O312:R312)/Variables!$E$3</f>
        <v>4.6207808454540415E-3</v>
      </c>
      <c r="T312" s="4">
        <v>0</v>
      </c>
      <c r="U312">
        <v>0</v>
      </c>
      <c r="V312">
        <v>33842.300000000003</v>
      </c>
      <c r="W312">
        <v>2593.9</v>
      </c>
      <c r="X312" s="6">
        <f>SUM(T312:W312)/Variables!$E$3</f>
        <v>2.8849159534121413E-2</v>
      </c>
      <c r="Y312" s="4">
        <v>0</v>
      </c>
      <c r="Z312">
        <v>0</v>
      </c>
      <c r="AA312">
        <v>32825</v>
      </c>
      <c r="AB312">
        <v>2668.6</v>
      </c>
      <c r="AC312" s="6">
        <f>SUM(Y312:AB312)/Variables!$E$3</f>
        <v>2.8102835335196634E-2</v>
      </c>
      <c r="AD312" s="4">
        <v>0</v>
      </c>
      <c r="AE312" s="2">
        <v>0</v>
      </c>
      <c r="AF312" s="2">
        <v>21078.799999999999</v>
      </c>
      <c r="AG312" s="2">
        <v>2981.2</v>
      </c>
      <c r="AH312" s="6">
        <f>SUM(AD312:AG312)/Variables!$E$3</f>
        <v>1.9050032066762208E-2</v>
      </c>
      <c r="AI312" s="4">
        <v>0</v>
      </c>
      <c r="AJ312" s="2">
        <v>0</v>
      </c>
      <c r="AK312" s="2">
        <v>19305</v>
      </c>
      <c r="AL312" s="2">
        <v>844.1</v>
      </c>
      <c r="AM312" s="6">
        <f>SUM(AI312:AL312)/Variables!$E$3</f>
        <v>1.5953491318221047E-2</v>
      </c>
      <c r="AN312" s="4">
        <v>0</v>
      </c>
      <c r="AO312" s="2">
        <v>0</v>
      </c>
      <c r="AP312" s="2">
        <v>20185.5</v>
      </c>
      <c r="AQ312" s="2">
        <v>2991.2</v>
      </c>
      <c r="AR312" s="6">
        <f>SUM(AN312:AQ312)/Variables!$E$3</f>
        <v>1.8350659941883944E-2</v>
      </c>
      <c r="AS312" s="4">
        <v>0</v>
      </c>
      <c r="AT312" s="2">
        <v>0</v>
      </c>
      <c r="AU312" s="2">
        <v>34868.6</v>
      </c>
      <c r="AV312" s="2">
        <v>5108.3999999999996</v>
      </c>
      <c r="AW312" s="6">
        <f>SUM(AS312:AV312)/Variables!$E$3</f>
        <v>3.1652665500122724E-2</v>
      </c>
      <c r="AX312" s="4">
        <v>0</v>
      </c>
      <c r="AY312" s="2">
        <v>0</v>
      </c>
      <c r="AZ312" s="2">
        <v>23810</v>
      </c>
      <c r="BA312" s="2">
        <v>3599</v>
      </c>
      <c r="BB312" s="6">
        <f>SUM(AX312:BA312)/Variables!$E$3</f>
        <v>2.1701676181125742E-2</v>
      </c>
      <c r="BC312" s="12">
        <f t="shared" si="72"/>
        <v>0</v>
      </c>
      <c r="BD312" s="110">
        <f t="shared" si="72"/>
        <v>0</v>
      </c>
      <c r="BE312" s="110">
        <f t="shared" si="72"/>
        <v>32825</v>
      </c>
      <c r="BF312" s="110">
        <f t="shared" si="69"/>
        <v>2668.6</v>
      </c>
      <c r="BG312" s="6">
        <f>SUM(BC312:BF312)/Variables!$E$3</f>
        <v>2.8102835335196634E-2</v>
      </c>
      <c r="BH312" s="4">
        <v>0</v>
      </c>
      <c r="BI312">
        <v>0</v>
      </c>
      <c r="BJ312">
        <v>22525.5</v>
      </c>
      <c r="BK312">
        <v>1908.1</v>
      </c>
      <c r="BL312" s="6">
        <f>SUM(BH312:BK312)/Variables!$E$3</f>
        <v>1.9345838050974274E-2</v>
      </c>
      <c r="BM312" s="110">
        <v>0</v>
      </c>
      <c r="BN312" s="110">
        <v>0</v>
      </c>
      <c r="BO312" s="110">
        <v>25037.7</v>
      </c>
      <c r="BP312" s="110">
        <v>3536.8</v>
      </c>
      <c r="BQ312" s="6">
        <f>SUM(BM312:BP312)/Variables!$E$3</f>
        <v>2.2624486337975754E-2</v>
      </c>
      <c r="BS312" s="4">
        <v>310</v>
      </c>
      <c r="BT312" s="125">
        <f t="shared" si="73"/>
        <v>0</v>
      </c>
      <c r="BU312" s="125">
        <f t="shared" si="59"/>
        <v>0</v>
      </c>
      <c r="BV312" s="125">
        <f t="shared" si="60"/>
        <v>0</v>
      </c>
      <c r="BW312" s="125">
        <f t="shared" si="61"/>
        <v>0</v>
      </c>
      <c r="BX312" s="125">
        <f t="shared" si="62"/>
        <v>0</v>
      </c>
      <c r="BY312" s="125">
        <f t="shared" si="63"/>
        <v>0</v>
      </c>
      <c r="BZ312" s="125">
        <f t="shared" si="64"/>
        <v>0</v>
      </c>
      <c r="CA312" s="125">
        <f t="shared" si="65"/>
        <v>0</v>
      </c>
      <c r="CB312" s="125">
        <f t="shared" si="66"/>
        <v>0</v>
      </c>
      <c r="CC312" s="125">
        <f t="shared" si="67"/>
        <v>0</v>
      </c>
      <c r="CD312" s="125">
        <f t="shared" si="68"/>
        <v>0</v>
      </c>
      <c r="CE312" s="125">
        <f t="shared" si="70"/>
        <v>0</v>
      </c>
      <c r="CF312" s="126">
        <f t="shared" si="71"/>
        <v>0</v>
      </c>
      <c r="CH312" s="4">
        <v>310</v>
      </c>
      <c r="CI312" s="129">
        <v>0</v>
      </c>
      <c r="CJ312" s="125">
        <v>0</v>
      </c>
      <c r="CK312" s="125">
        <v>0</v>
      </c>
      <c r="CL312" s="125">
        <v>0</v>
      </c>
      <c r="CM312" s="125">
        <v>0</v>
      </c>
      <c r="CN312" s="125">
        <v>0</v>
      </c>
      <c r="CO312" s="125">
        <v>0</v>
      </c>
      <c r="CP312" s="125">
        <v>0</v>
      </c>
      <c r="CQ312" s="125">
        <v>0</v>
      </c>
      <c r="CR312" s="125">
        <v>0</v>
      </c>
      <c r="CS312" s="125">
        <v>0</v>
      </c>
      <c r="CT312" s="125">
        <v>0</v>
      </c>
      <c r="CU312" s="126">
        <v>0</v>
      </c>
    </row>
    <row r="313" spans="1:99" x14ac:dyDescent="0.25">
      <c r="A313" t="s">
        <v>261</v>
      </c>
      <c r="B313" s="2" t="s">
        <v>2</v>
      </c>
      <c r="C313" s="1">
        <v>29920</v>
      </c>
      <c r="D313" s="19">
        <v>79.955357142857096</v>
      </c>
      <c r="E313" s="18">
        <v>0</v>
      </c>
      <c r="F313" s="19">
        <v>0</v>
      </c>
      <c r="G313" s="19">
        <v>0</v>
      </c>
      <c r="H313" s="19">
        <v>0</v>
      </c>
      <c r="I313" s="19">
        <f>SUM(E313:H313)/Variables!$E$3</f>
        <v>0</v>
      </c>
      <c r="J313" s="4">
        <v>0</v>
      </c>
      <c r="K313">
        <v>0</v>
      </c>
      <c r="L313">
        <v>0</v>
      </c>
      <c r="M313">
        <v>0</v>
      </c>
      <c r="N313" s="6">
        <f>SUM(J313:M313)/Variables!$E$3</f>
        <v>0</v>
      </c>
      <c r="O313" s="4">
        <v>0</v>
      </c>
      <c r="P313">
        <v>0</v>
      </c>
      <c r="Q313">
        <v>0</v>
      </c>
      <c r="R313">
        <v>0</v>
      </c>
      <c r="S313" s="6">
        <f>SUM(O313:R313)/Variables!$E$3</f>
        <v>0</v>
      </c>
      <c r="T313" s="4">
        <v>0</v>
      </c>
      <c r="U313">
        <v>0</v>
      </c>
      <c r="V313">
        <v>0</v>
      </c>
      <c r="W313">
        <v>0</v>
      </c>
      <c r="X313" s="6">
        <f>SUM(T313:W313)/Variables!$E$3</f>
        <v>0</v>
      </c>
      <c r="Y313" s="4">
        <v>0</v>
      </c>
      <c r="Z313">
        <v>0</v>
      </c>
      <c r="AA313">
        <v>0</v>
      </c>
      <c r="AB313">
        <v>0</v>
      </c>
      <c r="AC313" s="6">
        <f>SUM(Y313:AB313)/Variables!$E$3</f>
        <v>0</v>
      </c>
      <c r="AD313" s="4">
        <v>0</v>
      </c>
      <c r="AE313" s="2">
        <v>0</v>
      </c>
      <c r="AF313" s="2">
        <v>0</v>
      </c>
      <c r="AG313" s="2">
        <v>0</v>
      </c>
      <c r="AH313" s="6">
        <f>SUM(AD313:AG313)/Variables!$E$3</f>
        <v>0</v>
      </c>
      <c r="AI313" s="4">
        <v>0</v>
      </c>
      <c r="AJ313" s="2">
        <v>0</v>
      </c>
      <c r="AK313" s="2">
        <v>0</v>
      </c>
      <c r="AL313" s="2">
        <v>0</v>
      </c>
      <c r="AM313" s="6">
        <f>SUM(AI313:AL313)/Variables!$E$3</f>
        <v>0</v>
      </c>
      <c r="AN313" s="4">
        <v>0</v>
      </c>
      <c r="AO313" s="2">
        <v>0</v>
      </c>
      <c r="AP313" s="2">
        <v>0</v>
      </c>
      <c r="AQ313" s="2">
        <v>0</v>
      </c>
      <c r="AR313" s="6">
        <f>SUM(AN313:AQ313)/Variables!$E$3</f>
        <v>0</v>
      </c>
      <c r="AS313" s="4">
        <v>0</v>
      </c>
      <c r="AT313" s="2">
        <v>0</v>
      </c>
      <c r="AU313" s="2">
        <v>0</v>
      </c>
      <c r="AV313" s="2">
        <v>0</v>
      </c>
      <c r="AW313" s="6">
        <f>SUM(AS313:AV313)/Variables!$E$3</f>
        <v>0</v>
      </c>
      <c r="AX313" s="4">
        <v>0</v>
      </c>
      <c r="AY313" s="2">
        <v>0</v>
      </c>
      <c r="AZ313" s="2">
        <v>0</v>
      </c>
      <c r="BA313" s="2">
        <v>0</v>
      </c>
      <c r="BB313" s="6">
        <f>SUM(AX313:BA313)/Variables!$E$3</f>
        <v>0</v>
      </c>
      <c r="BC313" s="12">
        <f t="shared" si="72"/>
        <v>0</v>
      </c>
      <c r="BD313" s="110">
        <f t="shared" si="72"/>
        <v>0</v>
      </c>
      <c r="BE313" s="110">
        <f t="shared" si="72"/>
        <v>0</v>
      </c>
      <c r="BF313" s="110">
        <f t="shared" si="69"/>
        <v>0</v>
      </c>
      <c r="BG313" s="6">
        <f>SUM(BC313:BF313)/Variables!$E$3</f>
        <v>0</v>
      </c>
      <c r="BH313" s="4">
        <v>0</v>
      </c>
      <c r="BI313">
        <v>0</v>
      </c>
      <c r="BJ313">
        <v>0</v>
      </c>
      <c r="BK313">
        <v>0</v>
      </c>
      <c r="BL313" s="6">
        <f>SUM(BH313:BK313)/Variables!$E$3</f>
        <v>0</v>
      </c>
      <c r="BM313" s="110">
        <v>0</v>
      </c>
      <c r="BN313" s="110">
        <v>0</v>
      </c>
      <c r="BO313" s="110">
        <v>0</v>
      </c>
      <c r="BP313" s="110">
        <v>0</v>
      </c>
      <c r="BQ313" s="6">
        <f>SUM(BM313:BP313)/Variables!$E$3</f>
        <v>0</v>
      </c>
      <c r="BS313" s="4">
        <v>311</v>
      </c>
      <c r="BT313" s="125">
        <f t="shared" si="73"/>
        <v>0</v>
      </c>
      <c r="BU313" s="125">
        <f t="shared" si="59"/>
        <v>2.135963071758288E-2</v>
      </c>
      <c r="BV313" s="125">
        <f t="shared" si="60"/>
        <v>0</v>
      </c>
      <c r="BW313" s="125">
        <f t="shared" si="61"/>
        <v>3.1338332053302084E-4</v>
      </c>
      <c r="BX313" s="125">
        <f t="shared" si="62"/>
        <v>1.7442735096873295E-4</v>
      </c>
      <c r="BY313" s="125">
        <f t="shared" si="63"/>
        <v>0</v>
      </c>
      <c r="BZ313" s="125">
        <f t="shared" si="64"/>
        <v>0</v>
      </c>
      <c r="CA313" s="125">
        <f t="shared" si="65"/>
        <v>0</v>
      </c>
      <c r="CB313" s="125">
        <f t="shared" si="66"/>
        <v>4.413336605990546E-4</v>
      </c>
      <c r="CC313" s="125">
        <f t="shared" si="67"/>
        <v>0</v>
      </c>
      <c r="CD313" s="125">
        <f t="shared" si="68"/>
        <v>1.7442735096873295E-4</v>
      </c>
      <c r="CE313" s="125">
        <f t="shared" si="70"/>
        <v>0</v>
      </c>
      <c r="CF313" s="126">
        <f t="shared" si="71"/>
        <v>0</v>
      </c>
      <c r="CH313" s="4">
        <v>311</v>
      </c>
      <c r="CI313" s="129">
        <v>0</v>
      </c>
      <c r="CJ313" s="125">
        <v>0</v>
      </c>
      <c r="CK313" s="125">
        <v>0</v>
      </c>
      <c r="CL313" s="125">
        <v>0</v>
      </c>
      <c r="CM313" s="125">
        <v>0</v>
      </c>
      <c r="CN313" s="125">
        <v>0</v>
      </c>
      <c r="CO313" s="125">
        <v>0</v>
      </c>
      <c r="CP313" s="125">
        <v>0</v>
      </c>
      <c r="CQ313" s="125">
        <v>0</v>
      </c>
      <c r="CR313" s="125">
        <v>0</v>
      </c>
      <c r="CS313" s="125">
        <v>0</v>
      </c>
      <c r="CT313" s="125">
        <v>0</v>
      </c>
      <c r="CU313" s="126">
        <v>0</v>
      </c>
    </row>
    <row r="314" spans="1:99" x14ac:dyDescent="0.25">
      <c r="A314" t="s">
        <v>262</v>
      </c>
      <c r="B314" s="2" t="s">
        <v>3</v>
      </c>
      <c r="C314" s="1">
        <v>30010</v>
      </c>
      <c r="D314" s="19">
        <v>59.326785714285698</v>
      </c>
      <c r="E314" s="18">
        <v>0</v>
      </c>
      <c r="F314" s="19">
        <v>0</v>
      </c>
      <c r="G314" s="19">
        <v>0</v>
      </c>
      <c r="H314" s="19">
        <v>0</v>
      </c>
      <c r="I314" s="19">
        <f>SUM(E314:H314)/Variables!$E$3</f>
        <v>0</v>
      </c>
      <c r="J314" s="4">
        <v>0</v>
      </c>
      <c r="K314">
        <v>0</v>
      </c>
      <c r="L314">
        <v>26977</v>
      </c>
      <c r="M314">
        <v>0</v>
      </c>
      <c r="N314" s="6">
        <f>SUM(J314:M314)/Variables!$E$3</f>
        <v>2.135963071758288E-2</v>
      </c>
      <c r="O314" s="4">
        <v>0</v>
      </c>
      <c r="P314">
        <v>0</v>
      </c>
      <c r="Q314">
        <v>0</v>
      </c>
      <c r="R314">
        <v>0</v>
      </c>
      <c r="S314" s="6">
        <f>SUM(O314:R314)/Variables!$E$3</f>
        <v>0</v>
      </c>
      <c r="T314" s="4">
        <v>0</v>
      </c>
      <c r="U314">
        <v>0</v>
      </c>
      <c r="V314">
        <v>395.8</v>
      </c>
      <c r="W314">
        <v>0</v>
      </c>
      <c r="X314" s="6">
        <f>SUM(T314:W314)/Variables!$E$3</f>
        <v>3.1338332053302084E-4</v>
      </c>
      <c r="Y314" s="4">
        <v>0</v>
      </c>
      <c r="Z314">
        <v>0</v>
      </c>
      <c r="AA314">
        <v>220.3</v>
      </c>
      <c r="AB314">
        <v>0</v>
      </c>
      <c r="AC314" s="6">
        <f>SUM(Y314:AB314)/Variables!$E$3</f>
        <v>1.7442735096873295E-4</v>
      </c>
      <c r="AD314" s="4">
        <v>0</v>
      </c>
      <c r="AE314" s="2">
        <v>0</v>
      </c>
      <c r="AF314" s="2">
        <v>0</v>
      </c>
      <c r="AG314" s="2">
        <v>0</v>
      </c>
      <c r="AH314" s="6">
        <f>SUM(AD314:AG314)/Variables!$E$3</f>
        <v>0</v>
      </c>
      <c r="AI314" s="4">
        <v>0</v>
      </c>
      <c r="AJ314" s="2">
        <v>0</v>
      </c>
      <c r="AK314" s="2">
        <v>0</v>
      </c>
      <c r="AL314" s="2">
        <v>0</v>
      </c>
      <c r="AM314" s="6">
        <f>SUM(AI314:AL314)/Variables!$E$3</f>
        <v>0</v>
      </c>
      <c r="AN314" s="4">
        <v>0</v>
      </c>
      <c r="AO314" s="2">
        <v>0</v>
      </c>
      <c r="AP314" s="2">
        <v>0</v>
      </c>
      <c r="AQ314" s="2">
        <v>0</v>
      </c>
      <c r="AR314" s="6">
        <f>SUM(AN314:AQ314)/Variables!$E$3</f>
        <v>0</v>
      </c>
      <c r="AS314" s="4">
        <v>0</v>
      </c>
      <c r="AT314" s="2">
        <v>0</v>
      </c>
      <c r="AU314" s="2">
        <v>557.4</v>
      </c>
      <c r="AV314" s="2">
        <v>0</v>
      </c>
      <c r="AW314" s="6">
        <f>SUM(AS314:AV314)/Variables!$E$3</f>
        <v>4.413336605990546E-4</v>
      </c>
      <c r="AX314" s="4">
        <v>0</v>
      </c>
      <c r="AY314" s="2">
        <v>0</v>
      </c>
      <c r="AZ314" s="2">
        <v>0</v>
      </c>
      <c r="BA314" s="2">
        <v>0</v>
      </c>
      <c r="BB314" s="6">
        <f>SUM(AX314:BA314)/Variables!$E$3</f>
        <v>0</v>
      </c>
      <c r="BC314" s="12">
        <f t="shared" si="72"/>
        <v>0</v>
      </c>
      <c r="BD314" s="110">
        <f t="shared" si="72"/>
        <v>0</v>
      </c>
      <c r="BE314" s="110">
        <f t="shared" si="72"/>
        <v>220.3</v>
      </c>
      <c r="BF314" s="110">
        <f t="shared" si="69"/>
        <v>0</v>
      </c>
      <c r="BG314" s="6">
        <f>SUM(BC314:BF314)/Variables!$E$3</f>
        <v>1.7442735096873295E-4</v>
      </c>
      <c r="BH314" s="4">
        <v>0</v>
      </c>
      <c r="BI314">
        <v>0</v>
      </c>
      <c r="BJ314">
        <v>0</v>
      </c>
      <c r="BK314">
        <v>0</v>
      </c>
      <c r="BL314" s="6">
        <f>SUM(BH314:BK314)/Variables!$E$3</f>
        <v>0</v>
      </c>
      <c r="BM314" s="110">
        <v>0</v>
      </c>
      <c r="BN314" s="110">
        <v>0</v>
      </c>
      <c r="BO314" s="110">
        <v>0</v>
      </c>
      <c r="BP314" s="110">
        <v>0</v>
      </c>
      <c r="BQ314" s="6">
        <f>SUM(BM314:BP314)/Variables!$E$3</f>
        <v>0</v>
      </c>
      <c r="BS314" s="4">
        <v>312</v>
      </c>
      <c r="BT314" s="125">
        <f t="shared" si="73"/>
        <v>0</v>
      </c>
      <c r="BU314" s="125">
        <f t="shared" si="59"/>
        <v>0.16874242868114553</v>
      </c>
      <c r="BV314" s="125">
        <f t="shared" si="60"/>
        <v>3.9137285330841888E-3</v>
      </c>
      <c r="BW314" s="125">
        <f t="shared" si="61"/>
        <v>4.8954781906428393E-2</v>
      </c>
      <c r="BX314" s="125">
        <f t="shared" si="62"/>
        <v>4.7394516187776625E-2</v>
      </c>
      <c r="BY314" s="125">
        <f t="shared" si="63"/>
        <v>2.6050245845176918E-2</v>
      </c>
      <c r="BZ314" s="125">
        <f t="shared" si="64"/>
        <v>2.5030601984180396E-2</v>
      </c>
      <c r="CA314" s="125">
        <f t="shared" si="65"/>
        <v>2.8142265576132829E-2</v>
      </c>
      <c r="CB314" s="125">
        <f t="shared" si="66"/>
        <v>5.2894559735231474E-2</v>
      </c>
      <c r="CC314" s="125">
        <f t="shared" si="67"/>
        <v>3.4911757021037382E-2</v>
      </c>
      <c r="CD314" s="125">
        <f t="shared" si="68"/>
        <v>4.7394516187776625E-2</v>
      </c>
      <c r="CE314" s="125">
        <f t="shared" si="70"/>
        <v>3.2513400739514968E-2</v>
      </c>
      <c r="CF314" s="126">
        <f t="shared" si="71"/>
        <v>3.6315251902232004E-2</v>
      </c>
      <c r="CH314" s="4">
        <v>312</v>
      </c>
      <c r="CI314" s="129">
        <v>0</v>
      </c>
      <c r="CJ314" s="125">
        <v>0.14741130175219122</v>
      </c>
      <c r="CK314" s="125">
        <v>0</v>
      </c>
      <c r="CL314" s="125">
        <v>0</v>
      </c>
      <c r="CM314" s="125">
        <v>0</v>
      </c>
      <c r="CN314" s="125">
        <v>0</v>
      </c>
      <c r="CO314" s="125">
        <v>0</v>
      </c>
      <c r="CP314" s="125">
        <v>0</v>
      </c>
      <c r="CQ314" s="125">
        <v>0</v>
      </c>
      <c r="CR314" s="125">
        <v>0</v>
      </c>
      <c r="CS314" s="125">
        <v>0</v>
      </c>
      <c r="CT314" s="125">
        <v>0</v>
      </c>
      <c r="CU314" s="126">
        <v>0</v>
      </c>
    </row>
    <row r="315" spans="1:99" x14ac:dyDescent="0.25">
      <c r="A315" t="s">
        <v>262</v>
      </c>
      <c r="B315" s="2" t="s">
        <v>4</v>
      </c>
      <c r="C315" s="1">
        <v>30102</v>
      </c>
      <c r="D315" s="19">
        <v>85.189285714285703</v>
      </c>
      <c r="E315" s="18">
        <v>0</v>
      </c>
      <c r="F315" s="19">
        <v>0</v>
      </c>
      <c r="G315" s="19">
        <v>0</v>
      </c>
      <c r="H315" s="19">
        <v>0</v>
      </c>
      <c r="I315" s="19">
        <f>SUM(E315:H315)/Variables!$E$3</f>
        <v>0</v>
      </c>
      <c r="J315" s="4">
        <v>0</v>
      </c>
      <c r="K315">
        <v>7313</v>
      </c>
      <c r="L315">
        <v>192723</v>
      </c>
      <c r="M315">
        <v>13084</v>
      </c>
      <c r="N315" s="6">
        <f>SUM(J315:M315)/Variables!$E$3</f>
        <v>0.16874242868114553</v>
      </c>
      <c r="O315" s="4">
        <v>0</v>
      </c>
      <c r="P315">
        <v>0</v>
      </c>
      <c r="Q315">
        <v>3908</v>
      </c>
      <c r="R315">
        <v>1035</v>
      </c>
      <c r="S315" s="6">
        <f>SUM(O315:R315)/Variables!$E$3</f>
        <v>3.9137285330841888E-3</v>
      </c>
      <c r="T315" s="4">
        <v>0</v>
      </c>
      <c r="U315">
        <v>0</v>
      </c>
      <c r="V315">
        <v>57469.2</v>
      </c>
      <c r="W315">
        <v>4360.2</v>
      </c>
      <c r="X315" s="6">
        <f>SUM(T315:W315)/Variables!$E$3</f>
        <v>4.8954781906428393E-2</v>
      </c>
      <c r="Y315" s="4">
        <v>0</v>
      </c>
      <c r="Z315">
        <v>0</v>
      </c>
      <c r="AA315">
        <v>55437.1</v>
      </c>
      <c r="AB315">
        <v>4421.7</v>
      </c>
      <c r="AC315" s="6">
        <f>SUM(Y315:AB315)/Variables!$E$3</f>
        <v>4.7394516187776625E-2</v>
      </c>
      <c r="AD315" s="4">
        <v>0</v>
      </c>
      <c r="AE315" s="2">
        <v>0</v>
      </c>
      <c r="AF315" s="2">
        <v>29245.3</v>
      </c>
      <c r="AG315" s="2">
        <v>3655.9</v>
      </c>
      <c r="AH315" s="6">
        <f>SUM(AD315:AG315)/Variables!$E$3</f>
        <v>2.6050245845176918E-2</v>
      </c>
      <c r="AI315" s="4">
        <v>0</v>
      </c>
      <c r="AJ315" s="2">
        <v>0</v>
      </c>
      <c r="AK315" s="2">
        <v>29752.6</v>
      </c>
      <c r="AL315" s="2">
        <v>1860.8</v>
      </c>
      <c r="AM315" s="6">
        <f>SUM(AI315:AL315)/Variables!$E$3</f>
        <v>2.5030601984180396E-2</v>
      </c>
      <c r="AN315" s="4">
        <v>0</v>
      </c>
      <c r="AO315" s="2">
        <v>0</v>
      </c>
      <c r="AP315" s="2">
        <v>31724.7</v>
      </c>
      <c r="AQ315" s="2">
        <v>3818.7</v>
      </c>
      <c r="AR315" s="6">
        <f>SUM(AN315:AQ315)/Variables!$E$3</f>
        <v>2.8142265576132829E-2</v>
      </c>
      <c r="AS315" s="4">
        <v>0</v>
      </c>
      <c r="AT315" s="2">
        <v>0</v>
      </c>
      <c r="AU315" s="2">
        <v>59812.6</v>
      </c>
      <c r="AV315" s="2">
        <v>6992.7</v>
      </c>
      <c r="AW315" s="6">
        <f>SUM(AS315:AV315)/Variables!$E$3</f>
        <v>5.2894559735231474E-2</v>
      </c>
      <c r="AX315" s="4">
        <v>0</v>
      </c>
      <c r="AY315" s="2">
        <v>0</v>
      </c>
      <c r="AZ315" s="2">
        <v>39752.400000000001</v>
      </c>
      <c r="BA315" s="2">
        <v>4340.8</v>
      </c>
      <c r="BB315" s="6">
        <f>SUM(AX315:BA315)/Variables!$E$3</f>
        <v>3.4911757021037382E-2</v>
      </c>
      <c r="BC315" s="12">
        <f t="shared" si="72"/>
        <v>0</v>
      </c>
      <c r="BD315" s="110">
        <f t="shared" si="72"/>
        <v>0</v>
      </c>
      <c r="BE315" s="110">
        <f t="shared" si="72"/>
        <v>55437.1</v>
      </c>
      <c r="BF315" s="110">
        <f t="shared" si="69"/>
        <v>4421.7</v>
      </c>
      <c r="BG315" s="6">
        <f>SUM(BC315:BF315)/Variables!$E$3</f>
        <v>4.7394516187776625E-2</v>
      </c>
      <c r="BH315" s="4">
        <v>0</v>
      </c>
      <c r="BI315">
        <v>0</v>
      </c>
      <c r="BJ315">
        <v>37012.300000000003</v>
      </c>
      <c r="BK315">
        <v>4051.8</v>
      </c>
      <c r="BL315" s="6">
        <f>SUM(BH315:BK315)/Variables!$E$3</f>
        <v>3.2513400739514968E-2</v>
      </c>
      <c r="BM315" s="110">
        <v>0</v>
      </c>
      <c r="BN315" s="110">
        <v>0</v>
      </c>
      <c r="BO315" s="110">
        <v>41494.300000000003</v>
      </c>
      <c r="BP315" s="110">
        <v>4371.5</v>
      </c>
      <c r="BQ315" s="6">
        <f>SUM(BM315:BP315)/Variables!$E$3</f>
        <v>3.6315251902232004E-2</v>
      </c>
      <c r="BS315" s="4">
        <v>313</v>
      </c>
      <c r="BT315" s="125">
        <f t="shared" si="73"/>
        <v>0</v>
      </c>
      <c r="BU315" s="125">
        <f t="shared" si="59"/>
        <v>0</v>
      </c>
      <c r="BV315" s="125">
        <f t="shared" si="60"/>
        <v>0</v>
      </c>
      <c r="BW315" s="125">
        <f t="shared" si="61"/>
        <v>0</v>
      </c>
      <c r="BX315" s="125">
        <f t="shared" si="62"/>
        <v>0</v>
      </c>
      <c r="BY315" s="125">
        <f t="shared" si="63"/>
        <v>0</v>
      </c>
      <c r="BZ315" s="125">
        <f t="shared" si="64"/>
        <v>0</v>
      </c>
      <c r="CA315" s="125">
        <f t="shared" si="65"/>
        <v>0</v>
      </c>
      <c r="CB315" s="125">
        <f t="shared" si="66"/>
        <v>0</v>
      </c>
      <c r="CC315" s="125">
        <f t="shared" si="67"/>
        <v>0</v>
      </c>
      <c r="CD315" s="125">
        <f t="shared" si="68"/>
        <v>0</v>
      </c>
      <c r="CE315" s="125">
        <f t="shared" si="70"/>
        <v>0</v>
      </c>
      <c r="CF315" s="126">
        <f t="shared" si="71"/>
        <v>0</v>
      </c>
      <c r="CH315" s="4">
        <v>313</v>
      </c>
      <c r="CI315" s="129">
        <v>0</v>
      </c>
      <c r="CJ315" s="125">
        <v>0</v>
      </c>
      <c r="CK315" s="125">
        <v>0</v>
      </c>
      <c r="CL315" s="125">
        <v>0</v>
      </c>
      <c r="CM315" s="125">
        <v>0</v>
      </c>
      <c r="CN315" s="125">
        <v>0</v>
      </c>
      <c r="CO315" s="125">
        <v>0</v>
      </c>
      <c r="CP315" s="125">
        <v>0</v>
      </c>
      <c r="CQ315" s="125">
        <v>0</v>
      </c>
      <c r="CR315" s="125">
        <v>0</v>
      </c>
      <c r="CS315" s="125">
        <v>0</v>
      </c>
      <c r="CT315" s="125">
        <v>0</v>
      </c>
      <c r="CU315" s="126">
        <v>0</v>
      </c>
    </row>
    <row r="316" spans="1:99" x14ac:dyDescent="0.25">
      <c r="A316" t="s">
        <v>262</v>
      </c>
      <c r="B316" s="2" t="s">
        <v>1</v>
      </c>
      <c r="C316" s="1">
        <v>30194</v>
      </c>
      <c r="D316" s="19">
        <v>0</v>
      </c>
      <c r="E316" s="18">
        <v>0</v>
      </c>
      <c r="F316" s="19">
        <v>0</v>
      </c>
      <c r="G316" s="19">
        <v>0</v>
      </c>
      <c r="H316" s="19">
        <v>0</v>
      </c>
      <c r="I316" s="19">
        <f>SUM(E316:H316)/Variables!$E$3</f>
        <v>0</v>
      </c>
      <c r="J316" s="4">
        <v>0</v>
      </c>
      <c r="K316">
        <v>0</v>
      </c>
      <c r="L316">
        <v>0</v>
      </c>
      <c r="M316">
        <v>0</v>
      </c>
      <c r="N316" s="6">
        <f>SUM(J316:M316)/Variables!$E$3</f>
        <v>0</v>
      </c>
      <c r="O316" s="4">
        <v>0</v>
      </c>
      <c r="P316">
        <v>0</v>
      </c>
      <c r="Q316">
        <v>0</v>
      </c>
      <c r="R316">
        <v>0</v>
      </c>
      <c r="S316" s="6">
        <f>SUM(O316:R316)/Variables!$E$3</f>
        <v>0</v>
      </c>
      <c r="T316" s="4">
        <v>0</v>
      </c>
      <c r="U316">
        <v>0</v>
      </c>
      <c r="V316">
        <v>0</v>
      </c>
      <c r="W316">
        <v>0</v>
      </c>
      <c r="X316" s="6">
        <f>SUM(T316:W316)/Variables!$E$3</f>
        <v>0</v>
      </c>
      <c r="Y316" s="4">
        <v>0</v>
      </c>
      <c r="Z316">
        <v>0</v>
      </c>
      <c r="AA316">
        <v>0</v>
      </c>
      <c r="AB316">
        <v>0</v>
      </c>
      <c r="AC316" s="6">
        <f>SUM(Y316:AB316)/Variables!$E$3</f>
        <v>0</v>
      </c>
      <c r="AD316" s="4">
        <v>0</v>
      </c>
      <c r="AE316" s="2">
        <v>0</v>
      </c>
      <c r="AF316" s="2">
        <v>0</v>
      </c>
      <c r="AG316" s="2">
        <v>0</v>
      </c>
      <c r="AH316" s="6">
        <f>SUM(AD316:AG316)/Variables!$E$3</f>
        <v>0</v>
      </c>
      <c r="AI316" s="4">
        <v>0</v>
      </c>
      <c r="AJ316" s="2">
        <v>0</v>
      </c>
      <c r="AK316" s="2">
        <v>0</v>
      </c>
      <c r="AL316" s="2">
        <v>0</v>
      </c>
      <c r="AM316" s="6">
        <f>SUM(AI316:AL316)/Variables!$E$3</f>
        <v>0</v>
      </c>
      <c r="AN316" s="4">
        <v>0</v>
      </c>
      <c r="AO316" s="2">
        <v>0</v>
      </c>
      <c r="AP316" s="2">
        <v>0</v>
      </c>
      <c r="AQ316" s="2">
        <v>0</v>
      </c>
      <c r="AR316" s="6">
        <f>SUM(AN316:AQ316)/Variables!$E$3</f>
        <v>0</v>
      </c>
      <c r="AS316" s="4">
        <v>0</v>
      </c>
      <c r="AT316" s="2">
        <v>0</v>
      </c>
      <c r="AU316" s="2">
        <v>0</v>
      </c>
      <c r="AV316" s="2">
        <v>0</v>
      </c>
      <c r="AW316" s="6">
        <f>SUM(AS316:AV316)/Variables!$E$3</f>
        <v>0</v>
      </c>
      <c r="AX316" s="4">
        <v>0</v>
      </c>
      <c r="AY316" s="2">
        <v>0</v>
      </c>
      <c r="AZ316" s="2">
        <v>0</v>
      </c>
      <c r="BA316" s="2">
        <v>0</v>
      </c>
      <c r="BB316" s="6">
        <f>SUM(AX316:BA316)/Variables!$E$3</f>
        <v>0</v>
      </c>
      <c r="BC316" s="12">
        <f t="shared" si="72"/>
        <v>0</v>
      </c>
      <c r="BD316" s="110">
        <f t="shared" si="72"/>
        <v>0</v>
      </c>
      <c r="BE316" s="110">
        <f t="shared" si="72"/>
        <v>0</v>
      </c>
      <c r="BF316" s="110">
        <f t="shared" si="69"/>
        <v>0</v>
      </c>
      <c r="BG316" s="6">
        <f>SUM(BC316:BF316)/Variables!$E$3</f>
        <v>0</v>
      </c>
      <c r="BH316" s="4">
        <v>0</v>
      </c>
      <c r="BI316">
        <v>0</v>
      </c>
      <c r="BJ316">
        <v>0</v>
      </c>
      <c r="BK316">
        <v>0</v>
      </c>
      <c r="BL316" s="6">
        <f>SUM(BH316:BK316)/Variables!$E$3</f>
        <v>0</v>
      </c>
      <c r="BM316" s="110">
        <v>0</v>
      </c>
      <c r="BN316" s="110">
        <v>0</v>
      </c>
      <c r="BO316" s="110">
        <v>0</v>
      </c>
      <c r="BP316" s="110">
        <v>0</v>
      </c>
      <c r="BQ316" s="6">
        <f>SUM(BM316:BP316)/Variables!$E$3</f>
        <v>0</v>
      </c>
      <c r="BS316" s="4">
        <v>314</v>
      </c>
      <c r="BT316" s="125">
        <f t="shared" si="73"/>
        <v>0</v>
      </c>
      <c r="BU316" s="125">
        <f t="shared" si="59"/>
        <v>0</v>
      </c>
      <c r="BV316" s="125">
        <f t="shared" si="60"/>
        <v>0</v>
      </c>
      <c r="BW316" s="125">
        <f t="shared" si="61"/>
        <v>0</v>
      </c>
      <c r="BX316" s="125">
        <f t="shared" si="62"/>
        <v>0</v>
      </c>
      <c r="BY316" s="125">
        <f t="shared" si="63"/>
        <v>0</v>
      </c>
      <c r="BZ316" s="125">
        <f t="shared" si="64"/>
        <v>0</v>
      </c>
      <c r="CA316" s="125">
        <f t="shared" si="65"/>
        <v>0</v>
      </c>
      <c r="CB316" s="125">
        <f t="shared" si="66"/>
        <v>0</v>
      </c>
      <c r="CC316" s="125">
        <f t="shared" si="67"/>
        <v>0</v>
      </c>
      <c r="CD316" s="125">
        <f t="shared" si="68"/>
        <v>0</v>
      </c>
      <c r="CE316" s="125">
        <f t="shared" si="70"/>
        <v>0</v>
      </c>
      <c r="CF316" s="126">
        <f t="shared" si="71"/>
        <v>0</v>
      </c>
      <c r="CH316" s="4">
        <v>314</v>
      </c>
      <c r="CI316" s="129">
        <v>0</v>
      </c>
      <c r="CJ316" s="125">
        <v>0</v>
      </c>
      <c r="CK316" s="125">
        <v>0</v>
      </c>
      <c r="CL316" s="125">
        <v>0</v>
      </c>
      <c r="CM316" s="125">
        <v>0</v>
      </c>
      <c r="CN316" s="125">
        <v>0</v>
      </c>
      <c r="CO316" s="125">
        <v>0</v>
      </c>
      <c r="CP316" s="125">
        <v>0</v>
      </c>
      <c r="CQ316" s="125">
        <v>0</v>
      </c>
      <c r="CR316" s="125">
        <v>0</v>
      </c>
      <c r="CS316" s="125">
        <v>0</v>
      </c>
      <c r="CT316" s="125">
        <v>0</v>
      </c>
      <c r="CU316" s="126">
        <v>0</v>
      </c>
    </row>
    <row r="317" spans="1:99" x14ac:dyDescent="0.25">
      <c r="A317" t="s">
        <v>262</v>
      </c>
      <c r="B317" s="2" t="s">
        <v>2</v>
      </c>
      <c r="C317" s="1">
        <v>30285</v>
      </c>
      <c r="D317" s="19">
        <v>24.037500000000001</v>
      </c>
      <c r="E317" s="18">
        <v>0</v>
      </c>
      <c r="F317" s="19">
        <v>0</v>
      </c>
      <c r="G317" s="19">
        <v>0</v>
      </c>
      <c r="H317" s="19">
        <v>0</v>
      </c>
      <c r="I317" s="19">
        <f>SUM(E317:H317)/Variables!$E$3</f>
        <v>0</v>
      </c>
      <c r="J317" s="4">
        <v>0</v>
      </c>
      <c r="K317">
        <v>0</v>
      </c>
      <c r="L317">
        <v>0</v>
      </c>
      <c r="M317">
        <v>0</v>
      </c>
      <c r="N317" s="6">
        <f>SUM(J317:M317)/Variables!$E$3</f>
        <v>0</v>
      </c>
      <c r="O317" s="4">
        <v>0</v>
      </c>
      <c r="P317">
        <v>0</v>
      </c>
      <c r="Q317">
        <v>0</v>
      </c>
      <c r="R317">
        <v>0</v>
      </c>
      <c r="S317" s="6">
        <f>SUM(O317:R317)/Variables!$E$3</f>
        <v>0</v>
      </c>
      <c r="T317" s="4">
        <v>0</v>
      </c>
      <c r="U317">
        <v>0</v>
      </c>
      <c r="V317">
        <v>0</v>
      </c>
      <c r="W317">
        <v>0</v>
      </c>
      <c r="X317" s="6">
        <f>SUM(T317:W317)/Variables!$E$3</f>
        <v>0</v>
      </c>
      <c r="Y317" s="4">
        <v>0</v>
      </c>
      <c r="Z317">
        <v>0</v>
      </c>
      <c r="AA317">
        <v>0</v>
      </c>
      <c r="AB317">
        <v>0</v>
      </c>
      <c r="AC317" s="6">
        <f>SUM(Y317:AB317)/Variables!$E$3</f>
        <v>0</v>
      </c>
      <c r="AD317" s="4">
        <v>0</v>
      </c>
      <c r="AE317" s="2">
        <v>0</v>
      </c>
      <c r="AF317" s="2">
        <v>0</v>
      </c>
      <c r="AG317" s="2">
        <v>0</v>
      </c>
      <c r="AH317" s="6">
        <f>SUM(AD317:AG317)/Variables!$E$3</f>
        <v>0</v>
      </c>
      <c r="AI317" s="4">
        <v>0</v>
      </c>
      <c r="AJ317" s="2">
        <v>0</v>
      </c>
      <c r="AK317" s="2">
        <v>0</v>
      </c>
      <c r="AL317" s="2">
        <v>0</v>
      </c>
      <c r="AM317" s="6">
        <f>SUM(AI317:AL317)/Variables!$E$3</f>
        <v>0</v>
      </c>
      <c r="AN317" s="4">
        <v>0</v>
      </c>
      <c r="AO317" s="2">
        <v>0</v>
      </c>
      <c r="AP317" s="2">
        <v>0</v>
      </c>
      <c r="AQ317" s="2">
        <v>0</v>
      </c>
      <c r="AR317" s="6">
        <f>SUM(AN317:AQ317)/Variables!$E$3</f>
        <v>0</v>
      </c>
      <c r="AS317" s="4">
        <v>0</v>
      </c>
      <c r="AT317" s="2">
        <v>0</v>
      </c>
      <c r="AU317" s="2">
        <v>0</v>
      </c>
      <c r="AV317" s="2">
        <v>0</v>
      </c>
      <c r="AW317" s="6">
        <f>SUM(AS317:AV317)/Variables!$E$3</f>
        <v>0</v>
      </c>
      <c r="AX317" s="4">
        <v>0</v>
      </c>
      <c r="AY317" s="2">
        <v>0</v>
      </c>
      <c r="AZ317" s="2">
        <v>0</v>
      </c>
      <c r="BA317" s="2">
        <v>0</v>
      </c>
      <c r="BB317" s="6">
        <f>SUM(AX317:BA317)/Variables!$E$3</f>
        <v>0</v>
      </c>
      <c r="BC317" s="12">
        <f t="shared" si="72"/>
        <v>0</v>
      </c>
      <c r="BD317" s="110">
        <f t="shared" si="72"/>
        <v>0</v>
      </c>
      <c r="BE317" s="110">
        <f t="shared" si="72"/>
        <v>0</v>
      </c>
      <c r="BF317" s="110">
        <f t="shared" si="69"/>
        <v>0</v>
      </c>
      <c r="BG317" s="6">
        <f>SUM(BC317:BF317)/Variables!$E$3</f>
        <v>0</v>
      </c>
      <c r="BH317" s="4">
        <v>0</v>
      </c>
      <c r="BI317">
        <v>0</v>
      </c>
      <c r="BJ317">
        <v>0</v>
      </c>
      <c r="BK317">
        <v>0</v>
      </c>
      <c r="BL317" s="6">
        <f>SUM(BH317:BK317)/Variables!$E$3</f>
        <v>0</v>
      </c>
      <c r="BM317" s="110">
        <v>0</v>
      </c>
      <c r="BN317" s="110">
        <v>0</v>
      </c>
      <c r="BO317" s="110">
        <v>0</v>
      </c>
      <c r="BP317" s="110">
        <v>0</v>
      </c>
      <c r="BQ317" s="6">
        <f>SUM(BM317:BP317)/Variables!$E$3</f>
        <v>0</v>
      </c>
      <c r="BS317" s="4">
        <v>315</v>
      </c>
      <c r="BT317" s="125">
        <f t="shared" si="73"/>
        <v>0</v>
      </c>
      <c r="BU317" s="125">
        <f t="shared" si="59"/>
        <v>9.2843173738509418E-3</v>
      </c>
      <c r="BV317" s="125">
        <f t="shared" si="60"/>
        <v>0</v>
      </c>
      <c r="BW317" s="125">
        <f t="shared" si="61"/>
        <v>0</v>
      </c>
      <c r="BX317" s="125">
        <f t="shared" si="62"/>
        <v>0</v>
      </c>
      <c r="BY317" s="125">
        <f t="shared" si="63"/>
        <v>0</v>
      </c>
      <c r="BZ317" s="125">
        <f t="shared" si="64"/>
        <v>0</v>
      </c>
      <c r="CA317" s="125">
        <f t="shared" si="65"/>
        <v>0</v>
      </c>
      <c r="CB317" s="125">
        <f t="shared" si="66"/>
        <v>0</v>
      </c>
      <c r="CC317" s="125">
        <f t="shared" si="67"/>
        <v>0</v>
      </c>
      <c r="CD317" s="125">
        <f t="shared" si="68"/>
        <v>0</v>
      </c>
      <c r="CE317" s="125">
        <f t="shared" si="70"/>
        <v>0</v>
      </c>
      <c r="CF317" s="126">
        <f t="shared" si="71"/>
        <v>0</v>
      </c>
      <c r="CH317" s="4">
        <v>315</v>
      </c>
      <c r="CI317" s="129">
        <v>0</v>
      </c>
      <c r="CJ317" s="125">
        <v>0</v>
      </c>
      <c r="CK317" s="125">
        <v>0</v>
      </c>
      <c r="CL317" s="125">
        <v>0</v>
      </c>
      <c r="CM317" s="125">
        <v>0</v>
      </c>
      <c r="CN317" s="125">
        <v>0</v>
      </c>
      <c r="CO317" s="125">
        <v>0</v>
      </c>
      <c r="CP317" s="125">
        <v>0</v>
      </c>
      <c r="CQ317" s="125">
        <v>0</v>
      </c>
      <c r="CR317" s="125">
        <v>0</v>
      </c>
      <c r="CS317" s="125">
        <v>0</v>
      </c>
      <c r="CT317" s="125">
        <v>0</v>
      </c>
      <c r="CU317" s="126">
        <v>0</v>
      </c>
    </row>
    <row r="318" spans="1:99" x14ac:dyDescent="0.25">
      <c r="A318" t="s">
        <v>263</v>
      </c>
      <c r="B318" s="2" t="s">
        <v>3</v>
      </c>
      <c r="C318" s="1">
        <v>30375</v>
      </c>
      <c r="D318" s="19">
        <v>91.708928571428601</v>
      </c>
      <c r="E318" s="18">
        <v>0</v>
      </c>
      <c r="F318" s="19">
        <v>0</v>
      </c>
      <c r="G318" s="19">
        <v>0</v>
      </c>
      <c r="H318" s="19">
        <v>0</v>
      </c>
      <c r="I318" s="19">
        <f>SUM(E318:H318)/Variables!$E$3</f>
        <v>0</v>
      </c>
      <c r="J318" s="4">
        <v>0</v>
      </c>
      <c r="K318">
        <v>0</v>
      </c>
      <c r="L318">
        <v>11726</v>
      </c>
      <c r="M318">
        <v>0</v>
      </c>
      <c r="N318" s="6">
        <f>SUM(J318:M318)/Variables!$E$3</f>
        <v>9.2843173738509418E-3</v>
      </c>
      <c r="O318" s="4">
        <v>0</v>
      </c>
      <c r="P318">
        <v>0</v>
      </c>
      <c r="Q318">
        <v>0</v>
      </c>
      <c r="R318">
        <v>0</v>
      </c>
      <c r="S318" s="6">
        <f>SUM(O318:R318)/Variables!$E$3</f>
        <v>0</v>
      </c>
      <c r="T318" s="4">
        <v>0</v>
      </c>
      <c r="U318">
        <v>0</v>
      </c>
      <c r="V318">
        <v>0</v>
      </c>
      <c r="W318">
        <v>0</v>
      </c>
      <c r="X318" s="6">
        <f>SUM(T318:W318)/Variables!$E$3</f>
        <v>0</v>
      </c>
      <c r="Y318" s="4">
        <v>0</v>
      </c>
      <c r="Z318">
        <v>0</v>
      </c>
      <c r="AA318">
        <v>0</v>
      </c>
      <c r="AB318">
        <v>0</v>
      </c>
      <c r="AC318" s="6">
        <f>SUM(Y318:AB318)/Variables!$E$3</f>
        <v>0</v>
      </c>
      <c r="AD318" s="4">
        <v>0</v>
      </c>
      <c r="AE318" s="2">
        <v>0</v>
      </c>
      <c r="AF318" s="2">
        <v>0</v>
      </c>
      <c r="AG318" s="2">
        <v>0</v>
      </c>
      <c r="AH318" s="6">
        <f>SUM(AD318:AG318)/Variables!$E$3</f>
        <v>0</v>
      </c>
      <c r="AI318" s="4">
        <v>0</v>
      </c>
      <c r="AJ318" s="2">
        <v>0</v>
      </c>
      <c r="AK318" s="2">
        <v>0</v>
      </c>
      <c r="AL318" s="2">
        <v>0</v>
      </c>
      <c r="AM318" s="6">
        <f>SUM(AI318:AL318)/Variables!$E$3</f>
        <v>0</v>
      </c>
      <c r="AN318" s="4">
        <v>0</v>
      </c>
      <c r="AO318" s="2">
        <v>0</v>
      </c>
      <c r="AP318" s="2">
        <v>0</v>
      </c>
      <c r="AQ318" s="2">
        <v>0</v>
      </c>
      <c r="AR318" s="6">
        <f>SUM(AN318:AQ318)/Variables!$E$3</f>
        <v>0</v>
      </c>
      <c r="AS318" s="4">
        <v>0</v>
      </c>
      <c r="AT318" s="2">
        <v>0</v>
      </c>
      <c r="AU318" s="2">
        <v>0</v>
      </c>
      <c r="AV318" s="2">
        <v>0</v>
      </c>
      <c r="AW318" s="6">
        <f>SUM(AS318:AV318)/Variables!$E$3</f>
        <v>0</v>
      </c>
      <c r="AX318" s="4">
        <v>0</v>
      </c>
      <c r="AY318" s="2">
        <v>0</v>
      </c>
      <c r="AZ318" s="2">
        <v>0</v>
      </c>
      <c r="BA318" s="2">
        <v>0</v>
      </c>
      <c r="BB318" s="6">
        <f>SUM(AX318:BA318)/Variables!$E$3</f>
        <v>0</v>
      </c>
      <c r="BC318" s="12">
        <f t="shared" si="72"/>
        <v>0</v>
      </c>
      <c r="BD318" s="110">
        <f t="shared" si="72"/>
        <v>0</v>
      </c>
      <c r="BE318" s="110">
        <f t="shared" si="72"/>
        <v>0</v>
      </c>
      <c r="BF318" s="110">
        <f t="shared" si="69"/>
        <v>0</v>
      </c>
      <c r="BG318" s="6">
        <f>SUM(BC318:BF318)/Variables!$E$3</f>
        <v>0</v>
      </c>
      <c r="BH318" s="4">
        <v>0</v>
      </c>
      <c r="BI318">
        <v>0</v>
      </c>
      <c r="BJ318">
        <v>0</v>
      </c>
      <c r="BK318">
        <v>0</v>
      </c>
      <c r="BL318" s="6">
        <f>SUM(BH318:BK318)/Variables!$E$3</f>
        <v>0</v>
      </c>
      <c r="BM318" s="110">
        <v>0</v>
      </c>
      <c r="BN318" s="110">
        <v>0</v>
      </c>
      <c r="BO318" s="110">
        <v>0</v>
      </c>
      <c r="BP318" s="110">
        <v>0</v>
      </c>
      <c r="BQ318" s="6">
        <f>SUM(BM318:BP318)/Variables!$E$3</f>
        <v>0</v>
      </c>
      <c r="BS318" s="4">
        <v>316</v>
      </c>
      <c r="BT318" s="125">
        <f t="shared" si="73"/>
        <v>0</v>
      </c>
      <c r="BU318" s="125">
        <f t="shared" si="59"/>
        <v>0.91953776356107331</v>
      </c>
      <c r="BV318" s="125">
        <f t="shared" si="60"/>
        <v>0.4157887235845098</v>
      </c>
      <c r="BW318" s="125">
        <f t="shared" si="61"/>
        <v>0.60538864124023151</v>
      </c>
      <c r="BX318" s="125">
        <f t="shared" si="62"/>
        <v>0.60358569743228363</v>
      </c>
      <c r="BY318" s="125">
        <f t="shared" si="63"/>
        <v>0.55258600622332721</v>
      </c>
      <c r="BZ318" s="125">
        <f t="shared" si="64"/>
        <v>0.50090412433986009</v>
      </c>
      <c r="CA318" s="125">
        <f t="shared" si="65"/>
        <v>0.53351427960633102</v>
      </c>
      <c r="CB318" s="125">
        <f t="shared" si="66"/>
        <v>0.65614779214403918</v>
      </c>
      <c r="CC318" s="125">
        <f t="shared" si="67"/>
        <v>0.55296835287690327</v>
      </c>
      <c r="CD318" s="125">
        <f t="shared" si="68"/>
        <v>0.60358569743228363</v>
      </c>
      <c r="CE318" s="125">
        <f t="shared" si="70"/>
        <v>0.56222092019730963</v>
      </c>
      <c r="CF318" s="126">
        <f t="shared" si="71"/>
        <v>0.56222028677978442</v>
      </c>
      <c r="CH318" s="4">
        <v>316</v>
      </c>
      <c r="CI318" s="129">
        <v>0</v>
      </c>
      <c r="CJ318" s="125">
        <v>0</v>
      </c>
      <c r="CK318" s="125">
        <v>0</v>
      </c>
      <c r="CL318" s="125">
        <v>0</v>
      </c>
      <c r="CM318" s="125">
        <v>0</v>
      </c>
      <c r="CN318" s="125">
        <v>0</v>
      </c>
      <c r="CO318" s="125">
        <v>0</v>
      </c>
      <c r="CP318" s="125">
        <v>0</v>
      </c>
      <c r="CQ318" s="125">
        <v>0</v>
      </c>
      <c r="CR318" s="125">
        <v>0</v>
      </c>
      <c r="CS318" s="125">
        <v>0</v>
      </c>
      <c r="CT318" s="125">
        <v>0</v>
      </c>
      <c r="CU318" s="126">
        <v>0</v>
      </c>
    </row>
    <row r="319" spans="1:99" x14ac:dyDescent="0.25">
      <c r="A319" t="s">
        <v>263</v>
      </c>
      <c r="B319" s="2" t="s">
        <v>4</v>
      </c>
      <c r="C319" s="1">
        <v>30467</v>
      </c>
      <c r="D319" s="19">
        <v>242.56785714285701</v>
      </c>
      <c r="E319" s="18">
        <v>0</v>
      </c>
      <c r="F319" s="19">
        <v>0</v>
      </c>
      <c r="G319" s="19">
        <v>0</v>
      </c>
      <c r="H319" s="19">
        <v>0</v>
      </c>
      <c r="I319" s="19">
        <f>SUM(E319:H319)/Variables!$E$3</f>
        <v>0</v>
      </c>
      <c r="J319" s="4">
        <v>103809</v>
      </c>
      <c r="K319">
        <v>85332</v>
      </c>
      <c r="L319">
        <v>650903</v>
      </c>
      <c r="M319">
        <v>321323</v>
      </c>
      <c r="N319" s="6">
        <f>SUM(J319:M319)/Variables!$E$3</f>
        <v>0.91953776356107331</v>
      </c>
      <c r="O319" s="4">
        <v>30132</v>
      </c>
      <c r="P319">
        <v>31237</v>
      </c>
      <c r="Q319">
        <v>301259</v>
      </c>
      <c r="R319">
        <v>162509</v>
      </c>
      <c r="S319" s="6">
        <f>SUM(O319:R319)/Variables!$E$3</f>
        <v>0.4157887235845098</v>
      </c>
      <c r="T319" s="4">
        <v>46247.4</v>
      </c>
      <c r="U319">
        <v>43221.4</v>
      </c>
      <c r="V319">
        <v>459255</v>
      </c>
      <c r="W319">
        <v>215876</v>
      </c>
      <c r="X319" s="6">
        <f>SUM(T319:W319)/Variables!$E$3</f>
        <v>0.60538864124023151</v>
      </c>
      <c r="Y319" s="4">
        <v>46362.7</v>
      </c>
      <c r="Z319">
        <v>43307.4</v>
      </c>
      <c r="AA319">
        <v>456303.4</v>
      </c>
      <c r="AB319">
        <v>216349.2</v>
      </c>
      <c r="AC319" s="6">
        <f>SUM(Y319:AB319)/Variables!$E$3</f>
        <v>0.60358569743228363</v>
      </c>
      <c r="AD319" s="4">
        <v>43195.3</v>
      </c>
      <c r="AE319" s="2">
        <v>41270.5</v>
      </c>
      <c r="AF319" s="2">
        <v>427849.8</v>
      </c>
      <c r="AG319" s="2">
        <v>185595</v>
      </c>
      <c r="AH319" s="6">
        <f>SUM(AD319:AG319)/Variables!$E$3</f>
        <v>0.55258600622332721</v>
      </c>
      <c r="AI319" s="4">
        <v>40612</v>
      </c>
      <c r="AJ319" s="2">
        <v>39150.1</v>
      </c>
      <c r="AK319" s="2">
        <v>381771.6</v>
      </c>
      <c r="AL319" s="2">
        <v>171103.2</v>
      </c>
      <c r="AM319" s="6">
        <f>SUM(AI319:AL319)/Variables!$E$3</f>
        <v>0.50090412433986009</v>
      </c>
      <c r="AN319" s="4">
        <v>41644.699999999997</v>
      </c>
      <c r="AO319" s="2">
        <v>39966</v>
      </c>
      <c r="AP319" s="2">
        <v>386977.9</v>
      </c>
      <c r="AQ319" s="2">
        <v>205234.6</v>
      </c>
      <c r="AR319" s="6">
        <f>SUM(AN319:AQ319)/Variables!$E$3</f>
        <v>0.53351427960633102</v>
      </c>
      <c r="AS319" s="4">
        <v>54123.9</v>
      </c>
      <c r="AT319" s="2">
        <v>49164.5</v>
      </c>
      <c r="AU319" s="2">
        <v>470703.2</v>
      </c>
      <c r="AV319" s="2">
        <v>254716.5</v>
      </c>
      <c r="AW319" s="6">
        <f>SUM(AS319:AV319)/Variables!$E$3</f>
        <v>0.65614779214403918</v>
      </c>
      <c r="AX319" s="4">
        <v>42483.3</v>
      </c>
      <c r="AY319" s="2">
        <v>40614.400000000001</v>
      </c>
      <c r="AZ319" s="2">
        <v>405008.1</v>
      </c>
      <c r="BA319" s="2">
        <v>210287.7</v>
      </c>
      <c r="BB319" s="6">
        <f>SUM(AX319:BA319)/Variables!$E$3</f>
        <v>0.55296835287690327</v>
      </c>
      <c r="BC319" s="12">
        <f t="shared" si="72"/>
        <v>46362.7</v>
      </c>
      <c r="BD319" s="110">
        <f t="shared" si="72"/>
        <v>43307.4</v>
      </c>
      <c r="BE319" s="110">
        <f t="shared" si="72"/>
        <v>456303.4</v>
      </c>
      <c r="BF319" s="110">
        <f t="shared" si="69"/>
        <v>216349.2</v>
      </c>
      <c r="BG319" s="6">
        <f>SUM(BC319:BF319)/Variables!$E$3</f>
        <v>0.60358569743228363</v>
      </c>
      <c r="BH319" s="4">
        <v>43916.9</v>
      </c>
      <c r="BI319">
        <v>41763.300000000003</v>
      </c>
      <c r="BJ319">
        <v>407473.6</v>
      </c>
      <c r="BK319">
        <v>216925.6</v>
      </c>
      <c r="BL319" s="6">
        <f>SUM(BH319:BK319)/Variables!$E$3</f>
        <v>0.56222092019730963</v>
      </c>
      <c r="BM319" s="110">
        <v>43012.9</v>
      </c>
      <c r="BN319" s="110">
        <v>41164</v>
      </c>
      <c r="BO319" s="110">
        <v>417667.1</v>
      </c>
      <c r="BP319" s="110">
        <v>208234.6</v>
      </c>
      <c r="BQ319" s="6">
        <f>SUM(BM319:BP319)/Variables!$E$3</f>
        <v>0.56222028677978442</v>
      </c>
      <c r="BS319" s="4">
        <v>317</v>
      </c>
      <c r="BT319" s="125">
        <f t="shared" si="73"/>
        <v>0</v>
      </c>
      <c r="BU319" s="125">
        <f t="shared" si="59"/>
        <v>1.4926626497438618</v>
      </c>
      <c r="BV319" s="125">
        <f t="shared" si="60"/>
        <v>1.1691398981781329</v>
      </c>
      <c r="BW319" s="125">
        <f t="shared" si="61"/>
        <v>1.1421124474461397</v>
      </c>
      <c r="BX319" s="125">
        <f t="shared" si="62"/>
        <v>1.1379369591208164</v>
      </c>
      <c r="BY319" s="125">
        <f t="shared" si="63"/>
        <v>1.0931127720726213</v>
      </c>
      <c r="BZ319" s="125">
        <f t="shared" si="64"/>
        <v>1.1753450146081916</v>
      </c>
      <c r="CA319" s="125">
        <f t="shared" si="65"/>
        <v>1.1727390557328246</v>
      </c>
      <c r="CB319" s="125">
        <f t="shared" si="66"/>
        <v>1.2076378276945978</v>
      </c>
      <c r="CC319" s="125">
        <f t="shared" si="67"/>
        <v>1.1680625341451634</v>
      </c>
      <c r="CD319" s="125">
        <f t="shared" si="68"/>
        <v>1.1379369591208164</v>
      </c>
      <c r="CE319" s="125">
        <f t="shared" si="70"/>
        <v>1.1532171276098784</v>
      </c>
      <c r="CF319" s="126">
        <f t="shared" si="71"/>
        <v>1.1697836087379947</v>
      </c>
      <c r="CH319" s="4">
        <v>317</v>
      </c>
      <c r="CI319" s="129">
        <v>0</v>
      </c>
      <c r="CJ319" s="125">
        <v>2.2968637914789509</v>
      </c>
      <c r="CK319" s="125">
        <v>2.5501825034244137</v>
      </c>
      <c r="CL319" s="125">
        <v>2.6401466757456511</v>
      </c>
      <c r="CM319" s="125">
        <v>2.6332519655737574</v>
      </c>
      <c r="CN319" s="125">
        <v>2.5764859579252408</v>
      </c>
      <c r="CO319" s="125">
        <v>2.5060008392782209</v>
      </c>
      <c r="CP319" s="125">
        <v>2.5179622166446292</v>
      </c>
      <c r="CQ319" s="125">
        <v>2.6947918827544162</v>
      </c>
      <c r="CR319" s="125">
        <v>2.6171862801764068</v>
      </c>
      <c r="CS319" s="125">
        <v>2.6332519655737574</v>
      </c>
      <c r="CT319" s="125">
        <v>2.5837541864939548</v>
      </c>
      <c r="CU319" s="126">
        <v>2.6179245283018866</v>
      </c>
    </row>
    <row r="320" spans="1:99" x14ac:dyDescent="0.25">
      <c r="A320" t="s">
        <v>263</v>
      </c>
      <c r="B320" s="2" t="s">
        <v>1</v>
      </c>
      <c r="C320" s="1">
        <v>30559</v>
      </c>
      <c r="D320" s="19">
        <v>84.3</v>
      </c>
      <c r="E320" s="18">
        <v>0</v>
      </c>
      <c r="F320" s="19">
        <v>0</v>
      </c>
      <c r="G320" s="19">
        <v>0</v>
      </c>
      <c r="H320" s="19">
        <v>0</v>
      </c>
      <c r="I320" s="19">
        <f>SUM(E320:H320)/Variables!$E$3</f>
        <v>0</v>
      </c>
      <c r="J320" s="4">
        <v>185251</v>
      </c>
      <c r="K320">
        <v>179913</v>
      </c>
      <c r="L320">
        <v>1218339</v>
      </c>
      <c r="M320">
        <v>301715</v>
      </c>
      <c r="N320" s="6">
        <f>SUM(J320:M320)/Variables!$E$3</f>
        <v>1.4926626497438618</v>
      </c>
      <c r="O320" s="4">
        <v>106339</v>
      </c>
      <c r="P320">
        <v>116374</v>
      </c>
      <c r="Q320">
        <v>1008327</v>
      </c>
      <c r="R320">
        <v>245572</v>
      </c>
      <c r="S320" s="6">
        <f>SUM(O320:R320)/Variables!$E$3</f>
        <v>1.1691398981781329</v>
      </c>
      <c r="T320" s="4">
        <v>105996.8</v>
      </c>
      <c r="U320">
        <v>115556.9</v>
      </c>
      <c r="V320">
        <v>982283.3</v>
      </c>
      <c r="W320">
        <v>238639.6</v>
      </c>
      <c r="X320" s="6">
        <f>SUM(T320:W320)/Variables!$E$3</f>
        <v>1.1421124474461397</v>
      </c>
      <c r="Y320" s="4">
        <v>106107</v>
      </c>
      <c r="Z320">
        <v>115631</v>
      </c>
      <c r="AA320">
        <v>976701.1</v>
      </c>
      <c r="AB320">
        <v>238763.9</v>
      </c>
      <c r="AC320" s="6">
        <f>SUM(Y320:AB320)/Variables!$E$3</f>
        <v>1.1379369591208164</v>
      </c>
      <c r="AD320" s="4">
        <v>106714</v>
      </c>
      <c r="AE320" s="2">
        <v>116397.3</v>
      </c>
      <c r="AF320" s="2">
        <v>932035.2</v>
      </c>
      <c r="AG320" s="2">
        <v>225444</v>
      </c>
      <c r="AH320" s="6">
        <f>SUM(AD320:AG320)/Variables!$E$3</f>
        <v>1.0931127720726213</v>
      </c>
      <c r="AI320" s="4">
        <v>107243.6</v>
      </c>
      <c r="AJ320" s="2">
        <v>117168.3</v>
      </c>
      <c r="AK320" s="2">
        <v>1011608.2</v>
      </c>
      <c r="AL320" s="2">
        <v>248428.9</v>
      </c>
      <c r="AM320" s="6">
        <f>SUM(AI320:AL320)/Variables!$E$3</f>
        <v>1.1753450146081916</v>
      </c>
      <c r="AN320" s="4">
        <v>108422.39999999999</v>
      </c>
      <c r="AO320" s="2">
        <v>118073.7</v>
      </c>
      <c r="AP320" s="2">
        <v>1014498.6</v>
      </c>
      <c r="AQ320" s="2">
        <v>240163</v>
      </c>
      <c r="AR320" s="6">
        <f>SUM(AN320:AQ320)/Variables!$E$3</f>
        <v>1.1727390557328246</v>
      </c>
      <c r="AS320" s="4">
        <v>112352.1</v>
      </c>
      <c r="AT320" s="2">
        <v>120216.8</v>
      </c>
      <c r="AU320" s="2">
        <v>1025776.4</v>
      </c>
      <c r="AV320" s="2">
        <v>266889.2</v>
      </c>
      <c r="AW320" s="6">
        <f>SUM(AS320:AV320)/Variables!$E$3</f>
        <v>1.2076378276945978</v>
      </c>
      <c r="AX320" s="4">
        <v>107170.5</v>
      </c>
      <c r="AY320" s="2">
        <v>116313.5</v>
      </c>
      <c r="AZ320" s="2">
        <v>1008447.9</v>
      </c>
      <c r="BA320" s="2">
        <v>243319.4</v>
      </c>
      <c r="BB320" s="6">
        <f>SUM(AX320:BA320)/Variables!$E$3</f>
        <v>1.1680625341451634</v>
      </c>
      <c r="BC320" s="12">
        <f t="shared" si="72"/>
        <v>106107</v>
      </c>
      <c r="BD320" s="110">
        <f t="shared" si="72"/>
        <v>115631</v>
      </c>
      <c r="BE320" s="110">
        <f t="shared" si="72"/>
        <v>976701.1</v>
      </c>
      <c r="BF320" s="110">
        <f t="shared" si="69"/>
        <v>238763.9</v>
      </c>
      <c r="BG320" s="6">
        <f>SUM(BC320:BF320)/Variables!$E$3</f>
        <v>1.1379369591208164</v>
      </c>
      <c r="BH320" s="4">
        <v>104294.1</v>
      </c>
      <c r="BI320">
        <v>114121.7</v>
      </c>
      <c r="BJ320">
        <v>994819.3</v>
      </c>
      <c r="BK320">
        <v>243266.6</v>
      </c>
      <c r="BL320" s="6">
        <f>SUM(BH320:BK320)/Variables!$E$3</f>
        <v>1.1532171276098784</v>
      </c>
      <c r="BM320" s="110">
        <v>107530.1</v>
      </c>
      <c r="BN320" s="110">
        <v>116584.5</v>
      </c>
      <c r="BO320" s="110">
        <v>1009612.1</v>
      </c>
      <c r="BP320" s="110">
        <v>243698.3</v>
      </c>
      <c r="BQ320" s="6">
        <f>SUM(BM320:BP320)/Variables!$E$3</f>
        <v>1.1697836087379947</v>
      </c>
      <c r="BS320" s="4">
        <v>318</v>
      </c>
      <c r="BT320" s="125">
        <f t="shared" si="73"/>
        <v>0</v>
      </c>
      <c r="BU320" s="125">
        <f t="shared" si="59"/>
        <v>2.5178346621905159E-4</v>
      </c>
      <c r="BV320" s="125">
        <f t="shared" si="60"/>
        <v>0</v>
      </c>
      <c r="BW320" s="125">
        <f t="shared" si="61"/>
        <v>0</v>
      </c>
      <c r="BX320" s="125">
        <f t="shared" si="62"/>
        <v>0</v>
      </c>
      <c r="BY320" s="125">
        <f t="shared" si="63"/>
        <v>0</v>
      </c>
      <c r="BZ320" s="125">
        <f t="shared" si="64"/>
        <v>0</v>
      </c>
      <c r="CA320" s="125">
        <f t="shared" si="65"/>
        <v>0</v>
      </c>
      <c r="CB320" s="125">
        <f t="shared" si="66"/>
        <v>0</v>
      </c>
      <c r="CC320" s="125">
        <f t="shared" si="67"/>
        <v>0</v>
      </c>
      <c r="CD320" s="125">
        <f t="shared" si="68"/>
        <v>0</v>
      </c>
      <c r="CE320" s="125">
        <f t="shared" si="70"/>
        <v>0</v>
      </c>
      <c r="CF320" s="126">
        <f t="shared" si="71"/>
        <v>0</v>
      </c>
      <c r="CH320" s="4">
        <v>318</v>
      </c>
      <c r="CI320" s="129">
        <v>0</v>
      </c>
      <c r="CJ320" s="125">
        <v>0</v>
      </c>
      <c r="CK320" s="125">
        <v>0</v>
      </c>
      <c r="CL320" s="125">
        <v>0</v>
      </c>
      <c r="CM320" s="125">
        <v>0</v>
      </c>
      <c r="CN320" s="125">
        <v>0</v>
      </c>
      <c r="CO320" s="125">
        <v>0</v>
      </c>
      <c r="CP320" s="125">
        <v>0</v>
      </c>
      <c r="CQ320" s="125">
        <v>0</v>
      </c>
      <c r="CR320" s="125">
        <v>0</v>
      </c>
      <c r="CS320" s="125">
        <v>0</v>
      </c>
      <c r="CT320" s="125">
        <v>0</v>
      </c>
      <c r="CU320" s="126">
        <v>0</v>
      </c>
    </row>
    <row r="321" spans="1:99" x14ac:dyDescent="0.25">
      <c r="A321" t="s">
        <v>263</v>
      </c>
      <c r="B321" s="2" t="s">
        <v>2</v>
      </c>
      <c r="C321" s="1">
        <v>30650</v>
      </c>
      <c r="D321" s="19">
        <v>135.917857142857</v>
      </c>
      <c r="E321" s="18">
        <v>0</v>
      </c>
      <c r="F321" s="19">
        <v>0</v>
      </c>
      <c r="G321" s="19">
        <v>0</v>
      </c>
      <c r="H321" s="19">
        <v>0</v>
      </c>
      <c r="I321" s="19">
        <f>SUM(E321:H321)/Variables!$E$3</f>
        <v>0</v>
      </c>
      <c r="J321" s="4">
        <v>0</v>
      </c>
      <c r="K321">
        <v>0</v>
      </c>
      <c r="L321">
        <v>318</v>
      </c>
      <c r="M321">
        <v>0</v>
      </c>
      <c r="N321" s="6">
        <f>SUM(J321:M321)/Variables!$E$3</f>
        <v>2.5178346621905159E-4</v>
      </c>
      <c r="O321" s="4">
        <v>0</v>
      </c>
      <c r="P321">
        <v>0</v>
      </c>
      <c r="Q321">
        <v>0</v>
      </c>
      <c r="R321">
        <v>0</v>
      </c>
      <c r="S321" s="6">
        <f>SUM(O321:R321)/Variables!$E$3</f>
        <v>0</v>
      </c>
      <c r="T321" s="4">
        <v>0</v>
      </c>
      <c r="U321">
        <v>0</v>
      </c>
      <c r="V321">
        <v>0</v>
      </c>
      <c r="W321">
        <v>0</v>
      </c>
      <c r="X321" s="6">
        <f>SUM(T321:W321)/Variables!$E$3</f>
        <v>0</v>
      </c>
      <c r="Y321" s="4">
        <v>0</v>
      </c>
      <c r="Z321">
        <v>0</v>
      </c>
      <c r="AA321">
        <v>0</v>
      </c>
      <c r="AB321">
        <v>0</v>
      </c>
      <c r="AC321" s="6">
        <f>SUM(Y321:AB321)/Variables!$E$3</f>
        <v>0</v>
      </c>
      <c r="AD321" s="4">
        <v>0</v>
      </c>
      <c r="AE321" s="2">
        <v>0</v>
      </c>
      <c r="AF321" s="2">
        <v>0</v>
      </c>
      <c r="AG321" s="2">
        <v>0</v>
      </c>
      <c r="AH321" s="6">
        <f>SUM(AD321:AG321)/Variables!$E$3</f>
        <v>0</v>
      </c>
      <c r="AI321" s="4">
        <v>0</v>
      </c>
      <c r="AJ321" s="2">
        <v>0</v>
      </c>
      <c r="AK321" s="2">
        <v>0</v>
      </c>
      <c r="AL321" s="2">
        <v>0</v>
      </c>
      <c r="AM321" s="6">
        <f>SUM(AI321:AL321)/Variables!$E$3</f>
        <v>0</v>
      </c>
      <c r="AN321" s="4">
        <v>0</v>
      </c>
      <c r="AO321" s="2">
        <v>0</v>
      </c>
      <c r="AP321" s="2">
        <v>0</v>
      </c>
      <c r="AQ321" s="2">
        <v>0</v>
      </c>
      <c r="AR321" s="6">
        <f>SUM(AN321:AQ321)/Variables!$E$3</f>
        <v>0</v>
      </c>
      <c r="AS321" s="4">
        <v>0</v>
      </c>
      <c r="AT321" s="2">
        <v>0</v>
      </c>
      <c r="AU321" s="2">
        <v>0</v>
      </c>
      <c r="AV321" s="2">
        <v>0</v>
      </c>
      <c r="AW321" s="6">
        <f>SUM(AS321:AV321)/Variables!$E$3</f>
        <v>0</v>
      </c>
      <c r="AX321" s="4">
        <v>0</v>
      </c>
      <c r="AY321" s="2">
        <v>0</v>
      </c>
      <c r="AZ321" s="2">
        <v>0</v>
      </c>
      <c r="BA321" s="2">
        <v>0</v>
      </c>
      <c r="BB321" s="6">
        <f>SUM(AX321:BA321)/Variables!$E$3</f>
        <v>0</v>
      </c>
      <c r="BC321" s="12">
        <f t="shared" si="72"/>
        <v>0</v>
      </c>
      <c r="BD321" s="110">
        <f t="shared" si="72"/>
        <v>0</v>
      </c>
      <c r="BE321" s="110">
        <f t="shared" si="72"/>
        <v>0</v>
      </c>
      <c r="BF321" s="110">
        <f t="shared" si="69"/>
        <v>0</v>
      </c>
      <c r="BG321" s="6">
        <f>SUM(BC321:BF321)/Variables!$E$3</f>
        <v>0</v>
      </c>
      <c r="BH321" s="4">
        <v>0</v>
      </c>
      <c r="BI321">
        <v>0</v>
      </c>
      <c r="BJ321">
        <v>0</v>
      </c>
      <c r="BK321">
        <v>0</v>
      </c>
      <c r="BL321" s="6">
        <f>SUM(BH321:BK321)/Variables!$E$3</f>
        <v>0</v>
      </c>
      <c r="BM321" s="110">
        <v>0</v>
      </c>
      <c r="BN321" s="110">
        <v>0</v>
      </c>
      <c r="BO321" s="110">
        <v>0</v>
      </c>
      <c r="BP321" s="110">
        <v>0</v>
      </c>
      <c r="BQ321" s="6">
        <f>SUM(BM321:BP321)/Variables!$E$3</f>
        <v>0</v>
      </c>
      <c r="BS321" s="4">
        <v>319</v>
      </c>
      <c r="BT321" s="125">
        <f t="shared" si="73"/>
        <v>0</v>
      </c>
      <c r="BU321" s="125">
        <f t="shared" si="59"/>
        <v>0.50346954449362225</v>
      </c>
      <c r="BV321" s="125">
        <f t="shared" si="60"/>
        <v>0.22543013008812421</v>
      </c>
      <c r="BW321" s="125">
        <f t="shared" si="61"/>
        <v>0.31563662420130012</v>
      </c>
      <c r="BX321" s="125">
        <f t="shared" si="62"/>
        <v>0.31515324745247386</v>
      </c>
      <c r="BY321" s="125">
        <f t="shared" si="63"/>
        <v>0.30355070111402305</v>
      </c>
      <c r="BZ321" s="125">
        <f t="shared" si="64"/>
        <v>0.25839840378783685</v>
      </c>
      <c r="CA321" s="125">
        <f t="shared" si="65"/>
        <v>0.26132020047664667</v>
      </c>
      <c r="CB321" s="125">
        <f t="shared" si="66"/>
        <v>0.28883245314689743</v>
      </c>
      <c r="CC321" s="125">
        <f t="shared" si="67"/>
        <v>0.26578642744598135</v>
      </c>
      <c r="CD321" s="125">
        <f t="shared" si="68"/>
        <v>0.31515324745247386</v>
      </c>
      <c r="CE321" s="125">
        <f t="shared" si="70"/>
        <v>0.2676135202970728</v>
      </c>
      <c r="CF321" s="126">
        <f t="shared" si="71"/>
        <v>0.2492005479061592</v>
      </c>
      <c r="CH321" s="4">
        <v>319</v>
      </c>
      <c r="CI321" s="129">
        <v>0</v>
      </c>
      <c r="CJ321" s="125">
        <v>0.58984077466963314</v>
      </c>
      <c r="CK321" s="125">
        <v>7.7757147720884573E-2</v>
      </c>
      <c r="CL321" s="125">
        <v>0.17220255108908225</v>
      </c>
      <c r="CM321" s="125">
        <v>0.17211787108369819</v>
      </c>
      <c r="CN321" s="125">
        <v>0.17376158956127918</v>
      </c>
      <c r="CO321" s="125">
        <v>0.16735841138884711</v>
      </c>
      <c r="CP321" s="125">
        <v>0.16691533583005408</v>
      </c>
      <c r="CQ321" s="125">
        <v>0.14937537114308111</v>
      </c>
      <c r="CR321" s="125">
        <v>0.16672277690242995</v>
      </c>
      <c r="CS321" s="125">
        <v>0.17211787108369819</v>
      </c>
      <c r="CT321" s="125">
        <v>0.16561556306859118</v>
      </c>
      <c r="CU321" s="126">
        <v>0.14564675888170137</v>
      </c>
    </row>
    <row r="322" spans="1:99" x14ac:dyDescent="0.25">
      <c r="A322" t="s">
        <v>264</v>
      </c>
      <c r="B322" s="2" t="s">
        <v>3</v>
      </c>
      <c r="C322" s="1">
        <v>30740</v>
      </c>
      <c r="D322" s="19">
        <v>209.664285714286</v>
      </c>
      <c r="E322" s="18">
        <v>0</v>
      </c>
      <c r="F322" s="19">
        <v>0</v>
      </c>
      <c r="G322" s="19">
        <v>0</v>
      </c>
      <c r="H322" s="19">
        <v>0</v>
      </c>
      <c r="I322" s="19">
        <f>SUM(E322:H322)/Variables!$E$3</f>
        <v>0</v>
      </c>
      <c r="J322" s="4">
        <v>25410</v>
      </c>
      <c r="K322">
        <v>40291</v>
      </c>
      <c r="L322">
        <v>488193</v>
      </c>
      <c r="M322">
        <v>81983</v>
      </c>
      <c r="N322" s="6">
        <f>SUM(J322:M322)/Variables!$E$3</f>
        <v>0.50346954449362225</v>
      </c>
      <c r="O322" s="4">
        <v>5503</v>
      </c>
      <c r="P322">
        <v>11275</v>
      </c>
      <c r="Q322">
        <v>224087</v>
      </c>
      <c r="R322">
        <v>43851</v>
      </c>
      <c r="S322" s="6">
        <f>SUM(O322:R322)/Variables!$E$3</f>
        <v>0.22543013008812421</v>
      </c>
      <c r="T322" s="4">
        <v>7752.5</v>
      </c>
      <c r="U322">
        <v>14637.9</v>
      </c>
      <c r="V322">
        <v>320009.90000000002</v>
      </c>
      <c r="W322">
        <v>56245.599999999999</v>
      </c>
      <c r="X322" s="6">
        <f>SUM(T322:W322)/Variables!$E$3</f>
        <v>0.31563662420130012</v>
      </c>
      <c r="Y322" s="4">
        <v>7721.3</v>
      </c>
      <c r="Z322">
        <v>14598.8</v>
      </c>
      <c r="AA322">
        <v>319592.7</v>
      </c>
      <c r="AB322">
        <v>56122.6</v>
      </c>
      <c r="AC322" s="6">
        <f>SUM(Y322:AB322)/Variables!$E$3</f>
        <v>0.31515324745247386</v>
      </c>
      <c r="AD322" s="4">
        <v>8089.3</v>
      </c>
      <c r="AE322" s="2">
        <v>14921.5</v>
      </c>
      <c r="AF322" s="2">
        <v>313063.7</v>
      </c>
      <c r="AG322" s="2">
        <v>47307</v>
      </c>
      <c r="AH322" s="6">
        <f>SUM(AD322:AG322)/Variables!$E$3</f>
        <v>0.30355070111402305</v>
      </c>
      <c r="AI322" s="4">
        <v>6271.9</v>
      </c>
      <c r="AJ322" s="2">
        <v>12496.4</v>
      </c>
      <c r="AK322" s="2">
        <v>260404.1</v>
      </c>
      <c r="AL322" s="2">
        <v>47182.2</v>
      </c>
      <c r="AM322" s="6">
        <f>SUM(AI322:AL322)/Variables!$E$3</f>
        <v>0.25839840378783685</v>
      </c>
      <c r="AN322" s="4">
        <v>5911.3</v>
      </c>
      <c r="AO322" s="2">
        <v>12116.5</v>
      </c>
      <c r="AP322" s="2">
        <v>261705.9</v>
      </c>
      <c r="AQ322" s="2">
        <v>50311.1</v>
      </c>
      <c r="AR322" s="6">
        <f>SUM(AN322:AQ322)/Variables!$E$3</f>
        <v>0.26132020047664667</v>
      </c>
      <c r="AS322" s="4">
        <v>6602.6</v>
      </c>
      <c r="AT322" s="2">
        <v>13062.5</v>
      </c>
      <c r="AU322" s="2">
        <v>279476.40000000002</v>
      </c>
      <c r="AV322" s="2">
        <v>65651</v>
      </c>
      <c r="AW322" s="6">
        <f>SUM(AS322:AV322)/Variables!$E$3</f>
        <v>0.28883245314689743</v>
      </c>
      <c r="AX322" s="4">
        <v>5965.4</v>
      </c>
      <c r="AY322" s="2">
        <v>12213.2</v>
      </c>
      <c r="AZ322" s="2">
        <v>264657.40000000002</v>
      </c>
      <c r="BA322" s="2">
        <v>52849.599999999999</v>
      </c>
      <c r="BB322" s="6">
        <f>SUM(AX322:BA322)/Variables!$E$3</f>
        <v>0.26578642744598135</v>
      </c>
      <c r="BC322" s="12">
        <f t="shared" si="72"/>
        <v>7721.3</v>
      </c>
      <c r="BD322" s="110">
        <f t="shared" si="72"/>
        <v>14598.8</v>
      </c>
      <c r="BE322" s="110">
        <f t="shared" si="72"/>
        <v>319592.7</v>
      </c>
      <c r="BF322" s="110">
        <f t="shared" si="69"/>
        <v>56122.6</v>
      </c>
      <c r="BG322" s="6">
        <f>SUM(BC322:BF322)/Variables!$E$3</f>
        <v>0.31515324745247386</v>
      </c>
      <c r="BH322" s="4">
        <v>5893.2</v>
      </c>
      <c r="BI322">
        <v>12098.6</v>
      </c>
      <c r="BJ322">
        <v>261591.2</v>
      </c>
      <c r="BK322">
        <v>58410.2</v>
      </c>
      <c r="BL322" s="6">
        <f>SUM(BH322:BK322)/Variables!$E$3</f>
        <v>0.2676135202970728</v>
      </c>
      <c r="BM322" s="110">
        <v>4671.3999999999996</v>
      </c>
      <c r="BN322" s="110">
        <v>10675.7</v>
      </c>
      <c r="BO322" s="110">
        <v>246598.1</v>
      </c>
      <c r="BP322" s="110">
        <v>52792.6</v>
      </c>
      <c r="BQ322" s="6">
        <f>SUM(BM322:BP322)/Variables!$E$3</f>
        <v>0.2492005479061592</v>
      </c>
      <c r="BS322" s="4">
        <v>320</v>
      </c>
      <c r="BT322" s="125">
        <f t="shared" si="73"/>
        <v>0</v>
      </c>
      <c r="BU322" s="125">
        <f t="shared" si="59"/>
        <v>5.1148465150159539E-4</v>
      </c>
      <c r="BV322" s="125">
        <f t="shared" si="60"/>
        <v>0</v>
      </c>
      <c r="BW322" s="125">
        <f t="shared" si="61"/>
        <v>0</v>
      </c>
      <c r="BX322" s="125">
        <f t="shared" si="62"/>
        <v>0</v>
      </c>
      <c r="BY322" s="125">
        <f t="shared" si="63"/>
        <v>0</v>
      </c>
      <c r="BZ322" s="125">
        <f t="shared" si="64"/>
        <v>0</v>
      </c>
      <c r="CA322" s="125">
        <f t="shared" si="65"/>
        <v>0</v>
      </c>
      <c r="CB322" s="125">
        <f t="shared" si="66"/>
        <v>0</v>
      </c>
      <c r="CC322" s="125">
        <f t="shared" si="67"/>
        <v>0</v>
      </c>
      <c r="CD322" s="125">
        <f t="shared" si="68"/>
        <v>0</v>
      </c>
      <c r="CE322" s="125">
        <f t="shared" si="70"/>
        <v>0</v>
      </c>
      <c r="CF322" s="126">
        <f t="shared" si="71"/>
        <v>0</v>
      </c>
      <c r="CH322" s="4">
        <v>320</v>
      </c>
      <c r="CI322" s="129">
        <v>0</v>
      </c>
      <c r="CJ322" s="125">
        <v>0</v>
      </c>
      <c r="CK322" s="125">
        <v>0</v>
      </c>
      <c r="CL322" s="125">
        <v>0</v>
      </c>
      <c r="CM322" s="125">
        <v>0</v>
      </c>
      <c r="CN322" s="125">
        <v>0</v>
      </c>
      <c r="CO322" s="125">
        <v>0</v>
      </c>
      <c r="CP322" s="125">
        <v>0</v>
      </c>
      <c r="CQ322" s="125">
        <v>0</v>
      </c>
      <c r="CR322" s="125">
        <v>0</v>
      </c>
      <c r="CS322" s="125">
        <v>0</v>
      </c>
      <c r="CT322" s="125">
        <v>0</v>
      </c>
      <c r="CU322" s="126">
        <v>0</v>
      </c>
    </row>
    <row r="323" spans="1:99" x14ac:dyDescent="0.25">
      <c r="A323" t="s">
        <v>264</v>
      </c>
      <c r="B323" s="2" t="s">
        <v>4</v>
      </c>
      <c r="C323" s="1">
        <v>30833</v>
      </c>
      <c r="D323" s="19">
        <v>64.849999999999994</v>
      </c>
      <c r="E323" s="18">
        <v>0</v>
      </c>
      <c r="F323" s="19">
        <v>0</v>
      </c>
      <c r="G323" s="19">
        <v>0</v>
      </c>
      <c r="H323" s="19">
        <v>0</v>
      </c>
      <c r="I323" s="19">
        <f>SUM(E323:H323)/Variables!$E$3</f>
        <v>0</v>
      </c>
      <c r="J323" s="4">
        <v>0</v>
      </c>
      <c r="K323">
        <v>0</v>
      </c>
      <c r="L323">
        <v>646</v>
      </c>
      <c r="M323">
        <v>0</v>
      </c>
      <c r="N323" s="6">
        <f>SUM(J323:M323)/Variables!$E$3</f>
        <v>5.1148465150159539E-4</v>
      </c>
      <c r="O323" s="4">
        <v>0</v>
      </c>
      <c r="P323">
        <v>0</v>
      </c>
      <c r="Q323">
        <v>0</v>
      </c>
      <c r="R323">
        <v>0</v>
      </c>
      <c r="S323" s="6">
        <f>SUM(O323:R323)/Variables!$E$3</f>
        <v>0</v>
      </c>
      <c r="T323" s="4">
        <v>0</v>
      </c>
      <c r="U323">
        <v>0</v>
      </c>
      <c r="V323">
        <v>0</v>
      </c>
      <c r="W323">
        <v>0</v>
      </c>
      <c r="X323" s="6">
        <f>SUM(T323:W323)/Variables!$E$3</f>
        <v>0</v>
      </c>
      <c r="Y323" s="4">
        <v>0</v>
      </c>
      <c r="Z323">
        <v>0</v>
      </c>
      <c r="AA323">
        <v>0</v>
      </c>
      <c r="AB323">
        <v>0</v>
      </c>
      <c r="AC323" s="6">
        <f>SUM(Y323:AB323)/Variables!$E$3</f>
        <v>0</v>
      </c>
      <c r="AD323" s="4">
        <v>0</v>
      </c>
      <c r="AE323" s="2">
        <v>0</v>
      </c>
      <c r="AF323" s="2">
        <v>0</v>
      </c>
      <c r="AG323" s="2">
        <v>0</v>
      </c>
      <c r="AH323" s="6">
        <f>SUM(AD323:AG323)/Variables!$E$3</f>
        <v>0</v>
      </c>
      <c r="AI323" s="4">
        <v>0</v>
      </c>
      <c r="AJ323" s="2">
        <v>0</v>
      </c>
      <c r="AK323" s="2">
        <v>0</v>
      </c>
      <c r="AL323" s="2">
        <v>0</v>
      </c>
      <c r="AM323" s="6">
        <f>SUM(AI323:AL323)/Variables!$E$3</f>
        <v>0</v>
      </c>
      <c r="AN323" s="4">
        <v>0</v>
      </c>
      <c r="AO323" s="2">
        <v>0</v>
      </c>
      <c r="AP323" s="2">
        <v>0</v>
      </c>
      <c r="AQ323" s="2">
        <v>0</v>
      </c>
      <c r="AR323" s="6">
        <f>SUM(AN323:AQ323)/Variables!$E$3</f>
        <v>0</v>
      </c>
      <c r="AS323" s="4">
        <v>0</v>
      </c>
      <c r="AT323" s="2">
        <v>0</v>
      </c>
      <c r="AU323" s="2">
        <v>0</v>
      </c>
      <c r="AV323" s="2">
        <v>0</v>
      </c>
      <c r="AW323" s="6">
        <f>SUM(AS323:AV323)/Variables!$E$3</f>
        <v>0</v>
      </c>
      <c r="AX323" s="4">
        <v>0</v>
      </c>
      <c r="AY323" s="2">
        <v>0</v>
      </c>
      <c r="AZ323" s="2">
        <v>0</v>
      </c>
      <c r="BA323" s="2">
        <v>0</v>
      </c>
      <c r="BB323" s="6">
        <f>SUM(AX323:BA323)/Variables!$E$3</f>
        <v>0</v>
      </c>
      <c r="BC323" s="12">
        <f t="shared" si="72"/>
        <v>0</v>
      </c>
      <c r="BD323" s="110">
        <f t="shared" si="72"/>
        <v>0</v>
      </c>
      <c r="BE323" s="110">
        <f t="shared" si="72"/>
        <v>0</v>
      </c>
      <c r="BF323" s="110">
        <f t="shared" si="69"/>
        <v>0</v>
      </c>
      <c r="BG323" s="6">
        <f>SUM(BC323:BF323)/Variables!$E$3</f>
        <v>0</v>
      </c>
      <c r="BH323" s="4">
        <v>0</v>
      </c>
      <c r="BI323">
        <v>0</v>
      </c>
      <c r="BJ323">
        <v>0</v>
      </c>
      <c r="BK323">
        <v>0</v>
      </c>
      <c r="BL323" s="6">
        <f>SUM(BH323:BK323)/Variables!$E$3</f>
        <v>0</v>
      </c>
      <c r="BM323" s="110">
        <v>0</v>
      </c>
      <c r="BN323" s="110">
        <v>0</v>
      </c>
      <c r="BO323" s="110">
        <v>0</v>
      </c>
      <c r="BP323" s="110">
        <v>0</v>
      </c>
      <c r="BQ323" s="6">
        <f>SUM(BM323:BP323)/Variables!$E$3</f>
        <v>0</v>
      </c>
      <c r="BS323" s="4">
        <v>321</v>
      </c>
      <c r="BT323" s="125">
        <f t="shared" si="73"/>
        <v>0</v>
      </c>
      <c r="BU323" s="125">
        <f t="shared" ref="BU323:BU386" si="74">N324</f>
        <v>0.55138124609062622</v>
      </c>
      <c r="BV323" s="125">
        <f t="shared" ref="BV323:BV386" si="75">S324</f>
        <v>0.36094980957885653</v>
      </c>
      <c r="BW323" s="125">
        <f t="shared" ref="BW323:BW386" si="76">X324</f>
        <v>0.36335679617415817</v>
      </c>
      <c r="BX323" s="125">
        <f t="shared" ref="BX323:BX386" si="77">AC324</f>
        <v>0.36107578048915667</v>
      </c>
      <c r="BY323" s="125">
        <f t="shared" ref="BY323:BY386" si="78">AH324</f>
        <v>0.32888866895224822</v>
      </c>
      <c r="BZ323" s="125">
        <f t="shared" ref="BZ323:BZ386" si="79">AM324</f>
        <v>0.3800130642364547</v>
      </c>
      <c r="CA323" s="125">
        <f t="shared" ref="CA323:CA386" si="80">AR324</f>
        <v>0.38412077688659446</v>
      </c>
      <c r="CB323" s="125">
        <f t="shared" ref="CB323:CB386" si="81">AW324</f>
        <v>0.42987363320374666</v>
      </c>
      <c r="CC323" s="125">
        <f t="shared" ref="CC323:CC386" si="82">BB324</f>
        <v>0.38790132938503075</v>
      </c>
      <c r="CD323" s="125">
        <f t="shared" ref="CD323:CD386" si="83">BG324</f>
        <v>0.36107578048915667</v>
      </c>
      <c r="CE323" s="125">
        <f t="shared" si="70"/>
        <v>0.38478594446511849</v>
      </c>
      <c r="CF323" s="126">
        <f t="shared" si="71"/>
        <v>0.4037169732143564</v>
      </c>
      <c r="CH323" s="4">
        <v>321</v>
      </c>
      <c r="CI323" s="129">
        <v>0</v>
      </c>
      <c r="CJ323" s="125">
        <v>0.51401673805810022</v>
      </c>
      <c r="CK323" s="125">
        <v>0.24738319384951582</v>
      </c>
      <c r="CL323" s="125">
        <v>0.23581817749942596</v>
      </c>
      <c r="CM323" s="125">
        <v>0.23449560170706021</v>
      </c>
      <c r="CN323" s="125">
        <v>0.21188469425727835</v>
      </c>
      <c r="CO323" s="125">
        <v>0.26098195551825426</v>
      </c>
      <c r="CP323" s="125">
        <v>0.26143358221363588</v>
      </c>
      <c r="CQ323" s="125">
        <v>0.27877730623362024</v>
      </c>
      <c r="CR323" s="125">
        <v>0.25718715112550378</v>
      </c>
      <c r="CS323" s="125">
        <v>0.23449560170706021</v>
      </c>
      <c r="CT323" s="125">
        <v>0.2563200025336701</v>
      </c>
      <c r="CU323" s="126">
        <v>0.27383878732214828</v>
      </c>
    </row>
    <row r="324" spans="1:99" x14ac:dyDescent="0.25">
      <c r="A324" t="s">
        <v>264</v>
      </c>
      <c r="B324" s="2" t="s">
        <v>1</v>
      </c>
      <c r="C324" s="1">
        <v>30925</v>
      </c>
      <c r="D324" s="19">
        <v>135.53749999999999</v>
      </c>
      <c r="E324" s="18">
        <v>0</v>
      </c>
      <c r="F324" s="19">
        <v>0</v>
      </c>
      <c r="G324" s="19">
        <v>0</v>
      </c>
      <c r="H324" s="19">
        <v>0</v>
      </c>
      <c r="I324" s="19">
        <f>SUM(E324:H324)/Variables!$E$3</f>
        <v>0</v>
      </c>
      <c r="J324" s="4">
        <v>52394</v>
      </c>
      <c r="K324">
        <v>57290</v>
      </c>
      <c r="L324">
        <v>473353</v>
      </c>
      <c r="M324">
        <v>113352</v>
      </c>
      <c r="N324" s="6">
        <f>SUM(J324:M324)/Variables!$E$3</f>
        <v>0.55138124609062622</v>
      </c>
      <c r="O324" s="4">
        <v>22497</v>
      </c>
      <c r="P324">
        <v>30183</v>
      </c>
      <c r="Q324">
        <v>326800</v>
      </c>
      <c r="R324">
        <v>76396</v>
      </c>
      <c r="S324" s="6">
        <f>SUM(O324:R324)/Variables!$E$3</f>
        <v>0.36094980957885653</v>
      </c>
      <c r="T324" s="4">
        <v>19662</v>
      </c>
      <c r="U324">
        <v>28732.7</v>
      </c>
      <c r="V324">
        <v>330343.2</v>
      </c>
      <c r="W324">
        <v>80178.100000000006</v>
      </c>
      <c r="X324" s="6">
        <f>SUM(T324:W324)/Variables!$E$3</f>
        <v>0.36335679617415817</v>
      </c>
      <c r="Y324" s="4">
        <v>19739.900000000001</v>
      </c>
      <c r="Z324">
        <v>28813</v>
      </c>
      <c r="AA324">
        <v>326942.59999999998</v>
      </c>
      <c r="AB324">
        <v>80539.600000000006</v>
      </c>
      <c r="AC324" s="6">
        <f>SUM(Y324:AB324)/Variables!$E$3</f>
        <v>0.36107578048915667</v>
      </c>
      <c r="AD324" s="4">
        <v>19860.3</v>
      </c>
      <c r="AE324" s="2">
        <v>28570.1</v>
      </c>
      <c r="AF324" s="2">
        <v>290456.7</v>
      </c>
      <c r="AG324" s="2">
        <v>76496</v>
      </c>
      <c r="AH324" s="6">
        <f>SUM(AD324:AG324)/Variables!$E$3</f>
        <v>0.32888866895224822</v>
      </c>
      <c r="AI324" s="4">
        <v>22527.3</v>
      </c>
      <c r="AJ324" s="2">
        <v>30638.5</v>
      </c>
      <c r="AK324" s="2">
        <v>348247</v>
      </c>
      <c r="AL324" s="2">
        <v>78539.899999999994</v>
      </c>
      <c r="AM324" s="6">
        <f>SUM(AI324:AL324)/Variables!$E$3</f>
        <v>0.3800130642364547</v>
      </c>
      <c r="AN324" s="4">
        <v>22961.200000000001</v>
      </c>
      <c r="AO324" s="2">
        <v>31147.599999999999</v>
      </c>
      <c r="AP324" s="2">
        <v>350049.8</v>
      </c>
      <c r="AQ324" s="2">
        <v>80982.100000000006</v>
      </c>
      <c r="AR324" s="6">
        <f>SUM(AN324:AQ324)/Variables!$E$3</f>
        <v>0.38412077688659446</v>
      </c>
      <c r="AS324" s="4">
        <v>25136.5</v>
      </c>
      <c r="AT324" s="2">
        <v>33775.800000000003</v>
      </c>
      <c r="AU324" s="2">
        <v>389516.3</v>
      </c>
      <c r="AV324" s="2">
        <v>94497.5</v>
      </c>
      <c r="AW324" s="6">
        <f>SUM(AS324:AV324)/Variables!$E$3</f>
        <v>0.42987363320374666</v>
      </c>
      <c r="AX324" s="4">
        <v>20498.900000000001</v>
      </c>
      <c r="AY324" s="2">
        <v>28895.4</v>
      </c>
      <c r="AZ324" s="2">
        <v>358857.6</v>
      </c>
      <c r="BA324" s="2">
        <v>81663.600000000006</v>
      </c>
      <c r="BB324" s="6">
        <f>SUM(AX324:BA324)/Variables!$E$3</f>
        <v>0.38790132938503075</v>
      </c>
      <c r="BC324" s="12">
        <f t="shared" si="72"/>
        <v>19739.900000000001</v>
      </c>
      <c r="BD324" s="110">
        <f t="shared" si="72"/>
        <v>28813</v>
      </c>
      <c r="BE324" s="110">
        <f t="shared" si="72"/>
        <v>326942.59999999998</v>
      </c>
      <c r="BF324" s="110">
        <f t="shared" si="72"/>
        <v>80539.600000000006</v>
      </c>
      <c r="BG324" s="6">
        <f>SUM(BC324:BF324)/Variables!$E$3</f>
        <v>0.36107578048915667</v>
      </c>
      <c r="BH324" s="4">
        <v>20290.599999999999</v>
      </c>
      <c r="BI324">
        <v>28690.400000000001</v>
      </c>
      <c r="BJ324">
        <v>357449.1</v>
      </c>
      <c r="BK324">
        <v>79550.7</v>
      </c>
      <c r="BL324" s="6">
        <f>SUM(BH324:BK324)/Variables!$E$3</f>
        <v>0.38478594446511849</v>
      </c>
      <c r="BM324" s="110">
        <v>21432</v>
      </c>
      <c r="BN324" s="110">
        <v>30243.3</v>
      </c>
      <c r="BO324" s="110">
        <v>376435</v>
      </c>
      <c r="BP324" s="110">
        <v>81780.2</v>
      </c>
      <c r="BQ324" s="6">
        <f>SUM(BM324:BP324)/Variables!$E$3</f>
        <v>0.4037169732143564</v>
      </c>
      <c r="BS324" s="4">
        <v>322</v>
      </c>
      <c r="BT324" s="125">
        <f t="shared" si="73"/>
        <v>0</v>
      </c>
      <c r="BU324" s="125">
        <f t="shared" si="74"/>
        <v>2.3594802809206723E-4</v>
      </c>
      <c r="BV324" s="125">
        <f t="shared" si="75"/>
        <v>0</v>
      </c>
      <c r="BW324" s="125">
        <f t="shared" si="76"/>
        <v>0</v>
      </c>
      <c r="BX324" s="125">
        <f t="shared" si="77"/>
        <v>0</v>
      </c>
      <c r="BY324" s="125">
        <f t="shared" si="78"/>
        <v>0</v>
      </c>
      <c r="BZ324" s="125">
        <f t="shared" si="79"/>
        <v>0</v>
      </c>
      <c r="CA324" s="125">
        <f t="shared" si="80"/>
        <v>0</v>
      </c>
      <c r="CB324" s="125">
        <f t="shared" si="81"/>
        <v>0</v>
      </c>
      <c r="CC324" s="125">
        <f t="shared" si="82"/>
        <v>0</v>
      </c>
      <c r="CD324" s="125">
        <f t="shared" si="83"/>
        <v>0</v>
      </c>
      <c r="CE324" s="125">
        <f t="shared" ref="CE324:CE387" si="84">BL325</f>
        <v>0</v>
      </c>
      <c r="CF324" s="126">
        <f t="shared" ref="CF324:CF387" si="85">BQ325</f>
        <v>0</v>
      </c>
      <c r="CH324" s="4">
        <v>322</v>
      </c>
      <c r="CI324" s="129">
        <v>0</v>
      </c>
      <c r="CJ324" s="125">
        <v>0</v>
      </c>
      <c r="CK324" s="125">
        <v>0</v>
      </c>
      <c r="CL324" s="125">
        <v>0</v>
      </c>
      <c r="CM324" s="125">
        <v>0</v>
      </c>
      <c r="CN324" s="125">
        <v>0</v>
      </c>
      <c r="CO324" s="125">
        <v>0</v>
      </c>
      <c r="CP324" s="125">
        <v>0</v>
      </c>
      <c r="CQ324" s="125">
        <v>0</v>
      </c>
      <c r="CR324" s="125">
        <v>0</v>
      </c>
      <c r="CS324" s="125">
        <v>0</v>
      </c>
      <c r="CT324" s="125">
        <v>0</v>
      </c>
      <c r="CU324" s="126">
        <v>0</v>
      </c>
    </row>
    <row r="325" spans="1:99" x14ac:dyDescent="0.25">
      <c r="A325" t="s">
        <v>264</v>
      </c>
      <c r="B325" s="2" t="s">
        <v>2</v>
      </c>
      <c r="C325" s="1">
        <v>31016</v>
      </c>
      <c r="D325" s="19">
        <v>73.162499999999994</v>
      </c>
      <c r="E325" s="18">
        <v>0</v>
      </c>
      <c r="F325" s="19">
        <v>0</v>
      </c>
      <c r="G325" s="19">
        <v>0</v>
      </c>
      <c r="H325" s="19">
        <v>0</v>
      </c>
      <c r="I325" s="19">
        <f>SUM(E325:H325)/Variables!$E$3</f>
        <v>0</v>
      </c>
      <c r="J325" s="4">
        <v>0</v>
      </c>
      <c r="K325">
        <v>0</v>
      </c>
      <c r="L325">
        <v>298</v>
      </c>
      <c r="M325">
        <v>0</v>
      </c>
      <c r="N325" s="6">
        <f>SUM(J325:M325)/Variables!$E$3</f>
        <v>2.3594802809206723E-4</v>
      </c>
      <c r="O325" s="4">
        <v>0</v>
      </c>
      <c r="P325">
        <v>0</v>
      </c>
      <c r="Q325">
        <v>0</v>
      </c>
      <c r="R325">
        <v>0</v>
      </c>
      <c r="S325" s="6">
        <f>SUM(O325:R325)/Variables!$E$3</f>
        <v>0</v>
      </c>
      <c r="T325" s="4">
        <v>0</v>
      </c>
      <c r="U325">
        <v>0</v>
      </c>
      <c r="V325">
        <v>0</v>
      </c>
      <c r="W325">
        <v>0</v>
      </c>
      <c r="X325" s="6">
        <f>SUM(T325:W325)/Variables!$E$3</f>
        <v>0</v>
      </c>
      <c r="Y325" s="4">
        <v>0</v>
      </c>
      <c r="Z325">
        <v>0</v>
      </c>
      <c r="AA325">
        <v>0</v>
      </c>
      <c r="AB325">
        <v>0</v>
      </c>
      <c r="AC325" s="6">
        <f>SUM(Y325:AB325)/Variables!$E$3</f>
        <v>0</v>
      </c>
      <c r="AD325" s="4">
        <v>0</v>
      </c>
      <c r="AE325" s="2">
        <v>0</v>
      </c>
      <c r="AF325" s="2">
        <v>0</v>
      </c>
      <c r="AG325" s="2">
        <v>0</v>
      </c>
      <c r="AH325" s="6">
        <f>SUM(AD325:AG325)/Variables!$E$3</f>
        <v>0</v>
      </c>
      <c r="AI325" s="4">
        <v>0</v>
      </c>
      <c r="AJ325" s="2">
        <v>0</v>
      </c>
      <c r="AK325" s="2">
        <v>0</v>
      </c>
      <c r="AL325" s="2">
        <v>0</v>
      </c>
      <c r="AM325" s="6">
        <f>SUM(AI325:AL325)/Variables!$E$3</f>
        <v>0</v>
      </c>
      <c r="AN325" s="4">
        <v>0</v>
      </c>
      <c r="AO325" s="2">
        <v>0</v>
      </c>
      <c r="AP325" s="2">
        <v>0</v>
      </c>
      <c r="AQ325" s="2">
        <v>0</v>
      </c>
      <c r="AR325" s="6">
        <f>SUM(AN325:AQ325)/Variables!$E$3</f>
        <v>0</v>
      </c>
      <c r="AS325" s="4">
        <v>0</v>
      </c>
      <c r="AT325" s="2">
        <v>0</v>
      </c>
      <c r="AU325" s="2">
        <v>0</v>
      </c>
      <c r="AV325" s="2">
        <v>0</v>
      </c>
      <c r="AW325" s="6">
        <f>SUM(AS325:AV325)/Variables!$E$3</f>
        <v>0</v>
      </c>
      <c r="AX325" s="4">
        <v>0</v>
      </c>
      <c r="AY325" s="2">
        <v>0</v>
      </c>
      <c r="AZ325" s="2">
        <v>0</v>
      </c>
      <c r="BA325" s="2">
        <v>0</v>
      </c>
      <c r="BB325" s="6">
        <f>SUM(AX325:BA325)/Variables!$E$3</f>
        <v>0</v>
      </c>
      <c r="BC325" s="12">
        <f t="shared" ref="BC325:BF388" si="86">Y325</f>
        <v>0</v>
      </c>
      <c r="BD325" s="110">
        <f t="shared" si="86"/>
        <v>0</v>
      </c>
      <c r="BE325" s="110">
        <f t="shared" si="86"/>
        <v>0</v>
      </c>
      <c r="BF325" s="110">
        <f t="shared" si="86"/>
        <v>0</v>
      </c>
      <c r="BG325" s="6">
        <f>SUM(BC325:BF325)/Variables!$E$3</f>
        <v>0</v>
      </c>
      <c r="BH325" s="4">
        <v>0</v>
      </c>
      <c r="BI325">
        <v>0</v>
      </c>
      <c r="BJ325">
        <v>0</v>
      </c>
      <c r="BK325">
        <v>0</v>
      </c>
      <c r="BL325" s="6">
        <f>SUM(BH325:BK325)/Variables!$E$3</f>
        <v>0</v>
      </c>
      <c r="BM325" s="110">
        <v>0</v>
      </c>
      <c r="BN325" s="110">
        <v>0</v>
      </c>
      <c r="BO325" s="110">
        <v>0</v>
      </c>
      <c r="BP325" s="110">
        <v>0</v>
      </c>
      <c r="BQ325" s="6">
        <f>SUM(BM325:BP325)/Variables!$E$3</f>
        <v>0</v>
      </c>
      <c r="BS325" s="4">
        <v>323</v>
      </c>
      <c r="BT325" s="125">
        <f t="shared" si="73"/>
        <v>0</v>
      </c>
      <c r="BU325" s="125">
        <f t="shared" si="74"/>
        <v>0</v>
      </c>
      <c r="BV325" s="125">
        <f t="shared" si="75"/>
        <v>0</v>
      </c>
      <c r="BW325" s="125">
        <f t="shared" si="76"/>
        <v>0</v>
      </c>
      <c r="BX325" s="125">
        <f t="shared" si="77"/>
        <v>0</v>
      </c>
      <c r="BY325" s="125">
        <f t="shared" si="78"/>
        <v>0</v>
      </c>
      <c r="BZ325" s="125">
        <f t="shared" si="79"/>
        <v>0</v>
      </c>
      <c r="CA325" s="125">
        <f t="shared" si="80"/>
        <v>0</v>
      </c>
      <c r="CB325" s="125">
        <f t="shared" si="81"/>
        <v>0</v>
      </c>
      <c r="CC325" s="125">
        <f t="shared" si="82"/>
        <v>0</v>
      </c>
      <c r="CD325" s="125">
        <f t="shared" si="83"/>
        <v>0</v>
      </c>
      <c r="CE325" s="125">
        <f t="shared" si="84"/>
        <v>0</v>
      </c>
      <c r="CF325" s="126">
        <f t="shared" si="85"/>
        <v>0</v>
      </c>
      <c r="CH325" s="4">
        <v>323</v>
      </c>
      <c r="CI325" s="129">
        <v>0</v>
      </c>
      <c r="CJ325" s="125">
        <v>0</v>
      </c>
      <c r="CK325" s="125">
        <v>0</v>
      </c>
      <c r="CL325" s="125">
        <v>0</v>
      </c>
      <c r="CM325" s="125">
        <v>0</v>
      </c>
      <c r="CN325" s="125">
        <v>0</v>
      </c>
      <c r="CO325" s="125">
        <v>0</v>
      </c>
      <c r="CP325" s="125">
        <v>0</v>
      </c>
      <c r="CQ325" s="125">
        <v>0</v>
      </c>
      <c r="CR325" s="125">
        <v>0</v>
      </c>
      <c r="CS325" s="125">
        <v>0</v>
      </c>
      <c r="CT325" s="125">
        <v>0</v>
      </c>
      <c r="CU325" s="126">
        <v>0</v>
      </c>
    </row>
    <row r="326" spans="1:99" x14ac:dyDescent="0.25">
      <c r="A326" t="s">
        <v>265</v>
      </c>
      <c r="B326" s="2" t="s">
        <v>3</v>
      </c>
      <c r="C326" s="1">
        <v>31106</v>
      </c>
      <c r="D326" s="19">
        <v>18.725000000000001</v>
      </c>
      <c r="E326" s="18">
        <v>0</v>
      </c>
      <c r="F326" s="19">
        <v>0</v>
      </c>
      <c r="G326" s="19">
        <v>0</v>
      </c>
      <c r="H326" s="19">
        <v>0</v>
      </c>
      <c r="I326" s="19">
        <f>SUM(E326:H326)/Variables!$E$3</f>
        <v>0</v>
      </c>
      <c r="J326" s="4">
        <v>0</v>
      </c>
      <c r="K326">
        <v>0</v>
      </c>
      <c r="L326">
        <v>0</v>
      </c>
      <c r="M326">
        <v>0</v>
      </c>
      <c r="N326" s="6">
        <f>SUM(J326:M326)/Variables!$E$3</f>
        <v>0</v>
      </c>
      <c r="O326" s="4">
        <v>0</v>
      </c>
      <c r="P326">
        <v>0</v>
      </c>
      <c r="Q326">
        <v>0</v>
      </c>
      <c r="R326">
        <v>0</v>
      </c>
      <c r="S326" s="6">
        <f>SUM(O326:R326)/Variables!$E$3</f>
        <v>0</v>
      </c>
      <c r="T326" s="4">
        <v>0</v>
      </c>
      <c r="U326">
        <v>0</v>
      </c>
      <c r="V326">
        <v>0</v>
      </c>
      <c r="W326">
        <v>0</v>
      </c>
      <c r="X326" s="6">
        <f>SUM(T326:W326)/Variables!$E$3</f>
        <v>0</v>
      </c>
      <c r="Y326" s="4">
        <v>0</v>
      </c>
      <c r="Z326">
        <v>0</v>
      </c>
      <c r="AA326">
        <v>0</v>
      </c>
      <c r="AB326">
        <v>0</v>
      </c>
      <c r="AC326" s="6">
        <f>SUM(Y326:AB326)/Variables!$E$3</f>
        <v>0</v>
      </c>
      <c r="AD326" s="4">
        <v>0</v>
      </c>
      <c r="AE326" s="2">
        <v>0</v>
      </c>
      <c r="AF326" s="2">
        <v>0</v>
      </c>
      <c r="AG326" s="2">
        <v>0</v>
      </c>
      <c r="AH326" s="6">
        <f>SUM(AD326:AG326)/Variables!$E$3</f>
        <v>0</v>
      </c>
      <c r="AI326" s="4">
        <v>0</v>
      </c>
      <c r="AJ326" s="2">
        <v>0</v>
      </c>
      <c r="AK326" s="2">
        <v>0</v>
      </c>
      <c r="AL326" s="2">
        <v>0</v>
      </c>
      <c r="AM326" s="6">
        <f>SUM(AI326:AL326)/Variables!$E$3</f>
        <v>0</v>
      </c>
      <c r="AN326" s="4">
        <v>0</v>
      </c>
      <c r="AO326" s="2">
        <v>0</v>
      </c>
      <c r="AP326" s="2">
        <v>0</v>
      </c>
      <c r="AQ326" s="2">
        <v>0</v>
      </c>
      <c r="AR326" s="6">
        <f>SUM(AN326:AQ326)/Variables!$E$3</f>
        <v>0</v>
      </c>
      <c r="AS326" s="4">
        <v>0</v>
      </c>
      <c r="AT326" s="2">
        <v>0</v>
      </c>
      <c r="AU326" s="2">
        <v>0</v>
      </c>
      <c r="AV326" s="2">
        <v>0</v>
      </c>
      <c r="AW326" s="6">
        <f>SUM(AS326:AV326)/Variables!$E$3</f>
        <v>0</v>
      </c>
      <c r="AX326" s="4">
        <v>0</v>
      </c>
      <c r="AY326" s="2">
        <v>0</v>
      </c>
      <c r="AZ326" s="2">
        <v>0</v>
      </c>
      <c r="BA326" s="2">
        <v>0</v>
      </c>
      <c r="BB326" s="6">
        <f>SUM(AX326:BA326)/Variables!$E$3</f>
        <v>0</v>
      </c>
      <c r="BC326" s="12">
        <f t="shared" si="86"/>
        <v>0</v>
      </c>
      <c r="BD326" s="110">
        <f t="shared" si="86"/>
        <v>0</v>
      </c>
      <c r="BE326" s="110">
        <f t="shared" si="86"/>
        <v>0</v>
      </c>
      <c r="BF326" s="110">
        <f t="shared" si="86"/>
        <v>0</v>
      </c>
      <c r="BG326" s="6">
        <f>SUM(BC326:BF326)/Variables!$E$3</f>
        <v>0</v>
      </c>
      <c r="BH326" s="4">
        <v>0</v>
      </c>
      <c r="BI326">
        <v>0</v>
      </c>
      <c r="BJ326">
        <v>0</v>
      </c>
      <c r="BK326">
        <v>0</v>
      </c>
      <c r="BL326" s="6">
        <f>SUM(BH326:BK326)/Variables!$E$3</f>
        <v>0</v>
      </c>
      <c r="BM326" s="110">
        <v>0</v>
      </c>
      <c r="BN326" s="110">
        <v>0</v>
      </c>
      <c r="BO326" s="110">
        <v>0</v>
      </c>
      <c r="BP326" s="110">
        <v>0</v>
      </c>
      <c r="BQ326" s="6">
        <f>SUM(BM326:BP326)/Variables!$E$3</f>
        <v>0</v>
      </c>
      <c r="BS326" s="4">
        <v>324</v>
      </c>
      <c r="BT326" s="125">
        <f t="shared" si="73"/>
        <v>0</v>
      </c>
      <c r="BU326" s="125">
        <f t="shared" si="74"/>
        <v>0</v>
      </c>
      <c r="BV326" s="125">
        <f t="shared" si="75"/>
        <v>0</v>
      </c>
      <c r="BW326" s="125">
        <f t="shared" si="76"/>
        <v>0</v>
      </c>
      <c r="BX326" s="125">
        <f t="shared" si="77"/>
        <v>0</v>
      </c>
      <c r="BY326" s="125">
        <f t="shared" si="78"/>
        <v>0</v>
      </c>
      <c r="BZ326" s="125">
        <f t="shared" si="79"/>
        <v>0</v>
      </c>
      <c r="CA326" s="125">
        <f t="shared" si="80"/>
        <v>0</v>
      </c>
      <c r="CB326" s="125">
        <f t="shared" si="81"/>
        <v>0</v>
      </c>
      <c r="CC326" s="125">
        <f t="shared" si="82"/>
        <v>0</v>
      </c>
      <c r="CD326" s="125">
        <f t="shared" si="83"/>
        <v>0</v>
      </c>
      <c r="CE326" s="125">
        <f t="shared" si="84"/>
        <v>0</v>
      </c>
      <c r="CF326" s="126">
        <f t="shared" si="85"/>
        <v>0</v>
      </c>
      <c r="CH326" s="4">
        <v>324</v>
      </c>
      <c r="CI326" s="129">
        <v>0</v>
      </c>
      <c r="CJ326" s="125">
        <v>0</v>
      </c>
      <c r="CK326" s="125">
        <v>0</v>
      </c>
      <c r="CL326" s="125">
        <v>0</v>
      </c>
      <c r="CM326" s="125">
        <v>0</v>
      </c>
      <c r="CN326" s="125">
        <v>0</v>
      </c>
      <c r="CO326" s="125">
        <v>0</v>
      </c>
      <c r="CP326" s="125">
        <v>0</v>
      </c>
      <c r="CQ326" s="125">
        <v>0</v>
      </c>
      <c r="CR326" s="125">
        <v>0</v>
      </c>
      <c r="CS326" s="125">
        <v>0</v>
      </c>
      <c r="CT326" s="125">
        <v>0</v>
      </c>
      <c r="CU326" s="126">
        <v>0</v>
      </c>
    </row>
    <row r="327" spans="1:99" x14ac:dyDescent="0.25">
      <c r="A327" t="s">
        <v>265</v>
      </c>
      <c r="B327" s="2" t="s">
        <v>4</v>
      </c>
      <c r="C327" s="1">
        <v>31198</v>
      </c>
      <c r="D327" s="19">
        <v>19.25</v>
      </c>
      <c r="E327" s="18">
        <v>0</v>
      </c>
      <c r="F327" s="19">
        <v>0</v>
      </c>
      <c r="G327" s="19">
        <v>0</v>
      </c>
      <c r="H327" s="19">
        <v>0</v>
      </c>
      <c r="I327" s="19">
        <f>SUM(E327:H327)/Variables!$E$3</f>
        <v>0</v>
      </c>
      <c r="J327" s="4">
        <v>0</v>
      </c>
      <c r="K327">
        <v>0</v>
      </c>
      <c r="L327">
        <v>0</v>
      </c>
      <c r="M327">
        <v>0</v>
      </c>
      <c r="N327" s="6">
        <f>SUM(J327:M327)/Variables!$E$3</f>
        <v>0</v>
      </c>
      <c r="O327" s="4">
        <v>0</v>
      </c>
      <c r="P327">
        <v>0</v>
      </c>
      <c r="Q327">
        <v>0</v>
      </c>
      <c r="R327">
        <v>0</v>
      </c>
      <c r="S327" s="6">
        <f>SUM(O327:R327)/Variables!$E$3</f>
        <v>0</v>
      </c>
      <c r="T327" s="4">
        <v>0</v>
      </c>
      <c r="U327">
        <v>0</v>
      </c>
      <c r="V327">
        <v>0</v>
      </c>
      <c r="W327">
        <v>0</v>
      </c>
      <c r="X327" s="6">
        <f>SUM(T327:W327)/Variables!$E$3</f>
        <v>0</v>
      </c>
      <c r="Y327" s="4">
        <v>0</v>
      </c>
      <c r="Z327">
        <v>0</v>
      </c>
      <c r="AA327">
        <v>0</v>
      </c>
      <c r="AB327">
        <v>0</v>
      </c>
      <c r="AC327" s="6">
        <f>SUM(Y327:AB327)/Variables!$E$3</f>
        <v>0</v>
      </c>
      <c r="AD327" s="4">
        <v>0</v>
      </c>
      <c r="AE327" s="2">
        <v>0</v>
      </c>
      <c r="AF327" s="2">
        <v>0</v>
      </c>
      <c r="AG327" s="2">
        <v>0</v>
      </c>
      <c r="AH327" s="6">
        <f>SUM(AD327:AG327)/Variables!$E$3</f>
        <v>0</v>
      </c>
      <c r="AI327" s="4">
        <v>0</v>
      </c>
      <c r="AJ327" s="2">
        <v>0</v>
      </c>
      <c r="AK327" s="2">
        <v>0</v>
      </c>
      <c r="AL327" s="2">
        <v>0</v>
      </c>
      <c r="AM327" s="6">
        <f>SUM(AI327:AL327)/Variables!$E$3</f>
        <v>0</v>
      </c>
      <c r="AN327" s="4">
        <v>0</v>
      </c>
      <c r="AO327" s="2">
        <v>0</v>
      </c>
      <c r="AP327" s="2">
        <v>0</v>
      </c>
      <c r="AQ327" s="2">
        <v>0</v>
      </c>
      <c r="AR327" s="6">
        <f>SUM(AN327:AQ327)/Variables!$E$3</f>
        <v>0</v>
      </c>
      <c r="AS327" s="4">
        <v>0</v>
      </c>
      <c r="AT327" s="2">
        <v>0</v>
      </c>
      <c r="AU327" s="2">
        <v>0</v>
      </c>
      <c r="AV327" s="2">
        <v>0</v>
      </c>
      <c r="AW327" s="6">
        <f>SUM(AS327:AV327)/Variables!$E$3</f>
        <v>0</v>
      </c>
      <c r="AX327" s="4">
        <v>0</v>
      </c>
      <c r="AY327" s="2">
        <v>0</v>
      </c>
      <c r="AZ327" s="2">
        <v>0</v>
      </c>
      <c r="BA327" s="2">
        <v>0</v>
      </c>
      <c r="BB327" s="6">
        <f>SUM(AX327:BA327)/Variables!$E$3</f>
        <v>0</v>
      </c>
      <c r="BC327" s="12">
        <f t="shared" si="86"/>
        <v>0</v>
      </c>
      <c r="BD327" s="110">
        <f t="shared" si="86"/>
        <v>0</v>
      </c>
      <c r="BE327" s="110">
        <f t="shared" si="86"/>
        <v>0</v>
      </c>
      <c r="BF327" s="110">
        <f t="shared" si="86"/>
        <v>0</v>
      </c>
      <c r="BG327" s="6">
        <f>SUM(BC327:BF327)/Variables!$E$3</f>
        <v>0</v>
      </c>
      <c r="BH327" s="4">
        <v>0</v>
      </c>
      <c r="BI327">
        <v>0</v>
      </c>
      <c r="BJ327">
        <v>0</v>
      </c>
      <c r="BK327">
        <v>0</v>
      </c>
      <c r="BL327" s="6">
        <f>SUM(BH327:BK327)/Variables!$E$3</f>
        <v>0</v>
      </c>
      <c r="BM327" s="110">
        <v>0</v>
      </c>
      <c r="BN327" s="110">
        <v>0</v>
      </c>
      <c r="BO327" s="110">
        <v>0</v>
      </c>
      <c r="BP327" s="110">
        <v>0</v>
      </c>
      <c r="BQ327" s="6">
        <f>SUM(BM327:BP327)/Variables!$E$3</f>
        <v>0</v>
      </c>
      <c r="BS327" s="4">
        <v>325</v>
      </c>
      <c r="BT327" s="125">
        <f t="shared" ref="BT327:BT390" si="87">I328</f>
        <v>0</v>
      </c>
      <c r="BU327" s="125">
        <f t="shared" si="74"/>
        <v>0</v>
      </c>
      <c r="BV327" s="125">
        <f t="shared" si="75"/>
        <v>0</v>
      </c>
      <c r="BW327" s="125">
        <f t="shared" si="76"/>
        <v>0</v>
      </c>
      <c r="BX327" s="125">
        <f t="shared" si="77"/>
        <v>0</v>
      </c>
      <c r="BY327" s="125">
        <f t="shared" si="78"/>
        <v>0</v>
      </c>
      <c r="BZ327" s="125">
        <f t="shared" si="79"/>
        <v>0</v>
      </c>
      <c r="CA327" s="125">
        <f t="shared" si="80"/>
        <v>0</v>
      </c>
      <c r="CB327" s="125">
        <f t="shared" si="81"/>
        <v>0</v>
      </c>
      <c r="CC327" s="125">
        <f t="shared" si="82"/>
        <v>0</v>
      </c>
      <c r="CD327" s="125">
        <f t="shared" si="83"/>
        <v>0</v>
      </c>
      <c r="CE327" s="125">
        <f t="shared" si="84"/>
        <v>0</v>
      </c>
      <c r="CF327" s="126">
        <f t="shared" si="85"/>
        <v>0</v>
      </c>
      <c r="CH327" s="4">
        <v>325</v>
      </c>
      <c r="CI327" s="129">
        <v>0</v>
      </c>
      <c r="CJ327" s="125">
        <v>0</v>
      </c>
      <c r="CK327" s="125">
        <v>0</v>
      </c>
      <c r="CL327" s="125">
        <v>0</v>
      </c>
      <c r="CM327" s="125">
        <v>0</v>
      </c>
      <c r="CN327" s="125">
        <v>0</v>
      </c>
      <c r="CO327" s="125">
        <v>0</v>
      </c>
      <c r="CP327" s="125">
        <v>0</v>
      </c>
      <c r="CQ327" s="125">
        <v>0</v>
      </c>
      <c r="CR327" s="125">
        <v>0</v>
      </c>
      <c r="CS327" s="125">
        <v>0</v>
      </c>
      <c r="CT327" s="125">
        <v>0</v>
      </c>
      <c r="CU327" s="126">
        <v>0</v>
      </c>
    </row>
    <row r="328" spans="1:99" x14ac:dyDescent="0.25">
      <c r="A328" t="s">
        <v>265</v>
      </c>
      <c r="B328" s="2" t="s">
        <v>1</v>
      </c>
      <c r="C328" s="1">
        <v>31290</v>
      </c>
      <c r="D328" s="19">
        <v>81.957142857142898</v>
      </c>
      <c r="E328" s="18">
        <v>0</v>
      </c>
      <c r="F328" s="19">
        <v>0</v>
      </c>
      <c r="G328" s="19">
        <v>0</v>
      </c>
      <c r="H328" s="19">
        <v>0</v>
      </c>
      <c r="I328" s="19">
        <f>SUM(E328:H328)/Variables!$E$3</f>
        <v>0</v>
      </c>
      <c r="J328" s="4">
        <v>0</v>
      </c>
      <c r="K328">
        <v>0</v>
      </c>
      <c r="L328">
        <v>0</v>
      </c>
      <c r="M328">
        <v>0</v>
      </c>
      <c r="N328" s="6">
        <f>SUM(J328:M328)/Variables!$E$3</f>
        <v>0</v>
      </c>
      <c r="O328" s="4">
        <v>0</v>
      </c>
      <c r="P328">
        <v>0</v>
      </c>
      <c r="Q328">
        <v>0</v>
      </c>
      <c r="R328">
        <v>0</v>
      </c>
      <c r="S328" s="6">
        <f>SUM(O328:R328)/Variables!$E$3</f>
        <v>0</v>
      </c>
      <c r="T328" s="4">
        <v>0</v>
      </c>
      <c r="U328">
        <v>0</v>
      </c>
      <c r="V328">
        <v>0</v>
      </c>
      <c r="W328">
        <v>0</v>
      </c>
      <c r="X328" s="6">
        <f>SUM(T328:W328)/Variables!$E$3</f>
        <v>0</v>
      </c>
      <c r="Y328" s="4">
        <v>0</v>
      </c>
      <c r="Z328">
        <v>0</v>
      </c>
      <c r="AA328">
        <v>0</v>
      </c>
      <c r="AB328">
        <v>0</v>
      </c>
      <c r="AC328" s="6">
        <f>SUM(Y328:AB328)/Variables!$E$3</f>
        <v>0</v>
      </c>
      <c r="AD328" s="4">
        <v>0</v>
      </c>
      <c r="AE328" s="2">
        <v>0</v>
      </c>
      <c r="AF328" s="2">
        <v>0</v>
      </c>
      <c r="AG328" s="2">
        <v>0</v>
      </c>
      <c r="AH328" s="6">
        <f>SUM(AD328:AG328)/Variables!$E$3</f>
        <v>0</v>
      </c>
      <c r="AI328" s="4">
        <v>0</v>
      </c>
      <c r="AJ328" s="2">
        <v>0</v>
      </c>
      <c r="AK328" s="2">
        <v>0</v>
      </c>
      <c r="AL328" s="2">
        <v>0</v>
      </c>
      <c r="AM328" s="6">
        <f>SUM(AI328:AL328)/Variables!$E$3</f>
        <v>0</v>
      </c>
      <c r="AN328" s="4">
        <v>0</v>
      </c>
      <c r="AO328" s="2">
        <v>0</v>
      </c>
      <c r="AP328" s="2">
        <v>0</v>
      </c>
      <c r="AQ328" s="2">
        <v>0</v>
      </c>
      <c r="AR328" s="6">
        <f>SUM(AN328:AQ328)/Variables!$E$3</f>
        <v>0</v>
      </c>
      <c r="AS328" s="4">
        <v>0</v>
      </c>
      <c r="AT328" s="2">
        <v>0</v>
      </c>
      <c r="AU328" s="2">
        <v>0</v>
      </c>
      <c r="AV328" s="2">
        <v>0</v>
      </c>
      <c r="AW328" s="6">
        <f>SUM(AS328:AV328)/Variables!$E$3</f>
        <v>0</v>
      </c>
      <c r="AX328" s="4">
        <v>0</v>
      </c>
      <c r="AY328" s="2">
        <v>0</v>
      </c>
      <c r="AZ328" s="2">
        <v>0</v>
      </c>
      <c r="BA328" s="2">
        <v>0</v>
      </c>
      <c r="BB328" s="6">
        <f>SUM(AX328:BA328)/Variables!$E$3</f>
        <v>0</v>
      </c>
      <c r="BC328" s="12">
        <f t="shared" si="86"/>
        <v>0</v>
      </c>
      <c r="BD328" s="110">
        <f t="shared" si="86"/>
        <v>0</v>
      </c>
      <c r="BE328" s="110">
        <f t="shared" si="86"/>
        <v>0</v>
      </c>
      <c r="BF328" s="110">
        <f t="shared" si="86"/>
        <v>0</v>
      </c>
      <c r="BG328" s="6">
        <f>SUM(BC328:BF328)/Variables!$E$3</f>
        <v>0</v>
      </c>
      <c r="BH328" s="4">
        <v>0</v>
      </c>
      <c r="BI328">
        <v>0</v>
      </c>
      <c r="BJ328">
        <v>0</v>
      </c>
      <c r="BK328">
        <v>0</v>
      </c>
      <c r="BL328" s="6">
        <f>SUM(BH328:BK328)/Variables!$E$3</f>
        <v>0</v>
      </c>
      <c r="BM328" s="110">
        <v>0</v>
      </c>
      <c r="BN328" s="110">
        <v>0</v>
      </c>
      <c r="BO328" s="110">
        <v>0</v>
      </c>
      <c r="BP328" s="110">
        <v>0</v>
      </c>
      <c r="BQ328" s="6">
        <f>SUM(BM328:BP328)/Variables!$E$3</f>
        <v>0</v>
      </c>
      <c r="BS328" s="4">
        <v>326</v>
      </c>
      <c r="BT328" s="125">
        <f t="shared" si="87"/>
        <v>0</v>
      </c>
      <c r="BU328" s="125">
        <f t="shared" si="74"/>
        <v>0</v>
      </c>
      <c r="BV328" s="125">
        <f t="shared" si="75"/>
        <v>0</v>
      </c>
      <c r="BW328" s="125">
        <f t="shared" si="76"/>
        <v>0</v>
      </c>
      <c r="BX328" s="125">
        <f t="shared" si="77"/>
        <v>0</v>
      </c>
      <c r="BY328" s="125">
        <f t="shared" si="78"/>
        <v>0</v>
      </c>
      <c r="BZ328" s="125">
        <f t="shared" si="79"/>
        <v>0</v>
      </c>
      <c r="CA328" s="125">
        <f t="shared" si="80"/>
        <v>0</v>
      </c>
      <c r="CB328" s="125">
        <f t="shared" si="81"/>
        <v>0</v>
      </c>
      <c r="CC328" s="125">
        <f t="shared" si="82"/>
        <v>0</v>
      </c>
      <c r="CD328" s="125">
        <f t="shared" si="83"/>
        <v>0</v>
      </c>
      <c r="CE328" s="125">
        <f t="shared" si="84"/>
        <v>0</v>
      </c>
      <c r="CF328" s="126">
        <f t="shared" si="85"/>
        <v>0</v>
      </c>
      <c r="CH328" s="4">
        <v>326</v>
      </c>
      <c r="CI328" s="129">
        <v>0</v>
      </c>
      <c r="CJ328" s="125">
        <v>0</v>
      </c>
      <c r="CK328" s="125">
        <v>0</v>
      </c>
      <c r="CL328" s="125">
        <v>0</v>
      </c>
      <c r="CM328" s="125">
        <v>0</v>
      </c>
      <c r="CN328" s="125">
        <v>0</v>
      </c>
      <c r="CO328" s="125">
        <v>0</v>
      </c>
      <c r="CP328" s="125">
        <v>0</v>
      </c>
      <c r="CQ328" s="125">
        <v>0</v>
      </c>
      <c r="CR328" s="125">
        <v>0</v>
      </c>
      <c r="CS328" s="125">
        <v>0</v>
      </c>
      <c r="CT328" s="125">
        <v>0</v>
      </c>
      <c r="CU328" s="126">
        <v>0</v>
      </c>
    </row>
    <row r="329" spans="1:99" x14ac:dyDescent="0.25">
      <c r="A329" t="s">
        <v>265</v>
      </c>
      <c r="B329" s="2" t="s">
        <v>2</v>
      </c>
      <c r="C329" s="1">
        <v>31381</v>
      </c>
      <c r="D329" s="19">
        <v>120.908928571429</v>
      </c>
      <c r="E329" s="18">
        <v>0</v>
      </c>
      <c r="F329" s="19">
        <v>0</v>
      </c>
      <c r="G329" s="19">
        <v>0</v>
      </c>
      <c r="H329" s="19">
        <v>0</v>
      </c>
      <c r="I329" s="19">
        <f>SUM(E329:H329)/Variables!$E$3</f>
        <v>0</v>
      </c>
      <c r="J329" s="4">
        <v>0</v>
      </c>
      <c r="K329">
        <v>0</v>
      </c>
      <c r="L329">
        <v>0</v>
      </c>
      <c r="M329">
        <v>0</v>
      </c>
      <c r="N329" s="6">
        <f>SUM(J329:M329)/Variables!$E$3</f>
        <v>0</v>
      </c>
      <c r="O329" s="4">
        <v>0</v>
      </c>
      <c r="P329">
        <v>0</v>
      </c>
      <c r="Q329">
        <v>0</v>
      </c>
      <c r="R329">
        <v>0</v>
      </c>
      <c r="S329" s="6">
        <f>SUM(O329:R329)/Variables!$E$3</f>
        <v>0</v>
      </c>
      <c r="T329" s="4">
        <v>0</v>
      </c>
      <c r="U329">
        <v>0</v>
      </c>
      <c r="V329">
        <v>0</v>
      </c>
      <c r="W329">
        <v>0</v>
      </c>
      <c r="X329" s="6">
        <f>SUM(T329:W329)/Variables!$E$3</f>
        <v>0</v>
      </c>
      <c r="Y329" s="4">
        <v>0</v>
      </c>
      <c r="Z329">
        <v>0</v>
      </c>
      <c r="AA329">
        <v>0</v>
      </c>
      <c r="AB329">
        <v>0</v>
      </c>
      <c r="AC329" s="6">
        <f>SUM(Y329:AB329)/Variables!$E$3</f>
        <v>0</v>
      </c>
      <c r="AD329" s="4">
        <v>0</v>
      </c>
      <c r="AE329" s="2">
        <v>0</v>
      </c>
      <c r="AF329" s="2">
        <v>0</v>
      </c>
      <c r="AG329" s="2">
        <v>0</v>
      </c>
      <c r="AH329" s="6">
        <f>SUM(AD329:AG329)/Variables!$E$3</f>
        <v>0</v>
      </c>
      <c r="AI329" s="4">
        <v>0</v>
      </c>
      <c r="AJ329" s="2">
        <v>0</v>
      </c>
      <c r="AK329" s="2">
        <v>0</v>
      </c>
      <c r="AL329" s="2">
        <v>0</v>
      </c>
      <c r="AM329" s="6">
        <f>SUM(AI329:AL329)/Variables!$E$3</f>
        <v>0</v>
      </c>
      <c r="AN329" s="4">
        <v>0</v>
      </c>
      <c r="AO329" s="2">
        <v>0</v>
      </c>
      <c r="AP329" s="2">
        <v>0</v>
      </c>
      <c r="AQ329" s="2">
        <v>0</v>
      </c>
      <c r="AR329" s="6">
        <f>SUM(AN329:AQ329)/Variables!$E$3</f>
        <v>0</v>
      </c>
      <c r="AS329" s="4">
        <v>0</v>
      </c>
      <c r="AT329" s="2">
        <v>0</v>
      </c>
      <c r="AU329" s="2">
        <v>0</v>
      </c>
      <c r="AV329" s="2">
        <v>0</v>
      </c>
      <c r="AW329" s="6">
        <f>SUM(AS329:AV329)/Variables!$E$3</f>
        <v>0</v>
      </c>
      <c r="AX329" s="4">
        <v>0</v>
      </c>
      <c r="AY329" s="2">
        <v>0</v>
      </c>
      <c r="AZ329" s="2">
        <v>0</v>
      </c>
      <c r="BA329" s="2">
        <v>0</v>
      </c>
      <c r="BB329" s="6">
        <f>SUM(AX329:BA329)/Variables!$E$3</f>
        <v>0</v>
      </c>
      <c r="BC329" s="12">
        <f t="shared" si="86"/>
        <v>0</v>
      </c>
      <c r="BD329" s="110">
        <f t="shared" si="86"/>
        <v>0</v>
      </c>
      <c r="BE329" s="110">
        <f t="shared" si="86"/>
        <v>0</v>
      </c>
      <c r="BF329" s="110">
        <f t="shared" si="86"/>
        <v>0</v>
      </c>
      <c r="BG329" s="6">
        <f>SUM(BC329:BF329)/Variables!$E$3</f>
        <v>0</v>
      </c>
      <c r="BH329" s="4">
        <v>0</v>
      </c>
      <c r="BI329">
        <v>0</v>
      </c>
      <c r="BJ329">
        <v>0</v>
      </c>
      <c r="BK329">
        <v>0</v>
      </c>
      <c r="BL329" s="6">
        <f>SUM(BH329:BK329)/Variables!$E$3</f>
        <v>0</v>
      </c>
      <c r="BM329" s="110">
        <v>0</v>
      </c>
      <c r="BN329" s="110">
        <v>0</v>
      </c>
      <c r="BO329" s="110">
        <v>0</v>
      </c>
      <c r="BP329" s="110">
        <v>0</v>
      </c>
      <c r="BQ329" s="6">
        <f>SUM(BM329:BP329)/Variables!$E$3</f>
        <v>0</v>
      </c>
      <c r="BS329" s="4">
        <v>327</v>
      </c>
      <c r="BT329" s="125">
        <f t="shared" si="87"/>
        <v>0</v>
      </c>
      <c r="BU329" s="125">
        <f t="shared" si="74"/>
        <v>0</v>
      </c>
      <c r="BV329" s="125">
        <f t="shared" si="75"/>
        <v>0</v>
      </c>
      <c r="BW329" s="125">
        <f t="shared" si="76"/>
        <v>0</v>
      </c>
      <c r="BX329" s="125">
        <f t="shared" si="77"/>
        <v>0</v>
      </c>
      <c r="BY329" s="125">
        <f t="shared" si="78"/>
        <v>0</v>
      </c>
      <c r="BZ329" s="125">
        <f t="shared" si="79"/>
        <v>0</v>
      </c>
      <c r="CA329" s="125">
        <f t="shared" si="80"/>
        <v>0</v>
      </c>
      <c r="CB329" s="125">
        <f t="shared" si="81"/>
        <v>0</v>
      </c>
      <c r="CC329" s="125">
        <f t="shared" si="82"/>
        <v>0</v>
      </c>
      <c r="CD329" s="125">
        <f t="shared" si="83"/>
        <v>0</v>
      </c>
      <c r="CE329" s="125">
        <f t="shared" si="84"/>
        <v>0</v>
      </c>
      <c r="CF329" s="126">
        <f t="shared" si="85"/>
        <v>0</v>
      </c>
      <c r="CH329" s="4">
        <v>327</v>
      </c>
      <c r="CI329" s="129">
        <v>0</v>
      </c>
      <c r="CJ329" s="125">
        <v>0</v>
      </c>
      <c r="CK329" s="125">
        <v>0</v>
      </c>
      <c r="CL329" s="125">
        <v>0</v>
      </c>
      <c r="CM329" s="125">
        <v>0</v>
      </c>
      <c r="CN329" s="125">
        <v>0</v>
      </c>
      <c r="CO329" s="125">
        <v>0</v>
      </c>
      <c r="CP329" s="125">
        <v>0</v>
      </c>
      <c r="CQ329" s="125">
        <v>0</v>
      </c>
      <c r="CR329" s="125">
        <v>0</v>
      </c>
      <c r="CS329" s="125">
        <v>0</v>
      </c>
      <c r="CT329" s="125">
        <v>0</v>
      </c>
      <c r="CU329" s="126">
        <v>0</v>
      </c>
    </row>
    <row r="330" spans="1:99" x14ac:dyDescent="0.25">
      <c r="A330" t="s">
        <v>266</v>
      </c>
      <c r="B330" s="2" t="s">
        <v>3</v>
      </c>
      <c r="C330" s="1">
        <v>31471</v>
      </c>
      <c r="D330" s="19">
        <v>65.355357142857201</v>
      </c>
      <c r="E330" s="18">
        <v>0</v>
      </c>
      <c r="F330" s="19">
        <v>0</v>
      </c>
      <c r="G330" s="19">
        <v>0</v>
      </c>
      <c r="H330" s="19">
        <v>0</v>
      </c>
      <c r="I330" s="19">
        <f>SUM(E330:H330)/Variables!$E$3</f>
        <v>0</v>
      </c>
      <c r="J330" s="4">
        <v>0</v>
      </c>
      <c r="K330">
        <v>0</v>
      </c>
      <c r="L330">
        <v>0</v>
      </c>
      <c r="M330">
        <v>0</v>
      </c>
      <c r="N330" s="6">
        <f>SUM(J330:M330)/Variables!$E$3</f>
        <v>0</v>
      </c>
      <c r="O330" s="4">
        <v>0</v>
      </c>
      <c r="P330">
        <v>0</v>
      </c>
      <c r="Q330">
        <v>0</v>
      </c>
      <c r="R330">
        <v>0</v>
      </c>
      <c r="S330" s="6">
        <f>SUM(O330:R330)/Variables!$E$3</f>
        <v>0</v>
      </c>
      <c r="T330" s="4">
        <v>0</v>
      </c>
      <c r="U330">
        <v>0</v>
      </c>
      <c r="V330">
        <v>0</v>
      </c>
      <c r="W330">
        <v>0</v>
      </c>
      <c r="X330" s="6">
        <f>SUM(T330:W330)/Variables!$E$3</f>
        <v>0</v>
      </c>
      <c r="Y330" s="4">
        <v>0</v>
      </c>
      <c r="Z330">
        <v>0</v>
      </c>
      <c r="AA330">
        <v>0</v>
      </c>
      <c r="AB330">
        <v>0</v>
      </c>
      <c r="AC330" s="6">
        <f>SUM(Y330:AB330)/Variables!$E$3</f>
        <v>0</v>
      </c>
      <c r="AD330" s="4">
        <v>0</v>
      </c>
      <c r="AE330" s="2">
        <v>0</v>
      </c>
      <c r="AF330" s="2">
        <v>0</v>
      </c>
      <c r="AG330" s="2">
        <v>0</v>
      </c>
      <c r="AH330" s="6">
        <f>SUM(AD330:AG330)/Variables!$E$3</f>
        <v>0</v>
      </c>
      <c r="AI330" s="4">
        <v>0</v>
      </c>
      <c r="AJ330" s="2">
        <v>0</v>
      </c>
      <c r="AK330" s="2">
        <v>0</v>
      </c>
      <c r="AL330" s="2">
        <v>0</v>
      </c>
      <c r="AM330" s="6">
        <f>SUM(AI330:AL330)/Variables!$E$3</f>
        <v>0</v>
      </c>
      <c r="AN330" s="4">
        <v>0</v>
      </c>
      <c r="AO330" s="2">
        <v>0</v>
      </c>
      <c r="AP330" s="2">
        <v>0</v>
      </c>
      <c r="AQ330" s="2">
        <v>0</v>
      </c>
      <c r="AR330" s="6">
        <f>SUM(AN330:AQ330)/Variables!$E$3</f>
        <v>0</v>
      </c>
      <c r="AS330" s="4">
        <v>0</v>
      </c>
      <c r="AT330" s="2">
        <v>0</v>
      </c>
      <c r="AU330" s="2">
        <v>0</v>
      </c>
      <c r="AV330" s="2">
        <v>0</v>
      </c>
      <c r="AW330" s="6">
        <f>SUM(AS330:AV330)/Variables!$E$3</f>
        <v>0</v>
      </c>
      <c r="AX330" s="4">
        <v>0</v>
      </c>
      <c r="AY330" s="2">
        <v>0</v>
      </c>
      <c r="AZ330" s="2">
        <v>0</v>
      </c>
      <c r="BA330" s="2">
        <v>0</v>
      </c>
      <c r="BB330" s="6">
        <f>SUM(AX330:BA330)/Variables!$E$3</f>
        <v>0</v>
      </c>
      <c r="BC330" s="12">
        <f t="shared" si="86"/>
        <v>0</v>
      </c>
      <c r="BD330" s="110">
        <f t="shared" si="86"/>
        <v>0</v>
      </c>
      <c r="BE330" s="110">
        <f t="shared" si="86"/>
        <v>0</v>
      </c>
      <c r="BF330" s="110">
        <f t="shared" si="86"/>
        <v>0</v>
      </c>
      <c r="BG330" s="6">
        <f>SUM(BC330:BF330)/Variables!$E$3</f>
        <v>0</v>
      </c>
      <c r="BH330" s="4">
        <v>0</v>
      </c>
      <c r="BI330">
        <v>0</v>
      </c>
      <c r="BJ330">
        <v>0</v>
      </c>
      <c r="BK330">
        <v>0</v>
      </c>
      <c r="BL330" s="6">
        <f>SUM(BH330:BK330)/Variables!$E$3</f>
        <v>0</v>
      </c>
      <c r="BM330" s="110">
        <v>0</v>
      </c>
      <c r="BN330" s="110">
        <v>0</v>
      </c>
      <c r="BO330" s="110">
        <v>0</v>
      </c>
      <c r="BP330" s="110">
        <v>0</v>
      </c>
      <c r="BQ330" s="6">
        <f>SUM(BM330:BP330)/Variables!$E$3</f>
        <v>0</v>
      </c>
      <c r="BS330" s="4">
        <v>328</v>
      </c>
      <c r="BT330" s="125">
        <f t="shared" si="87"/>
        <v>0</v>
      </c>
      <c r="BU330" s="125">
        <f t="shared" si="74"/>
        <v>0</v>
      </c>
      <c r="BV330" s="125">
        <f t="shared" si="75"/>
        <v>0</v>
      </c>
      <c r="BW330" s="125">
        <f t="shared" si="76"/>
        <v>0</v>
      </c>
      <c r="BX330" s="125">
        <f t="shared" si="77"/>
        <v>0</v>
      </c>
      <c r="BY330" s="125">
        <f t="shared" si="78"/>
        <v>0</v>
      </c>
      <c r="BZ330" s="125">
        <f t="shared" si="79"/>
        <v>0</v>
      </c>
      <c r="CA330" s="125">
        <f t="shared" si="80"/>
        <v>0</v>
      </c>
      <c r="CB330" s="125">
        <f t="shared" si="81"/>
        <v>0</v>
      </c>
      <c r="CC330" s="125">
        <f t="shared" si="82"/>
        <v>0</v>
      </c>
      <c r="CD330" s="125">
        <f t="shared" si="83"/>
        <v>0</v>
      </c>
      <c r="CE330" s="125">
        <f t="shared" si="84"/>
        <v>0</v>
      </c>
      <c r="CF330" s="126">
        <f t="shared" si="85"/>
        <v>0</v>
      </c>
      <c r="CH330" s="4">
        <v>328</v>
      </c>
      <c r="CI330" s="129">
        <v>0</v>
      </c>
      <c r="CJ330" s="125">
        <v>0</v>
      </c>
      <c r="CK330" s="125">
        <v>0</v>
      </c>
      <c r="CL330" s="125">
        <v>0</v>
      </c>
      <c r="CM330" s="125">
        <v>0</v>
      </c>
      <c r="CN330" s="125">
        <v>0</v>
      </c>
      <c r="CO330" s="125">
        <v>0</v>
      </c>
      <c r="CP330" s="125">
        <v>0</v>
      </c>
      <c r="CQ330" s="125">
        <v>0</v>
      </c>
      <c r="CR330" s="125">
        <v>0</v>
      </c>
      <c r="CS330" s="125">
        <v>0</v>
      </c>
      <c r="CT330" s="125">
        <v>0</v>
      </c>
      <c r="CU330" s="126">
        <v>0</v>
      </c>
    </row>
    <row r="331" spans="1:99" x14ac:dyDescent="0.25">
      <c r="A331" t="s">
        <v>266</v>
      </c>
      <c r="B331" s="2" t="s">
        <v>4</v>
      </c>
      <c r="C331" s="1">
        <v>31563</v>
      </c>
      <c r="D331" s="19">
        <v>45.25</v>
      </c>
      <c r="E331" s="18">
        <v>0</v>
      </c>
      <c r="F331" s="19">
        <v>0</v>
      </c>
      <c r="G331" s="19">
        <v>0</v>
      </c>
      <c r="H331" s="19">
        <v>0</v>
      </c>
      <c r="I331" s="19">
        <f>SUM(E331:H331)/Variables!$E$3</f>
        <v>0</v>
      </c>
      <c r="J331" s="4">
        <v>0</v>
      </c>
      <c r="K331">
        <v>0</v>
      </c>
      <c r="L331">
        <v>0</v>
      </c>
      <c r="M331">
        <v>0</v>
      </c>
      <c r="N331" s="6">
        <f>SUM(J331:M331)/Variables!$E$3</f>
        <v>0</v>
      </c>
      <c r="O331" s="4">
        <v>0</v>
      </c>
      <c r="P331">
        <v>0</v>
      </c>
      <c r="Q331">
        <v>0</v>
      </c>
      <c r="R331">
        <v>0</v>
      </c>
      <c r="S331" s="6">
        <f>SUM(O331:R331)/Variables!$E$3</f>
        <v>0</v>
      </c>
      <c r="T331" s="4">
        <v>0</v>
      </c>
      <c r="U331">
        <v>0</v>
      </c>
      <c r="V331">
        <v>0</v>
      </c>
      <c r="W331">
        <v>0</v>
      </c>
      <c r="X331" s="6">
        <f>SUM(T331:W331)/Variables!$E$3</f>
        <v>0</v>
      </c>
      <c r="Y331" s="4">
        <v>0</v>
      </c>
      <c r="Z331">
        <v>0</v>
      </c>
      <c r="AA331">
        <v>0</v>
      </c>
      <c r="AB331">
        <v>0</v>
      </c>
      <c r="AC331" s="6">
        <f>SUM(Y331:AB331)/Variables!$E$3</f>
        <v>0</v>
      </c>
      <c r="AD331" s="4">
        <v>0</v>
      </c>
      <c r="AE331" s="2">
        <v>0</v>
      </c>
      <c r="AF331" s="2">
        <v>0</v>
      </c>
      <c r="AG331" s="2">
        <v>0</v>
      </c>
      <c r="AH331" s="6">
        <f>SUM(AD331:AG331)/Variables!$E$3</f>
        <v>0</v>
      </c>
      <c r="AI331" s="4">
        <v>0</v>
      </c>
      <c r="AJ331" s="2">
        <v>0</v>
      </c>
      <c r="AK331" s="2">
        <v>0</v>
      </c>
      <c r="AL331" s="2">
        <v>0</v>
      </c>
      <c r="AM331" s="6">
        <f>SUM(AI331:AL331)/Variables!$E$3</f>
        <v>0</v>
      </c>
      <c r="AN331" s="4">
        <v>0</v>
      </c>
      <c r="AO331" s="2">
        <v>0</v>
      </c>
      <c r="AP331" s="2">
        <v>0</v>
      </c>
      <c r="AQ331" s="2">
        <v>0</v>
      </c>
      <c r="AR331" s="6">
        <f>SUM(AN331:AQ331)/Variables!$E$3</f>
        <v>0</v>
      </c>
      <c r="AS331" s="4">
        <v>0</v>
      </c>
      <c r="AT331" s="2">
        <v>0</v>
      </c>
      <c r="AU331" s="2">
        <v>0</v>
      </c>
      <c r="AV331" s="2">
        <v>0</v>
      </c>
      <c r="AW331" s="6">
        <f>SUM(AS331:AV331)/Variables!$E$3</f>
        <v>0</v>
      </c>
      <c r="AX331" s="4">
        <v>0</v>
      </c>
      <c r="AY331" s="2">
        <v>0</v>
      </c>
      <c r="AZ331" s="2">
        <v>0</v>
      </c>
      <c r="BA331" s="2">
        <v>0</v>
      </c>
      <c r="BB331" s="6">
        <f>SUM(AX331:BA331)/Variables!$E$3</f>
        <v>0</v>
      </c>
      <c r="BC331" s="12">
        <f t="shared" si="86"/>
        <v>0</v>
      </c>
      <c r="BD331" s="110">
        <f t="shared" si="86"/>
        <v>0</v>
      </c>
      <c r="BE331" s="110">
        <f t="shared" si="86"/>
        <v>0</v>
      </c>
      <c r="BF331" s="110">
        <f t="shared" si="86"/>
        <v>0</v>
      </c>
      <c r="BG331" s="6">
        <f>SUM(BC331:BF331)/Variables!$E$3</f>
        <v>0</v>
      </c>
      <c r="BH331" s="4">
        <v>0</v>
      </c>
      <c r="BI331">
        <v>0</v>
      </c>
      <c r="BJ331">
        <v>0</v>
      </c>
      <c r="BK331">
        <v>0</v>
      </c>
      <c r="BL331" s="6">
        <f>SUM(BH331:BK331)/Variables!$E$3</f>
        <v>0</v>
      </c>
      <c r="BM331" s="110">
        <v>0</v>
      </c>
      <c r="BN331" s="110">
        <v>0</v>
      </c>
      <c r="BO331" s="110">
        <v>0</v>
      </c>
      <c r="BP331" s="110">
        <v>0</v>
      </c>
      <c r="BQ331" s="6">
        <f>SUM(BM331:BP331)/Variables!$E$3</f>
        <v>0</v>
      </c>
      <c r="BS331" s="4">
        <v>329</v>
      </c>
      <c r="BT331" s="125">
        <f t="shared" si="87"/>
        <v>0</v>
      </c>
      <c r="BU331" s="125">
        <f t="shared" si="74"/>
        <v>0</v>
      </c>
      <c r="BV331" s="125">
        <f t="shared" si="75"/>
        <v>0</v>
      </c>
      <c r="BW331" s="125">
        <f t="shared" si="76"/>
        <v>0</v>
      </c>
      <c r="BX331" s="125">
        <f t="shared" si="77"/>
        <v>0</v>
      </c>
      <c r="BY331" s="125">
        <f t="shared" si="78"/>
        <v>0</v>
      </c>
      <c r="BZ331" s="125">
        <f t="shared" si="79"/>
        <v>0</v>
      </c>
      <c r="CA331" s="125">
        <f t="shared" si="80"/>
        <v>0</v>
      </c>
      <c r="CB331" s="125">
        <f t="shared" si="81"/>
        <v>0</v>
      </c>
      <c r="CC331" s="125">
        <f t="shared" si="82"/>
        <v>0</v>
      </c>
      <c r="CD331" s="125">
        <f t="shared" si="83"/>
        <v>0</v>
      </c>
      <c r="CE331" s="125">
        <f t="shared" si="84"/>
        <v>0</v>
      </c>
      <c r="CF331" s="126">
        <f t="shared" si="85"/>
        <v>0</v>
      </c>
      <c r="CH331" s="4">
        <v>329</v>
      </c>
      <c r="CI331" s="129">
        <v>0</v>
      </c>
      <c r="CJ331" s="125">
        <v>0</v>
      </c>
      <c r="CK331" s="125">
        <v>0</v>
      </c>
      <c r="CL331" s="125">
        <v>0</v>
      </c>
      <c r="CM331" s="125">
        <v>0</v>
      </c>
      <c r="CN331" s="125">
        <v>0</v>
      </c>
      <c r="CO331" s="125">
        <v>0</v>
      </c>
      <c r="CP331" s="125">
        <v>0</v>
      </c>
      <c r="CQ331" s="125">
        <v>0</v>
      </c>
      <c r="CR331" s="125">
        <v>0</v>
      </c>
      <c r="CS331" s="125">
        <v>0</v>
      </c>
      <c r="CT331" s="125">
        <v>0</v>
      </c>
      <c r="CU331" s="126">
        <v>0</v>
      </c>
    </row>
    <row r="332" spans="1:99" x14ac:dyDescent="0.25">
      <c r="A332" t="s">
        <v>266</v>
      </c>
      <c r="B332" s="2" t="s">
        <v>1</v>
      </c>
      <c r="C332" s="1">
        <v>31655</v>
      </c>
      <c r="D332" s="19">
        <v>112.221428571429</v>
      </c>
      <c r="E332" s="18">
        <v>0</v>
      </c>
      <c r="F332" s="19">
        <v>0</v>
      </c>
      <c r="G332" s="19">
        <v>0</v>
      </c>
      <c r="H332" s="19">
        <v>0</v>
      </c>
      <c r="I332" s="19">
        <f>SUM(E332:H332)/Variables!$E$3</f>
        <v>0</v>
      </c>
      <c r="J332" s="4">
        <v>0</v>
      </c>
      <c r="K332">
        <v>0</v>
      </c>
      <c r="L332">
        <v>0</v>
      </c>
      <c r="M332">
        <v>0</v>
      </c>
      <c r="N332" s="6">
        <f>SUM(J332:M332)/Variables!$E$3</f>
        <v>0</v>
      </c>
      <c r="O332" s="4">
        <v>0</v>
      </c>
      <c r="P332">
        <v>0</v>
      </c>
      <c r="Q332">
        <v>0</v>
      </c>
      <c r="R332">
        <v>0</v>
      </c>
      <c r="S332" s="6">
        <f>SUM(O332:R332)/Variables!$E$3</f>
        <v>0</v>
      </c>
      <c r="T332" s="4">
        <v>0</v>
      </c>
      <c r="U332">
        <v>0</v>
      </c>
      <c r="V332">
        <v>0</v>
      </c>
      <c r="W332">
        <v>0</v>
      </c>
      <c r="X332" s="6">
        <f>SUM(T332:W332)/Variables!$E$3</f>
        <v>0</v>
      </c>
      <c r="Y332" s="4">
        <v>0</v>
      </c>
      <c r="Z332">
        <v>0</v>
      </c>
      <c r="AA332">
        <v>0</v>
      </c>
      <c r="AB332">
        <v>0</v>
      </c>
      <c r="AC332" s="6">
        <f>SUM(Y332:AB332)/Variables!$E$3</f>
        <v>0</v>
      </c>
      <c r="AD332" s="4">
        <v>0</v>
      </c>
      <c r="AE332" s="2">
        <v>0</v>
      </c>
      <c r="AF332" s="2">
        <v>0</v>
      </c>
      <c r="AG332" s="2">
        <v>0</v>
      </c>
      <c r="AH332" s="6">
        <f>SUM(AD332:AG332)/Variables!$E$3</f>
        <v>0</v>
      </c>
      <c r="AI332" s="4">
        <v>0</v>
      </c>
      <c r="AJ332" s="2">
        <v>0</v>
      </c>
      <c r="AK332" s="2">
        <v>0</v>
      </c>
      <c r="AL332" s="2">
        <v>0</v>
      </c>
      <c r="AM332" s="6">
        <f>SUM(AI332:AL332)/Variables!$E$3</f>
        <v>0</v>
      </c>
      <c r="AN332" s="4">
        <v>0</v>
      </c>
      <c r="AO332" s="2">
        <v>0</v>
      </c>
      <c r="AP332" s="2">
        <v>0</v>
      </c>
      <c r="AQ332" s="2">
        <v>0</v>
      </c>
      <c r="AR332" s="6">
        <f>SUM(AN332:AQ332)/Variables!$E$3</f>
        <v>0</v>
      </c>
      <c r="AS332" s="4">
        <v>0</v>
      </c>
      <c r="AT332" s="2">
        <v>0</v>
      </c>
      <c r="AU332" s="2">
        <v>0</v>
      </c>
      <c r="AV332" s="2">
        <v>0</v>
      </c>
      <c r="AW332" s="6">
        <f>SUM(AS332:AV332)/Variables!$E$3</f>
        <v>0</v>
      </c>
      <c r="AX332" s="4">
        <v>0</v>
      </c>
      <c r="AY332" s="2">
        <v>0</v>
      </c>
      <c r="AZ332" s="2">
        <v>0</v>
      </c>
      <c r="BA332" s="2">
        <v>0</v>
      </c>
      <c r="BB332" s="6">
        <f>SUM(AX332:BA332)/Variables!$E$3</f>
        <v>0</v>
      </c>
      <c r="BC332" s="12">
        <f t="shared" si="86"/>
        <v>0</v>
      </c>
      <c r="BD332" s="110">
        <f t="shared" si="86"/>
        <v>0</v>
      </c>
      <c r="BE332" s="110">
        <f t="shared" si="86"/>
        <v>0</v>
      </c>
      <c r="BF332" s="110">
        <f t="shared" si="86"/>
        <v>0</v>
      </c>
      <c r="BG332" s="6">
        <f>SUM(BC332:BF332)/Variables!$E$3</f>
        <v>0</v>
      </c>
      <c r="BH332" s="4">
        <v>0</v>
      </c>
      <c r="BI332">
        <v>0</v>
      </c>
      <c r="BJ332">
        <v>0</v>
      </c>
      <c r="BK332">
        <v>0</v>
      </c>
      <c r="BL332" s="6">
        <f>SUM(BH332:BK332)/Variables!$E$3</f>
        <v>0</v>
      </c>
      <c r="BM332" s="110">
        <v>0</v>
      </c>
      <c r="BN332" s="110">
        <v>0</v>
      </c>
      <c r="BO332" s="110">
        <v>0</v>
      </c>
      <c r="BP332" s="110">
        <v>0</v>
      </c>
      <c r="BQ332" s="6">
        <f>SUM(BM332:BP332)/Variables!$E$3</f>
        <v>0</v>
      </c>
      <c r="BS332" s="4">
        <v>330</v>
      </c>
      <c r="BT332" s="125">
        <f t="shared" si="87"/>
        <v>0</v>
      </c>
      <c r="BU332" s="125">
        <f t="shared" si="74"/>
        <v>0</v>
      </c>
      <c r="BV332" s="125">
        <f t="shared" si="75"/>
        <v>0</v>
      </c>
      <c r="BW332" s="125">
        <f t="shared" si="76"/>
        <v>0</v>
      </c>
      <c r="BX332" s="125">
        <f t="shared" si="77"/>
        <v>0</v>
      </c>
      <c r="BY332" s="125">
        <f t="shared" si="78"/>
        <v>0</v>
      </c>
      <c r="BZ332" s="125">
        <f t="shared" si="79"/>
        <v>0</v>
      </c>
      <c r="CA332" s="125">
        <f t="shared" si="80"/>
        <v>0</v>
      </c>
      <c r="CB332" s="125">
        <f t="shared" si="81"/>
        <v>0</v>
      </c>
      <c r="CC332" s="125">
        <f t="shared" si="82"/>
        <v>0</v>
      </c>
      <c r="CD332" s="125">
        <f t="shared" si="83"/>
        <v>0</v>
      </c>
      <c r="CE332" s="125">
        <f t="shared" si="84"/>
        <v>0</v>
      </c>
      <c r="CF332" s="126">
        <f t="shared" si="85"/>
        <v>0</v>
      </c>
      <c r="CH332" s="4">
        <v>330</v>
      </c>
      <c r="CI332" s="129">
        <v>0</v>
      </c>
      <c r="CJ332" s="125">
        <v>0</v>
      </c>
      <c r="CK332" s="125">
        <v>0</v>
      </c>
      <c r="CL332" s="125">
        <v>0</v>
      </c>
      <c r="CM332" s="125">
        <v>0</v>
      </c>
      <c r="CN332" s="125">
        <v>0</v>
      </c>
      <c r="CO332" s="125">
        <v>0</v>
      </c>
      <c r="CP332" s="125">
        <v>0</v>
      </c>
      <c r="CQ332" s="125">
        <v>0</v>
      </c>
      <c r="CR332" s="125">
        <v>0</v>
      </c>
      <c r="CS332" s="125">
        <v>0</v>
      </c>
      <c r="CT332" s="125">
        <v>0</v>
      </c>
      <c r="CU332" s="126">
        <v>0</v>
      </c>
    </row>
    <row r="333" spans="1:99" x14ac:dyDescent="0.25">
      <c r="A333" t="s">
        <v>266</v>
      </c>
      <c r="B333" s="2" t="s">
        <v>2</v>
      </c>
      <c r="C333" s="1">
        <v>31746</v>
      </c>
      <c r="D333" s="19">
        <v>115.91249999999999</v>
      </c>
      <c r="E333" s="18">
        <v>0</v>
      </c>
      <c r="F333" s="19">
        <v>0</v>
      </c>
      <c r="G333" s="19">
        <v>0</v>
      </c>
      <c r="H333" s="19">
        <v>0</v>
      </c>
      <c r="I333" s="19">
        <f>SUM(E333:H333)/Variables!$E$3</f>
        <v>0</v>
      </c>
      <c r="J333" s="4">
        <v>0</v>
      </c>
      <c r="K333">
        <v>0</v>
      </c>
      <c r="L333">
        <v>0</v>
      </c>
      <c r="M333">
        <v>0</v>
      </c>
      <c r="N333" s="6">
        <f>SUM(J333:M333)/Variables!$E$3</f>
        <v>0</v>
      </c>
      <c r="O333" s="4">
        <v>0</v>
      </c>
      <c r="P333">
        <v>0</v>
      </c>
      <c r="Q333">
        <v>0</v>
      </c>
      <c r="R333">
        <v>0</v>
      </c>
      <c r="S333" s="6">
        <f>SUM(O333:R333)/Variables!$E$3</f>
        <v>0</v>
      </c>
      <c r="T333" s="4">
        <v>0</v>
      </c>
      <c r="U333">
        <v>0</v>
      </c>
      <c r="V333">
        <v>0</v>
      </c>
      <c r="W333">
        <v>0</v>
      </c>
      <c r="X333" s="6">
        <f>SUM(T333:W333)/Variables!$E$3</f>
        <v>0</v>
      </c>
      <c r="Y333" s="4">
        <v>0</v>
      </c>
      <c r="Z333">
        <v>0</v>
      </c>
      <c r="AA333">
        <v>0</v>
      </c>
      <c r="AB333">
        <v>0</v>
      </c>
      <c r="AC333" s="6">
        <f>SUM(Y333:AB333)/Variables!$E$3</f>
        <v>0</v>
      </c>
      <c r="AD333" s="4">
        <v>0</v>
      </c>
      <c r="AE333" s="2">
        <v>0</v>
      </c>
      <c r="AF333" s="2">
        <v>0</v>
      </c>
      <c r="AG333" s="2">
        <v>0</v>
      </c>
      <c r="AH333" s="6">
        <f>SUM(AD333:AG333)/Variables!$E$3</f>
        <v>0</v>
      </c>
      <c r="AI333" s="4">
        <v>0</v>
      </c>
      <c r="AJ333" s="2">
        <v>0</v>
      </c>
      <c r="AK333" s="2">
        <v>0</v>
      </c>
      <c r="AL333" s="2">
        <v>0</v>
      </c>
      <c r="AM333" s="6">
        <f>SUM(AI333:AL333)/Variables!$E$3</f>
        <v>0</v>
      </c>
      <c r="AN333" s="4">
        <v>0</v>
      </c>
      <c r="AO333" s="2">
        <v>0</v>
      </c>
      <c r="AP333" s="2">
        <v>0</v>
      </c>
      <c r="AQ333" s="2">
        <v>0</v>
      </c>
      <c r="AR333" s="6">
        <f>SUM(AN333:AQ333)/Variables!$E$3</f>
        <v>0</v>
      </c>
      <c r="AS333" s="4">
        <v>0</v>
      </c>
      <c r="AT333" s="2">
        <v>0</v>
      </c>
      <c r="AU333" s="2">
        <v>0</v>
      </c>
      <c r="AV333" s="2">
        <v>0</v>
      </c>
      <c r="AW333" s="6">
        <f>SUM(AS333:AV333)/Variables!$E$3</f>
        <v>0</v>
      </c>
      <c r="AX333" s="4">
        <v>0</v>
      </c>
      <c r="AY333" s="2">
        <v>0</v>
      </c>
      <c r="AZ333" s="2">
        <v>0</v>
      </c>
      <c r="BA333" s="2">
        <v>0</v>
      </c>
      <c r="BB333" s="6">
        <f>SUM(AX333:BA333)/Variables!$E$3</f>
        <v>0</v>
      </c>
      <c r="BC333" s="12">
        <f t="shared" si="86"/>
        <v>0</v>
      </c>
      <c r="BD333" s="110">
        <f t="shared" si="86"/>
        <v>0</v>
      </c>
      <c r="BE333" s="110">
        <f t="shared" si="86"/>
        <v>0</v>
      </c>
      <c r="BF333" s="110">
        <f t="shared" si="86"/>
        <v>0</v>
      </c>
      <c r="BG333" s="6">
        <f>SUM(BC333:BF333)/Variables!$E$3</f>
        <v>0</v>
      </c>
      <c r="BH333" s="4">
        <v>0</v>
      </c>
      <c r="BI333">
        <v>0</v>
      </c>
      <c r="BJ333">
        <v>0</v>
      </c>
      <c r="BK333">
        <v>0</v>
      </c>
      <c r="BL333" s="6">
        <f>SUM(BH333:BK333)/Variables!$E$3</f>
        <v>0</v>
      </c>
      <c r="BM333" s="110">
        <v>0</v>
      </c>
      <c r="BN333" s="110">
        <v>0</v>
      </c>
      <c r="BO333" s="110">
        <v>0</v>
      </c>
      <c r="BP333" s="110">
        <v>0</v>
      </c>
      <c r="BQ333" s="6">
        <f>SUM(BM333:BP333)/Variables!$E$3</f>
        <v>0</v>
      </c>
      <c r="BS333" s="4">
        <v>331</v>
      </c>
      <c r="BT333" s="125">
        <f t="shared" si="87"/>
        <v>0</v>
      </c>
      <c r="BU333" s="125">
        <f t="shared" si="74"/>
        <v>0</v>
      </c>
      <c r="BV333" s="125">
        <f t="shared" si="75"/>
        <v>0</v>
      </c>
      <c r="BW333" s="125">
        <f t="shared" si="76"/>
        <v>0</v>
      </c>
      <c r="BX333" s="125">
        <f t="shared" si="77"/>
        <v>0</v>
      </c>
      <c r="BY333" s="125">
        <f t="shared" si="78"/>
        <v>0</v>
      </c>
      <c r="BZ333" s="125">
        <f t="shared" si="79"/>
        <v>0</v>
      </c>
      <c r="CA333" s="125">
        <f t="shared" si="80"/>
        <v>0</v>
      </c>
      <c r="CB333" s="125">
        <f t="shared" si="81"/>
        <v>0</v>
      </c>
      <c r="CC333" s="125">
        <f t="shared" si="82"/>
        <v>0</v>
      </c>
      <c r="CD333" s="125">
        <f t="shared" si="83"/>
        <v>0</v>
      </c>
      <c r="CE333" s="125">
        <f t="shared" si="84"/>
        <v>0</v>
      </c>
      <c r="CF333" s="126">
        <f t="shared" si="85"/>
        <v>0</v>
      </c>
      <c r="CH333" s="4">
        <v>331</v>
      </c>
      <c r="CI333" s="129">
        <v>0</v>
      </c>
      <c r="CJ333" s="125">
        <v>0</v>
      </c>
      <c r="CK333" s="125">
        <v>0</v>
      </c>
      <c r="CL333" s="125">
        <v>0</v>
      </c>
      <c r="CM333" s="125">
        <v>0</v>
      </c>
      <c r="CN333" s="125">
        <v>0</v>
      </c>
      <c r="CO333" s="125">
        <v>0</v>
      </c>
      <c r="CP333" s="125">
        <v>0</v>
      </c>
      <c r="CQ333" s="125">
        <v>0</v>
      </c>
      <c r="CR333" s="125">
        <v>0</v>
      </c>
      <c r="CS333" s="125">
        <v>0</v>
      </c>
      <c r="CT333" s="125">
        <v>0</v>
      </c>
      <c r="CU333" s="126">
        <v>0</v>
      </c>
    </row>
    <row r="334" spans="1:99" x14ac:dyDescent="0.25">
      <c r="A334" t="s">
        <v>267</v>
      </c>
      <c r="B334" s="2" t="s">
        <v>3</v>
      </c>
      <c r="C334" s="1">
        <v>31836</v>
      </c>
      <c r="D334" s="19">
        <v>55.475000000000001</v>
      </c>
      <c r="E334" s="18">
        <v>0</v>
      </c>
      <c r="F334" s="19">
        <v>0</v>
      </c>
      <c r="G334" s="19">
        <v>0</v>
      </c>
      <c r="H334" s="19">
        <v>0</v>
      </c>
      <c r="I334" s="19">
        <f>SUM(E334:H334)/Variables!$E$3</f>
        <v>0</v>
      </c>
      <c r="J334" s="4">
        <v>0</v>
      </c>
      <c r="K334">
        <v>0</v>
      </c>
      <c r="L334">
        <v>0</v>
      </c>
      <c r="M334">
        <v>0</v>
      </c>
      <c r="N334" s="6">
        <f>SUM(J334:M334)/Variables!$E$3</f>
        <v>0</v>
      </c>
      <c r="O334" s="4">
        <v>0</v>
      </c>
      <c r="P334">
        <v>0</v>
      </c>
      <c r="Q334">
        <v>0</v>
      </c>
      <c r="R334">
        <v>0</v>
      </c>
      <c r="S334" s="6">
        <f>SUM(O334:R334)/Variables!$E$3</f>
        <v>0</v>
      </c>
      <c r="T334" s="4">
        <v>0</v>
      </c>
      <c r="U334">
        <v>0</v>
      </c>
      <c r="V334">
        <v>0</v>
      </c>
      <c r="W334">
        <v>0</v>
      </c>
      <c r="X334" s="6">
        <f>SUM(T334:W334)/Variables!$E$3</f>
        <v>0</v>
      </c>
      <c r="Y334" s="4">
        <v>0</v>
      </c>
      <c r="Z334">
        <v>0</v>
      </c>
      <c r="AA334">
        <v>0</v>
      </c>
      <c r="AB334">
        <v>0</v>
      </c>
      <c r="AC334" s="6">
        <f>SUM(Y334:AB334)/Variables!$E$3</f>
        <v>0</v>
      </c>
      <c r="AD334" s="4">
        <v>0</v>
      </c>
      <c r="AE334" s="2">
        <v>0</v>
      </c>
      <c r="AF334" s="2">
        <v>0</v>
      </c>
      <c r="AG334" s="2">
        <v>0</v>
      </c>
      <c r="AH334" s="6">
        <f>SUM(AD334:AG334)/Variables!$E$3</f>
        <v>0</v>
      </c>
      <c r="AI334" s="4">
        <v>0</v>
      </c>
      <c r="AJ334" s="2">
        <v>0</v>
      </c>
      <c r="AK334" s="2">
        <v>0</v>
      </c>
      <c r="AL334" s="2">
        <v>0</v>
      </c>
      <c r="AM334" s="6">
        <f>SUM(AI334:AL334)/Variables!$E$3</f>
        <v>0</v>
      </c>
      <c r="AN334" s="4">
        <v>0</v>
      </c>
      <c r="AO334" s="2">
        <v>0</v>
      </c>
      <c r="AP334" s="2">
        <v>0</v>
      </c>
      <c r="AQ334" s="2">
        <v>0</v>
      </c>
      <c r="AR334" s="6">
        <f>SUM(AN334:AQ334)/Variables!$E$3</f>
        <v>0</v>
      </c>
      <c r="AS334" s="4">
        <v>0</v>
      </c>
      <c r="AT334" s="2">
        <v>0</v>
      </c>
      <c r="AU334" s="2">
        <v>0</v>
      </c>
      <c r="AV334" s="2">
        <v>0</v>
      </c>
      <c r="AW334" s="6">
        <f>SUM(AS334:AV334)/Variables!$E$3</f>
        <v>0</v>
      </c>
      <c r="AX334" s="4">
        <v>0</v>
      </c>
      <c r="AY334" s="2">
        <v>0</v>
      </c>
      <c r="AZ334" s="2">
        <v>0</v>
      </c>
      <c r="BA334" s="2">
        <v>0</v>
      </c>
      <c r="BB334" s="6">
        <f>SUM(AX334:BA334)/Variables!$E$3</f>
        <v>0</v>
      </c>
      <c r="BC334" s="12">
        <f t="shared" si="86"/>
        <v>0</v>
      </c>
      <c r="BD334" s="110">
        <f t="shared" si="86"/>
        <v>0</v>
      </c>
      <c r="BE334" s="110">
        <f t="shared" si="86"/>
        <v>0</v>
      </c>
      <c r="BF334" s="110">
        <f t="shared" si="86"/>
        <v>0</v>
      </c>
      <c r="BG334" s="6">
        <f>SUM(BC334:BF334)/Variables!$E$3</f>
        <v>0</v>
      </c>
      <c r="BH334" s="4">
        <v>0</v>
      </c>
      <c r="BI334">
        <v>0</v>
      </c>
      <c r="BJ334">
        <v>0</v>
      </c>
      <c r="BK334">
        <v>0</v>
      </c>
      <c r="BL334" s="6">
        <f>SUM(BH334:BK334)/Variables!$E$3</f>
        <v>0</v>
      </c>
      <c r="BM334" s="110">
        <v>0</v>
      </c>
      <c r="BN334" s="110">
        <v>0</v>
      </c>
      <c r="BO334" s="110">
        <v>0</v>
      </c>
      <c r="BP334" s="110">
        <v>0</v>
      </c>
      <c r="BQ334" s="6">
        <f>SUM(BM334:BP334)/Variables!$E$3</f>
        <v>0</v>
      </c>
      <c r="BS334" s="4">
        <v>332</v>
      </c>
      <c r="BT334" s="125">
        <f t="shared" si="87"/>
        <v>0</v>
      </c>
      <c r="BU334" s="125">
        <f t="shared" si="74"/>
        <v>0</v>
      </c>
      <c r="BV334" s="125">
        <f t="shared" si="75"/>
        <v>0</v>
      </c>
      <c r="BW334" s="125">
        <f t="shared" si="76"/>
        <v>0</v>
      </c>
      <c r="BX334" s="125">
        <f t="shared" si="77"/>
        <v>0</v>
      </c>
      <c r="BY334" s="125">
        <f t="shared" si="78"/>
        <v>0</v>
      </c>
      <c r="BZ334" s="125">
        <f t="shared" si="79"/>
        <v>0</v>
      </c>
      <c r="CA334" s="125">
        <f t="shared" si="80"/>
        <v>0</v>
      </c>
      <c r="CB334" s="125">
        <f t="shared" si="81"/>
        <v>0</v>
      </c>
      <c r="CC334" s="125">
        <f t="shared" si="82"/>
        <v>0</v>
      </c>
      <c r="CD334" s="125">
        <f t="shared" si="83"/>
        <v>0</v>
      </c>
      <c r="CE334" s="125">
        <f t="shared" si="84"/>
        <v>0</v>
      </c>
      <c r="CF334" s="126">
        <f t="shared" si="85"/>
        <v>0</v>
      </c>
      <c r="CH334" s="4">
        <v>332</v>
      </c>
      <c r="CI334" s="129">
        <v>0</v>
      </c>
      <c r="CJ334" s="125">
        <v>0</v>
      </c>
      <c r="CK334" s="125">
        <v>0</v>
      </c>
      <c r="CL334" s="125">
        <v>0</v>
      </c>
      <c r="CM334" s="125">
        <v>0</v>
      </c>
      <c r="CN334" s="125">
        <v>0</v>
      </c>
      <c r="CO334" s="125">
        <v>0</v>
      </c>
      <c r="CP334" s="125">
        <v>0</v>
      </c>
      <c r="CQ334" s="125">
        <v>0</v>
      </c>
      <c r="CR334" s="125">
        <v>0</v>
      </c>
      <c r="CS334" s="125">
        <v>0</v>
      </c>
      <c r="CT334" s="125">
        <v>0</v>
      </c>
      <c r="CU334" s="126">
        <v>0</v>
      </c>
    </row>
    <row r="335" spans="1:99" x14ac:dyDescent="0.25">
      <c r="A335" t="s">
        <v>267</v>
      </c>
      <c r="B335" s="2" t="s">
        <v>4</v>
      </c>
      <c r="C335" s="1">
        <v>31928</v>
      </c>
      <c r="D335" s="19">
        <v>82.055357142857105</v>
      </c>
      <c r="E335" s="18">
        <v>0</v>
      </c>
      <c r="F335" s="19">
        <v>0</v>
      </c>
      <c r="G335" s="19">
        <v>0</v>
      </c>
      <c r="H335" s="19">
        <v>0</v>
      </c>
      <c r="I335" s="19">
        <f>SUM(E335:H335)/Variables!$E$3</f>
        <v>0</v>
      </c>
      <c r="J335" s="4">
        <v>0</v>
      </c>
      <c r="K335">
        <v>0</v>
      </c>
      <c r="L335">
        <v>0</v>
      </c>
      <c r="M335">
        <v>0</v>
      </c>
      <c r="N335" s="6">
        <f>SUM(J335:M335)/Variables!$E$3</f>
        <v>0</v>
      </c>
      <c r="O335" s="4">
        <v>0</v>
      </c>
      <c r="P335">
        <v>0</v>
      </c>
      <c r="Q335">
        <v>0</v>
      </c>
      <c r="R335">
        <v>0</v>
      </c>
      <c r="S335" s="6">
        <f>SUM(O335:R335)/Variables!$E$3</f>
        <v>0</v>
      </c>
      <c r="T335" s="4">
        <v>0</v>
      </c>
      <c r="U335">
        <v>0</v>
      </c>
      <c r="V335">
        <v>0</v>
      </c>
      <c r="W335">
        <v>0</v>
      </c>
      <c r="X335" s="6">
        <f>SUM(T335:W335)/Variables!$E$3</f>
        <v>0</v>
      </c>
      <c r="Y335" s="4">
        <v>0</v>
      </c>
      <c r="Z335">
        <v>0</v>
      </c>
      <c r="AA335">
        <v>0</v>
      </c>
      <c r="AB335">
        <v>0</v>
      </c>
      <c r="AC335" s="6">
        <f>SUM(Y335:AB335)/Variables!$E$3</f>
        <v>0</v>
      </c>
      <c r="AD335" s="4">
        <v>0</v>
      </c>
      <c r="AE335" s="2">
        <v>0</v>
      </c>
      <c r="AF335" s="2">
        <v>0</v>
      </c>
      <c r="AG335" s="2">
        <v>0</v>
      </c>
      <c r="AH335" s="6">
        <f>SUM(AD335:AG335)/Variables!$E$3</f>
        <v>0</v>
      </c>
      <c r="AI335" s="4">
        <v>0</v>
      </c>
      <c r="AJ335" s="2">
        <v>0</v>
      </c>
      <c r="AK335" s="2">
        <v>0</v>
      </c>
      <c r="AL335" s="2">
        <v>0</v>
      </c>
      <c r="AM335" s="6">
        <f>SUM(AI335:AL335)/Variables!$E$3</f>
        <v>0</v>
      </c>
      <c r="AN335" s="4">
        <v>0</v>
      </c>
      <c r="AO335" s="2">
        <v>0</v>
      </c>
      <c r="AP335" s="2">
        <v>0</v>
      </c>
      <c r="AQ335" s="2">
        <v>0</v>
      </c>
      <c r="AR335" s="6">
        <f>SUM(AN335:AQ335)/Variables!$E$3</f>
        <v>0</v>
      </c>
      <c r="AS335" s="4">
        <v>0</v>
      </c>
      <c r="AT335" s="2">
        <v>0</v>
      </c>
      <c r="AU335" s="2">
        <v>0</v>
      </c>
      <c r="AV335" s="2">
        <v>0</v>
      </c>
      <c r="AW335" s="6">
        <f>SUM(AS335:AV335)/Variables!$E$3</f>
        <v>0</v>
      </c>
      <c r="AX335" s="4">
        <v>0</v>
      </c>
      <c r="AY335" s="2">
        <v>0</v>
      </c>
      <c r="AZ335" s="2">
        <v>0</v>
      </c>
      <c r="BA335" s="2">
        <v>0</v>
      </c>
      <c r="BB335" s="6">
        <f>SUM(AX335:BA335)/Variables!$E$3</f>
        <v>0</v>
      </c>
      <c r="BC335" s="12">
        <f t="shared" si="86"/>
        <v>0</v>
      </c>
      <c r="BD335" s="110">
        <f t="shared" si="86"/>
        <v>0</v>
      </c>
      <c r="BE335" s="110">
        <f t="shared" si="86"/>
        <v>0</v>
      </c>
      <c r="BF335" s="110">
        <f t="shared" si="86"/>
        <v>0</v>
      </c>
      <c r="BG335" s="6">
        <f>SUM(BC335:BF335)/Variables!$E$3</f>
        <v>0</v>
      </c>
      <c r="BH335" s="4">
        <v>0</v>
      </c>
      <c r="BI335">
        <v>0</v>
      </c>
      <c r="BJ335">
        <v>0</v>
      </c>
      <c r="BK335">
        <v>0</v>
      </c>
      <c r="BL335" s="6">
        <f>SUM(BH335:BK335)/Variables!$E$3</f>
        <v>0</v>
      </c>
      <c r="BM335" s="110">
        <v>0</v>
      </c>
      <c r="BN335" s="110">
        <v>0</v>
      </c>
      <c r="BO335" s="110">
        <v>0</v>
      </c>
      <c r="BP335" s="110">
        <v>0</v>
      </c>
      <c r="BQ335" s="6">
        <f>SUM(BM335:BP335)/Variables!$E$3</f>
        <v>0</v>
      </c>
      <c r="BS335" s="4">
        <v>333</v>
      </c>
      <c r="BT335" s="125">
        <f t="shared" si="87"/>
        <v>0</v>
      </c>
      <c r="BU335" s="125">
        <f t="shared" si="74"/>
        <v>0</v>
      </c>
      <c r="BV335" s="125">
        <f t="shared" si="75"/>
        <v>0</v>
      </c>
      <c r="BW335" s="125">
        <f t="shared" si="76"/>
        <v>0</v>
      </c>
      <c r="BX335" s="125">
        <f t="shared" si="77"/>
        <v>0</v>
      </c>
      <c r="BY335" s="125">
        <f t="shared" si="78"/>
        <v>0</v>
      </c>
      <c r="BZ335" s="125">
        <f t="shared" si="79"/>
        <v>0</v>
      </c>
      <c r="CA335" s="125">
        <f t="shared" si="80"/>
        <v>0</v>
      </c>
      <c r="CB335" s="125">
        <f t="shared" si="81"/>
        <v>0</v>
      </c>
      <c r="CC335" s="125">
        <f t="shared" si="82"/>
        <v>0</v>
      </c>
      <c r="CD335" s="125">
        <f t="shared" si="83"/>
        <v>0</v>
      </c>
      <c r="CE335" s="125">
        <f t="shared" si="84"/>
        <v>0</v>
      </c>
      <c r="CF335" s="126">
        <f t="shared" si="85"/>
        <v>0</v>
      </c>
      <c r="CH335" s="4">
        <v>333</v>
      </c>
      <c r="CI335" s="129">
        <v>0</v>
      </c>
      <c r="CJ335" s="125">
        <v>0</v>
      </c>
      <c r="CK335" s="125">
        <v>0</v>
      </c>
      <c r="CL335" s="125">
        <v>0</v>
      </c>
      <c r="CM335" s="125">
        <v>0</v>
      </c>
      <c r="CN335" s="125">
        <v>0</v>
      </c>
      <c r="CO335" s="125">
        <v>0</v>
      </c>
      <c r="CP335" s="125">
        <v>0</v>
      </c>
      <c r="CQ335" s="125">
        <v>0</v>
      </c>
      <c r="CR335" s="125">
        <v>0</v>
      </c>
      <c r="CS335" s="125">
        <v>0</v>
      </c>
      <c r="CT335" s="125">
        <v>0</v>
      </c>
      <c r="CU335" s="126">
        <v>0</v>
      </c>
    </row>
    <row r="336" spans="1:99" x14ac:dyDescent="0.25">
      <c r="A336" t="s">
        <v>267</v>
      </c>
      <c r="B336" s="2" t="s">
        <v>1</v>
      </c>
      <c r="C336" s="1">
        <v>32020</v>
      </c>
      <c r="D336" s="19">
        <v>74.537499999999994</v>
      </c>
      <c r="E336" s="18">
        <v>0</v>
      </c>
      <c r="F336" s="19">
        <v>0</v>
      </c>
      <c r="G336" s="19">
        <v>0</v>
      </c>
      <c r="H336" s="19">
        <v>0</v>
      </c>
      <c r="I336" s="19">
        <f>SUM(E336:H336)/Variables!$E$3</f>
        <v>0</v>
      </c>
      <c r="J336" s="4">
        <v>0</v>
      </c>
      <c r="K336">
        <v>0</v>
      </c>
      <c r="L336">
        <v>0</v>
      </c>
      <c r="M336">
        <v>0</v>
      </c>
      <c r="N336" s="6">
        <f>SUM(J336:M336)/Variables!$E$3</f>
        <v>0</v>
      </c>
      <c r="O336" s="4">
        <v>0</v>
      </c>
      <c r="P336">
        <v>0</v>
      </c>
      <c r="Q336">
        <v>0</v>
      </c>
      <c r="R336">
        <v>0</v>
      </c>
      <c r="S336" s="6">
        <f>SUM(O336:R336)/Variables!$E$3</f>
        <v>0</v>
      </c>
      <c r="T336" s="4">
        <v>0</v>
      </c>
      <c r="U336">
        <v>0</v>
      </c>
      <c r="V336">
        <v>0</v>
      </c>
      <c r="W336">
        <v>0</v>
      </c>
      <c r="X336" s="6">
        <f>SUM(T336:W336)/Variables!$E$3</f>
        <v>0</v>
      </c>
      <c r="Y336" s="4">
        <v>0</v>
      </c>
      <c r="Z336">
        <v>0</v>
      </c>
      <c r="AA336">
        <v>0</v>
      </c>
      <c r="AB336">
        <v>0</v>
      </c>
      <c r="AC336" s="6">
        <f>SUM(Y336:AB336)/Variables!$E$3</f>
        <v>0</v>
      </c>
      <c r="AD336" s="4">
        <v>0</v>
      </c>
      <c r="AE336" s="2">
        <v>0</v>
      </c>
      <c r="AF336" s="2">
        <v>0</v>
      </c>
      <c r="AG336" s="2">
        <v>0</v>
      </c>
      <c r="AH336" s="6">
        <f>SUM(AD336:AG336)/Variables!$E$3</f>
        <v>0</v>
      </c>
      <c r="AI336" s="4">
        <v>0</v>
      </c>
      <c r="AJ336" s="2">
        <v>0</v>
      </c>
      <c r="AK336" s="2">
        <v>0</v>
      </c>
      <c r="AL336" s="2">
        <v>0</v>
      </c>
      <c r="AM336" s="6">
        <f>SUM(AI336:AL336)/Variables!$E$3</f>
        <v>0</v>
      </c>
      <c r="AN336" s="4">
        <v>0</v>
      </c>
      <c r="AO336" s="2">
        <v>0</v>
      </c>
      <c r="AP336" s="2">
        <v>0</v>
      </c>
      <c r="AQ336" s="2">
        <v>0</v>
      </c>
      <c r="AR336" s="6">
        <f>SUM(AN336:AQ336)/Variables!$E$3</f>
        <v>0</v>
      </c>
      <c r="AS336" s="4">
        <v>0</v>
      </c>
      <c r="AT336" s="2">
        <v>0</v>
      </c>
      <c r="AU336" s="2">
        <v>0</v>
      </c>
      <c r="AV336" s="2">
        <v>0</v>
      </c>
      <c r="AW336" s="6">
        <f>SUM(AS336:AV336)/Variables!$E$3</f>
        <v>0</v>
      </c>
      <c r="AX336" s="4">
        <v>0</v>
      </c>
      <c r="AY336" s="2">
        <v>0</v>
      </c>
      <c r="AZ336" s="2">
        <v>0</v>
      </c>
      <c r="BA336" s="2">
        <v>0</v>
      </c>
      <c r="BB336" s="6">
        <f>SUM(AX336:BA336)/Variables!$E$3</f>
        <v>0</v>
      </c>
      <c r="BC336" s="12">
        <f t="shared" si="86"/>
        <v>0</v>
      </c>
      <c r="BD336" s="110">
        <f t="shared" si="86"/>
        <v>0</v>
      </c>
      <c r="BE336" s="110">
        <f t="shared" si="86"/>
        <v>0</v>
      </c>
      <c r="BF336" s="110">
        <f t="shared" si="86"/>
        <v>0</v>
      </c>
      <c r="BG336" s="6">
        <f>SUM(BC336:BF336)/Variables!$E$3</f>
        <v>0</v>
      </c>
      <c r="BH336" s="4">
        <v>0</v>
      </c>
      <c r="BI336">
        <v>0</v>
      </c>
      <c r="BJ336">
        <v>0</v>
      </c>
      <c r="BK336">
        <v>0</v>
      </c>
      <c r="BL336" s="6">
        <f>SUM(BH336:BK336)/Variables!$E$3</f>
        <v>0</v>
      </c>
      <c r="BM336" s="110">
        <v>0</v>
      </c>
      <c r="BN336" s="110">
        <v>0</v>
      </c>
      <c r="BO336" s="110">
        <v>0</v>
      </c>
      <c r="BP336" s="110">
        <v>0</v>
      </c>
      <c r="BQ336" s="6">
        <f>SUM(BM336:BP336)/Variables!$E$3</f>
        <v>0</v>
      </c>
      <c r="BS336" s="4">
        <v>334</v>
      </c>
      <c r="BT336" s="125">
        <f t="shared" si="87"/>
        <v>0</v>
      </c>
      <c r="BU336" s="125">
        <f t="shared" si="74"/>
        <v>0</v>
      </c>
      <c r="BV336" s="125">
        <f t="shared" si="75"/>
        <v>0</v>
      </c>
      <c r="BW336" s="125">
        <f t="shared" si="76"/>
        <v>0</v>
      </c>
      <c r="BX336" s="125">
        <f t="shared" si="77"/>
        <v>0</v>
      </c>
      <c r="BY336" s="125">
        <f t="shared" si="78"/>
        <v>0</v>
      </c>
      <c r="BZ336" s="125">
        <f t="shared" si="79"/>
        <v>0</v>
      </c>
      <c r="CA336" s="125">
        <f t="shared" si="80"/>
        <v>0</v>
      </c>
      <c r="CB336" s="125">
        <f t="shared" si="81"/>
        <v>0</v>
      </c>
      <c r="CC336" s="125">
        <f t="shared" si="82"/>
        <v>0</v>
      </c>
      <c r="CD336" s="125">
        <f t="shared" si="83"/>
        <v>0</v>
      </c>
      <c r="CE336" s="125">
        <f t="shared" si="84"/>
        <v>0</v>
      </c>
      <c r="CF336" s="126">
        <f t="shared" si="85"/>
        <v>0</v>
      </c>
      <c r="CH336" s="4">
        <v>334</v>
      </c>
      <c r="CI336" s="129">
        <v>0</v>
      </c>
      <c r="CJ336" s="125">
        <v>0</v>
      </c>
      <c r="CK336" s="125">
        <v>0</v>
      </c>
      <c r="CL336" s="125">
        <v>0</v>
      </c>
      <c r="CM336" s="125">
        <v>0</v>
      </c>
      <c r="CN336" s="125">
        <v>0</v>
      </c>
      <c r="CO336" s="125">
        <v>0</v>
      </c>
      <c r="CP336" s="125">
        <v>0</v>
      </c>
      <c r="CQ336" s="125">
        <v>0</v>
      </c>
      <c r="CR336" s="125">
        <v>0</v>
      </c>
      <c r="CS336" s="125">
        <v>0</v>
      </c>
      <c r="CT336" s="125">
        <v>0</v>
      </c>
      <c r="CU336" s="126">
        <v>0</v>
      </c>
    </row>
    <row r="337" spans="1:99" x14ac:dyDescent="0.25">
      <c r="A337" t="s">
        <v>267</v>
      </c>
      <c r="B337" s="2" t="s">
        <v>2</v>
      </c>
      <c r="C337" s="1">
        <v>32111</v>
      </c>
      <c r="D337" s="19">
        <v>37.174999999999997</v>
      </c>
      <c r="E337" s="18">
        <v>0</v>
      </c>
      <c r="F337" s="19">
        <v>0</v>
      </c>
      <c r="G337" s="19">
        <v>0</v>
      </c>
      <c r="H337" s="19">
        <v>0</v>
      </c>
      <c r="I337" s="19">
        <f>SUM(E337:H337)/Variables!$E$3</f>
        <v>0</v>
      </c>
      <c r="J337" s="4">
        <v>0</v>
      </c>
      <c r="K337">
        <v>0</v>
      </c>
      <c r="L337">
        <v>0</v>
      </c>
      <c r="M337">
        <v>0</v>
      </c>
      <c r="N337" s="6">
        <f>SUM(J337:M337)/Variables!$E$3</f>
        <v>0</v>
      </c>
      <c r="O337" s="4">
        <v>0</v>
      </c>
      <c r="P337">
        <v>0</v>
      </c>
      <c r="Q337">
        <v>0</v>
      </c>
      <c r="R337">
        <v>0</v>
      </c>
      <c r="S337" s="6">
        <f>SUM(O337:R337)/Variables!$E$3</f>
        <v>0</v>
      </c>
      <c r="T337" s="4">
        <v>0</v>
      </c>
      <c r="U337">
        <v>0</v>
      </c>
      <c r="V337">
        <v>0</v>
      </c>
      <c r="W337">
        <v>0</v>
      </c>
      <c r="X337" s="6">
        <f>SUM(T337:W337)/Variables!$E$3</f>
        <v>0</v>
      </c>
      <c r="Y337" s="4">
        <v>0</v>
      </c>
      <c r="Z337">
        <v>0</v>
      </c>
      <c r="AA337">
        <v>0</v>
      </c>
      <c r="AB337">
        <v>0</v>
      </c>
      <c r="AC337" s="6">
        <f>SUM(Y337:AB337)/Variables!$E$3</f>
        <v>0</v>
      </c>
      <c r="AD337" s="4">
        <v>0</v>
      </c>
      <c r="AE337" s="2">
        <v>0</v>
      </c>
      <c r="AF337" s="2">
        <v>0</v>
      </c>
      <c r="AG337" s="2">
        <v>0</v>
      </c>
      <c r="AH337" s="6">
        <f>SUM(AD337:AG337)/Variables!$E$3</f>
        <v>0</v>
      </c>
      <c r="AI337" s="4">
        <v>0</v>
      </c>
      <c r="AJ337" s="2">
        <v>0</v>
      </c>
      <c r="AK337" s="2">
        <v>0</v>
      </c>
      <c r="AL337" s="2">
        <v>0</v>
      </c>
      <c r="AM337" s="6">
        <f>SUM(AI337:AL337)/Variables!$E$3</f>
        <v>0</v>
      </c>
      <c r="AN337" s="4">
        <v>0</v>
      </c>
      <c r="AO337" s="2">
        <v>0</v>
      </c>
      <c r="AP337" s="2">
        <v>0</v>
      </c>
      <c r="AQ337" s="2">
        <v>0</v>
      </c>
      <c r="AR337" s="6">
        <f>SUM(AN337:AQ337)/Variables!$E$3</f>
        <v>0</v>
      </c>
      <c r="AS337" s="4">
        <v>0</v>
      </c>
      <c r="AT337" s="2">
        <v>0</v>
      </c>
      <c r="AU337" s="2">
        <v>0</v>
      </c>
      <c r="AV337" s="2">
        <v>0</v>
      </c>
      <c r="AW337" s="6">
        <f>SUM(AS337:AV337)/Variables!$E$3</f>
        <v>0</v>
      </c>
      <c r="AX337" s="4">
        <v>0</v>
      </c>
      <c r="AY337" s="2">
        <v>0</v>
      </c>
      <c r="AZ337" s="2">
        <v>0</v>
      </c>
      <c r="BA337" s="2">
        <v>0</v>
      </c>
      <c r="BB337" s="6">
        <f>SUM(AX337:BA337)/Variables!$E$3</f>
        <v>0</v>
      </c>
      <c r="BC337" s="12">
        <f t="shared" si="86"/>
        <v>0</v>
      </c>
      <c r="BD337" s="110">
        <f t="shared" si="86"/>
        <v>0</v>
      </c>
      <c r="BE337" s="110">
        <f t="shared" si="86"/>
        <v>0</v>
      </c>
      <c r="BF337" s="110">
        <f t="shared" si="86"/>
        <v>0</v>
      </c>
      <c r="BG337" s="6">
        <f>SUM(BC337:BF337)/Variables!$E$3</f>
        <v>0</v>
      </c>
      <c r="BH337" s="4">
        <v>0</v>
      </c>
      <c r="BI337">
        <v>0</v>
      </c>
      <c r="BJ337">
        <v>0</v>
      </c>
      <c r="BK337">
        <v>0</v>
      </c>
      <c r="BL337" s="6">
        <f>SUM(BH337:BK337)/Variables!$E$3</f>
        <v>0</v>
      </c>
      <c r="BM337" s="110">
        <v>0</v>
      </c>
      <c r="BN337" s="110">
        <v>0</v>
      </c>
      <c r="BO337" s="110">
        <v>0</v>
      </c>
      <c r="BP337" s="110">
        <v>0</v>
      </c>
      <c r="BQ337" s="6">
        <f>SUM(BM337:BP337)/Variables!$E$3</f>
        <v>0</v>
      </c>
      <c r="BS337" s="4">
        <v>335</v>
      </c>
      <c r="BT337" s="125">
        <f t="shared" si="87"/>
        <v>0</v>
      </c>
      <c r="BU337" s="125">
        <f t="shared" si="74"/>
        <v>1.8916222614589188E-2</v>
      </c>
      <c r="BV337" s="125">
        <f t="shared" si="75"/>
        <v>0</v>
      </c>
      <c r="BW337" s="125">
        <f t="shared" si="76"/>
        <v>0</v>
      </c>
      <c r="BX337" s="125">
        <f t="shared" si="77"/>
        <v>0</v>
      </c>
      <c r="BY337" s="125">
        <f t="shared" si="78"/>
        <v>0</v>
      </c>
      <c r="BZ337" s="125">
        <f t="shared" si="79"/>
        <v>0</v>
      </c>
      <c r="CA337" s="125">
        <f t="shared" si="80"/>
        <v>0</v>
      </c>
      <c r="CB337" s="125">
        <f t="shared" si="81"/>
        <v>0</v>
      </c>
      <c r="CC337" s="125">
        <f t="shared" si="82"/>
        <v>0</v>
      </c>
      <c r="CD337" s="125">
        <f t="shared" si="83"/>
        <v>0</v>
      </c>
      <c r="CE337" s="125">
        <f t="shared" si="84"/>
        <v>0</v>
      </c>
      <c r="CF337" s="126">
        <f t="shared" si="85"/>
        <v>0</v>
      </c>
      <c r="CH337" s="4">
        <v>335</v>
      </c>
      <c r="CI337" s="129">
        <v>0</v>
      </c>
      <c r="CJ337" s="125">
        <v>0</v>
      </c>
      <c r="CK337" s="125">
        <v>0</v>
      </c>
      <c r="CL337" s="125">
        <v>0</v>
      </c>
      <c r="CM337" s="125">
        <v>0</v>
      </c>
      <c r="CN337" s="125">
        <v>0</v>
      </c>
      <c r="CO337" s="125">
        <v>0</v>
      </c>
      <c r="CP337" s="125">
        <v>0</v>
      </c>
      <c r="CQ337" s="125">
        <v>0</v>
      </c>
      <c r="CR337" s="125">
        <v>0</v>
      </c>
      <c r="CS337" s="125">
        <v>0</v>
      </c>
      <c r="CT337" s="125">
        <v>0</v>
      </c>
      <c r="CU337" s="126">
        <v>0</v>
      </c>
    </row>
    <row r="338" spans="1:99" x14ac:dyDescent="0.25">
      <c r="A338" t="s">
        <v>268</v>
      </c>
      <c r="B338" s="2" t="s">
        <v>3</v>
      </c>
      <c r="C338" s="1">
        <v>32201</v>
      </c>
      <c r="D338" s="19">
        <v>112.96250000000001</v>
      </c>
      <c r="E338" s="18">
        <v>0</v>
      </c>
      <c r="F338" s="19">
        <v>0</v>
      </c>
      <c r="G338" s="19">
        <v>0</v>
      </c>
      <c r="H338" s="19">
        <v>0</v>
      </c>
      <c r="I338" s="19">
        <f>SUM(E338:H338)/Variables!$E$3</f>
        <v>0</v>
      </c>
      <c r="J338" s="4">
        <v>0</v>
      </c>
      <c r="K338">
        <v>0</v>
      </c>
      <c r="L338">
        <v>19383</v>
      </c>
      <c r="M338">
        <v>4508</v>
      </c>
      <c r="N338" s="6">
        <f>SUM(J338:M338)/Variables!$E$3</f>
        <v>1.8916222614589188E-2</v>
      </c>
      <c r="O338" s="4">
        <v>0</v>
      </c>
      <c r="P338">
        <v>0</v>
      </c>
      <c r="Q338">
        <v>0</v>
      </c>
      <c r="R338">
        <v>0</v>
      </c>
      <c r="S338" s="6">
        <f>SUM(O338:R338)/Variables!$E$3</f>
        <v>0</v>
      </c>
      <c r="T338" s="4">
        <v>0</v>
      </c>
      <c r="U338">
        <v>0</v>
      </c>
      <c r="V338">
        <v>0</v>
      </c>
      <c r="W338">
        <v>0</v>
      </c>
      <c r="X338" s="6">
        <f>SUM(T338:W338)/Variables!$E$3</f>
        <v>0</v>
      </c>
      <c r="Y338" s="4">
        <v>0</v>
      </c>
      <c r="Z338">
        <v>0</v>
      </c>
      <c r="AA338">
        <v>0</v>
      </c>
      <c r="AB338">
        <v>0</v>
      </c>
      <c r="AC338" s="6">
        <f>SUM(Y338:AB338)/Variables!$E$3</f>
        <v>0</v>
      </c>
      <c r="AD338" s="4">
        <v>0</v>
      </c>
      <c r="AE338" s="2">
        <v>0</v>
      </c>
      <c r="AF338" s="2">
        <v>0</v>
      </c>
      <c r="AG338" s="2">
        <v>0</v>
      </c>
      <c r="AH338" s="6">
        <f>SUM(AD338:AG338)/Variables!$E$3</f>
        <v>0</v>
      </c>
      <c r="AI338" s="4">
        <v>0</v>
      </c>
      <c r="AJ338" s="2">
        <v>0</v>
      </c>
      <c r="AK338" s="2">
        <v>0</v>
      </c>
      <c r="AL338" s="2">
        <v>0</v>
      </c>
      <c r="AM338" s="6">
        <f>SUM(AI338:AL338)/Variables!$E$3</f>
        <v>0</v>
      </c>
      <c r="AN338" s="4">
        <v>0</v>
      </c>
      <c r="AO338" s="2">
        <v>0</v>
      </c>
      <c r="AP338" s="2">
        <v>0</v>
      </c>
      <c r="AQ338" s="2">
        <v>0</v>
      </c>
      <c r="AR338" s="6">
        <f>SUM(AN338:AQ338)/Variables!$E$3</f>
        <v>0</v>
      </c>
      <c r="AS338" s="4">
        <v>0</v>
      </c>
      <c r="AT338" s="2">
        <v>0</v>
      </c>
      <c r="AU338" s="2">
        <v>0</v>
      </c>
      <c r="AV338" s="2">
        <v>0</v>
      </c>
      <c r="AW338" s="6">
        <f>SUM(AS338:AV338)/Variables!$E$3</f>
        <v>0</v>
      </c>
      <c r="AX338" s="4">
        <v>0</v>
      </c>
      <c r="AY338" s="2">
        <v>0</v>
      </c>
      <c r="AZ338" s="2">
        <v>0</v>
      </c>
      <c r="BA338" s="2">
        <v>0</v>
      </c>
      <c r="BB338" s="6">
        <f>SUM(AX338:BA338)/Variables!$E$3</f>
        <v>0</v>
      </c>
      <c r="BC338" s="12">
        <f t="shared" si="86"/>
        <v>0</v>
      </c>
      <c r="BD338" s="110">
        <f t="shared" si="86"/>
        <v>0</v>
      </c>
      <c r="BE338" s="110">
        <f t="shared" si="86"/>
        <v>0</v>
      </c>
      <c r="BF338" s="110">
        <f t="shared" si="86"/>
        <v>0</v>
      </c>
      <c r="BG338" s="6">
        <f>SUM(BC338:BF338)/Variables!$E$3</f>
        <v>0</v>
      </c>
      <c r="BH338" s="4">
        <v>0</v>
      </c>
      <c r="BI338">
        <v>0</v>
      </c>
      <c r="BJ338">
        <v>0</v>
      </c>
      <c r="BK338">
        <v>0</v>
      </c>
      <c r="BL338" s="6">
        <f>SUM(BH338:BK338)/Variables!$E$3</f>
        <v>0</v>
      </c>
      <c r="BM338" s="110">
        <v>0</v>
      </c>
      <c r="BN338" s="110">
        <v>0</v>
      </c>
      <c r="BO338" s="110">
        <v>0</v>
      </c>
      <c r="BP338" s="110">
        <v>0</v>
      </c>
      <c r="BQ338" s="6">
        <f>SUM(BM338:BP338)/Variables!$E$3</f>
        <v>0</v>
      </c>
      <c r="BS338" s="4">
        <v>336</v>
      </c>
      <c r="BT338" s="125">
        <f t="shared" si="87"/>
        <v>0</v>
      </c>
      <c r="BU338" s="125">
        <f t="shared" si="74"/>
        <v>1.0622245623480788</v>
      </c>
      <c r="BV338" s="125">
        <f t="shared" si="75"/>
        <v>0.36551516639086612</v>
      </c>
      <c r="BW338" s="125">
        <f t="shared" si="76"/>
        <v>0.59318933641596527</v>
      </c>
      <c r="BX338" s="125">
        <f t="shared" si="77"/>
        <v>0.58904876523171201</v>
      </c>
      <c r="BY338" s="125">
        <f t="shared" si="78"/>
        <v>0.52856435917940758</v>
      </c>
      <c r="BZ338" s="125">
        <f t="shared" si="79"/>
        <v>0.45849444572007697</v>
      </c>
      <c r="CA338" s="125">
        <f t="shared" si="80"/>
        <v>0.48760180207285891</v>
      </c>
      <c r="CB338" s="125">
        <f t="shared" si="81"/>
        <v>0.63501603338110357</v>
      </c>
      <c r="CC338" s="125">
        <f t="shared" si="82"/>
        <v>0.53688501096604091</v>
      </c>
      <c r="CD338" s="125">
        <f t="shared" si="83"/>
        <v>0.58904876523171201</v>
      </c>
      <c r="CE338" s="125">
        <f t="shared" si="84"/>
        <v>0.53166272100333345</v>
      </c>
      <c r="CF338" s="126">
        <f t="shared" si="85"/>
        <v>0.54909025407960477</v>
      </c>
      <c r="CH338" s="4">
        <v>336</v>
      </c>
      <c r="CI338" s="129">
        <v>0</v>
      </c>
      <c r="CJ338" s="125">
        <v>2.1957133468990255</v>
      </c>
      <c r="CK338" s="125">
        <v>0.23217523495831321</v>
      </c>
      <c r="CL338" s="125">
        <v>0.34594121885367263</v>
      </c>
      <c r="CM338" s="125">
        <v>0.34531199771969689</v>
      </c>
      <c r="CN338" s="125">
        <v>0.33156960862714668</v>
      </c>
      <c r="CO338" s="125">
        <v>0.28212349266423331</v>
      </c>
      <c r="CP338" s="125">
        <v>0.28569513614517927</v>
      </c>
      <c r="CQ338" s="125">
        <v>0.35109969200072844</v>
      </c>
      <c r="CR338" s="125">
        <v>0.31857148512656475</v>
      </c>
      <c r="CS338" s="125">
        <v>0.34531199771969689</v>
      </c>
      <c r="CT338" s="125">
        <v>0.31610559070143074</v>
      </c>
      <c r="CU338" s="126">
        <v>0.31837429433328845</v>
      </c>
    </row>
    <row r="339" spans="1:99" x14ac:dyDescent="0.25">
      <c r="A339" t="s">
        <v>268</v>
      </c>
      <c r="B339" s="2" t="s">
        <v>4</v>
      </c>
      <c r="C339" s="1">
        <v>32294</v>
      </c>
      <c r="D339" s="19">
        <v>226.37857142857101</v>
      </c>
      <c r="E339" s="18">
        <v>0</v>
      </c>
      <c r="F339" s="19">
        <v>0</v>
      </c>
      <c r="G339" s="19">
        <v>0</v>
      </c>
      <c r="H339" s="19">
        <v>0</v>
      </c>
      <c r="I339" s="19">
        <f>SUM(E339:H339)/Variables!$E$3</f>
        <v>0</v>
      </c>
      <c r="J339" s="4">
        <v>94319</v>
      </c>
      <c r="K339">
        <v>104873</v>
      </c>
      <c r="L339">
        <v>926595</v>
      </c>
      <c r="M339">
        <v>215792</v>
      </c>
      <c r="N339" s="6">
        <f>SUM(J339:M339)/Variables!$E$3</f>
        <v>1.0622245623480788</v>
      </c>
      <c r="O339" s="4">
        <v>25085</v>
      </c>
      <c r="P339">
        <v>31531</v>
      </c>
      <c r="Q339">
        <v>307192</v>
      </c>
      <c r="R339">
        <v>97834</v>
      </c>
      <c r="S339" s="6">
        <f>SUM(O339:R339)/Variables!$E$3</f>
        <v>0.36551516639086612</v>
      </c>
      <c r="T339" s="4">
        <v>35782.300000000003</v>
      </c>
      <c r="U339">
        <v>40840.1</v>
      </c>
      <c r="V339">
        <v>539458</v>
      </c>
      <c r="W339">
        <v>133111.79999999999</v>
      </c>
      <c r="X339" s="6">
        <f>SUM(T339:W339)/Variables!$E$3</f>
        <v>0.59318933641596527</v>
      </c>
      <c r="Y339" s="4">
        <v>35890.9</v>
      </c>
      <c r="Z339">
        <v>40935.5</v>
      </c>
      <c r="AA339">
        <v>533560.5</v>
      </c>
      <c r="AB339">
        <v>133575.79999999999</v>
      </c>
      <c r="AC339" s="6">
        <f>SUM(Y339:AB339)/Variables!$E$3</f>
        <v>0.58904876523171201</v>
      </c>
      <c r="AD339" s="4">
        <v>36558</v>
      </c>
      <c r="AE339" s="2">
        <v>41787.800000000003</v>
      </c>
      <c r="AF339" s="2">
        <v>470011.1</v>
      </c>
      <c r="AG339" s="2">
        <v>119214.6</v>
      </c>
      <c r="AH339" s="6">
        <f>SUM(AD339:AG339)/Variables!$E$3</f>
        <v>0.52856435917940758</v>
      </c>
      <c r="AI339" s="4">
        <v>30160.7</v>
      </c>
      <c r="AJ339" s="2">
        <v>36007.4</v>
      </c>
      <c r="AK339" s="2">
        <v>410808.3</v>
      </c>
      <c r="AL339" s="2">
        <v>102097.5</v>
      </c>
      <c r="AM339" s="6">
        <f>SUM(AI339:AL339)/Variables!$E$3</f>
        <v>0.45849444572007697</v>
      </c>
      <c r="AN339" s="4">
        <v>30856.3</v>
      </c>
      <c r="AO339" s="2">
        <v>36592.9</v>
      </c>
      <c r="AP339" s="2">
        <v>418858.7</v>
      </c>
      <c r="AQ339" s="2">
        <v>129528.3</v>
      </c>
      <c r="AR339" s="6">
        <f>SUM(AN339:AQ339)/Variables!$E$3</f>
        <v>0.48760180207285891</v>
      </c>
      <c r="AS339" s="4">
        <v>40907.4</v>
      </c>
      <c r="AT339" s="2">
        <v>46173.1</v>
      </c>
      <c r="AU339" s="2">
        <v>550330</v>
      </c>
      <c r="AV339" s="2">
        <v>164608.4</v>
      </c>
      <c r="AW339" s="6">
        <f>SUM(AS339:AV339)/Variables!$E$3</f>
        <v>0.63501603338110357</v>
      </c>
      <c r="AX339" s="4">
        <v>33894.5</v>
      </c>
      <c r="AY339" s="2">
        <v>38964.6</v>
      </c>
      <c r="AZ339" s="2">
        <v>470660.8</v>
      </c>
      <c r="BA339" s="2">
        <v>134560.5</v>
      </c>
      <c r="BB339" s="6">
        <f>SUM(AX339:BA339)/Variables!$E$3</f>
        <v>0.53688501096604091</v>
      </c>
      <c r="BC339" s="12">
        <f t="shared" si="86"/>
        <v>35890.9</v>
      </c>
      <c r="BD339" s="110">
        <f t="shared" si="86"/>
        <v>40935.5</v>
      </c>
      <c r="BE339" s="110">
        <f t="shared" si="86"/>
        <v>533560.5</v>
      </c>
      <c r="BF339" s="110">
        <f t="shared" si="86"/>
        <v>133575.79999999999</v>
      </c>
      <c r="BG339" s="6">
        <f>SUM(BC339:BF339)/Variables!$E$3</f>
        <v>0.58904876523171201</v>
      </c>
      <c r="BH339" s="4">
        <v>34005.199999999997</v>
      </c>
      <c r="BI339">
        <v>39160.699999999997</v>
      </c>
      <c r="BJ339">
        <v>465303.4</v>
      </c>
      <c r="BK339">
        <v>133015.4</v>
      </c>
      <c r="BL339" s="6">
        <f>SUM(BH339:BK339)/Variables!$E$3</f>
        <v>0.53166272100333345</v>
      </c>
      <c r="BM339" s="110">
        <v>35572.699999999997</v>
      </c>
      <c r="BN339" s="110">
        <v>40676.699999999997</v>
      </c>
      <c r="BO339" s="110">
        <v>482931.1</v>
      </c>
      <c r="BP339" s="110">
        <v>134315</v>
      </c>
      <c r="BQ339" s="6">
        <f>SUM(BM339:BP339)/Variables!$E$3</f>
        <v>0.54909025407960477</v>
      </c>
      <c r="BS339" s="4">
        <v>337</v>
      </c>
      <c r="BT339" s="125">
        <f t="shared" si="87"/>
        <v>0</v>
      </c>
      <c r="BU339" s="125">
        <f t="shared" si="74"/>
        <v>3.1419092787749708E-2</v>
      </c>
      <c r="BV339" s="125">
        <f t="shared" si="75"/>
        <v>9.2534382695033217E-3</v>
      </c>
      <c r="BW339" s="125">
        <f t="shared" si="76"/>
        <v>5.8842904536061252E-3</v>
      </c>
      <c r="BX339" s="125">
        <f t="shared" si="77"/>
        <v>5.5448578373542149E-3</v>
      </c>
      <c r="BY339" s="125">
        <f t="shared" si="78"/>
        <v>2.4396867750338482E-3</v>
      </c>
      <c r="BZ339" s="125">
        <f t="shared" si="79"/>
        <v>1.0342995589830482E-2</v>
      </c>
      <c r="CA339" s="125">
        <f t="shared" si="80"/>
        <v>1.0354001219328736E-2</v>
      </c>
      <c r="CB339" s="125">
        <f t="shared" si="81"/>
        <v>1.0195250952105717E-2</v>
      </c>
      <c r="CC339" s="125">
        <f t="shared" si="82"/>
        <v>1.04452925201308E-2</v>
      </c>
      <c r="CD339" s="125">
        <f t="shared" si="83"/>
        <v>5.5448578373542149E-3</v>
      </c>
      <c r="CE339" s="125">
        <f t="shared" si="84"/>
        <v>9.5306376139161833E-3</v>
      </c>
      <c r="CF339" s="126">
        <f t="shared" si="85"/>
        <v>1.0360256217388895E-2</v>
      </c>
      <c r="CH339" s="4">
        <v>337</v>
      </c>
      <c r="CI339" s="129">
        <v>0</v>
      </c>
      <c r="CJ339" s="125">
        <v>0</v>
      </c>
      <c r="CK339" s="125">
        <v>0</v>
      </c>
      <c r="CL339" s="125">
        <v>0</v>
      </c>
      <c r="CM339" s="125">
        <v>0</v>
      </c>
      <c r="CN339" s="125">
        <v>0</v>
      </c>
      <c r="CO339" s="125">
        <v>0</v>
      </c>
      <c r="CP339" s="125">
        <v>0</v>
      </c>
      <c r="CQ339" s="125">
        <v>0</v>
      </c>
      <c r="CR339" s="125">
        <v>0</v>
      </c>
      <c r="CS339" s="125">
        <v>0</v>
      </c>
      <c r="CT339" s="125">
        <v>0</v>
      </c>
      <c r="CU339" s="126">
        <v>0</v>
      </c>
    </row>
    <row r="340" spans="1:99" x14ac:dyDescent="0.25">
      <c r="A340" t="s">
        <v>268</v>
      </c>
      <c r="B340" s="2" t="s">
        <v>1</v>
      </c>
      <c r="C340" s="1">
        <v>32386</v>
      </c>
      <c r="D340" s="19">
        <v>100.467857142857</v>
      </c>
      <c r="E340" s="18">
        <v>0</v>
      </c>
      <c r="F340" s="19">
        <v>0</v>
      </c>
      <c r="G340" s="19">
        <v>0</v>
      </c>
      <c r="H340" s="19">
        <v>0</v>
      </c>
      <c r="I340" s="19">
        <f>SUM(E340:H340)/Variables!$E$3</f>
        <v>0</v>
      </c>
      <c r="J340" s="4">
        <v>0</v>
      </c>
      <c r="K340">
        <v>0</v>
      </c>
      <c r="L340">
        <v>39682</v>
      </c>
      <c r="M340">
        <v>0</v>
      </c>
      <c r="N340" s="6">
        <f>SUM(J340:M340)/Variables!$E$3</f>
        <v>3.1419092787749708E-2</v>
      </c>
      <c r="O340" s="4">
        <v>0</v>
      </c>
      <c r="P340">
        <v>0</v>
      </c>
      <c r="Q340">
        <v>11687</v>
      </c>
      <c r="R340">
        <v>0</v>
      </c>
      <c r="S340" s="6">
        <f>SUM(O340:R340)/Variables!$E$3</f>
        <v>9.2534382695033217E-3</v>
      </c>
      <c r="T340" s="4">
        <v>0</v>
      </c>
      <c r="U340">
        <v>0</v>
      </c>
      <c r="V340">
        <v>7431.8</v>
      </c>
      <c r="W340">
        <v>0</v>
      </c>
      <c r="X340" s="6">
        <f>SUM(T340:W340)/Variables!$E$3</f>
        <v>5.8842904536061252E-3</v>
      </c>
      <c r="Y340" s="4">
        <v>0</v>
      </c>
      <c r="Z340">
        <v>0</v>
      </c>
      <c r="AA340">
        <v>7003.1</v>
      </c>
      <c r="AB340">
        <v>0</v>
      </c>
      <c r="AC340" s="6">
        <f>SUM(Y340:AB340)/Variables!$E$3</f>
        <v>5.5448578373542149E-3</v>
      </c>
      <c r="AD340" s="4">
        <v>0</v>
      </c>
      <c r="AE340" s="2">
        <v>0</v>
      </c>
      <c r="AF340" s="2">
        <v>3081.3</v>
      </c>
      <c r="AG340" s="2">
        <v>0</v>
      </c>
      <c r="AH340" s="6">
        <f>SUM(AD340:AG340)/Variables!$E$3</f>
        <v>2.4396867750338482E-3</v>
      </c>
      <c r="AI340" s="4">
        <v>0</v>
      </c>
      <c r="AJ340" s="2">
        <v>0</v>
      </c>
      <c r="AK340" s="2">
        <v>13063.1</v>
      </c>
      <c r="AL340" s="2">
        <v>0</v>
      </c>
      <c r="AM340" s="6">
        <f>SUM(AI340:AL340)/Variables!$E$3</f>
        <v>1.0342995589830482E-2</v>
      </c>
      <c r="AN340" s="4">
        <v>0</v>
      </c>
      <c r="AO340" s="2">
        <v>0</v>
      </c>
      <c r="AP340" s="2">
        <v>13077</v>
      </c>
      <c r="AQ340" s="2">
        <v>0</v>
      </c>
      <c r="AR340" s="6">
        <f>SUM(AN340:AQ340)/Variables!$E$3</f>
        <v>1.0354001219328736E-2</v>
      </c>
      <c r="AS340" s="4">
        <v>0</v>
      </c>
      <c r="AT340" s="2">
        <v>0</v>
      </c>
      <c r="AU340" s="2">
        <v>12876.5</v>
      </c>
      <c r="AV340" s="2">
        <v>0</v>
      </c>
      <c r="AW340" s="6">
        <f>SUM(AS340:AV340)/Variables!$E$3</f>
        <v>1.0195250952105717E-2</v>
      </c>
      <c r="AX340" s="4">
        <v>0</v>
      </c>
      <c r="AY340" s="2">
        <v>0</v>
      </c>
      <c r="AZ340" s="2">
        <v>13192.3</v>
      </c>
      <c r="BA340" s="2">
        <v>0</v>
      </c>
      <c r="BB340" s="6">
        <f>SUM(AX340:BA340)/Variables!$E$3</f>
        <v>1.04452925201308E-2</v>
      </c>
      <c r="BC340" s="12">
        <f t="shared" si="86"/>
        <v>0</v>
      </c>
      <c r="BD340" s="110">
        <f t="shared" si="86"/>
        <v>0</v>
      </c>
      <c r="BE340" s="110">
        <f t="shared" si="86"/>
        <v>7003.1</v>
      </c>
      <c r="BF340" s="110">
        <f t="shared" si="86"/>
        <v>0</v>
      </c>
      <c r="BG340" s="6">
        <f>SUM(BC340:BF340)/Variables!$E$3</f>
        <v>5.5448578373542149E-3</v>
      </c>
      <c r="BH340" s="4">
        <v>0</v>
      </c>
      <c r="BI340">
        <v>0</v>
      </c>
      <c r="BJ340">
        <v>12037.1</v>
      </c>
      <c r="BK340">
        <v>0</v>
      </c>
      <c r="BL340" s="6">
        <f>SUM(BH340:BK340)/Variables!$E$3</f>
        <v>9.5306376139161833E-3</v>
      </c>
      <c r="BM340" s="110">
        <v>0</v>
      </c>
      <c r="BN340" s="110">
        <v>0</v>
      </c>
      <c r="BO340" s="110">
        <v>13084.9</v>
      </c>
      <c r="BP340" s="110">
        <v>0</v>
      </c>
      <c r="BQ340" s="6">
        <f>SUM(BM340:BP340)/Variables!$E$3</f>
        <v>1.0360256217388895E-2</v>
      </c>
      <c r="BS340" s="4">
        <v>338</v>
      </c>
      <c r="BT340" s="125">
        <f t="shared" si="87"/>
        <v>0</v>
      </c>
      <c r="BU340" s="125">
        <f t="shared" si="74"/>
        <v>0</v>
      </c>
      <c r="BV340" s="125">
        <f t="shared" si="75"/>
        <v>0</v>
      </c>
      <c r="BW340" s="125">
        <f t="shared" si="76"/>
        <v>0</v>
      </c>
      <c r="BX340" s="125">
        <f t="shared" si="77"/>
        <v>0</v>
      </c>
      <c r="BY340" s="125">
        <f t="shared" si="78"/>
        <v>0</v>
      </c>
      <c r="BZ340" s="125">
        <f t="shared" si="79"/>
        <v>0</v>
      </c>
      <c r="CA340" s="125">
        <f t="shared" si="80"/>
        <v>0</v>
      </c>
      <c r="CB340" s="125">
        <f t="shared" si="81"/>
        <v>0</v>
      </c>
      <c r="CC340" s="125">
        <f t="shared" si="82"/>
        <v>0</v>
      </c>
      <c r="CD340" s="125">
        <f t="shared" si="83"/>
        <v>0</v>
      </c>
      <c r="CE340" s="125">
        <f t="shared" si="84"/>
        <v>0</v>
      </c>
      <c r="CF340" s="126">
        <f t="shared" si="85"/>
        <v>0</v>
      </c>
      <c r="CH340" s="4">
        <v>338</v>
      </c>
      <c r="CI340" s="129">
        <v>0</v>
      </c>
      <c r="CJ340" s="125">
        <v>0</v>
      </c>
      <c r="CK340" s="125">
        <v>0</v>
      </c>
      <c r="CL340" s="125">
        <v>0</v>
      </c>
      <c r="CM340" s="125">
        <v>0</v>
      </c>
      <c r="CN340" s="125">
        <v>0</v>
      </c>
      <c r="CO340" s="125">
        <v>0</v>
      </c>
      <c r="CP340" s="125">
        <v>0</v>
      </c>
      <c r="CQ340" s="125">
        <v>0</v>
      </c>
      <c r="CR340" s="125">
        <v>0</v>
      </c>
      <c r="CS340" s="125">
        <v>0</v>
      </c>
      <c r="CT340" s="125">
        <v>0</v>
      </c>
      <c r="CU340" s="126">
        <v>0</v>
      </c>
    </row>
    <row r="341" spans="1:99" x14ac:dyDescent="0.25">
      <c r="A341" t="s">
        <v>268</v>
      </c>
      <c r="B341" s="2" t="s">
        <v>2</v>
      </c>
      <c r="C341" s="1">
        <v>32477</v>
      </c>
      <c r="D341" s="19">
        <v>52.1875</v>
      </c>
      <c r="E341" s="18">
        <v>0</v>
      </c>
      <c r="F341" s="19">
        <v>0</v>
      </c>
      <c r="G341" s="19">
        <v>0</v>
      </c>
      <c r="H341" s="19">
        <v>0</v>
      </c>
      <c r="I341" s="19">
        <f>SUM(E341:H341)/Variables!$E$3</f>
        <v>0</v>
      </c>
      <c r="J341" s="4">
        <v>0</v>
      </c>
      <c r="K341">
        <v>0</v>
      </c>
      <c r="L341">
        <v>0</v>
      </c>
      <c r="M341">
        <v>0</v>
      </c>
      <c r="N341" s="6">
        <f>SUM(J341:M341)/Variables!$E$3</f>
        <v>0</v>
      </c>
      <c r="O341" s="4">
        <v>0</v>
      </c>
      <c r="P341">
        <v>0</v>
      </c>
      <c r="Q341">
        <v>0</v>
      </c>
      <c r="R341">
        <v>0</v>
      </c>
      <c r="S341" s="6">
        <f>SUM(O341:R341)/Variables!$E$3</f>
        <v>0</v>
      </c>
      <c r="T341" s="4">
        <v>0</v>
      </c>
      <c r="U341">
        <v>0</v>
      </c>
      <c r="V341">
        <v>0</v>
      </c>
      <c r="W341">
        <v>0</v>
      </c>
      <c r="X341" s="6">
        <f>SUM(T341:W341)/Variables!$E$3</f>
        <v>0</v>
      </c>
      <c r="Y341" s="4">
        <v>0</v>
      </c>
      <c r="Z341">
        <v>0</v>
      </c>
      <c r="AA341">
        <v>0</v>
      </c>
      <c r="AB341">
        <v>0</v>
      </c>
      <c r="AC341" s="6">
        <f>SUM(Y341:AB341)/Variables!$E$3</f>
        <v>0</v>
      </c>
      <c r="AD341" s="4">
        <v>0</v>
      </c>
      <c r="AE341" s="2">
        <v>0</v>
      </c>
      <c r="AF341" s="2">
        <v>0</v>
      </c>
      <c r="AG341" s="2">
        <v>0</v>
      </c>
      <c r="AH341" s="6">
        <f>SUM(AD341:AG341)/Variables!$E$3</f>
        <v>0</v>
      </c>
      <c r="AI341" s="4">
        <v>0</v>
      </c>
      <c r="AJ341" s="2">
        <v>0</v>
      </c>
      <c r="AK341" s="2">
        <v>0</v>
      </c>
      <c r="AL341" s="2">
        <v>0</v>
      </c>
      <c r="AM341" s="6">
        <f>SUM(AI341:AL341)/Variables!$E$3</f>
        <v>0</v>
      </c>
      <c r="AN341" s="4">
        <v>0</v>
      </c>
      <c r="AO341" s="2">
        <v>0</v>
      </c>
      <c r="AP341" s="2">
        <v>0</v>
      </c>
      <c r="AQ341" s="2">
        <v>0</v>
      </c>
      <c r="AR341" s="6">
        <f>SUM(AN341:AQ341)/Variables!$E$3</f>
        <v>0</v>
      </c>
      <c r="AS341" s="4">
        <v>0</v>
      </c>
      <c r="AT341" s="2">
        <v>0</v>
      </c>
      <c r="AU341" s="2">
        <v>0</v>
      </c>
      <c r="AV341" s="2">
        <v>0</v>
      </c>
      <c r="AW341" s="6">
        <f>SUM(AS341:AV341)/Variables!$E$3</f>
        <v>0</v>
      </c>
      <c r="AX341" s="4">
        <v>0</v>
      </c>
      <c r="AY341" s="2">
        <v>0</v>
      </c>
      <c r="AZ341" s="2">
        <v>0</v>
      </c>
      <c r="BA341" s="2">
        <v>0</v>
      </c>
      <c r="BB341" s="6">
        <f>SUM(AX341:BA341)/Variables!$E$3</f>
        <v>0</v>
      </c>
      <c r="BC341" s="12">
        <f t="shared" si="86"/>
        <v>0</v>
      </c>
      <c r="BD341" s="110">
        <f t="shared" si="86"/>
        <v>0</v>
      </c>
      <c r="BE341" s="110">
        <f t="shared" si="86"/>
        <v>0</v>
      </c>
      <c r="BF341" s="110">
        <f t="shared" si="86"/>
        <v>0</v>
      </c>
      <c r="BG341" s="6">
        <f>SUM(BC341:BF341)/Variables!$E$3</f>
        <v>0</v>
      </c>
      <c r="BH341" s="4">
        <v>0</v>
      </c>
      <c r="BI341">
        <v>0</v>
      </c>
      <c r="BJ341">
        <v>0</v>
      </c>
      <c r="BK341">
        <v>0</v>
      </c>
      <c r="BL341" s="6">
        <f>SUM(BH341:BK341)/Variables!$E$3</f>
        <v>0</v>
      </c>
      <c r="BM341" s="110">
        <v>0</v>
      </c>
      <c r="BN341" s="110">
        <v>0</v>
      </c>
      <c r="BO341" s="110">
        <v>0</v>
      </c>
      <c r="BP341" s="110">
        <v>0</v>
      </c>
      <c r="BQ341" s="6">
        <f>SUM(BM341:BP341)/Variables!$E$3</f>
        <v>0</v>
      </c>
      <c r="BS341" s="4">
        <v>339</v>
      </c>
      <c r="BT341" s="125">
        <f t="shared" si="87"/>
        <v>0</v>
      </c>
      <c r="BU341" s="125">
        <f t="shared" si="74"/>
        <v>0</v>
      </c>
      <c r="BV341" s="125">
        <f t="shared" si="75"/>
        <v>0</v>
      </c>
      <c r="BW341" s="125">
        <f t="shared" si="76"/>
        <v>0</v>
      </c>
      <c r="BX341" s="125">
        <f t="shared" si="77"/>
        <v>0</v>
      </c>
      <c r="BY341" s="125">
        <f t="shared" si="78"/>
        <v>0</v>
      </c>
      <c r="BZ341" s="125">
        <f t="shared" si="79"/>
        <v>0</v>
      </c>
      <c r="CA341" s="125">
        <f t="shared" si="80"/>
        <v>0</v>
      </c>
      <c r="CB341" s="125">
        <f t="shared" si="81"/>
        <v>0</v>
      </c>
      <c r="CC341" s="125">
        <f t="shared" si="82"/>
        <v>0</v>
      </c>
      <c r="CD341" s="125">
        <f t="shared" si="83"/>
        <v>0</v>
      </c>
      <c r="CE341" s="125">
        <f t="shared" si="84"/>
        <v>0</v>
      </c>
      <c r="CF341" s="126">
        <f t="shared" si="85"/>
        <v>0</v>
      </c>
      <c r="CH341" s="4">
        <v>339</v>
      </c>
      <c r="CI341" s="129">
        <v>0</v>
      </c>
      <c r="CJ341" s="125">
        <v>0</v>
      </c>
      <c r="CK341" s="125">
        <v>0</v>
      </c>
      <c r="CL341" s="125">
        <v>0</v>
      </c>
      <c r="CM341" s="125">
        <v>0</v>
      </c>
      <c r="CN341" s="125">
        <v>0</v>
      </c>
      <c r="CO341" s="125">
        <v>0</v>
      </c>
      <c r="CP341" s="125">
        <v>0</v>
      </c>
      <c r="CQ341" s="125">
        <v>0</v>
      </c>
      <c r="CR341" s="125">
        <v>0</v>
      </c>
      <c r="CS341" s="125">
        <v>0</v>
      </c>
      <c r="CT341" s="125">
        <v>0</v>
      </c>
      <c r="CU341" s="126">
        <v>0</v>
      </c>
    </row>
    <row r="342" spans="1:99" x14ac:dyDescent="0.25">
      <c r="A342" t="s">
        <v>269</v>
      </c>
      <c r="B342" s="2" t="s">
        <v>3</v>
      </c>
      <c r="C342" s="1">
        <v>32567</v>
      </c>
      <c r="D342" s="19">
        <v>71.280357142857198</v>
      </c>
      <c r="E342" s="18">
        <v>0</v>
      </c>
      <c r="F342" s="19">
        <v>0</v>
      </c>
      <c r="G342" s="19">
        <v>0</v>
      </c>
      <c r="H342" s="19">
        <v>0</v>
      </c>
      <c r="I342" s="19">
        <f>SUM(E342:H342)/Variables!$E$3</f>
        <v>0</v>
      </c>
      <c r="J342" s="4">
        <v>0</v>
      </c>
      <c r="K342">
        <v>0</v>
      </c>
      <c r="L342">
        <v>0</v>
      </c>
      <c r="M342">
        <v>0</v>
      </c>
      <c r="N342" s="6">
        <f>SUM(J342:M342)/Variables!$E$3</f>
        <v>0</v>
      </c>
      <c r="O342" s="4">
        <v>0</v>
      </c>
      <c r="P342">
        <v>0</v>
      </c>
      <c r="Q342">
        <v>0</v>
      </c>
      <c r="R342">
        <v>0</v>
      </c>
      <c r="S342" s="6">
        <f>SUM(O342:R342)/Variables!$E$3</f>
        <v>0</v>
      </c>
      <c r="T342" s="4">
        <v>0</v>
      </c>
      <c r="U342">
        <v>0</v>
      </c>
      <c r="V342">
        <v>0</v>
      </c>
      <c r="W342">
        <v>0</v>
      </c>
      <c r="X342" s="6">
        <f>SUM(T342:W342)/Variables!$E$3</f>
        <v>0</v>
      </c>
      <c r="Y342" s="4">
        <v>0</v>
      </c>
      <c r="Z342">
        <v>0</v>
      </c>
      <c r="AA342">
        <v>0</v>
      </c>
      <c r="AB342">
        <v>0</v>
      </c>
      <c r="AC342" s="6">
        <f>SUM(Y342:AB342)/Variables!$E$3</f>
        <v>0</v>
      </c>
      <c r="AD342" s="4">
        <v>0</v>
      </c>
      <c r="AE342" s="2">
        <v>0</v>
      </c>
      <c r="AF342" s="2">
        <v>0</v>
      </c>
      <c r="AG342" s="2">
        <v>0</v>
      </c>
      <c r="AH342" s="6">
        <f>SUM(AD342:AG342)/Variables!$E$3</f>
        <v>0</v>
      </c>
      <c r="AI342" s="4">
        <v>0</v>
      </c>
      <c r="AJ342" s="2">
        <v>0</v>
      </c>
      <c r="AK342" s="2">
        <v>0</v>
      </c>
      <c r="AL342" s="2">
        <v>0</v>
      </c>
      <c r="AM342" s="6">
        <f>SUM(AI342:AL342)/Variables!$E$3</f>
        <v>0</v>
      </c>
      <c r="AN342" s="4">
        <v>0</v>
      </c>
      <c r="AO342" s="2">
        <v>0</v>
      </c>
      <c r="AP342" s="2">
        <v>0</v>
      </c>
      <c r="AQ342" s="2">
        <v>0</v>
      </c>
      <c r="AR342" s="6">
        <f>SUM(AN342:AQ342)/Variables!$E$3</f>
        <v>0</v>
      </c>
      <c r="AS342" s="4">
        <v>0</v>
      </c>
      <c r="AT342" s="2">
        <v>0</v>
      </c>
      <c r="AU342" s="2">
        <v>0</v>
      </c>
      <c r="AV342" s="2">
        <v>0</v>
      </c>
      <c r="AW342" s="6">
        <f>SUM(AS342:AV342)/Variables!$E$3</f>
        <v>0</v>
      </c>
      <c r="AX342" s="4">
        <v>0</v>
      </c>
      <c r="AY342" s="2">
        <v>0</v>
      </c>
      <c r="AZ342" s="2">
        <v>0</v>
      </c>
      <c r="BA342" s="2">
        <v>0</v>
      </c>
      <c r="BB342" s="6">
        <f>SUM(AX342:BA342)/Variables!$E$3</f>
        <v>0</v>
      </c>
      <c r="BC342" s="12">
        <f t="shared" si="86"/>
        <v>0</v>
      </c>
      <c r="BD342" s="110">
        <f t="shared" si="86"/>
        <v>0</v>
      </c>
      <c r="BE342" s="110">
        <f t="shared" si="86"/>
        <v>0</v>
      </c>
      <c r="BF342" s="110">
        <f t="shared" si="86"/>
        <v>0</v>
      </c>
      <c r="BG342" s="6">
        <f>SUM(BC342:BF342)/Variables!$E$3</f>
        <v>0</v>
      </c>
      <c r="BH342" s="4">
        <v>0</v>
      </c>
      <c r="BI342">
        <v>0</v>
      </c>
      <c r="BJ342">
        <v>0</v>
      </c>
      <c r="BK342">
        <v>0</v>
      </c>
      <c r="BL342" s="6">
        <f>SUM(BH342:BK342)/Variables!$E$3</f>
        <v>0</v>
      </c>
      <c r="BM342" s="110">
        <v>0</v>
      </c>
      <c r="BN342" s="110">
        <v>0</v>
      </c>
      <c r="BO342" s="110">
        <v>0</v>
      </c>
      <c r="BP342" s="110">
        <v>0</v>
      </c>
      <c r="BQ342" s="6">
        <f>SUM(BM342:BP342)/Variables!$E$3</f>
        <v>0</v>
      </c>
      <c r="BS342" s="4">
        <v>340</v>
      </c>
      <c r="BT342" s="125">
        <f t="shared" si="87"/>
        <v>0</v>
      </c>
      <c r="BU342" s="125">
        <f t="shared" si="74"/>
        <v>0.13987680029137206</v>
      </c>
      <c r="BV342" s="125">
        <f t="shared" si="75"/>
        <v>0</v>
      </c>
      <c r="BW342" s="125">
        <f t="shared" si="76"/>
        <v>2.5835517304175014E-2</v>
      </c>
      <c r="BX342" s="125">
        <f t="shared" si="77"/>
        <v>2.4490217658097058E-2</v>
      </c>
      <c r="BY342" s="125">
        <f t="shared" si="78"/>
        <v>9.0851867394041129E-3</v>
      </c>
      <c r="BZ342" s="125">
        <f t="shared" si="79"/>
        <v>9.4571611810069754E-3</v>
      </c>
      <c r="CA342" s="125">
        <f t="shared" si="80"/>
        <v>1.1185836784139225E-2</v>
      </c>
      <c r="CB342" s="125">
        <f t="shared" si="81"/>
        <v>2.6133698604106134E-2</v>
      </c>
      <c r="CC342" s="125">
        <f t="shared" si="82"/>
        <v>1.6037260785912794E-2</v>
      </c>
      <c r="CD342" s="125">
        <f t="shared" si="83"/>
        <v>2.4490217658097058E-2</v>
      </c>
      <c r="CE342" s="125">
        <f t="shared" si="84"/>
        <v>1.4564089976959438E-2</v>
      </c>
      <c r="CF342" s="126">
        <f t="shared" si="85"/>
        <v>1.6653971923768201E-2</v>
      </c>
      <c r="CH342" s="4">
        <v>340</v>
      </c>
      <c r="CI342" s="129">
        <v>0</v>
      </c>
      <c r="CJ342" s="125">
        <v>8.5465047229194208E-2</v>
      </c>
      <c r="CK342" s="125">
        <v>0</v>
      </c>
      <c r="CL342" s="125">
        <v>0</v>
      </c>
      <c r="CM342" s="125">
        <v>0</v>
      </c>
      <c r="CN342" s="125">
        <v>0</v>
      </c>
      <c r="CO342" s="125">
        <v>0</v>
      </c>
      <c r="CP342" s="125">
        <v>0</v>
      </c>
      <c r="CQ342" s="125">
        <v>0</v>
      </c>
      <c r="CR342" s="125">
        <v>0</v>
      </c>
      <c r="CS342" s="125">
        <v>0</v>
      </c>
      <c r="CT342" s="125">
        <v>0</v>
      </c>
      <c r="CU342" s="126">
        <v>0</v>
      </c>
    </row>
    <row r="343" spans="1:99" x14ac:dyDescent="0.25">
      <c r="A343" t="s">
        <v>269</v>
      </c>
      <c r="B343" s="2" t="s">
        <v>4</v>
      </c>
      <c r="C343" s="1">
        <v>32659</v>
      </c>
      <c r="D343" s="19">
        <v>222.266071428571</v>
      </c>
      <c r="E343" s="18">
        <v>0</v>
      </c>
      <c r="F343" s="19">
        <v>0</v>
      </c>
      <c r="G343" s="19">
        <v>0</v>
      </c>
      <c r="H343" s="19">
        <v>0</v>
      </c>
      <c r="I343" s="19">
        <f>SUM(E343:H343)/Variables!$E$3</f>
        <v>0</v>
      </c>
      <c r="J343" s="4">
        <v>0</v>
      </c>
      <c r="K343">
        <v>3700</v>
      </c>
      <c r="L343">
        <v>168684</v>
      </c>
      <c r="M343">
        <v>4279</v>
      </c>
      <c r="N343" s="6">
        <f>SUM(J343:M343)/Variables!$E$3</f>
        <v>0.13987680029137206</v>
      </c>
      <c r="O343" s="4">
        <v>0</v>
      </c>
      <c r="P343">
        <v>0</v>
      </c>
      <c r="Q343">
        <v>0</v>
      </c>
      <c r="R343">
        <v>0</v>
      </c>
      <c r="S343" s="6">
        <f>SUM(O343:R343)/Variables!$E$3</f>
        <v>0</v>
      </c>
      <c r="T343" s="4">
        <v>0</v>
      </c>
      <c r="U343">
        <v>0</v>
      </c>
      <c r="V343">
        <v>32630</v>
      </c>
      <c r="W343">
        <v>0</v>
      </c>
      <c r="X343" s="6">
        <f>SUM(T343:W343)/Variables!$E$3</f>
        <v>2.5835517304175014E-2</v>
      </c>
      <c r="Y343" s="4">
        <v>0</v>
      </c>
      <c r="Z343">
        <v>0</v>
      </c>
      <c r="AA343">
        <v>30930.9</v>
      </c>
      <c r="AB343">
        <v>0</v>
      </c>
      <c r="AC343" s="6">
        <f>SUM(Y343:AB343)/Variables!$E$3</f>
        <v>2.4490217658097058E-2</v>
      </c>
      <c r="AD343" s="4">
        <v>0</v>
      </c>
      <c r="AE343" s="2">
        <v>0</v>
      </c>
      <c r="AF343" s="2">
        <v>11474.5</v>
      </c>
      <c r="AG343" s="2">
        <v>0</v>
      </c>
      <c r="AH343" s="6">
        <f>SUM(AD343:AG343)/Variables!$E$3</f>
        <v>9.0851867394041129E-3</v>
      </c>
      <c r="AI343" s="4">
        <v>0</v>
      </c>
      <c r="AJ343" s="2">
        <v>0</v>
      </c>
      <c r="AK343" s="2">
        <v>11944.3</v>
      </c>
      <c r="AL343" s="2">
        <v>0</v>
      </c>
      <c r="AM343" s="6">
        <f>SUM(AI343:AL343)/Variables!$E$3</f>
        <v>9.4571611810069754E-3</v>
      </c>
      <c r="AN343" s="4">
        <v>0</v>
      </c>
      <c r="AO343" s="2">
        <v>0</v>
      </c>
      <c r="AP343" s="2">
        <v>14127.6</v>
      </c>
      <c r="AQ343" s="2">
        <v>0</v>
      </c>
      <c r="AR343" s="6">
        <f>SUM(AN343:AQ343)/Variables!$E$3</f>
        <v>1.1185836784139225E-2</v>
      </c>
      <c r="AS343" s="4">
        <v>0</v>
      </c>
      <c r="AT343" s="2">
        <v>0</v>
      </c>
      <c r="AU343" s="2">
        <v>32957.300000000003</v>
      </c>
      <c r="AV343" s="2">
        <v>49.300000000000203</v>
      </c>
      <c r="AW343" s="6">
        <f>SUM(AS343:AV343)/Variables!$E$3</f>
        <v>2.6133698604106134E-2</v>
      </c>
      <c r="AX343" s="4">
        <v>0</v>
      </c>
      <c r="AY343" s="2">
        <v>0</v>
      </c>
      <c r="AZ343" s="2">
        <v>20254.900000000001</v>
      </c>
      <c r="BA343" s="2">
        <v>0</v>
      </c>
      <c r="BB343" s="6">
        <f>SUM(AX343:BA343)/Variables!$E$3</f>
        <v>1.6037260785912794E-2</v>
      </c>
      <c r="BC343" s="12">
        <f t="shared" si="86"/>
        <v>0</v>
      </c>
      <c r="BD343" s="110">
        <f t="shared" si="86"/>
        <v>0</v>
      </c>
      <c r="BE343" s="110">
        <f t="shared" si="86"/>
        <v>30930.9</v>
      </c>
      <c r="BF343" s="110">
        <f t="shared" si="86"/>
        <v>0</v>
      </c>
      <c r="BG343" s="6">
        <f>SUM(BC343:BF343)/Variables!$E$3</f>
        <v>2.4490217658097058E-2</v>
      </c>
      <c r="BH343" s="4">
        <v>0</v>
      </c>
      <c r="BI343">
        <v>0</v>
      </c>
      <c r="BJ343">
        <v>18394.3</v>
      </c>
      <c r="BK343">
        <v>0</v>
      </c>
      <c r="BL343" s="6">
        <f>SUM(BH343:BK343)/Variables!$E$3</f>
        <v>1.4564089976959438E-2</v>
      </c>
      <c r="BM343" s="110">
        <v>0</v>
      </c>
      <c r="BN343" s="110">
        <v>0</v>
      </c>
      <c r="BO343" s="110">
        <v>21033.8</v>
      </c>
      <c r="BP343" s="110">
        <v>0</v>
      </c>
      <c r="BQ343" s="6">
        <f>SUM(BM343:BP343)/Variables!$E$3</f>
        <v>1.6653971923768201E-2</v>
      </c>
      <c r="BS343" s="4">
        <v>341</v>
      </c>
      <c r="BT343" s="125">
        <f t="shared" si="87"/>
        <v>0</v>
      </c>
      <c r="BU343" s="125">
        <f t="shared" si="74"/>
        <v>1.5091172535016113E-2</v>
      </c>
      <c r="BV343" s="125">
        <f t="shared" si="75"/>
        <v>0</v>
      </c>
      <c r="BW343" s="125">
        <f t="shared" si="76"/>
        <v>2.3229795960379735E-3</v>
      </c>
      <c r="BX343" s="125">
        <f t="shared" si="77"/>
        <v>2.1108639023270175E-3</v>
      </c>
      <c r="BY343" s="125">
        <f t="shared" si="78"/>
        <v>0</v>
      </c>
      <c r="BZ343" s="125">
        <f t="shared" si="79"/>
        <v>1.8764994180476489E-4</v>
      </c>
      <c r="CA343" s="125">
        <f t="shared" si="80"/>
        <v>4.0926689839191125E-4</v>
      </c>
      <c r="CB343" s="125">
        <f t="shared" si="81"/>
        <v>2.3343811114894023E-3</v>
      </c>
      <c r="CC343" s="125">
        <f t="shared" si="82"/>
        <v>9.6366558721763427E-4</v>
      </c>
      <c r="CD343" s="125">
        <f t="shared" si="83"/>
        <v>2.1108639023270175E-3</v>
      </c>
      <c r="CE343" s="125">
        <f t="shared" si="84"/>
        <v>7.7744083484429809E-4</v>
      </c>
      <c r="CF343" s="126">
        <f t="shared" si="85"/>
        <v>9.6271546093001535E-4</v>
      </c>
      <c r="CH343" s="4">
        <v>341</v>
      </c>
      <c r="CI343" s="129">
        <v>0</v>
      </c>
      <c r="CJ343" s="125">
        <v>0</v>
      </c>
      <c r="CK343" s="125">
        <v>0</v>
      </c>
      <c r="CL343" s="125">
        <v>0</v>
      </c>
      <c r="CM343" s="125">
        <v>0</v>
      </c>
      <c r="CN343" s="125">
        <v>0</v>
      </c>
      <c r="CO343" s="125">
        <v>0</v>
      </c>
      <c r="CP343" s="125">
        <v>0</v>
      </c>
      <c r="CQ343" s="125">
        <v>0</v>
      </c>
      <c r="CR343" s="125">
        <v>0</v>
      </c>
      <c r="CS343" s="125">
        <v>0</v>
      </c>
      <c r="CT343" s="125">
        <v>0</v>
      </c>
      <c r="CU343" s="126">
        <v>0</v>
      </c>
    </row>
    <row r="344" spans="1:99" x14ac:dyDescent="0.25">
      <c r="A344" t="s">
        <v>269</v>
      </c>
      <c r="B344" s="2" t="s">
        <v>1</v>
      </c>
      <c r="C344" s="1">
        <v>32751</v>
      </c>
      <c r="D344" s="19">
        <v>33.007142857142902</v>
      </c>
      <c r="E344" s="18">
        <v>0</v>
      </c>
      <c r="F344" s="19">
        <v>0</v>
      </c>
      <c r="G344" s="19">
        <v>0</v>
      </c>
      <c r="H344" s="19">
        <v>0</v>
      </c>
      <c r="I344" s="19">
        <f>SUM(E344:H344)/Variables!$E$3</f>
        <v>0</v>
      </c>
      <c r="J344" s="4">
        <v>0</v>
      </c>
      <c r="K344">
        <v>0</v>
      </c>
      <c r="L344">
        <v>19060</v>
      </c>
      <c r="M344">
        <v>0</v>
      </c>
      <c r="N344" s="6">
        <f>SUM(J344:M344)/Variables!$E$3</f>
        <v>1.5091172535016113E-2</v>
      </c>
      <c r="O344" s="4">
        <v>0</v>
      </c>
      <c r="P344">
        <v>0</v>
      </c>
      <c r="Q344">
        <v>0</v>
      </c>
      <c r="R344">
        <v>0</v>
      </c>
      <c r="S344" s="6">
        <f>SUM(O344:R344)/Variables!$E$3</f>
        <v>0</v>
      </c>
      <c r="T344" s="4">
        <v>0</v>
      </c>
      <c r="U344">
        <v>0</v>
      </c>
      <c r="V344">
        <v>2933.9</v>
      </c>
      <c r="W344">
        <v>0</v>
      </c>
      <c r="X344" s="6">
        <f>SUM(T344:W344)/Variables!$E$3</f>
        <v>2.3229795960379735E-3</v>
      </c>
      <c r="Y344" s="4">
        <v>0</v>
      </c>
      <c r="Z344">
        <v>0</v>
      </c>
      <c r="AA344">
        <v>2666</v>
      </c>
      <c r="AB344">
        <v>0</v>
      </c>
      <c r="AC344" s="6">
        <f>SUM(Y344:AB344)/Variables!$E$3</f>
        <v>2.1108639023270175E-3</v>
      </c>
      <c r="AD344" s="4">
        <v>0</v>
      </c>
      <c r="AE344" s="2">
        <v>0</v>
      </c>
      <c r="AF344" s="2">
        <v>0</v>
      </c>
      <c r="AG344" s="2">
        <v>0</v>
      </c>
      <c r="AH344" s="6">
        <f>SUM(AD344:AG344)/Variables!$E$3</f>
        <v>0</v>
      </c>
      <c r="AI344" s="4">
        <v>0</v>
      </c>
      <c r="AJ344" s="2">
        <v>0</v>
      </c>
      <c r="AK344" s="2">
        <v>237</v>
      </c>
      <c r="AL344" s="2">
        <v>0</v>
      </c>
      <c r="AM344" s="6">
        <f>SUM(AI344:AL344)/Variables!$E$3</f>
        <v>1.8764994180476489E-4</v>
      </c>
      <c r="AN344" s="4">
        <v>0</v>
      </c>
      <c r="AO344" s="2">
        <v>0</v>
      </c>
      <c r="AP344" s="2">
        <v>516.9</v>
      </c>
      <c r="AQ344" s="2">
        <v>0</v>
      </c>
      <c r="AR344" s="6">
        <f>SUM(AN344:AQ344)/Variables!$E$3</f>
        <v>4.0926689839191125E-4</v>
      </c>
      <c r="AS344" s="4">
        <v>0</v>
      </c>
      <c r="AT344" s="2">
        <v>0</v>
      </c>
      <c r="AU344" s="2">
        <v>2948.3</v>
      </c>
      <c r="AV344" s="2">
        <v>0</v>
      </c>
      <c r="AW344" s="6">
        <f>SUM(AS344:AV344)/Variables!$E$3</f>
        <v>2.3343811114894023E-3</v>
      </c>
      <c r="AX344" s="4">
        <v>0</v>
      </c>
      <c r="AY344" s="2">
        <v>0</v>
      </c>
      <c r="AZ344" s="2">
        <v>1217.0999999999999</v>
      </c>
      <c r="BA344" s="2">
        <v>0</v>
      </c>
      <c r="BB344" s="6">
        <f>SUM(AX344:BA344)/Variables!$E$3</f>
        <v>9.6366558721763427E-4</v>
      </c>
      <c r="BC344" s="12">
        <f t="shared" si="86"/>
        <v>0</v>
      </c>
      <c r="BD344" s="110">
        <f t="shared" si="86"/>
        <v>0</v>
      </c>
      <c r="BE344" s="110">
        <f t="shared" si="86"/>
        <v>2666</v>
      </c>
      <c r="BF344" s="110">
        <f t="shared" si="86"/>
        <v>0</v>
      </c>
      <c r="BG344" s="6">
        <f>SUM(BC344:BF344)/Variables!$E$3</f>
        <v>2.1108639023270175E-3</v>
      </c>
      <c r="BH344" s="4">
        <v>0</v>
      </c>
      <c r="BI344">
        <v>0</v>
      </c>
      <c r="BJ344">
        <v>981.9</v>
      </c>
      <c r="BK344">
        <v>0</v>
      </c>
      <c r="BL344" s="6">
        <f>SUM(BH344:BK344)/Variables!$E$3</f>
        <v>7.7744083484429809E-4</v>
      </c>
      <c r="BM344" s="110">
        <v>0</v>
      </c>
      <c r="BN344" s="110">
        <v>0</v>
      </c>
      <c r="BO344" s="110">
        <v>1215.9000000000001</v>
      </c>
      <c r="BP344" s="110">
        <v>0</v>
      </c>
      <c r="BQ344" s="6">
        <f>SUM(BM344:BP344)/Variables!$E$3</f>
        <v>9.6271546093001535E-4</v>
      </c>
      <c r="BS344" s="4">
        <v>342</v>
      </c>
      <c r="BT344" s="125">
        <f t="shared" si="87"/>
        <v>0</v>
      </c>
      <c r="BU344" s="125">
        <f t="shared" si="74"/>
        <v>6.4034552925993082E-2</v>
      </c>
      <c r="BV344" s="125">
        <f t="shared" si="75"/>
        <v>0</v>
      </c>
      <c r="BW344" s="125">
        <f t="shared" si="76"/>
        <v>8.1412362726545739E-3</v>
      </c>
      <c r="BX344" s="125">
        <f t="shared" si="77"/>
        <v>7.5123318474413893E-3</v>
      </c>
      <c r="BY344" s="125">
        <f t="shared" si="78"/>
        <v>3.5154672641905001E-5</v>
      </c>
      <c r="BZ344" s="125">
        <f t="shared" si="79"/>
        <v>1.6008044402568507E-3</v>
      </c>
      <c r="CA344" s="125">
        <f t="shared" si="80"/>
        <v>2.2738105606536869E-3</v>
      </c>
      <c r="CB344" s="125">
        <f t="shared" si="81"/>
        <v>8.3651493677701326E-3</v>
      </c>
      <c r="CC344" s="125">
        <f t="shared" si="82"/>
        <v>4.705975502577218E-3</v>
      </c>
      <c r="CD344" s="125">
        <f t="shared" si="83"/>
        <v>7.5123318474413893E-3</v>
      </c>
      <c r="CE344" s="125">
        <f t="shared" si="84"/>
        <v>3.2769063888075122E-3</v>
      </c>
      <c r="CF344" s="126">
        <f t="shared" si="85"/>
        <v>4.316819610606577E-3</v>
      </c>
      <c r="CH344" s="4">
        <v>342</v>
      </c>
      <c r="CI344" s="129">
        <v>0</v>
      </c>
      <c r="CJ344" s="125">
        <v>0</v>
      </c>
      <c r="CK344" s="125">
        <v>0</v>
      </c>
      <c r="CL344" s="125">
        <v>0</v>
      </c>
      <c r="CM344" s="125">
        <v>0</v>
      </c>
      <c r="CN344" s="125">
        <v>0</v>
      </c>
      <c r="CO344" s="125">
        <v>0</v>
      </c>
      <c r="CP344" s="125">
        <v>0</v>
      </c>
      <c r="CQ344" s="125">
        <v>0</v>
      </c>
      <c r="CR344" s="125">
        <v>0</v>
      </c>
      <c r="CS344" s="125">
        <v>0</v>
      </c>
      <c r="CT344" s="125">
        <v>0</v>
      </c>
      <c r="CU344" s="126">
        <v>0</v>
      </c>
    </row>
    <row r="345" spans="1:99" x14ac:dyDescent="0.25">
      <c r="A345" t="s">
        <v>269</v>
      </c>
      <c r="B345" s="2" t="s">
        <v>2</v>
      </c>
      <c r="C345" s="1">
        <v>32842</v>
      </c>
      <c r="D345" s="19">
        <v>28.3125</v>
      </c>
      <c r="E345" s="18">
        <v>0</v>
      </c>
      <c r="F345" s="19">
        <v>0</v>
      </c>
      <c r="G345" s="19">
        <v>0</v>
      </c>
      <c r="H345" s="19">
        <v>0</v>
      </c>
      <c r="I345" s="19">
        <f>SUM(E345:H345)/Variables!$E$3</f>
        <v>0</v>
      </c>
      <c r="J345" s="4">
        <v>0</v>
      </c>
      <c r="K345">
        <v>0</v>
      </c>
      <c r="L345">
        <v>79990</v>
      </c>
      <c r="M345">
        <v>885</v>
      </c>
      <c r="N345" s="6">
        <f>SUM(J345:M345)/Variables!$E$3</f>
        <v>6.4034552925993082E-2</v>
      </c>
      <c r="O345" s="4">
        <v>0</v>
      </c>
      <c r="P345">
        <v>0</v>
      </c>
      <c r="Q345">
        <v>0</v>
      </c>
      <c r="R345">
        <v>0</v>
      </c>
      <c r="S345" s="6">
        <f>SUM(O345:R345)/Variables!$E$3</f>
        <v>0</v>
      </c>
      <c r="T345" s="4">
        <v>0</v>
      </c>
      <c r="U345">
        <v>0</v>
      </c>
      <c r="V345">
        <v>10282.299999999999</v>
      </c>
      <c r="W345">
        <v>0</v>
      </c>
      <c r="X345" s="6">
        <f>SUM(T345:W345)/Variables!$E$3</f>
        <v>8.1412362726545739E-3</v>
      </c>
      <c r="Y345" s="4">
        <v>0</v>
      </c>
      <c r="Z345">
        <v>0</v>
      </c>
      <c r="AA345">
        <v>9488</v>
      </c>
      <c r="AB345">
        <v>0</v>
      </c>
      <c r="AC345" s="6">
        <f>SUM(Y345:AB345)/Variables!$E$3</f>
        <v>7.5123318474413893E-3</v>
      </c>
      <c r="AD345" s="4">
        <v>0</v>
      </c>
      <c r="AE345" s="2">
        <v>0</v>
      </c>
      <c r="AF345" s="2">
        <v>44.399999999999601</v>
      </c>
      <c r="AG345" s="2">
        <v>0</v>
      </c>
      <c r="AH345" s="6">
        <f>SUM(AD345:AG345)/Variables!$E$3</f>
        <v>3.5154672641905001E-5</v>
      </c>
      <c r="AI345" s="4">
        <v>0</v>
      </c>
      <c r="AJ345" s="2">
        <v>0</v>
      </c>
      <c r="AK345" s="2">
        <v>2021.8</v>
      </c>
      <c r="AL345" s="2">
        <v>0</v>
      </c>
      <c r="AM345" s="6">
        <f>SUM(AI345:AL345)/Variables!$E$3</f>
        <v>1.6008044402568507E-3</v>
      </c>
      <c r="AN345" s="4">
        <v>0</v>
      </c>
      <c r="AO345" s="2">
        <v>0</v>
      </c>
      <c r="AP345" s="2">
        <v>2871.8</v>
      </c>
      <c r="AQ345" s="2">
        <v>0</v>
      </c>
      <c r="AR345" s="6">
        <f>SUM(AN345:AQ345)/Variables!$E$3</f>
        <v>2.2738105606536869E-3</v>
      </c>
      <c r="AS345" s="4">
        <v>0</v>
      </c>
      <c r="AT345" s="2">
        <v>0</v>
      </c>
      <c r="AU345" s="2">
        <v>10565.1</v>
      </c>
      <c r="AV345" s="2">
        <v>0</v>
      </c>
      <c r="AW345" s="6">
        <f>SUM(AS345:AV345)/Variables!$E$3</f>
        <v>8.3651493677701326E-3</v>
      </c>
      <c r="AX345" s="4">
        <v>0</v>
      </c>
      <c r="AY345" s="2">
        <v>0</v>
      </c>
      <c r="AZ345" s="2">
        <v>5943.6</v>
      </c>
      <c r="BA345" s="2">
        <v>0</v>
      </c>
      <c r="BB345" s="6">
        <f>SUM(AX345:BA345)/Variables!$E$3</f>
        <v>4.705975502577218E-3</v>
      </c>
      <c r="BC345" s="12">
        <f t="shared" si="86"/>
        <v>0</v>
      </c>
      <c r="BD345" s="110">
        <f t="shared" si="86"/>
        <v>0</v>
      </c>
      <c r="BE345" s="110">
        <f t="shared" si="86"/>
        <v>9488</v>
      </c>
      <c r="BF345" s="110">
        <f t="shared" si="86"/>
        <v>0</v>
      </c>
      <c r="BG345" s="6">
        <f>SUM(BC345:BF345)/Variables!$E$3</f>
        <v>7.5123318474413893E-3</v>
      </c>
      <c r="BH345" s="4">
        <v>0</v>
      </c>
      <c r="BI345">
        <v>0</v>
      </c>
      <c r="BJ345">
        <v>4138.7</v>
      </c>
      <c r="BK345">
        <v>0</v>
      </c>
      <c r="BL345" s="6">
        <f>SUM(BH345:BK345)/Variables!$E$3</f>
        <v>3.2769063888075122E-3</v>
      </c>
      <c r="BM345" s="110">
        <v>0</v>
      </c>
      <c r="BN345" s="110">
        <v>0</v>
      </c>
      <c r="BO345" s="110">
        <v>5452.1</v>
      </c>
      <c r="BP345" s="110">
        <v>0</v>
      </c>
      <c r="BQ345" s="6">
        <f>SUM(BM345:BP345)/Variables!$E$3</f>
        <v>4.316819610606577E-3</v>
      </c>
      <c r="BS345" s="4">
        <v>343</v>
      </c>
      <c r="BT345" s="125">
        <f t="shared" si="87"/>
        <v>0</v>
      </c>
      <c r="BU345" s="125">
        <f t="shared" si="74"/>
        <v>6.7229352568112175E-3</v>
      </c>
      <c r="BV345" s="125">
        <f t="shared" si="75"/>
        <v>0</v>
      </c>
      <c r="BW345" s="125">
        <f t="shared" si="76"/>
        <v>0</v>
      </c>
      <c r="BX345" s="125">
        <f t="shared" si="77"/>
        <v>0</v>
      </c>
      <c r="BY345" s="125">
        <f t="shared" si="78"/>
        <v>0</v>
      </c>
      <c r="BZ345" s="125">
        <f t="shared" si="79"/>
        <v>0</v>
      </c>
      <c r="CA345" s="125">
        <f t="shared" si="80"/>
        <v>0</v>
      </c>
      <c r="CB345" s="125">
        <f t="shared" si="81"/>
        <v>0</v>
      </c>
      <c r="CC345" s="125">
        <f t="shared" si="82"/>
        <v>0</v>
      </c>
      <c r="CD345" s="125">
        <f t="shared" si="83"/>
        <v>0</v>
      </c>
      <c r="CE345" s="125">
        <f t="shared" si="84"/>
        <v>0</v>
      </c>
      <c r="CF345" s="126">
        <f t="shared" si="85"/>
        <v>0</v>
      </c>
      <c r="CH345" s="4">
        <v>343</v>
      </c>
      <c r="CI345" s="129">
        <v>0</v>
      </c>
      <c r="CJ345" s="125">
        <v>0</v>
      </c>
      <c r="CK345" s="125">
        <v>0</v>
      </c>
      <c r="CL345" s="125">
        <v>0</v>
      </c>
      <c r="CM345" s="125">
        <v>0</v>
      </c>
      <c r="CN345" s="125">
        <v>0</v>
      </c>
      <c r="CO345" s="125">
        <v>0</v>
      </c>
      <c r="CP345" s="125">
        <v>0</v>
      </c>
      <c r="CQ345" s="125">
        <v>0</v>
      </c>
      <c r="CR345" s="125">
        <v>0</v>
      </c>
      <c r="CS345" s="125">
        <v>0</v>
      </c>
      <c r="CT345" s="125">
        <v>0</v>
      </c>
      <c r="CU345" s="126">
        <v>0</v>
      </c>
    </row>
    <row r="346" spans="1:99" x14ac:dyDescent="0.25">
      <c r="A346" t="s">
        <v>270</v>
      </c>
      <c r="B346" s="2" t="s">
        <v>3</v>
      </c>
      <c r="C346" s="1">
        <v>32932</v>
      </c>
      <c r="D346" s="19">
        <v>75.9375</v>
      </c>
      <c r="E346" s="18">
        <v>0</v>
      </c>
      <c r="F346" s="19">
        <v>0</v>
      </c>
      <c r="G346" s="19">
        <v>0</v>
      </c>
      <c r="H346" s="19">
        <v>0</v>
      </c>
      <c r="I346" s="19">
        <f>SUM(E346:H346)/Variables!$E$3</f>
        <v>0</v>
      </c>
      <c r="J346" s="4">
        <v>0</v>
      </c>
      <c r="K346">
        <v>0</v>
      </c>
      <c r="L346">
        <v>8491</v>
      </c>
      <c r="M346">
        <v>0</v>
      </c>
      <c r="N346" s="6">
        <f>SUM(J346:M346)/Variables!$E$3</f>
        <v>6.7229352568112175E-3</v>
      </c>
      <c r="O346" s="4">
        <v>0</v>
      </c>
      <c r="P346">
        <v>0</v>
      </c>
      <c r="Q346">
        <v>0</v>
      </c>
      <c r="R346">
        <v>0</v>
      </c>
      <c r="S346" s="6">
        <f>SUM(O346:R346)/Variables!$E$3</f>
        <v>0</v>
      </c>
      <c r="T346" s="4">
        <v>0</v>
      </c>
      <c r="U346">
        <v>0</v>
      </c>
      <c r="V346">
        <v>0</v>
      </c>
      <c r="W346">
        <v>0</v>
      </c>
      <c r="X346" s="6">
        <f>SUM(T346:W346)/Variables!$E$3</f>
        <v>0</v>
      </c>
      <c r="Y346" s="4">
        <v>0</v>
      </c>
      <c r="Z346">
        <v>0</v>
      </c>
      <c r="AA346">
        <v>0</v>
      </c>
      <c r="AB346">
        <v>0</v>
      </c>
      <c r="AC346" s="6">
        <f>SUM(Y346:AB346)/Variables!$E$3</f>
        <v>0</v>
      </c>
      <c r="AD346" s="4">
        <v>0</v>
      </c>
      <c r="AE346" s="2">
        <v>0</v>
      </c>
      <c r="AF346" s="2">
        <v>0</v>
      </c>
      <c r="AG346" s="2">
        <v>0</v>
      </c>
      <c r="AH346" s="6">
        <f>SUM(AD346:AG346)/Variables!$E$3</f>
        <v>0</v>
      </c>
      <c r="AI346" s="4">
        <v>0</v>
      </c>
      <c r="AJ346" s="2">
        <v>0</v>
      </c>
      <c r="AK346" s="2">
        <v>0</v>
      </c>
      <c r="AL346" s="2">
        <v>0</v>
      </c>
      <c r="AM346" s="6">
        <f>SUM(AI346:AL346)/Variables!$E$3</f>
        <v>0</v>
      </c>
      <c r="AN346" s="4">
        <v>0</v>
      </c>
      <c r="AO346" s="2">
        <v>0</v>
      </c>
      <c r="AP346" s="2">
        <v>0</v>
      </c>
      <c r="AQ346" s="2">
        <v>0</v>
      </c>
      <c r="AR346" s="6">
        <f>SUM(AN346:AQ346)/Variables!$E$3</f>
        <v>0</v>
      </c>
      <c r="AS346" s="4">
        <v>0</v>
      </c>
      <c r="AT346" s="2">
        <v>0</v>
      </c>
      <c r="AU346" s="2">
        <v>0</v>
      </c>
      <c r="AV346" s="2">
        <v>0</v>
      </c>
      <c r="AW346" s="6">
        <f>SUM(AS346:AV346)/Variables!$E$3</f>
        <v>0</v>
      </c>
      <c r="AX346" s="4">
        <v>0</v>
      </c>
      <c r="AY346" s="2">
        <v>0</v>
      </c>
      <c r="AZ346" s="2">
        <v>0</v>
      </c>
      <c r="BA346" s="2">
        <v>0</v>
      </c>
      <c r="BB346" s="6">
        <f>SUM(AX346:BA346)/Variables!$E$3</f>
        <v>0</v>
      </c>
      <c r="BC346" s="12">
        <f t="shared" si="86"/>
        <v>0</v>
      </c>
      <c r="BD346" s="110">
        <f t="shared" si="86"/>
        <v>0</v>
      </c>
      <c r="BE346" s="110">
        <f t="shared" si="86"/>
        <v>0</v>
      </c>
      <c r="BF346" s="110">
        <f t="shared" si="86"/>
        <v>0</v>
      </c>
      <c r="BG346" s="6">
        <f>SUM(BC346:BF346)/Variables!$E$3</f>
        <v>0</v>
      </c>
      <c r="BH346" s="4">
        <v>0</v>
      </c>
      <c r="BI346">
        <v>0</v>
      </c>
      <c r="BJ346">
        <v>0</v>
      </c>
      <c r="BK346">
        <v>0</v>
      </c>
      <c r="BL346" s="6">
        <f>SUM(BH346:BK346)/Variables!$E$3</f>
        <v>0</v>
      </c>
      <c r="BM346" s="110">
        <v>0</v>
      </c>
      <c r="BN346" s="110">
        <v>0</v>
      </c>
      <c r="BO346" s="110">
        <v>0</v>
      </c>
      <c r="BP346" s="110">
        <v>0</v>
      </c>
      <c r="BQ346" s="6">
        <f>SUM(BM346:BP346)/Variables!$E$3</f>
        <v>0</v>
      </c>
      <c r="BS346" s="4">
        <v>344</v>
      </c>
      <c r="BT346" s="125">
        <f t="shared" si="87"/>
        <v>0</v>
      </c>
      <c r="BU346" s="125">
        <f t="shared" si="74"/>
        <v>0.58550503171046486</v>
      </c>
      <c r="BV346" s="125">
        <f t="shared" si="75"/>
        <v>0.25707725318490249</v>
      </c>
      <c r="BW346" s="125">
        <f t="shared" si="76"/>
        <v>0.39537035130919485</v>
      </c>
      <c r="BX346" s="125">
        <f t="shared" si="77"/>
        <v>0.39313589181228675</v>
      </c>
      <c r="BY346" s="125">
        <f t="shared" si="78"/>
        <v>0.36716442727179155</v>
      </c>
      <c r="BZ346" s="125">
        <f t="shared" si="79"/>
        <v>0.32956341697083907</v>
      </c>
      <c r="CA346" s="125">
        <f t="shared" si="80"/>
        <v>0.34708509172677537</v>
      </c>
      <c r="CB346" s="125">
        <f t="shared" si="81"/>
        <v>0.4202639767535768</v>
      </c>
      <c r="CC346" s="125">
        <f t="shared" si="82"/>
        <v>0.35992834464247542</v>
      </c>
      <c r="CD346" s="125">
        <f t="shared" si="83"/>
        <v>0.39313589181228675</v>
      </c>
      <c r="CE346" s="125">
        <f t="shared" si="84"/>
        <v>0.36290706973135178</v>
      </c>
      <c r="CF346" s="126">
        <f t="shared" si="85"/>
        <v>0.36815699253359097</v>
      </c>
      <c r="CH346" s="4">
        <v>344</v>
      </c>
      <c r="CI346" s="129">
        <v>0</v>
      </c>
      <c r="CJ346" s="125">
        <v>0.5800837694676918</v>
      </c>
      <c r="CK346" s="125">
        <v>0.14765318806958092</v>
      </c>
      <c r="CL346" s="125">
        <v>0.25491175702103736</v>
      </c>
      <c r="CM346" s="125">
        <v>0.25425664494572403</v>
      </c>
      <c r="CN346" s="125">
        <v>0.25045899017411066</v>
      </c>
      <c r="CO346" s="125">
        <v>0.19467612570170786</v>
      </c>
      <c r="CP346" s="125">
        <v>0.2147403384033128</v>
      </c>
      <c r="CQ346" s="125">
        <v>0.26218354856332987</v>
      </c>
      <c r="CR346" s="125">
        <v>0.2179341087419536</v>
      </c>
      <c r="CS346" s="125">
        <v>0.25425664494572403</v>
      </c>
      <c r="CT346" s="125">
        <v>0.200589474184277</v>
      </c>
      <c r="CU346" s="126">
        <v>0.2436684375964972</v>
      </c>
    </row>
    <row r="347" spans="1:99" x14ac:dyDescent="0.25">
      <c r="A347" t="s">
        <v>270</v>
      </c>
      <c r="B347" s="2" t="s">
        <v>4</v>
      </c>
      <c r="C347" s="1">
        <v>33024</v>
      </c>
      <c r="D347" s="19">
        <v>307.41250000000002</v>
      </c>
      <c r="E347" s="18">
        <v>0</v>
      </c>
      <c r="F347" s="19">
        <v>0</v>
      </c>
      <c r="G347" s="19">
        <v>0</v>
      </c>
      <c r="H347" s="19">
        <v>0</v>
      </c>
      <c r="I347" s="19">
        <f>SUM(E347:H347)/Variables!$E$3</f>
        <v>0</v>
      </c>
      <c r="J347" s="4">
        <v>58691</v>
      </c>
      <c r="K347">
        <v>60416</v>
      </c>
      <c r="L347">
        <v>475416</v>
      </c>
      <c r="M347">
        <v>144964</v>
      </c>
      <c r="N347" s="6">
        <f>SUM(J347:M347)/Variables!$E$3</f>
        <v>0.58550503171046486</v>
      </c>
      <c r="O347" s="4">
        <v>20875</v>
      </c>
      <c r="P347">
        <v>23228</v>
      </c>
      <c r="Q347">
        <v>194584</v>
      </c>
      <c r="R347">
        <v>85999</v>
      </c>
      <c r="S347" s="6">
        <f>SUM(O347:R347)/Variables!$E$3</f>
        <v>0.25707725318490249</v>
      </c>
      <c r="T347" s="4">
        <v>30600.1</v>
      </c>
      <c r="U347">
        <v>30958.5</v>
      </c>
      <c r="V347">
        <v>330609.7</v>
      </c>
      <c r="W347">
        <v>107180.5</v>
      </c>
      <c r="X347" s="6">
        <f>SUM(T347:W347)/Variables!$E$3</f>
        <v>0.39537035130919485</v>
      </c>
      <c r="Y347" s="4">
        <v>30571.7</v>
      </c>
      <c r="Z347">
        <v>30936.3</v>
      </c>
      <c r="AA347">
        <v>327931.90000000002</v>
      </c>
      <c r="AB347">
        <v>107086.8</v>
      </c>
      <c r="AC347" s="6">
        <f>SUM(Y347:AB347)/Variables!$E$3</f>
        <v>0.39313589181228675</v>
      </c>
      <c r="AD347" s="4">
        <v>29988.7</v>
      </c>
      <c r="AE347" s="2">
        <v>30606.1</v>
      </c>
      <c r="AF347" s="2">
        <v>304635.8</v>
      </c>
      <c r="AG347" s="2">
        <v>98494.399999999994</v>
      </c>
      <c r="AH347" s="6">
        <f>SUM(AD347:AG347)/Variables!$E$3</f>
        <v>0.36716442727179155</v>
      </c>
      <c r="AI347" s="4">
        <v>29013.5</v>
      </c>
      <c r="AJ347" s="2">
        <v>29451.200000000001</v>
      </c>
      <c r="AK347" s="2">
        <v>269233.7</v>
      </c>
      <c r="AL347" s="2">
        <v>88536.9</v>
      </c>
      <c r="AM347" s="6">
        <f>SUM(AI347:AL347)/Variables!$E$3</f>
        <v>0.32956341697083907</v>
      </c>
      <c r="AN347" s="4">
        <v>29185.7</v>
      </c>
      <c r="AO347" s="2">
        <v>29622.7</v>
      </c>
      <c r="AP347" s="2">
        <v>272695.90000000002</v>
      </c>
      <c r="AQ347" s="2">
        <v>106860.7</v>
      </c>
      <c r="AR347" s="6">
        <f>SUM(AN347:AQ347)/Variables!$E$3</f>
        <v>0.34708509172677537</v>
      </c>
      <c r="AS347" s="4">
        <v>35971.1</v>
      </c>
      <c r="AT347" s="2">
        <v>35030.5</v>
      </c>
      <c r="AU347" s="2">
        <v>329889</v>
      </c>
      <c r="AV347" s="2">
        <v>129898.6</v>
      </c>
      <c r="AW347" s="6">
        <f>SUM(AS347:AV347)/Variables!$E$3</f>
        <v>0.4202639767535768</v>
      </c>
      <c r="AX347" s="4">
        <v>29652.3</v>
      </c>
      <c r="AY347" s="2">
        <v>30026.7</v>
      </c>
      <c r="AZ347" s="2">
        <v>284632.2</v>
      </c>
      <c r="BA347" s="2">
        <v>110274.7</v>
      </c>
      <c r="BB347" s="6">
        <f>SUM(AX347:BA347)/Variables!$E$3</f>
        <v>0.35992834464247542</v>
      </c>
      <c r="BC347" s="12">
        <f t="shared" si="86"/>
        <v>30571.7</v>
      </c>
      <c r="BD347" s="110">
        <f t="shared" si="86"/>
        <v>30936.3</v>
      </c>
      <c r="BE347" s="110">
        <f t="shared" si="86"/>
        <v>327931.90000000002</v>
      </c>
      <c r="BF347" s="110">
        <f t="shared" si="86"/>
        <v>107086.8</v>
      </c>
      <c r="BG347" s="6">
        <f>SUM(BC347:BF347)/Variables!$E$3</f>
        <v>0.39313589181228675</v>
      </c>
      <c r="BH347" s="4">
        <v>30482.6</v>
      </c>
      <c r="BI347">
        <v>30563.4</v>
      </c>
      <c r="BJ347">
        <v>283503.90000000002</v>
      </c>
      <c r="BK347">
        <v>113798.1</v>
      </c>
      <c r="BL347" s="6">
        <f>SUM(BH347:BK347)/Variables!$E$3</f>
        <v>0.36290706973135178</v>
      </c>
      <c r="BM347" s="110">
        <v>30568.400000000001</v>
      </c>
      <c r="BN347" s="110">
        <v>30755.1</v>
      </c>
      <c r="BO347" s="110">
        <v>293669.90000000002</v>
      </c>
      <c r="BP347" s="110">
        <v>109985.2</v>
      </c>
      <c r="BQ347" s="6">
        <f>SUM(BM347:BP347)/Variables!$E$3</f>
        <v>0.36815699253359097</v>
      </c>
      <c r="BS347" s="4">
        <v>345</v>
      </c>
      <c r="BT347" s="125">
        <f t="shared" si="87"/>
        <v>0</v>
      </c>
      <c r="BU347" s="125">
        <f t="shared" si="74"/>
        <v>3.4457121592411655E-2</v>
      </c>
      <c r="BV347" s="125">
        <f t="shared" si="75"/>
        <v>4.0950442996381606E-3</v>
      </c>
      <c r="BW347" s="125">
        <f t="shared" si="76"/>
        <v>1.3670971266597517E-2</v>
      </c>
      <c r="BX347" s="125">
        <f t="shared" si="77"/>
        <v>1.3664399559774821E-2</v>
      </c>
      <c r="BY347" s="125">
        <f t="shared" si="78"/>
        <v>1.2681652269614169E-2</v>
      </c>
      <c r="BZ347" s="125">
        <f t="shared" si="79"/>
        <v>1.2279115432426227E-2</v>
      </c>
      <c r="CA347" s="125">
        <f t="shared" si="80"/>
        <v>1.2429156208679404E-2</v>
      </c>
      <c r="CB347" s="125">
        <f t="shared" si="81"/>
        <v>1.2430423043729563E-2</v>
      </c>
      <c r="CC347" s="125">
        <f t="shared" si="82"/>
        <v>1.2535966238845913E-2</v>
      </c>
      <c r="CD347" s="125">
        <f t="shared" si="83"/>
        <v>1.3664399559774821E-2</v>
      </c>
      <c r="CE347" s="125">
        <f t="shared" si="84"/>
        <v>1.1955359899920031E-2</v>
      </c>
      <c r="CF347" s="126">
        <f t="shared" si="85"/>
        <v>1.2875002969144648E-2</v>
      </c>
      <c r="CH347" s="4">
        <v>345</v>
      </c>
      <c r="CI347" s="129">
        <v>0</v>
      </c>
      <c r="CJ347" s="125">
        <v>0</v>
      </c>
      <c r="CK347" s="125">
        <v>0</v>
      </c>
      <c r="CL347" s="125">
        <v>0</v>
      </c>
      <c r="CM347" s="125">
        <v>0</v>
      </c>
      <c r="CN347" s="125">
        <v>0</v>
      </c>
      <c r="CO347" s="125">
        <v>0</v>
      </c>
      <c r="CP347" s="125">
        <v>0</v>
      </c>
      <c r="CQ347" s="125">
        <v>0</v>
      </c>
      <c r="CR347" s="125">
        <v>0</v>
      </c>
      <c r="CS347" s="125">
        <v>0</v>
      </c>
      <c r="CT347" s="125">
        <v>0</v>
      </c>
      <c r="CU347" s="126">
        <v>0</v>
      </c>
    </row>
    <row r="348" spans="1:99" x14ac:dyDescent="0.25">
      <c r="A348" t="s">
        <v>270</v>
      </c>
      <c r="B348" s="2" t="s">
        <v>1</v>
      </c>
      <c r="C348" s="1">
        <v>33116</v>
      </c>
      <c r="D348" s="19">
        <v>38.075000000000003</v>
      </c>
      <c r="E348" s="18">
        <v>0</v>
      </c>
      <c r="F348" s="19">
        <v>0</v>
      </c>
      <c r="G348" s="19">
        <v>0</v>
      </c>
      <c r="H348" s="19">
        <v>0</v>
      </c>
      <c r="I348" s="19">
        <f>SUM(E348:H348)/Variables!$E$3</f>
        <v>0</v>
      </c>
      <c r="J348" s="4">
        <v>0</v>
      </c>
      <c r="K348">
        <v>0</v>
      </c>
      <c r="L348">
        <v>43519</v>
      </c>
      <c r="M348">
        <v>0</v>
      </c>
      <c r="N348" s="6">
        <f>SUM(J348:M348)/Variables!$E$3</f>
        <v>3.4457121592411655E-2</v>
      </c>
      <c r="O348" s="4">
        <v>0</v>
      </c>
      <c r="P348">
        <v>0</v>
      </c>
      <c r="Q348">
        <v>5172</v>
      </c>
      <c r="R348">
        <v>0</v>
      </c>
      <c r="S348" s="6">
        <f>SUM(O348:R348)/Variables!$E$3</f>
        <v>4.0950442996381606E-3</v>
      </c>
      <c r="T348" s="4">
        <v>0</v>
      </c>
      <c r="U348">
        <v>0</v>
      </c>
      <c r="V348">
        <v>17266.3</v>
      </c>
      <c r="W348">
        <v>0</v>
      </c>
      <c r="X348" s="6">
        <f>SUM(T348:W348)/Variables!$E$3</f>
        <v>1.3670971266597517E-2</v>
      </c>
      <c r="Y348" s="4">
        <v>0</v>
      </c>
      <c r="Z348">
        <v>0</v>
      </c>
      <c r="AA348">
        <v>17258</v>
      </c>
      <c r="AB348">
        <v>0</v>
      </c>
      <c r="AC348" s="6">
        <f>SUM(Y348:AB348)/Variables!$E$3</f>
        <v>1.3664399559774821E-2</v>
      </c>
      <c r="AD348" s="4">
        <v>0</v>
      </c>
      <c r="AE348" s="2">
        <v>0</v>
      </c>
      <c r="AF348" s="2">
        <v>16016.8</v>
      </c>
      <c r="AG348" s="2">
        <v>0</v>
      </c>
      <c r="AH348" s="6">
        <f>SUM(AD348:AG348)/Variables!$E$3</f>
        <v>1.2681652269614169E-2</v>
      </c>
      <c r="AI348" s="4">
        <v>0</v>
      </c>
      <c r="AJ348" s="2">
        <v>0</v>
      </c>
      <c r="AK348" s="2">
        <v>15508.4</v>
      </c>
      <c r="AL348" s="2">
        <v>0</v>
      </c>
      <c r="AM348" s="6">
        <f>SUM(AI348:AL348)/Variables!$E$3</f>
        <v>1.2279115432426227E-2</v>
      </c>
      <c r="AN348" s="4">
        <v>0</v>
      </c>
      <c r="AO348" s="2">
        <v>0</v>
      </c>
      <c r="AP348" s="2">
        <v>15697.9</v>
      </c>
      <c r="AQ348" s="2">
        <v>0</v>
      </c>
      <c r="AR348" s="6">
        <f>SUM(AN348:AQ348)/Variables!$E$3</f>
        <v>1.2429156208679404E-2</v>
      </c>
      <c r="AS348" s="4">
        <v>0</v>
      </c>
      <c r="AT348" s="2">
        <v>0</v>
      </c>
      <c r="AU348" s="2">
        <v>15699.5</v>
      </c>
      <c r="AV348" s="2">
        <v>0</v>
      </c>
      <c r="AW348" s="6">
        <f>SUM(AS348:AV348)/Variables!$E$3</f>
        <v>1.2430423043729563E-2</v>
      </c>
      <c r="AX348" s="4">
        <v>0</v>
      </c>
      <c r="AY348" s="2">
        <v>0</v>
      </c>
      <c r="AZ348" s="2">
        <v>15832.8</v>
      </c>
      <c r="BA348" s="2">
        <v>0</v>
      </c>
      <c r="BB348" s="6">
        <f>SUM(AX348:BA348)/Variables!$E$3</f>
        <v>1.2535966238845913E-2</v>
      </c>
      <c r="BC348" s="12">
        <f t="shared" si="86"/>
        <v>0</v>
      </c>
      <c r="BD348" s="110">
        <f t="shared" si="86"/>
        <v>0</v>
      </c>
      <c r="BE348" s="110">
        <f t="shared" si="86"/>
        <v>17258</v>
      </c>
      <c r="BF348" s="110">
        <f t="shared" si="86"/>
        <v>0</v>
      </c>
      <c r="BG348" s="6">
        <f>SUM(BC348:BF348)/Variables!$E$3</f>
        <v>1.3664399559774821E-2</v>
      </c>
      <c r="BH348" s="4">
        <v>0</v>
      </c>
      <c r="BI348">
        <v>0</v>
      </c>
      <c r="BJ348">
        <v>15099.5</v>
      </c>
      <c r="BK348">
        <v>0</v>
      </c>
      <c r="BL348" s="6">
        <f>SUM(BH348:BK348)/Variables!$E$3</f>
        <v>1.1955359899920031E-2</v>
      </c>
      <c r="BM348" s="110">
        <v>0</v>
      </c>
      <c r="BN348" s="110">
        <v>0</v>
      </c>
      <c r="BO348" s="110">
        <v>16261</v>
      </c>
      <c r="BP348" s="110">
        <v>0</v>
      </c>
      <c r="BQ348" s="6">
        <f>SUM(BM348:BP348)/Variables!$E$3</f>
        <v>1.2875002969144648E-2</v>
      </c>
      <c r="BS348" s="4">
        <v>346</v>
      </c>
      <c r="BT348" s="125">
        <f t="shared" si="87"/>
        <v>0</v>
      </c>
      <c r="BU348" s="125">
        <f t="shared" si="74"/>
        <v>0</v>
      </c>
      <c r="BV348" s="125">
        <f t="shared" si="75"/>
        <v>0</v>
      </c>
      <c r="BW348" s="125">
        <f t="shared" si="76"/>
        <v>0</v>
      </c>
      <c r="BX348" s="125">
        <f t="shared" si="77"/>
        <v>0</v>
      </c>
      <c r="BY348" s="125">
        <f t="shared" si="78"/>
        <v>0</v>
      </c>
      <c r="BZ348" s="125">
        <f t="shared" si="79"/>
        <v>0</v>
      </c>
      <c r="CA348" s="125">
        <f t="shared" si="80"/>
        <v>0</v>
      </c>
      <c r="CB348" s="125">
        <f t="shared" si="81"/>
        <v>0</v>
      </c>
      <c r="CC348" s="125">
        <f t="shared" si="82"/>
        <v>0</v>
      </c>
      <c r="CD348" s="125">
        <f t="shared" si="83"/>
        <v>0</v>
      </c>
      <c r="CE348" s="125">
        <f t="shared" si="84"/>
        <v>0</v>
      </c>
      <c r="CF348" s="126">
        <f t="shared" si="85"/>
        <v>0</v>
      </c>
      <c r="CH348" s="4">
        <v>346</v>
      </c>
      <c r="CI348" s="129">
        <v>0</v>
      </c>
      <c r="CJ348" s="125">
        <v>0</v>
      </c>
      <c r="CK348" s="125">
        <v>0</v>
      </c>
      <c r="CL348" s="125">
        <v>0</v>
      </c>
      <c r="CM348" s="125">
        <v>0</v>
      </c>
      <c r="CN348" s="125">
        <v>0</v>
      </c>
      <c r="CO348" s="125">
        <v>0</v>
      </c>
      <c r="CP348" s="125">
        <v>0</v>
      </c>
      <c r="CQ348" s="125">
        <v>0</v>
      </c>
      <c r="CR348" s="125">
        <v>0</v>
      </c>
      <c r="CS348" s="125">
        <v>0</v>
      </c>
      <c r="CT348" s="125">
        <v>0</v>
      </c>
      <c r="CU348" s="126">
        <v>0</v>
      </c>
    </row>
    <row r="349" spans="1:99" x14ac:dyDescent="0.25">
      <c r="A349" t="s">
        <v>270</v>
      </c>
      <c r="B349" s="2" t="s">
        <v>2</v>
      </c>
      <c r="C349" s="1">
        <v>33207</v>
      </c>
      <c r="D349" s="19">
        <v>0</v>
      </c>
      <c r="E349" s="18">
        <v>0</v>
      </c>
      <c r="F349" s="19">
        <v>0</v>
      </c>
      <c r="G349" s="19">
        <v>0</v>
      </c>
      <c r="H349" s="19">
        <v>0</v>
      </c>
      <c r="I349" s="19">
        <f>SUM(E349:H349)/Variables!$E$3</f>
        <v>0</v>
      </c>
      <c r="J349" s="4">
        <v>0</v>
      </c>
      <c r="K349">
        <v>0</v>
      </c>
      <c r="L349">
        <v>0</v>
      </c>
      <c r="M349">
        <v>0</v>
      </c>
      <c r="N349" s="6">
        <f>SUM(J349:M349)/Variables!$E$3</f>
        <v>0</v>
      </c>
      <c r="O349" s="4">
        <v>0</v>
      </c>
      <c r="P349">
        <v>0</v>
      </c>
      <c r="Q349">
        <v>0</v>
      </c>
      <c r="R349">
        <v>0</v>
      </c>
      <c r="S349" s="6">
        <f>SUM(O349:R349)/Variables!$E$3</f>
        <v>0</v>
      </c>
      <c r="T349" s="4">
        <v>0</v>
      </c>
      <c r="U349">
        <v>0</v>
      </c>
      <c r="V349">
        <v>0</v>
      </c>
      <c r="W349">
        <v>0</v>
      </c>
      <c r="X349" s="6">
        <f>SUM(T349:W349)/Variables!$E$3</f>
        <v>0</v>
      </c>
      <c r="Y349" s="4">
        <v>0</v>
      </c>
      <c r="Z349">
        <v>0</v>
      </c>
      <c r="AA349">
        <v>0</v>
      </c>
      <c r="AB349">
        <v>0</v>
      </c>
      <c r="AC349" s="6">
        <f>SUM(Y349:AB349)/Variables!$E$3</f>
        <v>0</v>
      </c>
      <c r="AD349" s="4">
        <v>0</v>
      </c>
      <c r="AE349" s="2">
        <v>0</v>
      </c>
      <c r="AF349" s="2">
        <v>0</v>
      </c>
      <c r="AG349" s="2">
        <v>0</v>
      </c>
      <c r="AH349" s="6">
        <f>SUM(AD349:AG349)/Variables!$E$3</f>
        <v>0</v>
      </c>
      <c r="AI349" s="4">
        <v>0</v>
      </c>
      <c r="AJ349" s="2">
        <v>0</v>
      </c>
      <c r="AK349" s="2">
        <v>0</v>
      </c>
      <c r="AL349" s="2">
        <v>0</v>
      </c>
      <c r="AM349" s="6">
        <f>SUM(AI349:AL349)/Variables!$E$3</f>
        <v>0</v>
      </c>
      <c r="AN349" s="4">
        <v>0</v>
      </c>
      <c r="AO349" s="2">
        <v>0</v>
      </c>
      <c r="AP349" s="2">
        <v>0</v>
      </c>
      <c r="AQ349" s="2">
        <v>0</v>
      </c>
      <c r="AR349" s="6">
        <f>SUM(AN349:AQ349)/Variables!$E$3</f>
        <v>0</v>
      </c>
      <c r="AS349" s="4">
        <v>0</v>
      </c>
      <c r="AT349" s="2">
        <v>0</v>
      </c>
      <c r="AU349" s="2">
        <v>0</v>
      </c>
      <c r="AV349" s="2">
        <v>0</v>
      </c>
      <c r="AW349" s="6">
        <f>SUM(AS349:AV349)/Variables!$E$3</f>
        <v>0</v>
      </c>
      <c r="AX349" s="4">
        <v>0</v>
      </c>
      <c r="AY349" s="2">
        <v>0</v>
      </c>
      <c r="AZ349" s="2">
        <v>0</v>
      </c>
      <c r="BA349" s="2">
        <v>0</v>
      </c>
      <c r="BB349" s="6">
        <f>SUM(AX349:BA349)/Variables!$E$3</f>
        <v>0</v>
      </c>
      <c r="BC349" s="12">
        <f t="shared" si="86"/>
        <v>0</v>
      </c>
      <c r="BD349" s="110">
        <f t="shared" si="86"/>
        <v>0</v>
      </c>
      <c r="BE349" s="110">
        <f t="shared" si="86"/>
        <v>0</v>
      </c>
      <c r="BF349" s="110">
        <f t="shared" si="86"/>
        <v>0</v>
      </c>
      <c r="BG349" s="6">
        <f>SUM(BC349:BF349)/Variables!$E$3</f>
        <v>0</v>
      </c>
      <c r="BH349" s="4">
        <v>0</v>
      </c>
      <c r="BI349">
        <v>0</v>
      </c>
      <c r="BJ349">
        <v>0</v>
      </c>
      <c r="BK349">
        <v>0</v>
      </c>
      <c r="BL349" s="6">
        <f>SUM(BH349:BK349)/Variables!$E$3</f>
        <v>0</v>
      </c>
      <c r="BM349" s="110">
        <v>0</v>
      </c>
      <c r="BN349" s="110">
        <v>0</v>
      </c>
      <c r="BO349" s="110">
        <v>0</v>
      </c>
      <c r="BP349" s="110">
        <v>0</v>
      </c>
      <c r="BQ349" s="6">
        <f>SUM(BM349:BP349)/Variables!$E$3</f>
        <v>0</v>
      </c>
      <c r="BS349" s="4">
        <v>347</v>
      </c>
      <c r="BT349" s="125">
        <f t="shared" si="87"/>
        <v>0</v>
      </c>
      <c r="BU349" s="125">
        <f t="shared" si="74"/>
        <v>1.7734107158409805E-2</v>
      </c>
      <c r="BV349" s="125">
        <f t="shared" si="75"/>
        <v>0</v>
      </c>
      <c r="BW349" s="125">
        <f t="shared" si="76"/>
        <v>6.4529410367461344E-5</v>
      </c>
      <c r="BX349" s="125">
        <f t="shared" si="77"/>
        <v>5.1306819531429542E-5</v>
      </c>
      <c r="BY349" s="125">
        <f t="shared" si="78"/>
        <v>0</v>
      </c>
      <c r="BZ349" s="125">
        <f t="shared" si="79"/>
        <v>0</v>
      </c>
      <c r="CA349" s="125">
        <f t="shared" si="80"/>
        <v>0</v>
      </c>
      <c r="CB349" s="125">
        <f t="shared" si="81"/>
        <v>9.8971488293652364E-5</v>
      </c>
      <c r="CC349" s="125">
        <f t="shared" si="82"/>
        <v>0</v>
      </c>
      <c r="CD349" s="125">
        <f t="shared" si="83"/>
        <v>5.1306819531429542E-5</v>
      </c>
      <c r="CE349" s="125">
        <f t="shared" si="84"/>
        <v>0</v>
      </c>
      <c r="CF349" s="126">
        <f t="shared" si="85"/>
        <v>3.0087332441271744E-6</v>
      </c>
      <c r="CH349" s="4">
        <v>347</v>
      </c>
      <c r="CI349" s="129">
        <v>0</v>
      </c>
      <c r="CJ349" s="125">
        <v>0</v>
      </c>
      <c r="CK349" s="125">
        <v>0</v>
      </c>
      <c r="CL349" s="125">
        <v>0</v>
      </c>
      <c r="CM349" s="125">
        <v>0</v>
      </c>
      <c r="CN349" s="125">
        <v>0</v>
      </c>
      <c r="CO349" s="125">
        <v>0</v>
      </c>
      <c r="CP349" s="125">
        <v>0</v>
      </c>
      <c r="CQ349" s="125">
        <v>0</v>
      </c>
      <c r="CR349" s="125">
        <v>0</v>
      </c>
      <c r="CS349" s="125">
        <v>0</v>
      </c>
      <c r="CT349" s="125">
        <v>0</v>
      </c>
      <c r="CU349" s="126">
        <v>0</v>
      </c>
    </row>
    <row r="350" spans="1:99" x14ac:dyDescent="0.25">
      <c r="A350" t="s">
        <v>271</v>
      </c>
      <c r="B350" s="2" t="s">
        <v>3</v>
      </c>
      <c r="C350" s="1">
        <v>33297</v>
      </c>
      <c r="D350" s="19">
        <v>149.8125</v>
      </c>
      <c r="E350" s="18">
        <v>0</v>
      </c>
      <c r="F350" s="19">
        <v>0</v>
      </c>
      <c r="G350" s="19">
        <v>0</v>
      </c>
      <c r="H350" s="19">
        <v>0</v>
      </c>
      <c r="I350" s="19">
        <f>SUM(E350:H350)/Variables!$E$3</f>
        <v>0</v>
      </c>
      <c r="J350" s="4">
        <v>0</v>
      </c>
      <c r="K350">
        <v>0</v>
      </c>
      <c r="L350">
        <v>22233</v>
      </c>
      <c r="M350">
        <v>165</v>
      </c>
      <c r="N350" s="6">
        <f>SUM(J350:M350)/Variables!$E$3</f>
        <v>1.7734107158409805E-2</v>
      </c>
      <c r="O350" s="4">
        <v>0</v>
      </c>
      <c r="P350">
        <v>0</v>
      </c>
      <c r="Q350">
        <v>0</v>
      </c>
      <c r="R350">
        <v>0</v>
      </c>
      <c r="S350" s="6">
        <f>SUM(O350:R350)/Variables!$E$3</f>
        <v>0</v>
      </c>
      <c r="T350" s="4">
        <v>0</v>
      </c>
      <c r="U350">
        <v>0</v>
      </c>
      <c r="V350">
        <v>81.5</v>
      </c>
      <c r="W350">
        <v>0</v>
      </c>
      <c r="X350" s="6">
        <f>SUM(T350:W350)/Variables!$E$3</f>
        <v>6.4529410367461344E-5</v>
      </c>
      <c r="Y350" s="4">
        <v>0</v>
      </c>
      <c r="Z350">
        <v>0</v>
      </c>
      <c r="AA350">
        <v>64.800000000000196</v>
      </c>
      <c r="AB350">
        <v>0</v>
      </c>
      <c r="AC350" s="6">
        <f>SUM(Y350:AB350)/Variables!$E$3</f>
        <v>5.1306819531429542E-5</v>
      </c>
      <c r="AD350" s="4">
        <v>0</v>
      </c>
      <c r="AE350" s="2">
        <v>0</v>
      </c>
      <c r="AF350" s="2">
        <v>0</v>
      </c>
      <c r="AG350" s="2">
        <v>0</v>
      </c>
      <c r="AH350" s="6">
        <f>SUM(AD350:AG350)/Variables!$E$3</f>
        <v>0</v>
      </c>
      <c r="AI350" s="4">
        <v>0</v>
      </c>
      <c r="AJ350" s="2">
        <v>0</v>
      </c>
      <c r="AK350" s="2">
        <v>0</v>
      </c>
      <c r="AL350" s="2">
        <v>0</v>
      </c>
      <c r="AM350" s="6">
        <f>SUM(AI350:AL350)/Variables!$E$3</f>
        <v>0</v>
      </c>
      <c r="AN350" s="4">
        <v>0</v>
      </c>
      <c r="AO350" s="2">
        <v>0</v>
      </c>
      <c r="AP350" s="2">
        <v>0</v>
      </c>
      <c r="AQ350" s="2">
        <v>0</v>
      </c>
      <c r="AR350" s="6">
        <f>SUM(AN350:AQ350)/Variables!$E$3</f>
        <v>0</v>
      </c>
      <c r="AS350" s="4">
        <v>0</v>
      </c>
      <c r="AT350" s="2">
        <v>0</v>
      </c>
      <c r="AU350" s="2">
        <v>125</v>
      </c>
      <c r="AV350" s="2">
        <v>0</v>
      </c>
      <c r="AW350" s="6">
        <f>SUM(AS350:AV350)/Variables!$E$3</f>
        <v>9.8971488293652364E-5</v>
      </c>
      <c r="AX350" s="4">
        <v>0</v>
      </c>
      <c r="AY350" s="2">
        <v>0</v>
      </c>
      <c r="AZ350" s="2">
        <v>0</v>
      </c>
      <c r="BA350" s="2">
        <v>0</v>
      </c>
      <c r="BB350" s="6">
        <f>SUM(AX350:BA350)/Variables!$E$3</f>
        <v>0</v>
      </c>
      <c r="BC350" s="12">
        <f t="shared" si="86"/>
        <v>0</v>
      </c>
      <c r="BD350" s="110">
        <f t="shared" si="86"/>
        <v>0</v>
      </c>
      <c r="BE350" s="110">
        <f t="shared" si="86"/>
        <v>64.800000000000196</v>
      </c>
      <c r="BF350" s="110">
        <f t="shared" si="86"/>
        <v>0</v>
      </c>
      <c r="BG350" s="6">
        <f>SUM(BC350:BF350)/Variables!$E$3</f>
        <v>5.1306819531429542E-5</v>
      </c>
      <c r="BH350" s="4">
        <v>0</v>
      </c>
      <c r="BI350">
        <v>0</v>
      </c>
      <c r="BJ350">
        <v>0</v>
      </c>
      <c r="BK350">
        <v>0</v>
      </c>
      <c r="BL350" s="6">
        <f>SUM(BH350:BK350)/Variables!$E$3</f>
        <v>0</v>
      </c>
      <c r="BM350" s="110">
        <v>0</v>
      </c>
      <c r="BN350" s="110">
        <v>0</v>
      </c>
      <c r="BO350" s="110">
        <v>3.8000000000001801</v>
      </c>
      <c r="BP350" s="110">
        <v>0</v>
      </c>
      <c r="BQ350" s="6">
        <f>SUM(BM350:BP350)/Variables!$E$3</f>
        <v>3.0087332441271744E-6</v>
      </c>
      <c r="BS350" s="4">
        <v>348</v>
      </c>
      <c r="BT350" s="125">
        <f t="shared" si="87"/>
        <v>0</v>
      </c>
      <c r="BU350" s="125">
        <f t="shared" si="74"/>
        <v>2.7183904860687735E-2</v>
      </c>
      <c r="BV350" s="125">
        <f t="shared" si="75"/>
        <v>0</v>
      </c>
      <c r="BW350" s="125">
        <f t="shared" si="76"/>
        <v>1.7454611675468531E-3</v>
      </c>
      <c r="BX350" s="125">
        <f t="shared" si="77"/>
        <v>1.628833165741613E-3</v>
      </c>
      <c r="BY350" s="125">
        <f t="shared" si="78"/>
        <v>0</v>
      </c>
      <c r="BZ350" s="125">
        <f t="shared" si="79"/>
        <v>2.7601168655333691E-4</v>
      </c>
      <c r="CA350" s="125">
        <f t="shared" si="80"/>
        <v>3.7585412394397423E-4</v>
      </c>
      <c r="CB350" s="125">
        <f t="shared" si="81"/>
        <v>2.0121299456052704E-3</v>
      </c>
      <c r="CC350" s="125">
        <f t="shared" si="82"/>
        <v>1.1329464207950975E-3</v>
      </c>
      <c r="CD350" s="125">
        <f t="shared" si="83"/>
        <v>1.628833165741613E-3</v>
      </c>
      <c r="CE350" s="125">
        <f t="shared" si="84"/>
        <v>6.3191315845731086E-4</v>
      </c>
      <c r="CF350" s="126">
        <f t="shared" si="85"/>
        <v>9.3508262139842756E-4</v>
      </c>
      <c r="CH350" s="4">
        <v>348</v>
      </c>
      <c r="CI350" s="129">
        <v>0</v>
      </c>
      <c r="CJ350" s="125">
        <v>0</v>
      </c>
      <c r="CK350" s="125">
        <v>0</v>
      </c>
      <c r="CL350" s="125">
        <v>0</v>
      </c>
      <c r="CM350" s="125">
        <v>0</v>
      </c>
      <c r="CN350" s="125">
        <v>0</v>
      </c>
      <c r="CO350" s="125">
        <v>0</v>
      </c>
      <c r="CP350" s="125">
        <v>0</v>
      </c>
      <c r="CQ350" s="125">
        <v>0</v>
      </c>
      <c r="CR350" s="125">
        <v>0</v>
      </c>
      <c r="CS350" s="125">
        <v>0</v>
      </c>
      <c r="CT350" s="125">
        <v>0</v>
      </c>
      <c r="CU350" s="126">
        <v>0</v>
      </c>
    </row>
    <row r="351" spans="1:99" x14ac:dyDescent="0.25">
      <c r="A351" t="s">
        <v>271</v>
      </c>
      <c r="B351" s="2" t="s">
        <v>4</v>
      </c>
      <c r="C351" s="1">
        <v>33389</v>
      </c>
      <c r="D351" s="19">
        <v>25.524999999999999</v>
      </c>
      <c r="E351" s="18">
        <v>0</v>
      </c>
      <c r="F351" s="19">
        <v>0</v>
      </c>
      <c r="G351" s="19">
        <v>0</v>
      </c>
      <c r="H351" s="19">
        <v>0</v>
      </c>
      <c r="I351" s="19">
        <f>SUM(E351:H351)/Variables!$E$3</f>
        <v>0</v>
      </c>
      <c r="J351" s="4">
        <v>0</v>
      </c>
      <c r="K351">
        <v>0</v>
      </c>
      <c r="L351">
        <v>34333</v>
      </c>
      <c r="M351">
        <v>0</v>
      </c>
      <c r="N351" s="6">
        <f>SUM(J351:M351)/Variables!$E$3</f>
        <v>2.7183904860687735E-2</v>
      </c>
      <c r="O351" s="4">
        <v>0</v>
      </c>
      <c r="P351">
        <v>0</v>
      </c>
      <c r="Q351">
        <v>0</v>
      </c>
      <c r="R351">
        <v>0</v>
      </c>
      <c r="S351" s="6">
        <f>SUM(O351:R351)/Variables!$E$3</f>
        <v>0</v>
      </c>
      <c r="T351" s="4">
        <v>0</v>
      </c>
      <c r="U351">
        <v>0</v>
      </c>
      <c r="V351">
        <v>2204.5</v>
      </c>
      <c r="W351">
        <v>0</v>
      </c>
      <c r="X351" s="6">
        <f>SUM(T351:W351)/Variables!$E$3</f>
        <v>1.7454611675468531E-3</v>
      </c>
      <c r="Y351" s="4">
        <v>0</v>
      </c>
      <c r="Z351">
        <v>0</v>
      </c>
      <c r="AA351">
        <v>2057.1999999999998</v>
      </c>
      <c r="AB351">
        <v>0</v>
      </c>
      <c r="AC351" s="6">
        <f>SUM(Y351:AB351)/Variables!$E$3</f>
        <v>1.628833165741613E-3</v>
      </c>
      <c r="AD351" s="4">
        <v>0</v>
      </c>
      <c r="AE351" s="2">
        <v>0</v>
      </c>
      <c r="AF351" s="2">
        <v>0</v>
      </c>
      <c r="AG351" s="2">
        <v>0</v>
      </c>
      <c r="AH351" s="6">
        <f>SUM(AD351:AG351)/Variables!$E$3</f>
        <v>0</v>
      </c>
      <c r="AI351" s="4">
        <v>0</v>
      </c>
      <c r="AJ351" s="2">
        <v>0</v>
      </c>
      <c r="AK351" s="2">
        <v>348.599999999999</v>
      </c>
      <c r="AL351" s="2">
        <v>0</v>
      </c>
      <c r="AM351" s="6">
        <f>SUM(AI351:AL351)/Variables!$E$3</f>
        <v>2.7601168655333691E-4</v>
      </c>
      <c r="AN351" s="4">
        <v>0</v>
      </c>
      <c r="AO351" s="2">
        <v>0</v>
      </c>
      <c r="AP351" s="2">
        <v>474.7</v>
      </c>
      <c r="AQ351" s="2">
        <v>0</v>
      </c>
      <c r="AR351" s="6">
        <f>SUM(AN351:AQ351)/Variables!$E$3</f>
        <v>3.7585412394397423E-4</v>
      </c>
      <c r="AS351" s="4">
        <v>0</v>
      </c>
      <c r="AT351" s="2">
        <v>0</v>
      </c>
      <c r="AU351" s="2">
        <v>2541.3000000000002</v>
      </c>
      <c r="AV351" s="2">
        <v>0</v>
      </c>
      <c r="AW351" s="6">
        <f>SUM(AS351:AV351)/Variables!$E$3</f>
        <v>2.0121299456052704E-3</v>
      </c>
      <c r="AX351" s="4">
        <v>0</v>
      </c>
      <c r="AY351" s="2">
        <v>0</v>
      </c>
      <c r="AZ351" s="2">
        <v>1430.9</v>
      </c>
      <c r="BA351" s="2">
        <v>0</v>
      </c>
      <c r="BB351" s="6">
        <f>SUM(AX351:BA351)/Variables!$E$3</f>
        <v>1.1329464207950975E-3</v>
      </c>
      <c r="BC351" s="12">
        <f t="shared" si="86"/>
        <v>0</v>
      </c>
      <c r="BD351" s="110">
        <f t="shared" si="86"/>
        <v>0</v>
      </c>
      <c r="BE351" s="110">
        <f t="shared" si="86"/>
        <v>2057.1999999999998</v>
      </c>
      <c r="BF351" s="110">
        <f t="shared" si="86"/>
        <v>0</v>
      </c>
      <c r="BG351" s="6">
        <f>SUM(BC351:BF351)/Variables!$E$3</f>
        <v>1.628833165741613E-3</v>
      </c>
      <c r="BH351" s="4">
        <v>0</v>
      </c>
      <c r="BI351">
        <v>0</v>
      </c>
      <c r="BJ351">
        <v>798.099999999999</v>
      </c>
      <c r="BK351">
        <v>0</v>
      </c>
      <c r="BL351" s="6">
        <f>SUM(BH351:BK351)/Variables!$E$3</f>
        <v>6.3191315845731086E-4</v>
      </c>
      <c r="BM351" s="110">
        <v>0</v>
      </c>
      <c r="BN351" s="110">
        <v>0</v>
      </c>
      <c r="BO351" s="110">
        <v>1181</v>
      </c>
      <c r="BP351" s="110">
        <v>0</v>
      </c>
      <c r="BQ351" s="6">
        <f>SUM(BM351:BP351)/Variables!$E$3</f>
        <v>9.3508262139842756E-4</v>
      </c>
      <c r="BS351" s="4">
        <v>349</v>
      </c>
      <c r="BT351" s="125">
        <f t="shared" si="87"/>
        <v>0</v>
      </c>
      <c r="BU351" s="125">
        <f t="shared" si="74"/>
        <v>0</v>
      </c>
      <c r="BV351" s="125">
        <f t="shared" si="75"/>
        <v>0</v>
      </c>
      <c r="BW351" s="125">
        <f t="shared" si="76"/>
        <v>0</v>
      </c>
      <c r="BX351" s="125">
        <f t="shared" si="77"/>
        <v>0</v>
      </c>
      <c r="BY351" s="125">
        <f t="shared" si="78"/>
        <v>0</v>
      </c>
      <c r="BZ351" s="125">
        <f t="shared" si="79"/>
        <v>0</v>
      </c>
      <c r="CA351" s="125">
        <f t="shared" si="80"/>
        <v>0</v>
      </c>
      <c r="CB351" s="125">
        <f t="shared" si="81"/>
        <v>0</v>
      </c>
      <c r="CC351" s="125">
        <f t="shared" si="82"/>
        <v>0</v>
      </c>
      <c r="CD351" s="125">
        <f t="shared" si="83"/>
        <v>0</v>
      </c>
      <c r="CE351" s="125">
        <f t="shared" si="84"/>
        <v>0</v>
      </c>
      <c r="CF351" s="126">
        <f t="shared" si="85"/>
        <v>0</v>
      </c>
      <c r="CH351" s="4">
        <v>349</v>
      </c>
      <c r="CI351" s="129">
        <v>0</v>
      </c>
      <c r="CJ351" s="125">
        <v>0</v>
      </c>
      <c r="CK351" s="125">
        <v>0</v>
      </c>
      <c r="CL351" s="125">
        <v>0</v>
      </c>
      <c r="CM351" s="125">
        <v>0</v>
      </c>
      <c r="CN351" s="125">
        <v>0</v>
      </c>
      <c r="CO351" s="125">
        <v>0</v>
      </c>
      <c r="CP351" s="125">
        <v>0</v>
      </c>
      <c r="CQ351" s="125">
        <v>0</v>
      </c>
      <c r="CR351" s="125">
        <v>0</v>
      </c>
      <c r="CS351" s="125">
        <v>0</v>
      </c>
      <c r="CT351" s="125">
        <v>0</v>
      </c>
      <c r="CU351" s="126">
        <v>0</v>
      </c>
    </row>
    <row r="352" spans="1:99" x14ac:dyDescent="0.25">
      <c r="A352" t="s">
        <v>271</v>
      </c>
      <c r="B352" s="2" t="s">
        <v>1</v>
      </c>
      <c r="C352" s="1">
        <v>33481</v>
      </c>
      <c r="D352" s="19">
        <v>16.675000000000001</v>
      </c>
      <c r="E352" s="18">
        <v>0</v>
      </c>
      <c r="F352" s="19">
        <v>0</v>
      </c>
      <c r="G352" s="19">
        <v>0</v>
      </c>
      <c r="H352" s="19">
        <v>0</v>
      </c>
      <c r="I352" s="19">
        <f>SUM(E352:H352)/Variables!$E$3</f>
        <v>0</v>
      </c>
      <c r="J352" s="4">
        <v>0</v>
      </c>
      <c r="K352">
        <v>0</v>
      </c>
      <c r="L352">
        <v>0</v>
      </c>
      <c r="M352">
        <v>0</v>
      </c>
      <c r="N352" s="6">
        <f>SUM(J352:M352)/Variables!$E$3</f>
        <v>0</v>
      </c>
      <c r="O352" s="4">
        <v>0</v>
      </c>
      <c r="P352">
        <v>0</v>
      </c>
      <c r="Q352">
        <v>0</v>
      </c>
      <c r="R352">
        <v>0</v>
      </c>
      <c r="S352" s="6">
        <f>SUM(O352:R352)/Variables!$E$3</f>
        <v>0</v>
      </c>
      <c r="T352" s="4">
        <v>0</v>
      </c>
      <c r="U352">
        <v>0</v>
      </c>
      <c r="V352">
        <v>0</v>
      </c>
      <c r="W352">
        <v>0</v>
      </c>
      <c r="X352" s="6">
        <f>SUM(T352:W352)/Variables!$E$3</f>
        <v>0</v>
      </c>
      <c r="Y352" s="4">
        <v>0</v>
      </c>
      <c r="Z352">
        <v>0</v>
      </c>
      <c r="AA352">
        <v>0</v>
      </c>
      <c r="AB352">
        <v>0</v>
      </c>
      <c r="AC352" s="6">
        <f>SUM(Y352:AB352)/Variables!$E$3</f>
        <v>0</v>
      </c>
      <c r="AD352" s="4">
        <v>0</v>
      </c>
      <c r="AE352" s="2">
        <v>0</v>
      </c>
      <c r="AF352" s="2">
        <v>0</v>
      </c>
      <c r="AG352" s="2">
        <v>0</v>
      </c>
      <c r="AH352" s="6">
        <f>SUM(AD352:AG352)/Variables!$E$3</f>
        <v>0</v>
      </c>
      <c r="AI352" s="4">
        <v>0</v>
      </c>
      <c r="AJ352" s="2">
        <v>0</v>
      </c>
      <c r="AK352" s="2">
        <v>0</v>
      </c>
      <c r="AL352" s="2">
        <v>0</v>
      </c>
      <c r="AM352" s="6">
        <f>SUM(AI352:AL352)/Variables!$E$3</f>
        <v>0</v>
      </c>
      <c r="AN352" s="4">
        <v>0</v>
      </c>
      <c r="AO352" s="2">
        <v>0</v>
      </c>
      <c r="AP352" s="2">
        <v>0</v>
      </c>
      <c r="AQ352" s="2">
        <v>0</v>
      </c>
      <c r="AR352" s="6">
        <f>SUM(AN352:AQ352)/Variables!$E$3</f>
        <v>0</v>
      </c>
      <c r="AS352" s="4">
        <v>0</v>
      </c>
      <c r="AT352" s="2">
        <v>0</v>
      </c>
      <c r="AU352" s="2">
        <v>0</v>
      </c>
      <c r="AV352" s="2">
        <v>0</v>
      </c>
      <c r="AW352" s="6">
        <f>SUM(AS352:AV352)/Variables!$E$3</f>
        <v>0</v>
      </c>
      <c r="AX352" s="4">
        <v>0</v>
      </c>
      <c r="AY352" s="2">
        <v>0</v>
      </c>
      <c r="AZ352" s="2">
        <v>0</v>
      </c>
      <c r="BA352" s="2">
        <v>0</v>
      </c>
      <c r="BB352" s="6">
        <f>SUM(AX352:BA352)/Variables!$E$3</f>
        <v>0</v>
      </c>
      <c r="BC352" s="12">
        <f t="shared" si="86"/>
        <v>0</v>
      </c>
      <c r="BD352" s="110">
        <f t="shared" si="86"/>
        <v>0</v>
      </c>
      <c r="BE352" s="110">
        <f t="shared" si="86"/>
        <v>0</v>
      </c>
      <c r="BF352" s="110">
        <f t="shared" si="86"/>
        <v>0</v>
      </c>
      <c r="BG352" s="6">
        <f>SUM(BC352:BF352)/Variables!$E$3</f>
        <v>0</v>
      </c>
      <c r="BH352" s="4">
        <v>0</v>
      </c>
      <c r="BI352">
        <v>0</v>
      </c>
      <c r="BJ352">
        <v>0</v>
      </c>
      <c r="BK352">
        <v>0</v>
      </c>
      <c r="BL352" s="6">
        <f>SUM(BH352:BK352)/Variables!$E$3</f>
        <v>0</v>
      </c>
      <c r="BM352" s="110">
        <v>0</v>
      </c>
      <c r="BN352" s="110">
        <v>0</v>
      </c>
      <c r="BO352" s="110">
        <v>0</v>
      </c>
      <c r="BP352" s="110">
        <v>0</v>
      </c>
      <c r="BQ352" s="6">
        <f>SUM(BM352:BP352)/Variables!$E$3</f>
        <v>0</v>
      </c>
      <c r="BS352" s="4">
        <v>350</v>
      </c>
      <c r="BT352" s="125">
        <f t="shared" si="87"/>
        <v>0</v>
      </c>
      <c r="BU352" s="125">
        <f t="shared" si="74"/>
        <v>0</v>
      </c>
      <c r="BV352" s="125">
        <f t="shared" si="75"/>
        <v>0</v>
      </c>
      <c r="BW352" s="125">
        <f t="shared" si="76"/>
        <v>0</v>
      </c>
      <c r="BX352" s="125">
        <f t="shared" si="77"/>
        <v>0</v>
      </c>
      <c r="BY352" s="125">
        <f t="shared" si="78"/>
        <v>0</v>
      </c>
      <c r="BZ352" s="125">
        <f t="shared" si="79"/>
        <v>0</v>
      </c>
      <c r="CA352" s="125">
        <f t="shared" si="80"/>
        <v>0</v>
      </c>
      <c r="CB352" s="125">
        <f t="shared" si="81"/>
        <v>0</v>
      </c>
      <c r="CC352" s="125">
        <f t="shared" si="82"/>
        <v>0</v>
      </c>
      <c r="CD352" s="125">
        <f t="shared" si="83"/>
        <v>0</v>
      </c>
      <c r="CE352" s="125">
        <f t="shared" si="84"/>
        <v>0</v>
      </c>
      <c r="CF352" s="126">
        <f t="shared" si="85"/>
        <v>0</v>
      </c>
      <c r="CH352" s="4">
        <v>350</v>
      </c>
      <c r="CI352" s="129">
        <v>0</v>
      </c>
      <c r="CJ352" s="125">
        <v>0</v>
      </c>
      <c r="CK352" s="125">
        <v>0</v>
      </c>
      <c r="CL352" s="125">
        <v>0</v>
      </c>
      <c r="CM352" s="125">
        <v>0</v>
      </c>
      <c r="CN352" s="125">
        <v>0</v>
      </c>
      <c r="CO352" s="125">
        <v>0</v>
      </c>
      <c r="CP352" s="125">
        <v>0</v>
      </c>
      <c r="CQ352" s="125">
        <v>0</v>
      </c>
      <c r="CR352" s="125">
        <v>0</v>
      </c>
      <c r="CS352" s="125">
        <v>0</v>
      </c>
      <c r="CT352" s="125">
        <v>0</v>
      </c>
      <c r="CU352" s="126">
        <v>0</v>
      </c>
    </row>
    <row r="353" spans="1:99" x14ac:dyDescent="0.25">
      <c r="A353" t="s">
        <v>271</v>
      </c>
      <c r="B353" s="2" t="s">
        <v>2</v>
      </c>
      <c r="C353" s="1">
        <v>33572</v>
      </c>
      <c r="D353" s="19">
        <v>24.887499999999999</v>
      </c>
      <c r="E353" s="18">
        <v>0</v>
      </c>
      <c r="F353" s="19">
        <v>0</v>
      </c>
      <c r="G353" s="19">
        <v>0</v>
      </c>
      <c r="H353" s="19">
        <v>0</v>
      </c>
      <c r="I353" s="19">
        <f>SUM(E353:H353)/Variables!$E$3</f>
        <v>0</v>
      </c>
      <c r="J353" s="4">
        <v>0</v>
      </c>
      <c r="K353">
        <v>0</v>
      </c>
      <c r="L353">
        <v>0</v>
      </c>
      <c r="M353">
        <v>0</v>
      </c>
      <c r="N353" s="6">
        <f>SUM(J353:M353)/Variables!$E$3</f>
        <v>0</v>
      </c>
      <c r="O353" s="4">
        <v>0</v>
      </c>
      <c r="P353">
        <v>0</v>
      </c>
      <c r="Q353">
        <v>0</v>
      </c>
      <c r="R353">
        <v>0</v>
      </c>
      <c r="S353" s="6">
        <f>SUM(O353:R353)/Variables!$E$3</f>
        <v>0</v>
      </c>
      <c r="T353" s="4">
        <v>0</v>
      </c>
      <c r="U353">
        <v>0</v>
      </c>
      <c r="V353">
        <v>0</v>
      </c>
      <c r="W353">
        <v>0</v>
      </c>
      <c r="X353" s="6">
        <f>SUM(T353:W353)/Variables!$E$3</f>
        <v>0</v>
      </c>
      <c r="Y353" s="4">
        <v>0</v>
      </c>
      <c r="Z353">
        <v>0</v>
      </c>
      <c r="AA353">
        <v>0</v>
      </c>
      <c r="AB353">
        <v>0</v>
      </c>
      <c r="AC353" s="6">
        <f>SUM(Y353:AB353)/Variables!$E$3</f>
        <v>0</v>
      </c>
      <c r="AD353" s="4">
        <v>0</v>
      </c>
      <c r="AE353" s="2">
        <v>0</v>
      </c>
      <c r="AF353" s="2">
        <v>0</v>
      </c>
      <c r="AG353" s="2">
        <v>0</v>
      </c>
      <c r="AH353" s="6">
        <f>SUM(AD353:AG353)/Variables!$E$3</f>
        <v>0</v>
      </c>
      <c r="AI353" s="4">
        <v>0</v>
      </c>
      <c r="AJ353" s="2">
        <v>0</v>
      </c>
      <c r="AK353" s="2">
        <v>0</v>
      </c>
      <c r="AL353" s="2">
        <v>0</v>
      </c>
      <c r="AM353" s="6">
        <f>SUM(AI353:AL353)/Variables!$E$3</f>
        <v>0</v>
      </c>
      <c r="AN353" s="4">
        <v>0</v>
      </c>
      <c r="AO353" s="2">
        <v>0</v>
      </c>
      <c r="AP353" s="2">
        <v>0</v>
      </c>
      <c r="AQ353" s="2">
        <v>0</v>
      </c>
      <c r="AR353" s="6">
        <f>SUM(AN353:AQ353)/Variables!$E$3</f>
        <v>0</v>
      </c>
      <c r="AS353" s="4">
        <v>0</v>
      </c>
      <c r="AT353" s="2">
        <v>0</v>
      </c>
      <c r="AU353" s="2">
        <v>0</v>
      </c>
      <c r="AV353" s="2">
        <v>0</v>
      </c>
      <c r="AW353" s="6">
        <f>SUM(AS353:AV353)/Variables!$E$3</f>
        <v>0</v>
      </c>
      <c r="AX353" s="4">
        <v>0</v>
      </c>
      <c r="AY353" s="2">
        <v>0</v>
      </c>
      <c r="AZ353" s="2">
        <v>0</v>
      </c>
      <c r="BA353" s="2">
        <v>0</v>
      </c>
      <c r="BB353" s="6">
        <f>SUM(AX353:BA353)/Variables!$E$3</f>
        <v>0</v>
      </c>
      <c r="BC353" s="12">
        <f t="shared" si="86"/>
        <v>0</v>
      </c>
      <c r="BD353" s="110">
        <f t="shared" si="86"/>
        <v>0</v>
      </c>
      <c r="BE353" s="110">
        <f t="shared" si="86"/>
        <v>0</v>
      </c>
      <c r="BF353" s="110">
        <f t="shared" si="86"/>
        <v>0</v>
      </c>
      <c r="BG353" s="6">
        <f>SUM(BC353:BF353)/Variables!$E$3</f>
        <v>0</v>
      </c>
      <c r="BH353" s="4">
        <v>0</v>
      </c>
      <c r="BI353">
        <v>0</v>
      </c>
      <c r="BJ353">
        <v>0</v>
      </c>
      <c r="BK353">
        <v>0</v>
      </c>
      <c r="BL353" s="6">
        <f>SUM(BH353:BK353)/Variables!$E$3</f>
        <v>0</v>
      </c>
      <c r="BM353" s="110">
        <v>0</v>
      </c>
      <c r="BN353" s="110">
        <v>0</v>
      </c>
      <c r="BO353" s="110">
        <v>0</v>
      </c>
      <c r="BP353" s="110">
        <v>0</v>
      </c>
      <c r="BQ353" s="6">
        <f>SUM(BM353:BP353)/Variables!$E$3</f>
        <v>0</v>
      </c>
      <c r="BS353" s="4">
        <v>351</v>
      </c>
      <c r="BT353" s="125">
        <f t="shared" si="87"/>
        <v>0</v>
      </c>
      <c r="BU353" s="125">
        <f t="shared" si="74"/>
        <v>3.317524287603227E-4</v>
      </c>
      <c r="BV353" s="125">
        <f t="shared" si="75"/>
        <v>0</v>
      </c>
      <c r="BW353" s="125">
        <f t="shared" si="76"/>
        <v>0</v>
      </c>
      <c r="BX353" s="125">
        <f t="shared" si="77"/>
        <v>0</v>
      </c>
      <c r="BY353" s="125">
        <f t="shared" si="78"/>
        <v>0</v>
      </c>
      <c r="BZ353" s="125">
        <f t="shared" si="79"/>
        <v>0</v>
      </c>
      <c r="CA353" s="125">
        <f t="shared" si="80"/>
        <v>0</v>
      </c>
      <c r="CB353" s="125">
        <f t="shared" si="81"/>
        <v>0</v>
      </c>
      <c r="CC353" s="125">
        <f t="shared" si="82"/>
        <v>0</v>
      </c>
      <c r="CD353" s="125">
        <f t="shared" si="83"/>
        <v>0</v>
      </c>
      <c r="CE353" s="125">
        <f t="shared" si="84"/>
        <v>0</v>
      </c>
      <c r="CF353" s="126">
        <f t="shared" si="85"/>
        <v>0</v>
      </c>
      <c r="CH353" s="4">
        <v>351</v>
      </c>
      <c r="CI353" s="129">
        <v>0</v>
      </c>
      <c r="CJ353" s="125">
        <v>0</v>
      </c>
      <c r="CK353" s="125">
        <v>0</v>
      </c>
      <c r="CL353" s="125">
        <v>0</v>
      </c>
      <c r="CM353" s="125">
        <v>0</v>
      </c>
      <c r="CN353" s="125">
        <v>0</v>
      </c>
      <c r="CO353" s="125">
        <v>0</v>
      </c>
      <c r="CP353" s="125">
        <v>0</v>
      </c>
      <c r="CQ353" s="125">
        <v>0</v>
      </c>
      <c r="CR353" s="125">
        <v>0</v>
      </c>
      <c r="CS353" s="125">
        <v>0</v>
      </c>
      <c r="CT353" s="125">
        <v>0</v>
      </c>
      <c r="CU353" s="126">
        <v>0</v>
      </c>
    </row>
    <row r="354" spans="1:99" x14ac:dyDescent="0.25">
      <c r="A354" t="s">
        <v>272</v>
      </c>
      <c r="B354" s="2" t="s">
        <v>3</v>
      </c>
      <c r="C354" s="1">
        <v>33662</v>
      </c>
      <c r="D354" s="19">
        <v>124.7</v>
      </c>
      <c r="E354" s="18">
        <v>0</v>
      </c>
      <c r="F354" s="19">
        <v>0</v>
      </c>
      <c r="G354" s="19">
        <v>0</v>
      </c>
      <c r="H354" s="19">
        <v>0</v>
      </c>
      <c r="I354" s="19">
        <f>SUM(E354:H354)/Variables!$E$3</f>
        <v>0</v>
      </c>
      <c r="J354" s="4">
        <v>0</v>
      </c>
      <c r="K354">
        <v>0</v>
      </c>
      <c r="L354">
        <v>419</v>
      </c>
      <c r="M354">
        <v>0</v>
      </c>
      <c r="N354" s="6">
        <f>SUM(J354:M354)/Variables!$E$3</f>
        <v>3.317524287603227E-4</v>
      </c>
      <c r="O354" s="4">
        <v>0</v>
      </c>
      <c r="P354">
        <v>0</v>
      </c>
      <c r="Q354">
        <v>0</v>
      </c>
      <c r="R354">
        <v>0</v>
      </c>
      <c r="S354" s="6">
        <f>SUM(O354:R354)/Variables!$E$3</f>
        <v>0</v>
      </c>
      <c r="T354" s="4">
        <v>0</v>
      </c>
      <c r="U354">
        <v>0</v>
      </c>
      <c r="V354">
        <v>0</v>
      </c>
      <c r="W354">
        <v>0</v>
      </c>
      <c r="X354" s="6">
        <f>SUM(T354:W354)/Variables!$E$3</f>
        <v>0</v>
      </c>
      <c r="Y354" s="4">
        <v>0</v>
      </c>
      <c r="Z354">
        <v>0</v>
      </c>
      <c r="AA354">
        <v>0</v>
      </c>
      <c r="AB354">
        <v>0</v>
      </c>
      <c r="AC354" s="6">
        <f>SUM(Y354:AB354)/Variables!$E$3</f>
        <v>0</v>
      </c>
      <c r="AD354" s="4">
        <v>0</v>
      </c>
      <c r="AE354" s="2">
        <v>0</v>
      </c>
      <c r="AF354" s="2">
        <v>0</v>
      </c>
      <c r="AG354" s="2">
        <v>0</v>
      </c>
      <c r="AH354" s="6">
        <f>SUM(AD354:AG354)/Variables!$E$3</f>
        <v>0</v>
      </c>
      <c r="AI354" s="4">
        <v>0</v>
      </c>
      <c r="AJ354" s="2">
        <v>0</v>
      </c>
      <c r="AK354" s="2">
        <v>0</v>
      </c>
      <c r="AL354" s="2">
        <v>0</v>
      </c>
      <c r="AM354" s="6">
        <f>SUM(AI354:AL354)/Variables!$E$3</f>
        <v>0</v>
      </c>
      <c r="AN354" s="4">
        <v>0</v>
      </c>
      <c r="AO354" s="2">
        <v>0</v>
      </c>
      <c r="AP354" s="2">
        <v>0</v>
      </c>
      <c r="AQ354" s="2">
        <v>0</v>
      </c>
      <c r="AR354" s="6">
        <f>SUM(AN354:AQ354)/Variables!$E$3</f>
        <v>0</v>
      </c>
      <c r="AS354" s="4">
        <v>0</v>
      </c>
      <c r="AT354" s="2">
        <v>0</v>
      </c>
      <c r="AU354" s="2">
        <v>0</v>
      </c>
      <c r="AV354" s="2">
        <v>0</v>
      </c>
      <c r="AW354" s="6">
        <f>SUM(AS354:AV354)/Variables!$E$3</f>
        <v>0</v>
      </c>
      <c r="AX354" s="4">
        <v>0</v>
      </c>
      <c r="AY354" s="2">
        <v>0</v>
      </c>
      <c r="AZ354" s="2">
        <v>0</v>
      </c>
      <c r="BA354" s="2">
        <v>0</v>
      </c>
      <c r="BB354" s="6">
        <f>SUM(AX354:BA354)/Variables!$E$3</f>
        <v>0</v>
      </c>
      <c r="BC354" s="12">
        <f t="shared" si="86"/>
        <v>0</v>
      </c>
      <c r="BD354" s="110">
        <f t="shared" si="86"/>
        <v>0</v>
      </c>
      <c r="BE354" s="110">
        <f t="shared" si="86"/>
        <v>0</v>
      </c>
      <c r="BF354" s="110">
        <f t="shared" si="86"/>
        <v>0</v>
      </c>
      <c r="BG354" s="6">
        <f>SUM(BC354:BF354)/Variables!$E$3</f>
        <v>0</v>
      </c>
      <c r="BH354" s="4">
        <v>0</v>
      </c>
      <c r="BI354">
        <v>0</v>
      </c>
      <c r="BJ354">
        <v>0</v>
      </c>
      <c r="BK354">
        <v>0</v>
      </c>
      <c r="BL354" s="6">
        <f>SUM(BH354:BK354)/Variables!$E$3</f>
        <v>0</v>
      </c>
      <c r="BM354" s="110">
        <v>0</v>
      </c>
      <c r="BN354" s="110">
        <v>0</v>
      </c>
      <c r="BO354" s="110">
        <v>0</v>
      </c>
      <c r="BP354" s="110">
        <v>0</v>
      </c>
      <c r="BQ354" s="6">
        <f>SUM(BM354:BP354)/Variables!$E$3</f>
        <v>0</v>
      </c>
      <c r="BS354" s="4">
        <v>352</v>
      </c>
      <c r="BT354" s="125">
        <f t="shared" si="87"/>
        <v>0</v>
      </c>
      <c r="BU354" s="125">
        <f t="shared" si="74"/>
        <v>0</v>
      </c>
      <c r="BV354" s="125">
        <f t="shared" si="75"/>
        <v>0</v>
      </c>
      <c r="BW354" s="125">
        <f t="shared" si="76"/>
        <v>0</v>
      </c>
      <c r="BX354" s="125">
        <f t="shared" si="77"/>
        <v>0</v>
      </c>
      <c r="BY354" s="125">
        <f t="shared" si="78"/>
        <v>0</v>
      </c>
      <c r="BZ354" s="125">
        <f t="shared" si="79"/>
        <v>0</v>
      </c>
      <c r="CA354" s="125">
        <f t="shared" si="80"/>
        <v>0</v>
      </c>
      <c r="CB354" s="125">
        <f t="shared" si="81"/>
        <v>0</v>
      </c>
      <c r="CC354" s="125">
        <f t="shared" si="82"/>
        <v>0</v>
      </c>
      <c r="CD354" s="125">
        <f t="shared" si="83"/>
        <v>0</v>
      </c>
      <c r="CE354" s="125">
        <f t="shared" si="84"/>
        <v>0</v>
      </c>
      <c r="CF354" s="126">
        <f t="shared" si="85"/>
        <v>0</v>
      </c>
      <c r="CH354" s="4">
        <v>352</v>
      </c>
      <c r="CI354" s="129">
        <v>0</v>
      </c>
      <c r="CJ354" s="125">
        <v>0</v>
      </c>
      <c r="CK354" s="125">
        <v>0</v>
      </c>
      <c r="CL354" s="125">
        <v>0</v>
      </c>
      <c r="CM354" s="125">
        <v>0</v>
      </c>
      <c r="CN354" s="125">
        <v>0</v>
      </c>
      <c r="CO354" s="125">
        <v>0</v>
      </c>
      <c r="CP354" s="125">
        <v>0</v>
      </c>
      <c r="CQ354" s="125">
        <v>0</v>
      </c>
      <c r="CR354" s="125">
        <v>0</v>
      </c>
      <c r="CS354" s="125">
        <v>0</v>
      </c>
      <c r="CT354" s="125">
        <v>0</v>
      </c>
      <c r="CU354" s="126">
        <v>0</v>
      </c>
    </row>
    <row r="355" spans="1:99" x14ac:dyDescent="0.25">
      <c r="A355" t="s">
        <v>272</v>
      </c>
      <c r="B355" s="2" t="s">
        <v>4</v>
      </c>
      <c r="C355" s="1">
        <v>33755</v>
      </c>
      <c r="D355" s="19">
        <v>29.574999999999999</v>
      </c>
      <c r="E355" s="18">
        <v>0</v>
      </c>
      <c r="F355" s="19">
        <v>0</v>
      </c>
      <c r="G355" s="19">
        <v>0</v>
      </c>
      <c r="H355" s="19">
        <v>0</v>
      </c>
      <c r="I355" s="19">
        <f>SUM(E355:H355)/Variables!$E$3</f>
        <v>0</v>
      </c>
      <c r="J355" s="4">
        <v>0</v>
      </c>
      <c r="K355">
        <v>0</v>
      </c>
      <c r="L355">
        <v>0</v>
      </c>
      <c r="M355">
        <v>0</v>
      </c>
      <c r="N355" s="6">
        <f>SUM(J355:M355)/Variables!$E$3</f>
        <v>0</v>
      </c>
      <c r="O355" s="4">
        <v>0</v>
      </c>
      <c r="P355">
        <v>0</v>
      </c>
      <c r="Q355">
        <v>0</v>
      </c>
      <c r="R355">
        <v>0</v>
      </c>
      <c r="S355" s="6">
        <f>SUM(O355:R355)/Variables!$E$3</f>
        <v>0</v>
      </c>
      <c r="T355" s="4">
        <v>0</v>
      </c>
      <c r="U355">
        <v>0</v>
      </c>
      <c r="V355">
        <v>0</v>
      </c>
      <c r="W355">
        <v>0</v>
      </c>
      <c r="X355" s="6">
        <f>SUM(T355:W355)/Variables!$E$3</f>
        <v>0</v>
      </c>
      <c r="Y355" s="4">
        <v>0</v>
      </c>
      <c r="Z355">
        <v>0</v>
      </c>
      <c r="AA355">
        <v>0</v>
      </c>
      <c r="AB355">
        <v>0</v>
      </c>
      <c r="AC355" s="6">
        <f>SUM(Y355:AB355)/Variables!$E$3</f>
        <v>0</v>
      </c>
      <c r="AD355" s="4">
        <v>0</v>
      </c>
      <c r="AE355" s="2">
        <v>0</v>
      </c>
      <c r="AF355" s="2">
        <v>0</v>
      </c>
      <c r="AG355" s="2">
        <v>0</v>
      </c>
      <c r="AH355" s="6">
        <f>SUM(AD355:AG355)/Variables!$E$3</f>
        <v>0</v>
      </c>
      <c r="AI355" s="4">
        <v>0</v>
      </c>
      <c r="AJ355" s="2">
        <v>0</v>
      </c>
      <c r="AK355" s="2">
        <v>0</v>
      </c>
      <c r="AL355" s="2">
        <v>0</v>
      </c>
      <c r="AM355" s="6">
        <f>SUM(AI355:AL355)/Variables!$E$3</f>
        <v>0</v>
      </c>
      <c r="AN355" s="4">
        <v>0</v>
      </c>
      <c r="AO355" s="2">
        <v>0</v>
      </c>
      <c r="AP355" s="2">
        <v>0</v>
      </c>
      <c r="AQ355" s="2">
        <v>0</v>
      </c>
      <c r="AR355" s="6">
        <f>SUM(AN355:AQ355)/Variables!$E$3</f>
        <v>0</v>
      </c>
      <c r="AS355" s="4">
        <v>0</v>
      </c>
      <c r="AT355" s="2">
        <v>0</v>
      </c>
      <c r="AU355" s="2">
        <v>0</v>
      </c>
      <c r="AV355" s="2">
        <v>0</v>
      </c>
      <c r="AW355" s="6">
        <f>SUM(AS355:AV355)/Variables!$E$3</f>
        <v>0</v>
      </c>
      <c r="AX355" s="4">
        <v>0</v>
      </c>
      <c r="AY355" s="2">
        <v>0</v>
      </c>
      <c r="AZ355" s="2">
        <v>0</v>
      </c>
      <c r="BA355" s="2">
        <v>0</v>
      </c>
      <c r="BB355" s="6">
        <f>SUM(AX355:BA355)/Variables!$E$3</f>
        <v>0</v>
      </c>
      <c r="BC355" s="12">
        <f t="shared" si="86"/>
        <v>0</v>
      </c>
      <c r="BD355" s="110">
        <f t="shared" si="86"/>
        <v>0</v>
      </c>
      <c r="BE355" s="110">
        <f t="shared" si="86"/>
        <v>0</v>
      </c>
      <c r="BF355" s="110">
        <f t="shared" si="86"/>
        <v>0</v>
      </c>
      <c r="BG355" s="6">
        <f>SUM(BC355:BF355)/Variables!$E$3</f>
        <v>0</v>
      </c>
      <c r="BH355" s="4">
        <v>0</v>
      </c>
      <c r="BI355">
        <v>0</v>
      </c>
      <c r="BJ355">
        <v>0</v>
      </c>
      <c r="BK355">
        <v>0</v>
      </c>
      <c r="BL355" s="6">
        <f>SUM(BH355:BK355)/Variables!$E$3</f>
        <v>0</v>
      </c>
      <c r="BM355" s="110">
        <v>0</v>
      </c>
      <c r="BN355" s="110">
        <v>0</v>
      </c>
      <c r="BO355" s="110">
        <v>0</v>
      </c>
      <c r="BP355" s="110">
        <v>0</v>
      </c>
      <c r="BQ355" s="6">
        <f>SUM(BM355:BP355)/Variables!$E$3</f>
        <v>0</v>
      </c>
      <c r="BS355" s="4">
        <v>353</v>
      </c>
      <c r="BT355" s="125">
        <f t="shared" si="87"/>
        <v>0</v>
      </c>
      <c r="BU355" s="125">
        <f t="shared" si="74"/>
        <v>0</v>
      </c>
      <c r="BV355" s="125">
        <f t="shared" si="75"/>
        <v>0</v>
      </c>
      <c r="BW355" s="125">
        <f t="shared" si="76"/>
        <v>0</v>
      </c>
      <c r="BX355" s="125">
        <f t="shared" si="77"/>
        <v>0</v>
      </c>
      <c r="BY355" s="125">
        <f t="shared" si="78"/>
        <v>0</v>
      </c>
      <c r="BZ355" s="125">
        <f t="shared" si="79"/>
        <v>0</v>
      </c>
      <c r="CA355" s="125">
        <f t="shared" si="80"/>
        <v>0</v>
      </c>
      <c r="CB355" s="125">
        <f t="shared" si="81"/>
        <v>0</v>
      </c>
      <c r="CC355" s="125">
        <f t="shared" si="82"/>
        <v>0</v>
      </c>
      <c r="CD355" s="125">
        <f t="shared" si="83"/>
        <v>0</v>
      </c>
      <c r="CE355" s="125">
        <f t="shared" si="84"/>
        <v>0</v>
      </c>
      <c r="CF355" s="126">
        <f t="shared" si="85"/>
        <v>0</v>
      </c>
      <c r="CH355" s="4">
        <v>353</v>
      </c>
      <c r="CI355" s="129">
        <v>0</v>
      </c>
      <c r="CJ355" s="125">
        <v>0</v>
      </c>
      <c r="CK355" s="125">
        <v>0</v>
      </c>
      <c r="CL355" s="125">
        <v>0</v>
      </c>
      <c r="CM355" s="125">
        <v>0</v>
      </c>
      <c r="CN355" s="125">
        <v>0</v>
      </c>
      <c r="CO355" s="125">
        <v>0</v>
      </c>
      <c r="CP355" s="125">
        <v>0</v>
      </c>
      <c r="CQ355" s="125">
        <v>0</v>
      </c>
      <c r="CR355" s="125">
        <v>0</v>
      </c>
      <c r="CS355" s="125">
        <v>0</v>
      </c>
      <c r="CT355" s="125">
        <v>0</v>
      </c>
      <c r="CU355" s="126">
        <v>0</v>
      </c>
    </row>
    <row r="356" spans="1:99" x14ac:dyDescent="0.25">
      <c r="A356" t="s">
        <v>272</v>
      </c>
      <c r="B356" s="2" t="s">
        <v>1</v>
      </c>
      <c r="C356" s="1">
        <v>33847</v>
      </c>
      <c r="D356" s="19">
        <v>51.787500000000001</v>
      </c>
      <c r="E356" s="18">
        <v>0</v>
      </c>
      <c r="F356" s="19">
        <v>0</v>
      </c>
      <c r="G356" s="19">
        <v>0</v>
      </c>
      <c r="H356" s="19">
        <v>0</v>
      </c>
      <c r="I356" s="19">
        <f>SUM(E356:H356)/Variables!$E$3</f>
        <v>0</v>
      </c>
      <c r="J356" s="4">
        <v>0</v>
      </c>
      <c r="K356">
        <v>0</v>
      </c>
      <c r="L356">
        <v>0</v>
      </c>
      <c r="M356">
        <v>0</v>
      </c>
      <c r="N356" s="6">
        <f>SUM(J356:M356)/Variables!$E$3</f>
        <v>0</v>
      </c>
      <c r="O356" s="4">
        <v>0</v>
      </c>
      <c r="P356">
        <v>0</v>
      </c>
      <c r="Q356">
        <v>0</v>
      </c>
      <c r="R356">
        <v>0</v>
      </c>
      <c r="S356" s="6">
        <f>SUM(O356:R356)/Variables!$E$3</f>
        <v>0</v>
      </c>
      <c r="T356" s="4">
        <v>0</v>
      </c>
      <c r="U356">
        <v>0</v>
      </c>
      <c r="V356">
        <v>0</v>
      </c>
      <c r="W356">
        <v>0</v>
      </c>
      <c r="X356" s="6">
        <f>SUM(T356:W356)/Variables!$E$3</f>
        <v>0</v>
      </c>
      <c r="Y356" s="4">
        <v>0</v>
      </c>
      <c r="Z356">
        <v>0</v>
      </c>
      <c r="AA356">
        <v>0</v>
      </c>
      <c r="AB356">
        <v>0</v>
      </c>
      <c r="AC356" s="6">
        <f>SUM(Y356:AB356)/Variables!$E$3</f>
        <v>0</v>
      </c>
      <c r="AD356" s="4">
        <v>0</v>
      </c>
      <c r="AE356" s="2">
        <v>0</v>
      </c>
      <c r="AF356" s="2">
        <v>0</v>
      </c>
      <c r="AG356" s="2">
        <v>0</v>
      </c>
      <c r="AH356" s="6">
        <f>SUM(AD356:AG356)/Variables!$E$3</f>
        <v>0</v>
      </c>
      <c r="AI356" s="4">
        <v>0</v>
      </c>
      <c r="AJ356" s="2">
        <v>0</v>
      </c>
      <c r="AK356" s="2">
        <v>0</v>
      </c>
      <c r="AL356" s="2">
        <v>0</v>
      </c>
      <c r="AM356" s="6">
        <f>SUM(AI356:AL356)/Variables!$E$3</f>
        <v>0</v>
      </c>
      <c r="AN356" s="4">
        <v>0</v>
      </c>
      <c r="AO356" s="2">
        <v>0</v>
      </c>
      <c r="AP356" s="2">
        <v>0</v>
      </c>
      <c r="AQ356" s="2">
        <v>0</v>
      </c>
      <c r="AR356" s="6">
        <f>SUM(AN356:AQ356)/Variables!$E$3</f>
        <v>0</v>
      </c>
      <c r="AS356" s="4">
        <v>0</v>
      </c>
      <c r="AT356" s="2">
        <v>0</v>
      </c>
      <c r="AU356" s="2">
        <v>0</v>
      </c>
      <c r="AV356" s="2">
        <v>0</v>
      </c>
      <c r="AW356" s="6">
        <f>SUM(AS356:AV356)/Variables!$E$3</f>
        <v>0</v>
      </c>
      <c r="AX356" s="4">
        <v>0</v>
      </c>
      <c r="AY356" s="2">
        <v>0</v>
      </c>
      <c r="AZ356" s="2">
        <v>0</v>
      </c>
      <c r="BA356" s="2">
        <v>0</v>
      </c>
      <c r="BB356" s="6">
        <f>SUM(AX356:BA356)/Variables!$E$3</f>
        <v>0</v>
      </c>
      <c r="BC356" s="12">
        <f t="shared" si="86"/>
        <v>0</v>
      </c>
      <c r="BD356" s="110">
        <f t="shared" si="86"/>
        <v>0</v>
      </c>
      <c r="BE356" s="110">
        <f t="shared" si="86"/>
        <v>0</v>
      </c>
      <c r="BF356" s="110">
        <f t="shared" si="86"/>
        <v>0</v>
      </c>
      <c r="BG356" s="6">
        <f>SUM(BC356:BF356)/Variables!$E$3</f>
        <v>0</v>
      </c>
      <c r="BH356" s="4">
        <v>0</v>
      </c>
      <c r="BI356">
        <v>0</v>
      </c>
      <c r="BJ356">
        <v>0</v>
      </c>
      <c r="BK356">
        <v>0</v>
      </c>
      <c r="BL356" s="6">
        <f>SUM(BH356:BK356)/Variables!$E$3</f>
        <v>0</v>
      </c>
      <c r="BM356" s="110">
        <v>0</v>
      </c>
      <c r="BN356" s="110">
        <v>0</v>
      </c>
      <c r="BO356" s="110">
        <v>0</v>
      </c>
      <c r="BP356" s="110">
        <v>0</v>
      </c>
      <c r="BQ356" s="6">
        <f>SUM(BM356:BP356)/Variables!$E$3</f>
        <v>0</v>
      </c>
      <c r="BS356" s="4">
        <v>354</v>
      </c>
      <c r="BT356" s="125">
        <f t="shared" si="87"/>
        <v>0</v>
      </c>
      <c r="BU356" s="125">
        <f t="shared" si="74"/>
        <v>0</v>
      </c>
      <c r="BV356" s="125">
        <f t="shared" si="75"/>
        <v>0</v>
      </c>
      <c r="BW356" s="125">
        <f t="shared" si="76"/>
        <v>0</v>
      </c>
      <c r="BX356" s="125">
        <f t="shared" si="77"/>
        <v>0</v>
      </c>
      <c r="BY356" s="125">
        <f t="shared" si="78"/>
        <v>0</v>
      </c>
      <c r="BZ356" s="125">
        <f t="shared" si="79"/>
        <v>0</v>
      </c>
      <c r="CA356" s="125">
        <f t="shared" si="80"/>
        <v>0</v>
      </c>
      <c r="CB356" s="125">
        <f t="shared" si="81"/>
        <v>0</v>
      </c>
      <c r="CC356" s="125">
        <f t="shared" si="82"/>
        <v>0</v>
      </c>
      <c r="CD356" s="125">
        <f t="shared" si="83"/>
        <v>0</v>
      </c>
      <c r="CE356" s="125">
        <f t="shared" si="84"/>
        <v>0</v>
      </c>
      <c r="CF356" s="126">
        <f t="shared" si="85"/>
        <v>0</v>
      </c>
      <c r="CH356" s="4">
        <v>354</v>
      </c>
      <c r="CI356" s="129">
        <v>0</v>
      </c>
      <c r="CJ356" s="125">
        <v>0</v>
      </c>
      <c r="CK356" s="125">
        <v>0</v>
      </c>
      <c r="CL356" s="125">
        <v>0</v>
      </c>
      <c r="CM356" s="125">
        <v>0</v>
      </c>
      <c r="CN356" s="125">
        <v>0</v>
      </c>
      <c r="CO356" s="125">
        <v>0</v>
      </c>
      <c r="CP356" s="125">
        <v>0</v>
      </c>
      <c r="CQ356" s="125">
        <v>0</v>
      </c>
      <c r="CR356" s="125">
        <v>0</v>
      </c>
      <c r="CS356" s="125">
        <v>0</v>
      </c>
      <c r="CT356" s="125">
        <v>0</v>
      </c>
      <c r="CU356" s="126">
        <v>0</v>
      </c>
    </row>
    <row r="357" spans="1:99" x14ac:dyDescent="0.25">
      <c r="A357" t="s">
        <v>272</v>
      </c>
      <c r="B357" s="2" t="s">
        <v>2</v>
      </c>
      <c r="C357" s="1">
        <v>33938</v>
      </c>
      <c r="D357" s="19">
        <v>68.575000000000003</v>
      </c>
      <c r="E357" s="18">
        <v>0</v>
      </c>
      <c r="F357" s="19">
        <v>0</v>
      </c>
      <c r="G357" s="19">
        <v>0</v>
      </c>
      <c r="H357" s="19">
        <v>0</v>
      </c>
      <c r="I357" s="19">
        <f>SUM(E357:H357)/Variables!$E$3</f>
        <v>0</v>
      </c>
      <c r="J357" s="4">
        <v>0</v>
      </c>
      <c r="K357">
        <v>0</v>
      </c>
      <c r="L357">
        <v>0</v>
      </c>
      <c r="M357">
        <v>0</v>
      </c>
      <c r="N357" s="6">
        <f>SUM(J357:M357)/Variables!$E$3</f>
        <v>0</v>
      </c>
      <c r="O357" s="4">
        <v>0</v>
      </c>
      <c r="P357">
        <v>0</v>
      </c>
      <c r="Q357">
        <v>0</v>
      </c>
      <c r="R357">
        <v>0</v>
      </c>
      <c r="S357" s="6">
        <f>SUM(O357:R357)/Variables!$E$3</f>
        <v>0</v>
      </c>
      <c r="T357" s="4">
        <v>0</v>
      </c>
      <c r="U357">
        <v>0</v>
      </c>
      <c r="V357">
        <v>0</v>
      </c>
      <c r="W357">
        <v>0</v>
      </c>
      <c r="X357" s="6">
        <f>SUM(T357:W357)/Variables!$E$3</f>
        <v>0</v>
      </c>
      <c r="Y357" s="4">
        <v>0</v>
      </c>
      <c r="Z357">
        <v>0</v>
      </c>
      <c r="AA357">
        <v>0</v>
      </c>
      <c r="AB357">
        <v>0</v>
      </c>
      <c r="AC357" s="6">
        <f>SUM(Y357:AB357)/Variables!$E$3</f>
        <v>0</v>
      </c>
      <c r="AD357" s="4">
        <v>0</v>
      </c>
      <c r="AE357" s="2">
        <v>0</v>
      </c>
      <c r="AF357" s="2">
        <v>0</v>
      </c>
      <c r="AG357" s="2">
        <v>0</v>
      </c>
      <c r="AH357" s="6">
        <f>SUM(AD357:AG357)/Variables!$E$3</f>
        <v>0</v>
      </c>
      <c r="AI357" s="4">
        <v>0</v>
      </c>
      <c r="AJ357" s="2">
        <v>0</v>
      </c>
      <c r="AK357" s="2">
        <v>0</v>
      </c>
      <c r="AL357" s="2">
        <v>0</v>
      </c>
      <c r="AM357" s="6">
        <f>SUM(AI357:AL357)/Variables!$E$3</f>
        <v>0</v>
      </c>
      <c r="AN357" s="4">
        <v>0</v>
      </c>
      <c r="AO357" s="2">
        <v>0</v>
      </c>
      <c r="AP357" s="2">
        <v>0</v>
      </c>
      <c r="AQ357" s="2">
        <v>0</v>
      </c>
      <c r="AR357" s="6">
        <f>SUM(AN357:AQ357)/Variables!$E$3</f>
        <v>0</v>
      </c>
      <c r="AS357" s="4">
        <v>0</v>
      </c>
      <c r="AT357" s="2">
        <v>0</v>
      </c>
      <c r="AU357" s="2">
        <v>0</v>
      </c>
      <c r="AV357" s="2">
        <v>0</v>
      </c>
      <c r="AW357" s="6">
        <f>SUM(AS357:AV357)/Variables!$E$3</f>
        <v>0</v>
      </c>
      <c r="AX357" s="4">
        <v>0</v>
      </c>
      <c r="AY357" s="2">
        <v>0</v>
      </c>
      <c r="AZ357" s="2">
        <v>0</v>
      </c>
      <c r="BA357" s="2">
        <v>0</v>
      </c>
      <c r="BB357" s="6">
        <f>SUM(AX357:BA357)/Variables!$E$3</f>
        <v>0</v>
      </c>
      <c r="BC357" s="12">
        <f t="shared" si="86"/>
        <v>0</v>
      </c>
      <c r="BD357" s="110">
        <f t="shared" si="86"/>
        <v>0</v>
      </c>
      <c r="BE357" s="110">
        <f t="shared" si="86"/>
        <v>0</v>
      </c>
      <c r="BF357" s="110">
        <f t="shared" si="86"/>
        <v>0</v>
      </c>
      <c r="BG357" s="6">
        <f>SUM(BC357:BF357)/Variables!$E$3</f>
        <v>0</v>
      </c>
      <c r="BH357" s="4">
        <v>0</v>
      </c>
      <c r="BI357">
        <v>0</v>
      </c>
      <c r="BJ357">
        <v>0</v>
      </c>
      <c r="BK357">
        <v>0</v>
      </c>
      <c r="BL357" s="6">
        <f>SUM(BH357:BK357)/Variables!$E$3</f>
        <v>0</v>
      </c>
      <c r="BM357" s="110">
        <v>0</v>
      </c>
      <c r="BN357" s="110">
        <v>0</v>
      </c>
      <c r="BO357" s="110">
        <v>0</v>
      </c>
      <c r="BP357" s="110">
        <v>0</v>
      </c>
      <c r="BQ357" s="6">
        <f>SUM(BM357:BP357)/Variables!$E$3</f>
        <v>0</v>
      </c>
      <c r="BS357" s="4">
        <v>355</v>
      </c>
      <c r="BT357" s="125">
        <f t="shared" si="87"/>
        <v>0</v>
      </c>
      <c r="BU357" s="125">
        <f t="shared" si="74"/>
        <v>0</v>
      </c>
      <c r="BV357" s="125">
        <f t="shared" si="75"/>
        <v>0</v>
      </c>
      <c r="BW357" s="125">
        <f t="shared" si="76"/>
        <v>0</v>
      </c>
      <c r="BX357" s="125">
        <f t="shared" si="77"/>
        <v>0</v>
      </c>
      <c r="BY357" s="125">
        <f t="shared" si="78"/>
        <v>0</v>
      </c>
      <c r="BZ357" s="125">
        <f t="shared" si="79"/>
        <v>0</v>
      </c>
      <c r="CA357" s="125">
        <f t="shared" si="80"/>
        <v>0</v>
      </c>
      <c r="CB357" s="125">
        <f t="shared" si="81"/>
        <v>0</v>
      </c>
      <c r="CC357" s="125">
        <f t="shared" si="82"/>
        <v>0</v>
      </c>
      <c r="CD357" s="125">
        <f t="shared" si="83"/>
        <v>0</v>
      </c>
      <c r="CE357" s="125">
        <f t="shared" si="84"/>
        <v>0</v>
      </c>
      <c r="CF357" s="126">
        <f t="shared" si="85"/>
        <v>0</v>
      </c>
      <c r="CH357" s="4">
        <v>355</v>
      </c>
      <c r="CI357" s="129">
        <v>0</v>
      </c>
      <c r="CJ357" s="125">
        <v>0</v>
      </c>
      <c r="CK357" s="125">
        <v>0</v>
      </c>
      <c r="CL357" s="125">
        <v>0</v>
      </c>
      <c r="CM357" s="125">
        <v>0</v>
      </c>
      <c r="CN357" s="125">
        <v>0</v>
      </c>
      <c r="CO357" s="125">
        <v>0</v>
      </c>
      <c r="CP357" s="125">
        <v>0</v>
      </c>
      <c r="CQ357" s="125">
        <v>0</v>
      </c>
      <c r="CR357" s="125">
        <v>0</v>
      </c>
      <c r="CS357" s="125">
        <v>0</v>
      </c>
      <c r="CT357" s="125">
        <v>0</v>
      </c>
      <c r="CU357" s="126">
        <v>0</v>
      </c>
    </row>
    <row r="358" spans="1:99" x14ac:dyDescent="0.25">
      <c r="A358" t="s">
        <v>273</v>
      </c>
      <c r="B358" s="2" t="s">
        <v>3</v>
      </c>
      <c r="C358" s="1">
        <v>34028</v>
      </c>
      <c r="D358" s="19">
        <v>149.08928571428601</v>
      </c>
      <c r="E358" s="18">
        <v>0</v>
      </c>
      <c r="F358" s="19">
        <v>0</v>
      </c>
      <c r="G358" s="19">
        <v>0</v>
      </c>
      <c r="H358" s="19">
        <v>0</v>
      </c>
      <c r="I358" s="19">
        <f>SUM(E358:H358)/Variables!$E$3</f>
        <v>0</v>
      </c>
      <c r="J358" s="4">
        <v>0</v>
      </c>
      <c r="K358">
        <v>0</v>
      </c>
      <c r="L358">
        <v>0</v>
      </c>
      <c r="M358">
        <v>0</v>
      </c>
      <c r="N358" s="6">
        <f>SUM(J358:M358)/Variables!$E$3</f>
        <v>0</v>
      </c>
      <c r="O358" s="4">
        <v>0</v>
      </c>
      <c r="P358">
        <v>0</v>
      </c>
      <c r="Q358">
        <v>0</v>
      </c>
      <c r="R358">
        <v>0</v>
      </c>
      <c r="S358" s="6">
        <f>SUM(O358:R358)/Variables!$E$3</f>
        <v>0</v>
      </c>
      <c r="T358" s="4">
        <v>0</v>
      </c>
      <c r="U358">
        <v>0</v>
      </c>
      <c r="V358">
        <v>0</v>
      </c>
      <c r="W358">
        <v>0</v>
      </c>
      <c r="X358" s="6">
        <f>SUM(T358:W358)/Variables!$E$3</f>
        <v>0</v>
      </c>
      <c r="Y358" s="4">
        <v>0</v>
      </c>
      <c r="Z358">
        <v>0</v>
      </c>
      <c r="AA358">
        <v>0</v>
      </c>
      <c r="AB358">
        <v>0</v>
      </c>
      <c r="AC358" s="6">
        <f>SUM(Y358:AB358)/Variables!$E$3</f>
        <v>0</v>
      </c>
      <c r="AD358" s="4">
        <v>0</v>
      </c>
      <c r="AE358" s="2">
        <v>0</v>
      </c>
      <c r="AF358" s="2">
        <v>0</v>
      </c>
      <c r="AG358" s="2">
        <v>0</v>
      </c>
      <c r="AH358" s="6">
        <f>SUM(AD358:AG358)/Variables!$E$3</f>
        <v>0</v>
      </c>
      <c r="AI358" s="4">
        <v>0</v>
      </c>
      <c r="AJ358" s="2">
        <v>0</v>
      </c>
      <c r="AK358" s="2">
        <v>0</v>
      </c>
      <c r="AL358" s="2">
        <v>0</v>
      </c>
      <c r="AM358" s="6">
        <f>SUM(AI358:AL358)/Variables!$E$3</f>
        <v>0</v>
      </c>
      <c r="AN358" s="4">
        <v>0</v>
      </c>
      <c r="AO358" s="2">
        <v>0</v>
      </c>
      <c r="AP358" s="2">
        <v>0</v>
      </c>
      <c r="AQ358" s="2">
        <v>0</v>
      </c>
      <c r="AR358" s="6">
        <f>SUM(AN358:AQ358)/Variables!$E$3</f>
        <v>0</v>
      </c>
      <c r="AS358" s="4">
        <v>0</v>
      </c>
      <c r="AT358" s="2">
        <v>0</v>
      </c>
      <c r="AU358" s="2">
        <v>0</v>
      </c>
      <c r="AV358" s="2">
        <v>0</v>
      </c>
      <c r="AW358" s="6">
        <f>SUM(AS358:AV358)/Variables!$E$3</f>
        <v>0</v>
      </c>
      <c r="AX358" s="4">
        <v>0</v>
      </c>
      <c r="AY358" s="2">
        <v>0</v>
      </c>
      <c r="AZ358" s="2">
        <v>0</v>
      </c>
      <c r="BA358" s="2">
        <v>0</v>
      </c>
      <c r="BB358" s="6">
        <f>SUM(AX358:BA358)/Variables!$E$3</f>
        <v>0</v>
      </c>
      <c r="BC358" s="12">
        <f t="shared" si="86"/>
        <v>0</v>
      </c>
      <c r="BD358" s="110">
        <f t="shared" si="86"/>
        <v>0</v>
      </c>
      <c r="BE358" s="110">
        <f t="shared" si="86"/>
        <v>0</v>
      </c>
      <c r="BF358" s="110">
        <f t="shared" si="86"/>
        <v>0</v>
      </c>
      <c r="BG358" s="6">
        <f>SUM(BC358:BF358)/Variables!$E$3</f>
        <v>0</v>
      </c>
      <c r="BH358" s="4">
        <v>0</v>
      </c>
      <c r="BI358">
        <v>0</v>
      </c>
      <c r="BJ358">
        <v>0</v>
      </c>
      <c r="BK358">
        <v>0</v>
      </c>
      <c r="BL358" s="6">
        <f>SUM(BH358:BK358)/Variables!$E$3</f>
        <v>0</v>
      </c>
      <c r="BM358" s="110">
        <v>0</v>
      </c>
      <c r="BN358" s="110">
        <v>0</v>
      </c>
      <c r="BO358" s="110">
        <v>0</v>
      </c>
      <c r="BP358" s="110">
        <v>0</v>
      </c>
      <c r="BQ358" s="6">
        <f>SUM(BM358:BP358)/Variables!$E$3</f>
        <v>0</v>
      </c>
      <c r="BS358" s="4">
        <v>356</v>
      </c>
      <c r="BT358" s="125">
        <f t="shared" si="87"/>
        <v>0</v>
      </c>
      <c r="BU358" s="125">
        <f t="shared" si="74"/>
        <v>0</v>
      </c>
      <c r="BV358" s="125">
        <f t="shared" si="75"/>
        <v>0</v>
      </c>
      <c r="BW358" s="125">
        <f t="shared" si="76"/>
        <v>0</v>
      </c>
      <c r="BX358" s="125">
        <f t="shared" si="77"/>
        <v>0</v>
      </c>
      <c r="BY358" s="125">
        <f t="shared" si="78"/>
        <v>0</v>
      </c>
      <c r="BZ358" s="125">
        <f t="shared" si="79"/>
        <v>0</v>
      </c>
      <c r="CA358" s="125">
        <f t="shared" si="80"/>
        <v>0</v>
      </c>
      <c r="CB358" s="125">
        <f t="shared" si="81"/>
        <v>0</v>
      </c>
      <c r="CC358" s="125">
        <f t="shared" si="82"/>
        <v>0</v>
      </c>
      <c r="CD358" s="125">
        <f t="shared" si="83"/>
        <v>0</v>
      </c>
      <c r="CE358" s="125">
        <f t="shared" si="84"/>
        <v>0</v>
      </c>
      <c r="CF358" s="126">
        <f t="shared" si="85"/>
        <v>0</v>
      </c>
      <c r="CH358" s="4">
        <v>356</v>
      </c>
      <c r="CI358" s="129">
        <v>0</v>
      </c>
      <c r="CJ358" s="125">
        <v>0</v>
      </c>
      <c r="CK358" s="125">
        <v>0</v>
      </c>
      <c r="CL358" s="125">
        <v>0</v>
      </c>
      <c r="CM358" s="125">
        <v>0</v>
      </c>
      <c r="CN358" s="125">
        <v>0</v>
      </c>
      <c r="CO358" s="125">
        <v>0</v>
      </c>
      <c r="CP358" s="125">
        <v>0</v>
      </c>
      <c r="CQ358" s="125">
        <v>0</v>
      </c>
      <c r="CR358" s="125">
        <v>0</v>
      </c>
      <c r="CS358" s="125">
        <v>0</v>
      </c>
      <c r="CT358" s="125">
        <v>0</v>
      </c>
      <c r="CU358" s="126">
        <v>0</v>
      </c>
    </row>
    <row r="359" spans="1:99" x14ac:dyDescent="0.25">
      <c r="A359" t="s">
        <v>273</v>
      </c>
      <c r="B359" s="2" t="s">
        <v>4</v>
      </c>
      <c r="C359" s="1">
        <v>34120</v>
      </c>
      <c r="D359" s="19">
        <v>47.412500000000001</v>
      </c>
      <c r="E359" s="18">
        <v>0</v>
      </c>
      <c r="F359" s="19">
        <v>0</v>
      </c>
      <c r="G359" s="19">
        <v>0</v>
      </c>
      <c r="H359" s="19">
        <v>0</v>
      </c>
      <c r="I359" s="19">
        <f>SUM(E359:H359)/Variables!$E$3</f>
        <v>0</v>
      </c>
      <c r="J359" s="4">
        <v>0</v>
      </c>
      <c r="K359">
        <v>0</v>
      </c>
      <c r="L359">
        <v>0</v>
      </c>
      <c r="M359">
        <v>0</v>
      </c>
      <c r="N359" s="6">
        <f>SUM(J359:M359)/Variables!$E$3</f>
        <v>0</v>
      </c>
      <c r="O359" s="4">
        <v>0</v>
      </c>
      <c r="P359">
        <v>0</v>
      </c>
      <c r="Q359">
        <v>0</v>
      </c>
      <c r="R359">
        <v>0</v>
      </c>
      <c r="S359" s="6">
        <f>SUM(O359:R359)/Variables!$E$3</f>
        <v>0</v>
      </c>
      <c r="T359" s="4">
        <v>0</v>
      </c>
      <c r="U359">
        <v>0</v>
      </c>
      <c r="V359">
        <v>0</v>
      </c>
      <c r="W359">
        <v>0</v>
      </c>
      <c r="X359" s="6">
        <f>SUM(T359:W359)/Variables!$E$3</f>
        <v>0</v>
      </c>
      <c r="Y359" s="4">
        <v>0</v>
      </c>
      <c r="Z359">
        <v>0</v>
      </c>
      <c r="AA359">
        <v>0</v>
      </c>
      <c r="AB359">
        <v>0</v>
      </c>
      <c r="AC359" s="6">
        <f>SUM(Y359:AB359)/Variables!$E$3</f>
        <v>0</v>
      </c>
      <c r="AD359" s="4">
        <v>0</v>
      </c>
      <c r="AE359" s="2">
        <v>0</v>
      </c>
      <c r="AF359" s="2">
        <v>0</v>
      </c>
      <c r="AG359" s="2">
        <v>0</v>
      </c>
      <c r="AH359" s="6">
        <f>SUM(AD359:AG359)/Variables!$E$3</f>
        <v>0</v>
      </c>
      <c r="AI359" s="4">
        <v>0</v>
      </c>
      <c r="AJ359" s="2">
        <v>0</v>
      </c>
      <c r="AK359" s="2">
        <v>0</v>
      </c>
      <c r="AL359" s="2">
        <v>0</v>
      </c>
      <c r="AM359" s="6">
        <f>SUM(AI359:AL359)/Variables!$E$3</f>
        <v>0</v>
      </c>
      <c r="AN359" s="4">
        <v>0</v>
      </c>
      <c r="AO359" s="2">
        <v>0</v>
      </c>
      <c r="AP359" s="2">
        <v>0</v>
      </c>
      <c r="AQ359" s="2">
        <v>0</v>
      </c>
      <c r="AR359" s="6">
        <f>SUM(AN359:AQ359)/Variables!$E$3</f>
        <v>0</v>
      </c>
      <c r="AS359" s="4">
        <v>0</v>
      </c>
      <c r="AT359" s="2">
        <v>0</v>
      </c>
      <c r="AU359" s="2">
        <v>0</v>
      </c>
      <c r="AV359" s="2">
        <v>0</v>
      </c>
      <c r="AW359" s="6">
        <f>SUM(AS359:AV359)/Variables!$E$3</f>
        <v>0</v>
      </c>
      <c r="AX359" s="4">
        <v>0</v>
      </c>
      <c r="AY359" s="2">
        <v>0</v>
      </c>
      <c r="AZ359" s="2">
        <v>0</v>
      </c>
      <c r="BA359" s="2">
        <v>0</v>
      </c>
      <c r="BB359" s="6">
        <f>SUM(AX359:BA359)/Variables!$E$3</f>
        <v>0</v>
      </c>
      <c r="BC359" s="12">
        <f t="shared" si="86"/>
        <v>0</v>
      </c>
      <c r="BD359" s="110">
        <f t="shared" si="86"/>
        <v>0</v>
      </c>
      <c r="BE359" s="110">
        <f t="shared" si="86"/>
        <v>0</v>
      </c>
      <c r="BF359" s="110">
        <f t="shared" si="86"/>
        <v>0</v>
      </c>
      <c r="BG359" s="6">
        <f>SUM(BC359:BF359)/Variables!$E$3</f>
        <v>0</v>
      </c>
      <c r="BH359" s="4">
        <v>0</v>
      </c>
      <c r="BI359">
        <v>0</v>
      </c>
      <c r="BJ359">
        <v>0</v>
      </c>
      <c r="BK359">
        <v>0</v>
      </c>
      <c r="BL359" s="6">
        <f>SUM(BH359:BK359)/Variables!$E$3</f>
        <v>0</v>
      </c>
      <c r="BM359" s="110">
        <v>0</v>
      </c>
      <c r="BN359" s="110">
        <v>0</v>
      </c>
      <c r="BO359" s="110">
        <v>0</v>
      </c>
      <c r="BP359" s="110">
        <v>0</v>
      </c>
      <c r="BQ359" s="6">
        <f>SUM(BM359:BP359)/Variables!$E$3</f>
        <v>0</v>
      </c>
      <c r="BS359" s="4">
        <v>357</v>
      </c>
      <c r="BT359" s="125">
        <f t="shared" si="87"/>
        <v>0</v>
      </c>
      <c r="BU359" s="125">
        <f t="shared" si="74"/>
        <v>0</v>
      </c>
      <c r="BV359" s="125">
        <f t="shared" si="75"/>
        <v>0</v>
      </c>
      <c r="BW359" s="125">
        <f t="shared" si="76"/>
        <v>0</v>
      </c>
      <c r="BX359" s="125">
        <f t="shared" si="77"/>
        <v>0</v>
      </c>
      <c r="BY359" s="125">
        <f t="shared" si="78"/>
        <v>0</v>
      </c>
      <c r="BZ359" s="125">
        <f t="shared" si="79"/>
        <v>0</v>
      </c>
      <c r="CA359" s="125">
        <f t="shared" si="80"/>
        <v>0</v>
      </c>
      <c r="CB359" s="125">
        <f t="shared" si="81"/>
        <v>0</v>
      </c>
      <c r="CC359" s="125">
        <f t="shared" si="82"/>
        <v>0</v>
      </c>
      <c r="CD359" s="125">
        <f t="shared" si="83"/>
        <v>0</v>
      </c>
      <c r="CE359" s="125">
        <f t="shared" si="84"/>
        <v>0</v>
      </c>
      <c r="CF359" s="126">
        <f t="shared" si="85"/>
        <v>0</v>
      </c>
      <c r="CH359" s="4">
        <v>357</v>
      </c>
      <c r="CI359" s="129">
        <v>0</v>
      </c>
      <c r="CJ359" s="125">
        <v>0</v>
      </c>
      <c r="CK359" s="125">
        <v>0</v>
      </c>
      <c r="CL359" s="125">
        <v>0</v>
      </c>
      <c r="CM359" s="125">
        <v>0</v>
      </c>
      <c r="CN359" s="125">
        <v>0</v>
      </c>
      <c r="CO359" s="125">
        <v>0</v>
      </c>
      <c r="CP359" s="125">
        <v>0</v>
      </c>
      <c r="CQ359" s="125">
        <v>0</v>
      </c>
      <c r="CR359" s="125">
        <v>0</v>
      </c>
      <c r="CS359" s="125">
        <v>0</v>
      </c>
      <c r="CT359" s="125">
        <v>0</v>
      </c>
      <c r="CU359" s="126">
        <v>0</v>
      </c>
    </row>
    <row r="360" spans="1:99" x14ac:dyDescent="0.25">
      <c r="A360" t="s">
        <v>273</v>
      </c>
      <c r="B360" s="2" t="s">
        <v>1</v>
      </c>
      <c r="C360" s="1">
        <v>34212</v>
      </c>
      <c r="D360" s="19">
        <v>82.8125</v>
      </c>
      <c r="E360" s="18">
        <v>0</v>
      </c>
      <c r="F360" s="19">
        <v>0</v>
      </c>
      <c r="G360" s="19">
        <v>0</v>
      </c>
      <c r="H360" s="19">
        <v>0</v>
      </c>
      <c r="I360" s="19">
        <f>SUM(E360:H360)/Variables!$E$3</f>
        <v>0</v>
      </c>
      <c r="J360" s="4">
        <v>0</v>
      </c>
      <c r="K360">
        <v>0</v>
      </c>
      <c r="L360">
        <v>0</v>
      </c>
      <c r="M360">
        <v>0</v>
      </c>
      <c r="N360" s="6">
        <f>SUM(J360:M360)/Variables!$E$3</f>
        <v>0</v>
      </c>
      <c r="O360" s="4">
        <v>0</v>
      </c>
      <c r="P360">
        <v>0</v>
      </c>
      <c r="Q360">
        <v>0</v>
      </c>
      <c r="R360">
        <v>0</v>
      </c>
      <c r="S360" s="6">
        <f>SUM(O360:R360)/Variables!$E$3</f>
        <v>0</v>
      </c>
      <c r="T360" s="4">
        <v>0</v>
      </c>
      <c r="U360">
        <v>0</v>
      </c>
      <c r="V360">
        <v>0</v>
      </c>
      <c r="W360">
        <v>0</v>
      </c>
      <c r="X360" s="6">
        <f>SUM(T360:W360)/Variables!$E$3</f>
        <v>0</v>
      </c>
      <c r="Y360" s="4">
        <v>0</v>
      </c>
      <c r="Z360">
        <v>0</v>
      </c>
      <c r="AA360">
        <v>0</v>
      </c>
      <c r="AB360">
        <v>0</v>
      </c>
      <c r="AC360" s="6">
        <f>SUM(Y360:AB360)/Variables!$E$3</f>
        <v>0</v>
      </c>
      <c r="AD360" s="4">
        <v>0</v>
      </c>
      <c r="AE360" s="2">
        <v>0</v>
      </c>
      <c r="AF360" s="2">
        <v>0</v>
      </c>
      <c r="AG360" s="2">
        <v>0</v>
      </c>
      <c r="AH360" s="6">
        <f>SUM(AD360:AG360)/Variables!$E$3</f>
        <v>0</v>
      </c>
      <c r="AI360" s="4">
        <v>0</v>
      </c>
      <c r="AJ360" s="2">
        <v>0</v>
      </c>
      <c r="AK360" s="2">
        <v>0</v>
      </c>
      <c r="AL360" s="2">
        <v>0</v>
      </c>
      <c r="AM360" s="6">
        <f>SUM(AI360:AL360)/Variables!$E$3</f>
        <v>0</v>
      </c>
      <c r="AN360" s="4">
        <v>0</v>
      </c>
      <c r="AO360" s="2">
        <v>0</v>
      </c>
      <c r="AP360" s="2">
        <v>0</v>
      </c>
      <c r="AQ360" s="2">
        <v>0</v>
      </c>
      <c r="AR360" s="6">
        <f>SUM(AN360:AQ360)/Variables!$E$3</f>
        <v>0</v>
      </c>
      <c r="AS360" s="4">
        <v>0</v>
      </c>
      <c r="AT360" s="2">
        <v>0</v>
      </c>
      <c r="AU360" s="2">
        <v>0</v>
      </c>
      <c r="AV360" s="2">
        <v>0</v>
      </c>
      <c r="AW360" s="6">
        <f>SUM(AS360:AV360)/Variables!$E$3</f>
        <v>0</v>
      </c>
      <c r="AX360" s="4">
        <v>0</v>
      </c>
      <c r="AY360" s="2">
        <v>0</v>
      </c>
      <c r="AZ360" s="2">
        <v>0</v>
      </c>
      <c r="BA360" s="2">
        <v>0</v>
      </c>
      <c r="BB360" s="6">
        <f>SUM(AX360:BA360)/Variables!$E$3</f>
        <v>0</v>
      </c>
      <c r="BC360" s="12">
        <f t="shared" si="86"/>
        <v>0</v>
      </c>
      <c r="BD360" s="110">
        <f t="shared" si="86"/>
        <v>0</v>
      </c>
      <c r="BE360" s="110">
        <f t="shared" si="86"/>
        <v>0</v>
      </c>
      <c r="BF360" s="110">
        <f t="shared" si="86"/>
        <v>0</v>
      </c>
      <c r="BG360" s="6">
        <f>SUM(BC360:BF360)/Variables!$E$3</f>
        <v>0</v>
      </c>
      <c r="BH360" s="4">
        <v>0</v>
      </c>
      <c r="BI360">
        <v>0</v>
      </c>
      <c r="BJ360">
        <v>0</v>
      </c>
      <c r="BK360">
        <v>0</v>
      </c>
      <c r="BL360" s="6">
        <f>SUM(BH360:BK360)/Variables!$E$3</f>
        <v>0</v>
      </c>
      <c r="BM360" s="110">
        <v>0</v>
      </c>
      <c r="BN360" s="110">
        <v>0</v>
      </c>
      <c r="BO360" s="110">
        <v>0</v>
      </c>
      <c r="BP360" s="110">
        <v>0</v>
      </c>
      <c r="BQ360" s="6">
        <f>SUM(BM360:BP360)/Variables!$E$3</f>
        <v>0</v>
      </c>
      <c r="BS360" s="4">
        <v>358</v>
      </c>
      <c r="BT360" s="125">
        <f t="shared" si="87"/>
        <v>0</v>
      </c>
      <c r="BU360" s="125">
        <f t="shared" si="74"/>
        <v>0</v>
      </c>
      <c r="BV360" s="125">
        <f t="shared" si="75"/>
        <v>0</v>
      </c>
      <c r="BW360" s="125">
        <f t="shared" si="76"/>
        <v>0</v>
      </c>
      <c r="BX360" s="125">
        <f t="shared" si="77"/>
        <v>0</v>
      </c>
      <c r="BY360" s="125">
        <f t="shared" si="78"/>
        <v>0</v>
      </c>
      <c r="BZ360" s="125">
        <f t="shared" si="79"/>
        <v>0</v>
      </c>
      <c r="CA360" s="125">
        <f t="shared" si="80"/>
        <v>0</v>
      </c>
      <c r="CB360" s="125">
        <f t="shared" si="81"/>
        <v>0</v>
      </c>
      <c r="CC360" s="125">
        <f t="shared" si="82"/>
        <v>0</v>
      </c>
      <c r="CD360" s="125">
        <f t="shared" si="83"/>
        <v>0</v>
      </c>
      <c r="CE360" s="125">
        <f t="shared" si="84"/>
        <v>0</v>
      </c>
      <c r="CF360" s="126">
        <f t="shared" si="85"/>
        <v>0</v>
      </c>
      <c r="CH360" s="4">
        <v>358</v>
      </c>
      <c r="CI360" s="129">
        <v>0</v>
      </c>
      <c r="CJ360" s="125">
        <v>0</v>
      </c>
      <c r="CK360" s="125">
        <v>0</v>
      </c>
      <c r="CL360" s="125">
        <v>0</v>
      </c>
      <c r="CM360" s="125">
        <v>0</v>
      </c>
      <c r="CN360" s="125">
        <v>0</v>
      </c>
      <c r="CO360" s="125">
        <v>0</v>
      </c>
      <c r="CP360" s="125">
        <v>0</v>
      </c>
      <c r="CQ360" s="125">
        <v>0</v>
      </c>
      <c r="CR360" s="125">
        <v>0</v>
      </c>
      <c r="CS360" s="125">
        <v>0</v>
      </c>
      <c r="CT360" s="125">
        <v>0</v>
      </c>
      <c r="CU360" s="126">
        <v>0</v>
      </c>
    </row>
    <row r="361" spans="1:99" x14ac:dyDescent="0.25">
      <c r="A361" t="s">
        <v>273</v>
      </c>
      <c r="B361" s="2" t="s">
        <v>2</v>
      </c>
      <c r="C361" s="1">
        <v>34303</v>
      </c>
      <c r="D361" s="19">
        <v>152.63749999999999</v>
      </c>
      <c r="E361" s="18">
        <v>0</v>
      </c>
      <c r="F361" s="19">
        <v>0</v>
      </c>
      <c r="G361" s="19">
        <v>0</v>
      </c>
      <c r="H361" s="19">
        <v>0</v>
      </c>
      <c r="I361" s="19">
        <f>SUM(E361:H361)/Variables!$E$3</f>
        <v>0</v>
      </c>
      <c r="J361" s="4">
        <v>0</v>
      </c>
      <c r="K361">
        <v>0</v>
      </c>
      <c r="L361">
        <v>0</v>
      </c>
      <c r="M361">
        <v>0</v>
      </c>
      <c r="N361" s="6">
        <f>SUM(J361:M361)/Variables!$E$3</f>
        <v>0</v>
      </c>
      <c r="O361" s="4">
        <v>0</v>
      </c>
      <c r="P361">
        <v>0</v>
      </c>
      <c r="Q361">
        <v>0</v>
      </c>
      <c r="R361">
        <v>0</v>
      </c>
      <c r="S361" s="6">
        <f>SUM(O361:R361)/Variables!$E$3</f>
        <v>0</v>
      </c>
      <c r="T361" s="4">
        <v>0</v>
      </c>
      <c r="U361">
        <v>0</v>
      </c>
      <c r="V361">
        <v>0</v>
      </c>
      <c r="W361">
        <v>0</v>
      </c>
      <c r="X361" s="6">
        <f>SUM(T361:W361)/Variables!$E$3</f>
        <v>0</v>
      </c>
      <c r="Y361" s="4">
        <v>0</v>
      </c>
      <c r="Z361">
        <v>0</v>
      </c>
      <c r="AA361">
        <v>0</v>
      </c>
      <c r="AB361">
        <v>0</v>
      </c>
      <c r="AC361" s="6">
        <f>SUM(Y361:AB361)/Variables!$E$3</f>
        <v>0</v>
      </c>
      <c r="AD361" s="4">
        <v>0</v>
      </c>
      <c r="AE361" s="2">
        <v>0</v>
      </c>
      <c r="AF361" s="2">
        <v>0</v>
      </c>
      <c r="AG361" s="2">
        <v>0</v>
      </c>
      <c r="AH361" s="6">
        <f>SUM(AD361:AG361)/Variables!$E$3</f>
        <v>0</v>
      </c>
      <c r="AI361" s="4">
        <v>0</v>
      </c>
      <c r="AJ361" s="2">
        <v>0</v>
      </c>
      <c r="AK361" s="2">
        <v>0</v>
      </c>
      <c r="AL361" s="2">
        <v>0</v>
      </c>
      <c r="AM361" s="6">
        <f>SUM(AI361:AL361)/Variables!$E$3</f>
        <v>0</v>
      </c>
      <c r="AN361" s="4">
        <v>0</v>
      </c>
      <c r="AO361" s="2">
        <v>0</v>
      </c>
      <c r="AP361" s="2">
        <v>0</v>
      </c>
      <c r="AQ361" s="2">
        <v>0</v>
      </c>
      <c r="AR361" s="6">
        <f>SUM(AN361:AQ361)/Variables!$E$3</f>
        <v>0</v>
      </c>
      <c r="AS361" s="4">
        <v>0</v>
      </c>
      <c r="AT361" s="2">
        <v>0</v>
      </c>
      <c r="AU361" s="2">
        <v>0</v>
      </c>
      <c r="AV361" s="2">
        <v>0</v>
      </c>
      <c r="AW361" s="6">
        <f>SUM(AS361:AV361)/Variables!$E$3</f>
        <v>0</v>
      </c>
      <c r="AX361" s="4">
        <v>0</v>
      </c>
      <c r="AY361" s="2">
        <v>0</v>
      </c>
      <c r="AZ361" s="2">
        <v>0</v>
      </c>
      <c r="BA361" s="2">
        <v>0</v>
      </c>
      <c r="BB361" s="6">
        <f>SUM(AX361:BA361)/Variables!$E$3</f>
        <v>0</v>
      </c>
      <c r="BC361" s="12">
        <f t="shared" si="86"/>
        <v>0</v>
      </c>
      <c r="BD361" s="110">
        <f t="shared" si="86"/>
        <v>0</v>
      </c>
      <c r="BE361" s="110">
        <f t="shared" si="86"/>
        <v>0</v>
      </c>
      <c r="BF361" s="110">
        <f t="shared" si="86"/>
        <v>0</v>
      </c>
      <c r="BG361" s="6">
        <f>SUM(BC361:BF361)/Variables!$E$3</f>
        <v>0</v>
      </c>
      <c r="BH361" s="4">
        <v>0</v>
      </c>
      <c r="BI361">
        <v>0</v>
      </c>
      <c r="BJ361">
        <v>0</v>
      </c>
      <c r="BK361">
        <v>0</v>
      </c>
      <c r="BL361" s="6">
        <f>SUM(BH361:BK361)/Variables!$E$3</f>
        <v>0</v>
      </c>
      <c r="BM361" s="110">
        <v>0</v>
      </c>
      <c r="BN361" s="110">
        <v>0</v>
      </c>
      <c r="BO361" s="110">
        <v>0</v>
      </c>
      <c r="BP361" s="110">
        <v>0</v>
      </c>
      <c r="BQ361" s="6">
        <f>SUM(BM361:BP361)/Variables!$E$3</f>
        <v>0</v>
      </c>
      <c r="BS361" s="4">
        <v>359</v>
      </c>
      <c r="BT361" s="125">
        <f t="shared" si="87"/>
        <v>0</v>
      </c>
      <c r="BU361" s="125">
        <f t="shared" si="74"/>
        <v>7.3238109565396406E-2</v>
      </c>
      <c r="BV361" s="125">
        <f t="shared" si="75"/>
        <v>0</v>
      </c>
      <c r="BW361" s="125">
        <f t="shared" si="76"/>
        <v>5.1600566908684949E-3</v>
      </c>
      <c r="BX361" s="125">
        <f t="shared" si="77"/>
        <v>4.7753347215734087E-3</v>
      </c>
      <c r="BY361" s="125">
        <f t="shared" si="78"/>
        <v>7.7949944180080678E-4</v>
      </c>
      <c r="BZ361" s="125">
        <f t="shared" si="79"/>
        <v>1.6431642372465342E-3</v>
      </c>
      <c r="CA361" s="125">
        <f t="shared" si="80"/>
        <v>1.8989065629973318E-3</v>
      </c>
      <c r="CB361" s="125">
        <f t="shared" si="81"/>
        <v>5.0453289416384928E-3</v>
      </c>
      <c r="CC361" s="125">
        <f t="shared" si="82"/>
        <v>2.8148283042621083E-3</v>
      </c>
      <c r="CD361" s="125">
        <f t="shared" si="83"/>
        <v>4.7753347215734087E-3</v>
      </c>
      <c r="CE361" s="125">
        <f t="shared" si="84"/>
        <v>2.5675579379092471E-3</v>
      </c>
      <c r="CF361" s="126">
        <f t="shared" si="85"/>
        <v>2.8805453724890934E-3</v>
      </c>
      <c r="CH361" s="4">
        <v>359</v>
      </c>
      <c r="CI361" s="129">
        <v>0</v>
      </c>
      <c r="CJ361" s="125">
        <v>3.3344682063991007E-2</v>
      </c>
      <c r="CK361" s="125">
        <v>0</v>
      </c>
      <c r="CL361" s="125">
        <v>0</v>
      </c>
      <c r="CM361" s="125">
        <v>0</v>
      </c>
      <c r="CN361" s="125">
        <v>0</v>
      </c>
      <c r="CO361" s="125">
        <v>0</v>
      </c>
      <c r="CP361" s="125">
        <v>0</v>
      </c>
      <c r="CQ361" s="125">
        <v>0</v>
      </c>
      <c r="CR361" s="125">
        <v>0</v>
      </c>
      <c r="CS361" s="125">
        <v>0</v>
      </c>
      <c r="CT361" s="125">
        <v>0</v>
      </c>
      <c r="CU361" s="126">
        <v>0</v>
      </c>
    </row>
    <row r="362" spans="1:99" x14ac:dyDescent="0.25">
      <c r="A362" t="s">
        <v>274</v>
      </c>
      <c r="B362" s="2" t="s">
        <v>3</v>
      </c>
      <c r="C362" s="1">
        <v>34393</v>
      </c>
      <c r="D362" s="19">
        <v>85.724999999999994</v>
      </c>
      <c r="E362" s="18">
        <v>0</v>
      </c>
      <c r="F362" s="19">
        <v>0</v>
      </c>
      <c r="G362" s="19">
        <v>0</v>
      </c>
      <c r="H362" s="19">
        <v>0</v>
      </c>
      <c r="I362" s="19">
        <f>SUM(E362:H362)/Variables!$E$3</f>
        <v>0</v>
      </c>
      <c r="J362" s="4">
        <v>0</v>
      </c>
      <c r="K362">
        <v>2113</v>
      </c>
      <c r="L362">
        <v>83509</v>
      </c>
      <c r="M362">
        <v>6877</v>
      </c>
      <c r="N362" s="6">
        <f>SUM(J362:M362)/Variables!$E$3</f>
        <v>7.3238109565396406E-2</v>
      </c>
      <c r="O362" s="4">
        <v>0</v>
      </c>
      <c r="P362">
        <v>0</v>
      </c>
      <c r="Q362">
        <v>0</v>
      </c>
      <c r="R362">
        <v>0</v>
      </c>
      <c r="S362" s="6">
        <f>SUM(O362:R362)/Variables!$E$3</f>
        <v>0</v>
      </c>
      <c r="T362" s="4">
        <v>0</v>
      </c>
      <c r="U362">
        <v>0</v>
      </c>
      <c r="V362">
        <v>6517.1</v>
      </c>
      <c r="W362">
        <v>0</v>
      </c>
      <c r="X362" s="6">
        <f>SUM(T362:W362)/Variables!$E$3</f>
        <v>5.1600566908684949E-3</v>
      </c>
      <c r="Y362" s="4">
        <v>0</v>
      </c>
      <c r="Z362">
        <v>0</v>
      </c>
      <c r="AA362">
        <v>6031.2</v>
      </c>
      <c r="AB362">
        <v>0</v>
      </c>
      <c r="AC362" s="6">
        <f>SUM(Y362:AB362)/Variables!$E$3</f>
        <v>4.7753347215734087E-3</v>
      </c>
      <c r="AD362" s="4">
        <v>0</v>
      </c>
      <c r="AE362" s="2">
        <v>0</v>
      </c>
      <c r="AF362" s="2">
        <v>984.50000000000102</v>
      </c>
      <c r="AG362" s="2">
        <v>0</v>
      </c>
      <c r="AH362" s="6">
        <f>SUM(AD362:AG362)/Variables!$E$3</f>
        <v>7.7949944180080678E-4</v>
      </c>
      <c r="AI362" s="4">
        <v>0</v>
      </c>
      <c r="AJ362" s="2">
        <v>0</v>
      </c>
      <c r="AK362" s="2">
        <v>2075.3000000000002</v>
      </c>
      <c r="AL362" s="2">
        <v>0</v>
      </c>
      <c r="AM362" s="6">
        <f>SUM(AI362:AL362)/Variables!$E$3</f>
        <v>1.6431642372465342E-3</v>
      </c>
      <c r="AN362" s="4">
        <v>0</v>
      </c>
      <c r="AO362" s="2">
        <v>0</v>
      </c>
      <c r="AP362" s="2">
        <v>2398.3000000000002</v>
      </c>
      <c r="AQ362" s="2">
        <v>0</v>
      </c>
      <c r="AR362" s="6">
        <f>SUM(AN362:AQ362)/Variables!$E$3</f>
        <v>1.8989065629973318E-3</v>
      </c>
      <c r="AS362" s="4">
        <v>0</v>
      </c>
      <c r="AT362" s="2">
        <v>0</v>
      </c>
      <c r="AU362" s="2">
        <v>6372.2</v>
      </c>
      <c r="AV362" s="2">
        <v>0</v>
      </c>
      <c r="AW362" s="6">
        <f>SUM(AS362:AV362)/Variables!$E$3</f>
        <v>5.0453289416384928E-3</v>
      </c>
      <c r="AX362" s="4">
        <v>0</v>
      </c>
      <c r="AY362" s="2">
        <v>0</v>
      </c>
      <c r="AZ362" s="2">
        <v>3555.1</v>
      </c>
      <c r="BA362" s="2">
        <v>0</v>
      </c>
      <c r="BB362" s="6">
        <f>SUM(AX362:BA362)/Variables!$E$3</f>
        <v>2.8148283042621083E-3</v>
      </c>
      <c r="BC362" s="12">
        <f t="shared" si="86"/>
        <v>0</v>
      </c>
      <c r="BD362" s="110">
        <f t="shared" si="86"/>
        <v>0</v>
      </c>
      <c r="BE362" s="110">
        <f t="shared" si="86"/>
        <v>6031.2</v>
      </c>
      <c r="BF362" s="110">
        <f t="shared" si="86"/>
        <v>0</v>
      </c>
      <c r="BG362" s="6">
        <f>SUM(BC362:BF362)/Variables!$E$3</f>
        <v>4.7753347215734087E-3</v>
      </c>
      <c r="BH362" s="4">
        <v>0</v>
      </c>
      <c r="BI362">
        <v>0</v>
      </c>
      <c r="BJ362">
        <v>3242.8</v>
      </c>
      <c r="BK362">
        <v>0</v>
      </c>
      <c r="BL362" s="6">
        <f>SUM(BH362:BK362)/Variables!$E$3</f>
        <v>2.5675579379092471E-3</v>
      </c>
      <c r="BM362" s="110">
        <v>0</v>
      </c>
      <c r="BN362" s="110">
        <v>0</v>
      </c>
      <c r="BO362" s="110">
        <v>3638.1</v>
      </c>
      <c r="BP362" s="110">
        <v>0</v>
      </c>
      <c r="BQ362" s="6">
        <f>SUM(BM362:BP362)/Variables!$E$3</f>
        <v>2.8805453724890934E-3</v>
      </c>
      <c r="BS362" s="4">
        <v>360</v>
      </c>
      <c r="BT362" s="125">
        <f t="shared" si="87"/>
        <v>0</v>
      </c>
      <c r="BU362" s="125">
        <f t="shared" si="74"/>
        <v>0.23799317492616728</v>
      </c>
      <c r="BV362" s="125">
        <f t="shared" si="75"/>
        <v>2.0611406266082866E-2</v>
      </c>
      <c r="BW362" s="125">
        <f t="shared" si="76"/>
        <v>7.5451112043642465E-2</v>
      </c>
      <c r="BX362" s="125">
        <f t="shared" si="77"/>
        <v>7.3918637518903554E-2</v>
      </c>
      <c r="BY362" s="125">
        <f t="shared" si="78"/>
        <v>5.4358150104118007E-2</v>
      </c>
      <c r="BZ362" s="125">
        <f t="shared" si="79"/>
        <v>4.5821740473004538E-2</v>
      </c>
      <c r="CA362" s="125">
        <f t="shared" si="80"/>
        <v>5.265330683536687E-2</v>
      </c>
      <c r="CB362" s="125">
        <f t="shared" si="81"/>
        <v>8.2926230611485449E-2</v>
      </c>
      <c r="CC362" s="125">
        <f t="shared" si="82"/>
        <v>6.0924868763806525E-2</v>
      </c>
      <c r="CD362" s="125">
        <f t="shared" si="83"/>
        <v>7.3918637518903554E-2</v>
      </c>
      <c r="CE362" s="125">
        <f t="shared" si="84"/>
        <v>5.4550709031742133E-2</v>
      </c>
      <c r="CF362" s="126">
        <f t="shared" si="85"/>
        <v>6.2672388538309892E-2</v>
      </c>
      <c r="CH362" s="4">
        <v>360</v>
      </c>
      <c r="CI362" s="129">
        <v>0</v>
      </c>
      <c r="CJ362" s="125">
        <v>0.21876420240857014</v>
      </c>
      <c r="CK362" s="125">
        <v>0</v>
      </c>
      <c r="CL362" s="125">
        <v>0</v>
      </c>
      <c r="CM362" s="125">
        <v>0</v>
      </c>
      <c r="CN362" s="125">
        <v>0</v>
      </c>
      <c r="CO362" s="125">
        <v>0</v>
      </c>
      <c r="CP362" s="125">
        <v>0</v>
      </c>
      <c r="CQ362" s="125">
        <v>0</v>
      </c>
      <c r="CR362" s="125">
        <v>0</v>
      </c>
      <c r="CS362" s="125">
        <v>0</v>
      </c>
      <c r="CT362" s="125">
        <v>0</v>
      </c>
      <c r="CU362" s="126">
        <v>0</v>
      </c>
    </row>
    <row r="363" spans="1:99" x14ac:dyDescent="0.25">
      <c r="A363" t="s">
        <v>274</v>
      </c>
      <c r="B363" s="2" t="s">
        <v>4</v>
      </c>
      <c r="C363" s="1">
        <v>34485</v>
      </c>
      <c r="D363" s="19">
        <v>51.037500000000001</v>
      </c>
      <c r="E363" s="18">
        <v>0</v>
      </c>
      <c r="F363" s="19">
        <v>0</v>
      </c>
      <c r="G363" s="19">
        <v>0</v>
      </c>
      <c r="H363" s="19">
        <v>0</v>
      </c>
      <c r="I363" s="19">
        <f>SUM(E363:H363)/Variables!$E$3</f>
        <v>0</v>
      </c>
      <c r="J363" s="4">
        <v>6568</v>
      </c>
      <c r="K363">
        <v>17064</v>
      </c>
      <c r="L363">
        <v>245052</v>
      </c>
      <c r="M363">
        <v>31899</v>
      </c>
      <c r="N363" s="6">
        <f>SUM(J363:M363)/Variables!$E$3</f>
        <v>0.23799317492616728</v>
      </c>
      <c r="O363" s="4">
        <v>0</v>
      </c>
      <c r="P363">
        <v>0</v>
      </c>
      <c r="Q363">
        <v>22877</v>
      </c>
      <c r="R363">
        <v>3155</v>
      </c>
      <c r="S363" s="6">
        <f>SUM(O363:R363)/Variables!$E$3</f>
        <v>2.0611406266082866E-2</v>
      </c>
      <c r="T363" s="4">
        <v>0</v>
      </c>
      <c r="U363">
        <v>0</v>
      </c>
      <c r="V363">
        <v>85007.3</v>
      </c>
      <c r="W363">
        <v>10286.700000000001</v>
      </c>
      <c r="X363" s="6">
        <f>SUM(T363:W363)/Variables!$E$3</f>
        <v>7.5451112043642465E-2</v>
      </c>
      <c r="Y363" s="4">
        <v>0</v>
      </c>
      <c r="Z363">
        <v>0</v>
      </c>
      <c r="AA363">
        <v>82907.100000000006</v>
      </c>
      <c r="AB363">
        <v>10451.4</v>
      </c>
      <c r="AC363" s="6">
        <f>SUM(Y363:AB363)/Variables!$E$3</f>
        <v>7.3918637518903554E-2</v>
      </c>
      <c r="AD363" s="4">
        <v>0</v>
      </c>
      <c r="AE363" s="2">
        <v>0</v>
      </c>
      <c r="AF363" s="2">
        <v>57769.5</v>
      </c>
      <c r="AG363" s="2">
        <v>10884.3</v>
      </c>
      <c r="AH363" s="6">
        <f>SUM(AD363:AG363)/Variables!$E$3</f>
        <v>5.4358150104118007E-2</v>
      </c>
      <c r="AI363" s="4">
        <v>0</v>
      </c>
      <c r="AJ363" s="2">
        <v>0</v>
      </c>
      <c r="AK363" s="2">
        <v>52488</v>
      </c>
      <c r="AL363" s="2">
        <v>5384.4</v>
      </c>
      <c r="AM363" s="6">
        <f>SUM(AI363:AL363)/Variables!$E$3</f>
        <v>4.5821740473004538E-2</v>
      </c>
      <c r="AN363" s="4">
        <v>0</v>
      </c>
      <c r="AO363" s="2">
        <v>0</v>
      </c>
      <c r="AP363" s="2">
        <v>55351</v>
      </c>
      <c r="AQ363" s="2">
        <v>11149.6</v>
      </c>
      <c r="AR363" s="6">
        <f>SUM(AN363:AQ363)/Variables!$E$3</f>
        <v>5.265330683536687E-2</v>
      </c>
      <c r="AS363" s="4">
        <v>0</v>
      </c>
      <c r="AT363" s="2">
        <v>38.400000000000098</v>
      </c>
      <c r="AU363" s="2">
        <v>87356.5</v>
      </c>
      <c r="AV363" s="2">
        <v>17340.099999999999</v>
      </c>
      <c r="AW363" s="6">
        <f>SUM(AS363:AV363)/Variables!$E$3</f>
        <v>8.2926230611485449E-2</v>
      </c>
      <c r="AX363" s="4">
        <v>0</v>
      </c>
      <c r="AY363" s="2">
        <v>0</v>
      </c>
      <c r="AZ363" s="2">
        <v>63822</v>
      </c>
      <c r="BA363" s="2">
        <v>13125.5</v>
      </c>
      <c r="BB363" s="6">
        <f>SUM(AX363:BA363)/Variables!$E$3</f>
        <v>6.0924868763806525E-2</v>
      </c>
      <c r="BC363" s="12">
        <f t="shared" si="86"/>
        <v>0</v>
      </c>
      <c r="BD363" s="110">
        <f t="shared" si="86"/>
        <v>0</v>
      </c>
      <c r="BE363" s="110">
        <f t="shared" si="86"/>
        <v>82907.100000000006</v>
      </c>
      <c r="BF363" s="110">
        <f t="shared" si="86"/>
        <v>10451.4</v>
      </c>
      <c r="BG363" s="6">
        <f>SUM(BC363:BF363)/Variables!$E$3</f>
        <v>7.3918637518903554E-2</v>
      </c>
      <c r="BH363" s="4">
        <v>0</v>
      </c>
      <c r="BI363">
        <v>0</v>
      </c>
      <c r="BJ363">
        <v>60281.9</v>
      </c>
      <c r="BK363">
        <v>8615.1</v>
      </c>
      <c r="BL363" s="6">
        <f>SUM(BH363:BK363)/Variables!$E$3</f>
        <v>5.4550709031742133E-2</v>
      </c>
      <c r="BM363" s="110">
        <v>0</v>
      </c>
      <c r="BN363" s="110">
        <v>0</v>
      </c>
      <c r="BO363" s="110">
        <v>66268.3</v>
      </c>
      <c r="BP363" s="110">
        <v>12886.3</v>
      </c>
      <c r="BQ363" s="6">
        <f>SUM(BM363:BP363)/Variables!$E$3</f>
        <v>6.2672388538309892E-2</v>
      </c>
      <c r="BS363" s="4">
        <v>361</v>
      </c>
      <c r="BT363" s="125">
        <f t="shared" si="87"/>
        <v>0</v>
      </c>
      <c r="BU363" s="125">
        <f t="shared" si="74"/>
        <v>0</v>
      </c>
      <c r="BV363" s="125">
        <f t="shared" si="75"/>
        <v>0</v>
      </c>
      <c r="BW363" s="125">
        <f t="shared" si="76"/>
        <v>0</v>
      </c>
      <c r="BX363" s="125">
        <f t="shared" si="77"/>
        <v>0</v>
      </c>
      <c r="BY363" s="125">
        <f t="shared" si="78"/>
        <v>0</v>
      </c>
      <c r="BZ363" s="125">
        <f t="shared" si="79"/>
        <v>0</v>
      </c>
      <c r="CA363" s="125">
        <f t="shared" si="80"/>
        <v>0</v>
      </c>
      <c r="CB363" s="125">
        <f t="shared" si="81"/>
        <v>0</v>
      </c>
      <c r="CC363" s="125">
        <f t="shared" si="82"/>
        <v>0</v>
      </c>
      <c r="CD363" s="125">
        <f t="shared" si="83"/>
        <v>0</v>
      </c>
      <c r="CE363" s="125">
        <f t="shared" si="84"/>
        <v>0</v>
      </c>
      <c r="CF363" s="126">
        <f t="shared" si="85"/>
        <v>0</v>
      </c>
      <c r="CH363" s="4">
        <v>361</v>
      </c>
      <c r="CI363" s="129">
        <v>0</v>
      </c>
      <c r="CJ363" s="125">
        <v>0</v>
      </c>
      <c r="CK363" s="125">
        <v>0</v>
      </c>
      <c r="CL363" s="125">
        <v>0</v>
      </c>
      <c r="CM363" s="125">
        <v>0</v>
      </c>
      <c r="CN363" s="125">
        <v>0</v>
      </c>
      <c r="CO363" s="125">
        <v>0</v>
      </c>
      <c r="CP363" s="125">
        <v>0</v>
      </c>
      <c r="CQ363" s="125">
        <v>0</v>
      </c>
      <c r="CR363" s="125">
        <v>0</v>
      </c>
      <c r="CS363" s="125">
        <v>0</v>
      </c>
      <c r="CT363" s="125">
        <v>0</v>
      </c>
      <c r="CU363" s="126">
        <v>0</v>
      </c>
    </row>
    <row r="364" spans="1:99" x14ac:dyDescent="0.25">
      <c r="A364" t="s">
        <v>274</v>
      </c>
      <c r="B364" s="2" t="s">
        <v>1</v>
      </c>
      <c r="C364" s="1">
        <v>34577</v>
      </c>
      <c r="D364" s="19">
        <v>0</v>
      </c>
      <c r="E364" s="18">
        <v>0</v>
      </c>
      <c r="F364" s="19">
        <v>0</v>
      </c>
      <c r="G364" s="19">
        <v>0</v>
      </c>
      <c r="H364" s="19">
        <v>0</v>
      </c>
      <c r="I364" s="19">
        <f>SUM(E364:H364)/Variables!$E$3</f>
        <v>0</v>
      </c>
      <c r="J364" s="4">
        <v>0</v>
      </c>
      <c r="K364">
        <v>0</v>
      </c>
      <c r="L364">
        <v>0</v>
      </c>
      <c r="M364">
        <v>0</v>
      </c>
      <c r="N364" s="6">
        <f>SUM(J364:M364)/Variables!$E$3</f>
        <v>0</v>
      </c>
      <c r="O364" s="4">
        <v>0</v>
      </c>
      <c r="P364">
        <v>0</v>
      </c>
      <c r="Q364">
        <v>0</v>
      </c>
      <c r="R364">
        <v>0</v>
      </c>
      <c r="S364" s="6">
        <f>SUM(O364:R364)/Variables!$E$3</f>
        <v>0</v>
      </c>
      <c r="T364" s="4">
        <v>0</v>
      </c>
      <c r="U364">
        <v>0</v>
      </c>
      <c r="V364">
        <v>0</v>
      </c>
      <c r="W364">
        <v>0</v>
      </c>
      <c r="X364" s="6">
        <f>SUM(T364:W364)/Variables!$E$3</f>
        <v>0</v>
      </c>
      <c r="Y364" s="4">
        <v>0</v>
      </c>
      <c r="Z364">
        <v>0</v>
      </c>
      <c r="AA364">
        <v>0</v>
      </c>
      <c r="AB364">
        <v>0</v>
      </c>
      <c r="AC364" s="6">
        <f>SUM(Y364:AB364)/Variables!$E$3</f>
        <v>0</v>
      </c>
      <c r="AD364" s="4">
        <v>0</v>
      </c>
      <c r="AE364" s="2">
        <v>0</v>
      </c>
      <c r="AF364" s="2">
        <v>0</v>
      </c>
      <c r="AG364" s="2">
        <v>0</v>
      </c>
      <c r="AH364" s="6">
        <f>SUM(AD364:AG364)/Variables!$E$3</f>
        <v>0</v>
      </c>
      <c r="AI364" s="4">
        <v>0</v>
      </c>
      <c r="AJ364" s="2">
        <v>0</v>
      </c>
      <c r="AK364" s="2">
        <v>0</v>
      </c>
      <c r="AL364" s="2">
        <v>0</v>
      </c>
      <c r="AM364" s="6">
        <f>SUM(AI364:AL364)/Variables!$E$3</f>
        <v>0</v>
      </c>
      <c r="AN364" s="4">
        <v>0</v>
      </c>
      <c r="AO364" s="2">
        <v>0</v>
      </c>
      <c r="AP364" s="2">
        <v>0</v>
      </c>
      <c r="AQ364" s="2">
        <v>0</v>
      </c>
      <c r="AR364" s="6">
        <f>SUM(AN364:AQ364)/Variables!$E$3</f>
        <v>0</v>
      </c>
      <c r="AS364" s="4">
        <v>0</v>
      </c>
      <c r="AT364" s="2">
        <v>0</v>
      </c>
      <c r="AU364" s="2">
        <v>0</v>
      </c>
      <c r="AV364" s="2">
        <v>0</v>
      </c>
      <c r="AW364" s="6">
        <f>SUM(AS364:AV364)/Variables!$E$3</f>
        <v>0</v>
      </c>
      <c r="AX364" s="4">
        <v>0</v>
      </c>
      <c r="AY364" s="2">
        <v>0</v>
      </c>
      <c r="AZ364" s="2">
        <v>0</v>
      </c>
      <c r="BA364" s="2">
        <v>0</v>
      </c>
      <c r="BB364" s="6">
        <f>SUM(AX364:BA364)/Variables!$E$3</f>
        <v>0</v>
      </c>
      <c r="BC364" s="12">
        <f t="shared" si="86"/>
        <v>0</v>
      </c>
      <c r="BD364" s="110">
        <f t="shared" si="86"/>
        <v>0</v>
      </c>
      <c r="BE364" s="110">
        <f t="shared" si="86"/>
        <v>0</v>
      </c>
      <c r="BF364" s="110">
        <f t="shared" si="86"/>
        <v>0</v>
      </c>
      <c r="BG364" s="6">
        <f>SUM(BC364:BF364)/Variables!$E$3</f>
        <v>0</v>
      </c>
      <c r="BH364" s="4">
        <v>0</v>
      </c>
      <c r="BI364">
        <v>0</v>
      </c>
      <c r="BJ364">
        <v>0</v>
      </c>
      <c r="BK364">
        <v>0</v>
      </c>
      <c r="BL364" s="6">
        <f>SUM(BH364:BK364)/Variables!$E$3</f>
        <v>0</v>
      </c>
      <c r="BM364" s="110">
        <v>0</v>
      </c>
      <c r="BN364" s="110">
        <v>0</v>
      </c>
      <c r="BO364" s="110">
        <v>0</v>
      </c>
      <c r="BP364" s="110">
        <v>0</v>
      </c>
      <c r="BQ364" s="6">
        <f>SUM(BM364:BP364)/Variables!$E$3</f>
        <v>0</v>
      </c>
      <c r="BS364" s="4">
        <v>362</v>
      </c>
      <c r="BT364" s="125">
        <f t="shared" si="87"/>
        <v>0</v>
      </c>
      <c r="BU364" s="125">
        <f t="shared" si="74"/>
        <v>0</v>
      </c>
      <c r="BV364" s="125">
        <f t="shared" si="75"/>
        <v>0</v>
      </c>
      <c r="BW364" s="125">
        <f t="shared" si="76"/>
        <v>0</v>
      </c>
      <c r="BX364" s="125">
        <f t="shared" si="77"/>
        <v>0</v>
      </c>
      <c r="BY364" s="125">
        <f t="shared" si="78"/>
        <v>0</v>
      </c>
      <c r="BZ364" s="125">
        <f t="shared" si="79"/>
        <v>0</v>
      </c>
      <c r="CA364" s="125">
        <f t="shared" si="80"/>
        <v>0</v>
      </c>
      <c r="CB364" s="125">
        <f t="shared" si="81"/>
        <v>0</v>
      </c>
      <c r="CC364" s="125">
        <f t="shared" si="82"/>
        <v>0</v>
      </c>
      <c r="CD364" s="125">
        <f t="shared" si="83"/>
        <v>0</v>
      </c>
      <c r="CE364" s="125">
        <f t="shared" si="84"/>
        <v>0</v>
      </c>
      <c r="CF364" s="126">
        <f t="shared" si="85"/>
        <v>0</v>
      </c>
      <c r="CH364" s="4">
        <v>362</v>
      </c>
      <c r="CI364" s="129">
        <v>0</v>
      </c>
      <c r="CJ364" s="125">
        <v>0</v>
      </c>
      <c r="CK364" s="125">
        <v>0</v>
      </c>
      <c r="CL364" s="125">
        <v>0</v>
      </c>
      <c r="CM364" s="125">
        <v>0</v>
      </c>
      <c r="CN364" s="125">
        <v>0</v>
      </c>
      <c r="CO364" s="125">
        <v>0</v>
      </c>
      <c r="CP364" s="125">
        <v>0</v>
      </c>
      <c r="CQ364" s="125">
        <v>0</v>
      </c>
      <c r="CR364" s="125">
        <v>0</v>
      </c>
      <c r="CS364" s="125">
        <v>0</v>
      </c>
      <c r="CT364" s="125">
        <v>0</v>
      </c>
      <c r="CU364" s="126">
        <v>0</v>
      </c>
    </row>
    <row r="365" spans="1:99" x14ac:dyDescent="0.25">
      <c r="A365" t="s">
        <v>274</v>
      </c>
      <c r="B365" s="2" t="s">
        <v>2</v>
      </c>
      <c r="C365" s="1">
        <v>34668</v>
      </c>
      <c r="D365" s="19">
        <v>64.4267857142857</v>
      </c>
      <c r="E365" s="18">
        <v>0</v>
      </c>
      <c r="F365" s="19">
        <v>0</v>
      </c>
      <c r="G365" s="19">
        <v>0</v>
      </c>
      <c r="H365" s="19">
        <v>0</v>
      </c>
      <c r="I365" s="19">
        <f>SUM(E365:H365)/Variables!$E$3</f>
        <v>0</v>
      </c>
      <c r="J365" s="4">
        <v>0</v>
      </c>
      <c r="K365">
        <v>0</v>
      </c>
      <c r="L365">
        <v>0</v>
      </c>
      <c r="M365">
        <v>0</v>
      </c>
      <c r="N365" s="6">
        <f>SUM(J365:M365)/Variables!$E$3</f>
        <v>0</v>
      </c>
      <c r="O365" s="4">
        <v>0</v>
      </c>
      <c r="P365">
        <v>0</v>
      </c>
      <c r="Q365">
        <v>0</v>
      </c>
      <c r="R365">
        <v>0</v>
      </c>
      <c r="S365" s="6">
        <f>SUM(O365:R365)/Variables!$E$3</f>
        <v>0</v>
      </c>
      <c r="T365" s="4">
        <v>0</v>
      </c>
      <c r="U365">
        <v>0</v>
      </c>
      <c r="V365">
        <v>0</v>
      </c>
      <c r="W365">
        <v>0</v>
      </c>
      <c r="X365" s="6">
        <f>SUM(T365:W365)/Variables!$E$3</f>
        <v>0</v>
      </c>
      <c r="Y365" s="4">
        <v>0</v>
      </c>
      <c r="Z365">
        <v>0</v>
      </c>
      <c r="AA365">
        <v>0</v>
      </c>
      <c r="AB365">
        <v>0</v>
      </c>
      <c r="AC365" s="6">
        <f>SUM(Y365:AB365)/Variables!$E$3</f>
        <v>0</v>
      </c>
      <c r="AD365" s="4">
        <v>0</v>
      </c>
      <c r="AE365" s="2">
        <v>0</v>
      </c>
      <c r="AF365" s="2">
        <v>0</v>
      </c>
      <c r="AG365" s="2">
        <v>0</v>
      </c>
      <c r="AH365" s="6">
        <f>SUM(AD365:AG365)/Variables!$E$3</f>
        <v>0</v>
      </c>
      <c r="AI365" s="4">
        <v>0</v>
      </c>
      <c r="AJ365" s="2">
        <v>0</v>
      </c>
      <c r="AK365" s="2">
        <v>0</v>
      </c>
      <c r="AL365" s="2">
        <v>0</v>
      </c>
      <c r="AM365" s="6">
        <f>SUM(AI365:AL365)/Variables!$E$3</f>
        <v>0</v>
      </c>
      <c r="AN365" s="4">
        <v>0</v>
      </c>
      <c r="AO365" s="2">
        <v>0</v>
      </c>
      <c r="AP365" s="2">
        <v>0</v>
      </c>
      <c r="AQ365" s="2">
        <v>0</v>
      </c>
      <c r="AR365" s="6">
        <f>SUM(AN365:AQ365)/Variables!$E$3</f>
        <v>0</v>
      </c>
      <c r="AS365" s="4">
        <v>0</v>
      </c>
      <c r="AT365" s="2">
        <v>0</v>
      </c>
      <c r="AU365" s="2">
        <v>0</v>
      </c>
      <c r="AV365" s="2">
        <v>0</v>
      </c>
      <c r="AW365" s="6">
        <f>SUM(AS365:AV365)/Variables!$E$3</f>
        <v>0</v>
      </c>
      <c r="AX365" s="4">
        <v>0</v>
      </c>
      <c r="AY365" s="2">
        <v>0</v>
      </c>
      <c r="AZ365" s="2">
        <v>0</v>
      </c>
      <c r="BA365" s="2">
        <v>0</v>
      </c>
      <c r="BB365" s="6">
        <f>SUM(AX365:BA365)/Variables!$E$3</f>
        <v>0</v>
      </c>
      <c r="BC365" s="12">
        <f t="shared" si="86"/>
        <v>0</v>
      </c>
      <c r="BD365" s="110">
        <f t="shared" si="86"/>
        <v>0</v>
      </c>
      <c r="BE365" s="110">
        <f t="shared" si="86"/>
        <v>0</v>
      </c>
      <c r="BF365" s="110">
        <f t="shared" si="86"/>
        <v>0</v>
      </c>
      <c r="BG365" s="6">
        <f>SUM(BC365:BF365)/Variables!$E$3</f>
        <v>0</v>
      </c>
      <c r="BH365" s="4">
        <v>0</v>
      </c>
      <c r="BI365">
        <v>0</v>
      </c>
      <c r="BJ365">
        <v>0</v>
      </c>
      <c r="BK365">
        <v>0</v>
      </c>
      <c r="BL365" s="6">
        <f>SUM(BH365:BK365)/Variables!$E$3</f>
        <v>0</v>
      </c>
      <c r="BM365" s="110">
        <v>0</v>
      </c>
      <c r="BN365" s="110">
        <v>0</v>
      </c>
      <c r="BO365" s="110">
        <v>0</v>
      </c>
      <c r="BP365" s="110">
        <v>0</v>
      </c>
      <c r="BQ365" s="6">
        <f>SUM(BM365:BP365)/Variables!$E$3</f>
        <v>0</v>
      </c>
      <c r="BS365" s="4">
        <v>363</v>
      </c>
      <c r="BT365" s="125">
        <f t="shared" si="87"/>
        <v>0</v>
      </c>
      <c r="BU365" s="125">
        <f t="shared" si="74"/>
        <v>0</v>
      </c>
      <c r="BV365" s="125">
        <f t="shared" si="75"/>
        <v>0</v>
      </c>
      <c r="BW365" s="125">
        <f t="shared" si="76"/>
        <v>0</v>
      </c>
      <c r="BX365" s="125">
        <f t="shared" si="77"/>
        <v>0</v>
      </c>
      <c r="BY365" s="125">
        <f t="shared" si="78"/>
        <v>0</v>
      </c>
      <c r="BZ365" s="125">
        <f t="shared" si="79"/>
        <v>0</v>
      </c>
      <c r="CA365" s="125">
        <f t="shared" si="80"/>
        <v>0</v>
      </c>
      <c r="CB365" s="125">
        <f t="shared" si="81"/>
        <v>0</v>
      </c>
      <c r="CC365" s="125">
        <f t="shared" si="82"/>
        <v>0</v>
      </c>
      <c r="CD365" s="125">
        <f t="shared" si="83"/>
        <v>0</v>
      </c>
      <c r="CE365" s="125">
        <f t="shared" si="84"/>
        <v>0</v>
      </c>
      <c r="CF365" s="126">
        <f t="shared" si="85"/>
        <v>0</v>
      </c>
      <c r="CH365" s="4">
        <v>363</v>
      </c>
      <c r="CI365" s="129">
        <v>0</v>
      </c>
      <c r="CJ365" s="125">
        <v>0</v>
      </c>
      <c r="CK365" s="125">
        <v>0</v>
      </c>
      <c r="CL365" s="125">
        <v>0</v>
      </c>
      <c r="CM365" s="125">
        <v>0</v>
      </c>
      <c r="CN365" s="125">
        <v>0</v>
      </c>
      <c r="CO365" s="125">
        <v>0</v>
      </c>
      <c r="CP365" s="125">
        <v>0</v>
      </c>
      <c r="CQ365" s="125">
        <v>0</v>
      </c>
      <c r="CR365" s="125">
        <v>0</v>
      </c>
      <c r="CS365" s="125">
        <v>0</v>
      </c>
      <c r="CT365" s="125">
        <v>0</v>
      </c>
      <c r="CU365" s="126">
        <v>0</v>
      </c>
    </row>
    <row r="366" spans="1:99" x14ac:dyDescent="0.25">
      <c r="A366" t="s">
        <v>275</v>
      </c>
      <c r="B366" s="2" t="s">
        <v>3</v>
      </c>
      <c r="C366" s="1">
        <v>34758</v>
      </c>
      <c r="D366" s="19">
        <v>198.435</v>
      </c>
      <c r="E366" s="18">
        <v>0</v>
      </c>
      <c r="F366" s="19">
        <v>0</v>
      </c>
      <c r="G366" s="19">
        <v>0</v>
      </c>
      <c r="H366" s="19">
        <v>0</v>
      </c>
      <c r="I366" s="19">
        <f>SUM(E366:H366)/Variables!$E$3</f>
        <v>0</v>
      </c>
      <c r="J366" s="4">
        <v>0</v>
      </c>
      <c r="K366">
        <v>0</v>
      </c>
      <c r="L366">
        <v>0</v>
      </c>
      <c r="M366">
        <v>0</v>
      </c>
      <c r="N366" s="6">
        <f>SUM(J366:M366)/Variables!$E$3</f>
        <v>0</v>
      </c>
      <c r="O366" s="4">
        <v>0</v>
      </c>
      <c r="P366">
        <v>0</v>
      </c>
      <c r="Q366">
        <v>0</v>
      </c>
      <c r="R366">
        <v>0</v>
      </c>
      <c r="S366" s="6">
        <f>SUM(O366:R366)/Variables!$E$3</f>
        <v>0</v>
      </c>
      <c r="T366" s="4">
        <v>0</v>
      </c>
      <c r="U366">
        <v>0</v>
      </c>
      <c r="V366">
        <v>0</v>
      </c>
      <c r="W366">
        <v>0</v>
      </c>
      <c r="X366" s="6">
        <f>SUM(T366:W366)/Variables!$E$3</f>
        <v>0</v>
      </c>
      <c r="Y366" s="4">
        <v>0</v>
      </c>
      <c r="Z366">
        <v>0</v>
      </c>
      <c r="AA366">
        <v>0</v>
      </c>
      <c r="AB366">
        <v>0</v>
      </c>
      <c r="AC366" s="6">
        <f>SUM(Y366:AB366)/Variables!$E$3</f>
        <v>0</v>
      </c>
      <c r="AD366" s="4">
        <v>0</v>
      </c>
      <c r="AE366" s="2">
        <v>0</v>
      </c>
      <c r="AF366" s="2">
        <v>0</v>
      </c>
      <c r="AG366" s="2">
        <v>0</v>
      </c>
      <c r="AH366" s="6">
        <f>SUM(AD366:AG366)/Variables!$E$3</f>
        <v>0</v>
      </c>
      <c r="AI366" s="4">
        <v>0</v>
      </c>
      <c r="AJ366" s="2">
        <v>0</v>
      </c>
      <c r="AK366" s="2">
        <v>0</v>
      </c>
      <c r="AL366" s="2">
        <v>0</v>
      </c>
      <c r="AM366" s="6">
        <f>SUM(AI366:AL366)/Variables!$E$3</f>
        <v>0</v>
      </c>
      <c r="AN366" s="4">
        <v>0</v>
      </c>
      <c r="AO366" s="2">
        <v>0</v>
      </c>
      <c r="AP366" s="2">
        <v>0</v>
      </c>
      <c r="AQ366" s="2">
        <v>0</v>
      </c>
      <c r="AR366" s="6">
        <f>SUM(AN366:AQ366)/Variables!$E$3</f>
        <v>0</v>
      </c>
      <c r="AS366" s="4">
        <v>0</v>
      </c>
      <c r="AT366" s="2">
        <v>0</v>
      </c>
      <c r="AU366" s="2">
        <v>0</v>
      </c>
      <c r="AV366" s="2">
        <v>0</v>
      </c>
      <c r="AW366" s="6">
        <f>SUM(AS366:AV366)/Variables!$E$3</f>
        <v>0</v>
      </c>
      <c r="AX366" s="4">
        <v>0</v>
      </c>
      <c r="AY366" s="2">
        <v>0</v>
      </c>
      <c r="AZ366" s="2">
        <v>0</v>
      </c>
      <c r="BA366" s="2">
        <v>0</v>
      </c>
      <c r="BB366" s="6">
        <f>SUM(AX366:BA366)/Variables!$E$3</f>
        <v>0</v>
      </c>
      <c r="BC366" s="12">
        <f t="shared" si="86"/>
        <v>0</v>
      </c>
      <c r="BD366" s="110">
        <f t="shared" si="86"/>
        <v>0</v>
      </c>
      <c r="BE366" s="110">
        <f t="shared" si="86"/>
        <v>0</v>
      </c>
      <c r="BF366" s="110">
        <f t="shared" si="86"/>
        <v>0</v>
      </c>
      <c r="BG366" s="6">
        <f>SUM(BC366:BF366)/Variables!$E$3</f>
        <v>0</v>
      </c>
      <c r="BH366" s="4">
        <v>0</v>
      </c>
      <c r="BI366">
        <v>0</v>
      </c>
      <c r="BJ366">
        <v>0</v>
      </c>
      <c r="BK366">
        <v>0</v>
      </c>
      <c r="BL366" s="6">
        <f>SUM(BH366:BK366)/Variables!$E$3</f>
        <v>0</v>
      </c>
      <c r="BM366" s="110">
        <v>0</v>
      </c>
      <c r="BN366" s="110">
        <v>0</v>
      </c>
      <c r="BO366" s="110">
        <v>0</v>
      </c>
      <c r="BP366" s="110">
        <v>0</v>
      </c>
      <c r="BQ366" s="6">
        <f>SUM(BM366:BP366)/Variables!$E$3</f>
        <v>0</v>
      </c>
      <c r="BS366" s="4">
        <v>364</v>
      </c>
      <c r="BT366" s="125">
        <f t="shared" si="87"/>
        <v>0</v>
      </c>
      <c r="BU366" s="125">
        <f t="shared" si="74"/>
        <v>3.6761969611794234E-3</v>
      </c>
      <c r="BV366" s="125">
        <f t="shared" si="75"/>
        <v>0</v>
      </c>
      <c r="BW366" s="125">
        <f t="shared" si="76"/>
        <v>0</v>
      </c>
      <c r="BX366" s="125">
        <f t="shared" si="77"/>
        <v>0</v>
      </c>
      <c r="BY366" s="125">
        <f t="shared" si="78"/>
        <v>0</v>
      </c>
      <c r="BZ366" s="125">
        <f t="shared" si="79"/>
        <v>0</v>
      </c>
      <c r="CA366" s="125">
        <f t="shared" si="80"/>
        <v>0</v>
      </c>
      <c r="CB366" s="125">
        <f t="shared" si="81"/>
        <v>0</v>
      </c>
      <c r="CC366" s="125">
        <f t="shared" si="82"/>
        <v>0</v>
      </c>
      <c r="CD366" s="125">
        <f t="shared" si="83"/>
        <v>0</v>
      </c>
      <c r="CE366" s="125">
        <f t="shared" si="84"/>
        <v>0</v>
      </c>
      <c r="CF366" s="126">
        <f t="shared" si="85"/>
        <v>0</v>
      </c>
      <c r="CH366" s="4">
        <v>364</v>
      </c>
      <c r="CI366" s="129">
        <v>0</v>
      </c>
      <c r="CJ366" s="125">
        <v>0</v>
      </c>
      <c r="CK366" s="125">
        <v>0</v>
      </c>
      <c r="CL366" s="125">
        <v>0</v>
      </c>
      <c r="CM366" s="125">
        <v>0</v>
      </c>
      <c r="CN366" s="125">
        <v>0</v>
      </c>
      <c r="CO366" s="125">
        <v>0</v>
      </c>
      <c r="CP366" s="125">
        <v>0</v>
      </c>
      <c r="CQ366" s="125">
        <v>0</v>
      </c>
      <c r="CR366" s="125">
        <v>0</v>
      </c>
      <c r="CS366" s="125">
        <v>0</v>
      </c>
      <c r="CT366" s="125">
        <v>0</v>
      </c>
      <c r="CU366" s="126">
        <v>0</v>
      </c>
    </row>
    <row r="367" spans="1:99" x14ac:dyDescent="0.25">
      <c r="A367" t="s">
        <v>275</v>
      </c>
      <c r="B367" s="2" t="s">
        <v>4</v>
      </c>
      <c r="C367" s="1">
        <v>34850</v>
      </c>
      <c r="D367" s="19">
        <v>104.08750000000001</v>
      </c>
      <c r="E367" s="18">
        <v>0</v>
      </c>
      <c r="F367" s="19">
        <v>0</v>
      </c>
      <c r="G367" s="19">
        <v>0</v>
      </c>
      <c r="H367" s="19">
        <v>0</v>
      </c>
      <c r="I367" s="19">
        <f>SUM(E367:H367)/Variables!$E$3</f>
        <v>0</v>
      </c>
      <c r="J367" s="4">
        <v>0</v>
      </c>
      <c r="K367">
        <v>0</v>
      </c>
      <c r="L367">
        <v>4643</v>
      </c>
      <c r="M367">
        <v>0</v>
      </c>
      <c r="N367" s="6">
        <f>SUM(J367:M367)/Variables!$E$3</f>
        <v>3.6761969611794234E-3</v>
      </c>
      <c r="O367" s="4">
        <v>0</v>
      </c>
      <c r="P367">
        <v>0</v>
      </c>
      <c r="Q367">
        <v>0</v>
      </c>
      <c r="R367">
        <v>0</v>
      </c>
      <c r="S367" s="6">
        <f>SUM(O367:R367)/Variables!$E$3</f>
        <v>0</v>
      </c>
      <c r="T367" s="4">
        <v>0</v>
      </c>
      <c r="U367">
        <v>0</v>
      </c>
      <c r="V367">
        <v>0</v>
      </c>
      <c r="W367">
        <v>0</v>
      </c>
      <c r="X367" s="6">
        <f>SUM(T367:W367)/Variables!$E$3</f>
        <v>0</v>
      </c>
      <c r="Y367" s="4">
        <v>0</v>
      </c>
      <c r="Z367">
        <v>0</v>
      </c>
      <c r="AA367">
        <v>0</v>
      </c>
      <c r="AB367">
        <v>0</v>
      </c>
      <c r="AC367" s="6">
        <f>SUM(Y367:AB367)/Variables!$E$3</f>
        <v>0</v>
      </c>
      <c r="AD367" s="4">
        <v>0</v>
      </c>
      <c r="AE367" s="2">
        <v>0</v>
      </c>
      <c r="AF367" s="2">
        <v>0</v>
      </c>
      <c r="AG367" s="2">
        <v>0</v>
      </c>
      <c r="AH367" s="6">
        <f>SUM(AD367:AG367)/Variables!$E$3</f>
        <v>0</v>
      </c>
      <c r="AI367" s="4">
        <v>0</v>
      </c>
      <c r="AJ367" s="2">
        <v>0</v>
      </c>
      <c r="AK367" s="2">
        <v>0</v>
      </c>
      <c r="AL367" s="2">
        <v>0</v>
      </c>
      <c r="AM367" s="6">
        <f>SUM(AI367:AL367)/Variables!$E$3</f>
        <v>0</v>
      </c>
      <c r="AN367" s="4">
        <v>0</v>
      </c>
      <c r="AO367" s="2">
        <v>0</v>
      </c>
      <c r="AP367" s="2">
        <v>0</v>
      </c>
      <c r="AQ367" s="2">
        <v>0</v>
      </c>
      <c r="AR367" s="6">
        <f>SUM(AN367:AQ367)/Variables!$E$3</f>
        <v>0</v>
      </c>
      <c r="AS367" s="4">
        <v>0</v>
      </c>
      <c r="AT367" s="2">
        <v>0</v>
      </c>
      <c r="AU367" s="2">
        <v>0</v>
      </c>
      <c r="AV367" s="2">
        <v>0</v>
      </c>
      <c r="AW367" s="6">
        <f>SUM(AS367:AV367)/Variables!$E$3</f>
        <v>0</v>
      </c>
      <c r="AX367" s="4">
        <v>0</v>
      </c>
      <c r="AY367" s="2">
        <v>0</v>
      </c>
      <c r="AZ367" s="2">
        <v>0</v>
      </c>
      <c r="BA367" s="2">
        <v>0</v>
      </c>
      <c r="BB367" s="6">
        <f>SUM(AX367:BA367)/Variables!$E$3</f>
        <v>0</v>
      </c>
      <c r="BC367" s="12">
        <f t="shared" si="86"/>
        <v>0</v>
      </c>
      <c r="BD367" s="110">
        <f t="shared" si="86"/>
        <v>0</v>
      </c>
      <c r="BE367" s="110">
        <f t="shared" si="86"/>
        <v>0</v>
      </c>
      <c r="BF367" s="110">
        <f t="shared" si="86"/>
        <v>0</v>
      </c>
      <c r="BG367" s="6">
        <f>SUM(BC367:BF367)/Variables!$E$3</f>
        <v>0</v>
      </c>
      <c r="BH367" s="4">
        <v>0</v>
      </c>
      <c r="BI367">
        <v>0</v>
      </c>
      <c r="BJ367">
        <v>0</v>
      </c>
      <c r="BK367">
        <v>0</v>
      </c>
      <c r="BL367" s="6">
        <f>SUM(BH367:BK367)/Variables!$E$3</f>
        <v>0</v>
      </c>
      <c r="BM367" s="110">
        <v>0</v>
      </c>
      <c r="BN367" s="110">
        <v>0</v>
      </c>
      <c r="BO367" s="110">
        <v>0</v>
      </c>
      <c r="BP367" s="110">
        <v>0</v>
      </c>
      <c r="BQ367" s="6">
        <f>SUM(BM367:BP367)/Variables!$E$3</f>
        <v>0</v>
      </c>
      <c r="BS367" s="4">
        <v>365</v>
      </c>
      <c r="BT367" s="125">
        <f t="shared" si="87"/>
        <v>0</v>
      </c>
      <c r="BU367" s="125">
        <f t="shared" si="74"/>
        <v>0</v>
      </c>
      <c r="BV367" s="125">
        <f t="shared" si="75"/>
        <v>0</v>
      </c>
      <c r="BW367" s="125">
        <f t="shared" si="76"/>
        <v>0</v>
      </c>
      <c r="BX367" s="125">
        <f t="shared" si="77"/>
        <v>0</v>
      </c>
      <c r="BY367" s="125">
        <f t="shared" si="78"/>
        <v>0</v>
      </c>
      <c r="BZ367" s="125">
        <f t="shared" si="79"/>
        <v>0</v>
      </c>
      <c r="CA367" s="125">
        <f t="shared" si="80"/>
        <v>0</v>
      </c>
      <c r="CB367" s="125">
        <f t="shared" si="81"/>
        <v>0</v>
      </c>
      <c r="CC367" s="125">
        <f t="shared" si="82"/>
        <v>0</v>
      </c>
      <c r="CD367" s="125">
        <f t="shared" si="83"/>
        <v>0</v>
      </c>
      <c r="CE367" s="125">
        <f t="shared" si="84"/>
        <v>0</v>
      </c>
      <c r="CF367" s="126">
        <f t="shared" si="85"/>
        <v>0</v>
      </c>
      <c r="CH367" s="4">
        <v>365</v>
      </c>
      <c r="CI367" s="129">
        <v>0</v>
      </c>
      <c r="CJ367" s="125">
        <v>0</v>
      </c>
      <c r="CK367" s="125">
        <v>0</v>
      </c>
      <c r="CL367" s="125">
        <v>0</v>
      </c>
      <c r="CM367" s="125">
        <v>0</v>
      </c>
      <c r="CN367" s="125">
        <v>0</v>
      </c>
      <c r="CO367" s="125">
        <v>0</v>
      </c>
      <c r="CP367" s="125">
        <v>0</v>
      </c>
      <c r="CQ367" s="125">
        <v>0</v>
      </c>
      <c r="CR367" s="125">
        <v>0</v>
      </c>
      <c r="CS367" s="125">
        <v>0</v>
      </c>
      <c r="CT367" s="125">
        <v>0</v>
      </c>
      <c r="CU367" s="126">
        <v>0</v>
      </c>
    </row>
    <row r="368" spans="1:99" x14ac:dyDescent="0.25">
      <c r="A368" t="s">
        <v>275</v>
      </c>
      <c r="B368" s="2" t="s">
        <v>1</v>
      </c>
      <c r="C368" s="1">
        <v>34942</v>
      </c>
      <c r="D368" s="19">
        <v>24.35</v>
      </c>
      <c r="E368" s="18">
        <v>0</v>
      </c>
      <c r="F368" s="19">
        <v>0</v>
      </c>
      <c r="G368" s="19">
        <v>0</v>
      </c>
      <c r="H368" s="19">
        <v>0</v>
      </c>
      <c r="I368" s="19">
        <f>SUM(E368:H368)/Variables!$E$3</f>
        <v>0</v>
      </c>
      <c r="J368" s="4">
        <v>0</v>
      </c>
      <c r="K368">
        <v>0</v>
      </c>
      <c r="L368">
        <v>0</v>
      </c>
      <c r="M368">
        <v>0</v>
      </c>
      <c r="N368" s="6">
        <f>SUM(J368:M368)/Variables!$E$3</f>
        <v>0</v>
      </c>
      <c r="O368" s="4">
        <v>0</v>
      </c>
      <c r="P368">
        <v>0</v>
      </c>
      <c r="Q368">
        <v>0</v>
      </c>
      <c r="R368">
        <v>0</v>
      </c>
      <c r="S368" s="6">
        <f>SUM(O368:R368)/Variables!$E$3</f>
        <v>0</v>
      </c>
      <c r="T368" s="4">
        <v>0</v>
      </c>
      <c r="U368">
        <v>0</v>
      </c>
      <c r="V368">
        <v>0</v>
      </c>
      <c r="W368">
        <v>0</v>
      </c>
      <c r="X368" s="6">
        <f>SUM(T368:W368)/Variables!$E$3</f>
        <v>0</v>
      </c>
      <c r="Y368" s="4">
        <v>0</v>
      </c>
      <c r="Z368">
        <v>0</v>
      </c>
      <c r="AA368">
        <v>0</v>
      </c>
      <c r="AB368">
        <v>0</v>
      </c>
      <c r="AC368" s="6">
        <f>SUM(Y368:AB368)/Variables!$E$3</f>
        <v>0</v>
      </c>
      <c r="AD368" s="4">
        <v>0</v>
      </c>
      <c r="AE368" s="2">
        <v>0</v>
      </c>
      <c r="AF368" s="2">
        <v>0</v>
      </c>
      <c r="AG368" s="2">
        <v>0</v>
      </c>
      <c r="AH368" s="6">
        <f>SUM(AD368:AG368)/Variables!$E$3</f>
        <v>0</v>
      </c>
      <c r="AI368" s="4">
        <v>0</v>
      </c>
      <c r="AJ368" s="2">
        <v>0</v>
      </c>
      <c r="AK368" s="2">
        <v>0</v>
      </c>
      <c r="AL368" s="2">
        <v>0</v>
      </c>
      <c r="AM368" s="6">
        <f>SUM(AI368:AL368)/Variables!$E$3</f>
        <v>0</v>
      </c>
      <c r="AN368" s="4">
        <v>0</v>
      </c>
      <c r="AO368" s="2">
        <v>0</v>
      </c>
      <c r="AP368" s="2">
        <v>0</v>
      </c>
      <c r="AQ368" s="2">
        <v>0</v>
      </c>
      <c r="AR368" s="6">
        <f>SUM(AN368:AQ368)/Variables!$E$3</f>
        <v>0</v>
      </c>
      <c r="AS368" s="4">
        <v>0</v>
      </c>
      <c r="AT368" s="2">
        <v>0</v>
      </c>
      <c r="AU368" s="2">
        <v>0</v>
      </c>
      <c r="AV368" s="2">
        <v>0</v>
      </c>
      <c r="AW368" s="6">
        <f>SUM(AS368:AV368)/Variables!$E$3</f>
        <v>0</v>
      </c>
      <c r="AX368" s="4">
        <v>0</v>
      </c>
      <c r="AY368" s="2">
        <v>0</v>
      </c>
      <c r="AZ368" s="2">
        <v>0</v>
      </c>
      <c r="BA368" s="2">
        <v>0</v>
      </c>
      <c r="BB368" s="6">
        <f>SUM(AX368:BA368)/Variables!$E$3</f>
        <v>0</v>
      </c>
      <c r="BC368" s="12">
        <f t="shared" si="86"/>
        <v>0</v>
      </c>
      <c r="BD368" s="110">
        <f t="shared" si="86"/>
        <v>0</v>
      </c>
      <c r="BE368" s="110">
        <f t="shared" si="86"/>
        <v>0</v>
      </c>
      <c r="BF368" s="110">
        <f t="shared" si="86"/>
        <v>0</v>
      </c>
      <c r="BG368" s="6">
        <f>SUM(BC368:BF368)/Variables!$E$3</f>
        <v>0</v>
      </c>
      <c r="BH368" s="4">
        <v>0</v>
      </c>
      <c r="BI368">
        <v>0</v>
      </c>
      <c r="BJ368">
        <v>0</v>
      </c>
      <c r="BK368">
        <v>0</v>
      </c>
      <c r="BL368" s="6">
        <f>SUM(BH368:BK368)/Variables!$E$3</f>
        <v>0</v>
      </c>
      <c r="BM368" s="110">
        <v>0</v>
      </c>
      <c r="BN368" s="110">
        <v>0</v>
      </c>
      <c r="BO368" s="110">
        <v>0</v>
      </c>
      <c r="BP368" s="110">
        <v>0</v>
      </c>
      <c r="BQ368" s="6">
        <f>SUM(BM368:BP368)/Variables!$E$3</f>
        <v>0</v>
      </c>
      <c r="BS368" s="4">
        <v>366</v>
      </c>
      <c r="BT368" s="125">
        <f t="shared" si="87"/>
        <v>0</v>
      </c>
      <c r="BU368" s="125">
        <f t="shared" si="74"/>
        <v>0</v>
      </c>
      <c r="BV368" s="125">
        <f t="shared" si="75"/>
        <v>0</v>
      </c>
      <c r="BW368" s="125">
        <f t="shared" si="76"/>
        <v>0</v>
      </c>
      <c r="BX368" s="125">
        <f t="shared" si="77"/>
        <v>0</v>
      </c>
      <c r="BY368" s="125">
        <f t="shared" si="78"/>
        <v>0</v>
      </c>
      <c r="BZ368" s="125">
        <f t="shared" si="79"/>
        <v>0</v>
      </c>
      <c r="CA368" s="125">
        <f t="shared" si="80"/>
        <v>0</v>
      </c>
      <c r="CB368" s="125">
        <f t="shared" si="81"/>
        <v>0</v>
      </c>
      <c r="CC368" s="125">
        <f t="shared" si="82"/>
        <v>0</v>
      </c>
      <c r="CD368" s="125">
        <f t="shared" si="83"/>
        <v>0</v>
      </c>
      <c r="CE368" s="125">
        <f t="shared" si="84"/>
        <v>0</v>
      </c>
      <c r="CF368" s="126">
        <f t="shared" si="85"/>
        <v>0</v>
      </c>
      <c r="CH368" s="4">
        <v>366</v>
      </c>
      <c r="CI368" s="129">
        <v>0</v>
      </c>
      <c r="CJ368" s="125">
        <v>0</v>
      </c>
      <c r="CK368" s="125">
        <v>0</v>
      </c>
      <c r="CL368" s="125">
        <v>0</v>
      </c>
      <c r="CM368" s="125">
        <v>0</v>
      </c>
      <c r="CN368" s="125">
        <v>0</v>
      </c>
      <c r="CO368" s="125">
        <v>0</v>
      </c>
      <c r="CP368" s="125">
        <v>0</v>
      </c>
      <c r="CQ368" s="125">
        <v>0</v>
      </c>
      <c r="CR368" s="125">
        <v>0</v>
      </c>
      <c r="CS368" s="125">
        <v>0</v>
      </c>
      <c r="CT368" s="125">
        <v>0</v>
      </c>
      <c r="CU368" s="126">
        <v>0</v>
      </c>
    </row>
    <row r="369" spans="1:99" x14ac:dyDescent="0.25">
      <c r="A369" t="s">
        <v>275</v>
      </c>
      <c r="B369" s="2" t="s">
        <v>2</v>
      </c>
      <c r="C369" s="1">
        <v>35033</v>
      </c>
      <c r="D369" s="19">
        <v>84.1875</v>
      </c>
      <c r="E369" s="18">
        <v>0</v>
      </c>
      <c r="F369" s="19">
        <v>0</v>
      </c>
      <c r="G369" s="19">
        <v>0</v>
      </c>
      <c r="H369" s="19">
        <v>0</v>
      </c>
      <c r="I369" s="19">
        <f>SUM(E369:H369)/Variables!$E$3</f>
        <v>0</v>
      </c>
      <c r="J369" s="4">
        <v>0</v>
      </c>
      <c r="K369">
        <v>0</v>
      </c>
      <c r="L369">
        <v>0</v>
      </c>
      <c r="M369">
        <v>0</v>
      </c>
      <c r="N369" s="6">
        <f>SUM(J369:M369)/Variables!$E$3</f>
        <v>0</v>
      </c>
      <c r="O369" s="4">
        <v>0</v>
      </c>
      <c r="P369">
        <v>0</v>
      </c>
      <c r="Q369">
        <v>0</v>
      </c>
      <c r="R369">
        <v>0</v>
      </c>
      <c r="S369" s="6">
        <f>SUM(O369:R369)/Variables!$E$3</f>
        <v>0</v>
      </c>
      <c r="T369" s="4">
        <v>0</v>
      </c>
      <c r="U369">
        <v>0</v>
      </c>
      <c r="V369">
        <v>0</v>
      </c>
      <c r="W369">
        <v>0</v>
      </c>
      <c r="X369" s="6">
        <f>SUM(T369:W369)/Variables!$E$3</f>
        <v>0</v>
      </c>
      <c r="Y369" s="4">
        <v>0</v>
      </c>
      <c r="Z369">
        <v>0</v>
      </c>
      <c r="AA369">
        <v>0</v>
      </c>
      <c r="AB369">
        <v>0</v>
      </c>
      <c r="AC369" s="6">
        <f>SUM(Y369:AB369)/Variables!$E$3</f>
        <v>0</v>
      </c>
      <c r="AD369" s="4">
        <v>0</v>
      </c>
      <c r="AE369" s="2">
        <v>0</v>
      </c>
      <c r="AF369" s="2">
        <v>0</v>
      </c>
      <c r="AG369" s="2">
        <v>0</v>
      </c>
      <c r="AH369" s="6">
        <f>SUM(AD369:AG369)/Variables!$E$3</f>
        <v>0</v>
      </c>
      <c r="AI369" s="4">
        <v>0</v>
      </c>
      <c r="AJ369" s="2">
        <v>0</v>
      </c>
      <c r="AK369" s="2">
        <v>0</v>
      </c>
      <c r="AL369" s="2">
        <v>0</v>
      </c>
      <c r="AM369" s="6">
        <f>SUM(AI369:AL369)/Variables!$E$3</f>
        <v>0</v>
      </c>
      <c r="AN369" s="4">
        <v>0</v>
      </c>
      <c r="AO369" s="2">
        <v>0</v>
      </c>
      <c r="AP369" s="2">
        <v>0</v>
      </c>
      <c r="AQ369" s="2">
        <v>0</v>
      </c>
      <c r="AR369" s="6">
        <f>SUM(AN369:AQ369)/Variables!$E$3</f>
        <v>0</v>
      </c>
      <c r="AS369" s="4">
        <v>0</v>
      </c>
      <c r="AT369" s="2">
        <v>0</v>
      </c>
      <c r="AU369" s="2">
        <v>0</v>
      </c>
      <c r="AV369" s="2">
        <v>0</v>
      </c>
      <c r="AW369" s="6">
        <f>SUM(AS369:AV369)/Variables!$E$3</f>
        <v>0</v>
      </c>
      <c r="AX369" s="4">
        <v>0</v>
      </c>
      <c r="AY369" s="2">
        <v>0</v>
      </c>
      <c r="AZ369" s="2">
        <v>0</v>
      </c>
      <c r="BA369" s="2">
        <v>0</v>
      </c>
      <c r="BB369" s="6">
        <f>SUM(AX369:BA369)/Variables!$E$3</f>
        <v>0</v>
      </c>
      <c r="BC369" s="12">
        <f t="shared" si="86"/>
        <v>0</v>
      </c>
      <c r="BD369" s="110">
        <f t="shared" si="86"/>
        <v>0</v>
      </c>
      <c r="BE369" s="110">
        <f t="shared" si="86"/>
        <v>0</v>
      </c>
      <c r="BF369" s="110">
        <f t="shared" si="86"/>
        <v>0</v>
      </c>
      <c r="BG369" s="6">
        <f>SUM(BC369:BF369)/Variables!$E$3</f>
        <v>0</v>
      </c>
      <c r="BH369" s="4">
        <v>0</v>
      </c>
      <c r="BI369">
        <v>0</v>
      </c>
      <c r="BJ369">
        <v>0</v>
      </c>
      <c r="BK369">
        <v>0</v>
      </c>
      <c r="BL369" s="6">
        <f>SUM(BH369:BK369)/Variables!$E$3</f>
        <v>0</v>
      </c>
      <c r="BM369" s="110">
        <v>0</v>
      </c>
      <c r="BN369" s="110">
        <v>0</v>
      </c>
      <c r="BO369" s="110">
        <v>0</v>
      </c>
      <c r="BP369" s="110">
        <v>0</v>
      </c>
      <c r="BQ369" s="6">
        <f>SUM(BM369:BP369)/Variables!$E$3</f>
        <v>0</v>
      </c>
      <c r="BS369" s="4">
        <v>367</v>
      </c>
      <c r="BT369" s="125">
        <f t="shared" si="87"/>
        <v>0</v>
      </c>
      <c r="BU369" s="125">
        <f t="shared" si="74"/>
        <v>1.0331039834044609</v>
      </c>
      <c r="BV369" s="125">
        <f t="shared" si="75"/>
        <v>0.38450423202083944</v>
      </c>
      <c r="BW369" s="125">
        <f t="shared" si="76"/>
        <v>0.57296193952446173</v>
      </c>
      <c r="BX369" s="125">
        <f t="shared" si="77"/>
        <v>0.56928455490542285</v>
      </c>
      <c r="BY369" s="125">
        <f t="shared" si="78"/>
        <v>0.50660860339353442</v>
      </c>
      <c r="BZ369" s="125">
        <f t="shared" si="79"/>
        <v>0.46108013523464159</v>
      </c>
      <c r="CA369" s="125">
        <f t="shared" si="80"/>
        <v>0.48689538317801406</v>
      </c>
      <c r="CB369" s="125">
        <f t="shared" si="81"/>
        <v>0.61610812437153106</v>
      </c>
      <c r="CC369" s="125">
        <f t="shared" si="82"/>
        <v>0.5122536203770417</v>
      </c>
      <c r="CD369" s="125">
        <f t="shared" si="83"/>
        <v>0.56928455490542285</v>
      </c>
      <c r="CE369" s="125">
        <f t="shared" si="84"/>
        <v>0.51242448475443192</v>
      </c>
      <c r="CF369" s="126">
        <f t="shared" si="85"/>
        <v>0.52361261767709955</v>
      </c>
      <c r="CH369" s="4">
        <v>367</v>
      </c>
      <c r="CI369" s="129">
        <v>0</v>
      </c>
      <c r="CJ369" s="125">
        <v>2.2682934940102455</v>
      </c>
      <c r="CK369" s="125">
        <v>0.24201458443851495</v>
      </c>
      <c r="CL369" s="125">
        <v>0.36287480502616803</v>
      </c>
      <c r="CM369" s="125">
        <v>0.36201739522878246</v>
      </c>
      <c r="CN369" s="125">
        <v>0.30884983254024179</v>
      </c>
      <c r="CO369" s="125">
        <v>0.29309080040222013</v>
      </c>
      <c r="CP369" s="125">
        <v>0.29443819824384992</v>
      </c>
      <c r="CQ369" s="125">
        <v>0.37763248323422988</v>
      </c>
      <c r="CR369" s="125">
        <v>0.29895367342575951</v>
      </c>
      <c r="CS369" s="125">
        <v>0.36201739522878246</v>
      </c>
      <c r="CT369" s="125">
        <v>0.3001763671921393</v>
      </c>
      <c r="CU369" s="126">
        <v>0.30589612744360606</v>
      </c>
    </row>
    <row r="370" spans="1:99" x14ac:dyDescent="0.25">
      <c r="A370" t="s">
        <v>276</v>
      </c>
      <c r="B370" s="2" t="s">
        <v>3</v>
      </c>
      <c r="C370" s="1">
        <v>35123</v>
      </c>
      <c r="D370" s="19">
        <v>104.83750000000001</v>
      </c>
      <c r="E370" s="18">
        <v>0</v>
      </c>
      <c r="F370" s="19">
        <v>0</v>
      </c>
      <c r="G370" s="19">
        <v>0</v>
      </c>
      <c r="H370" s="19">
        <v>0</v>
      </c>
      <c r="I370" s="19">
        <f>SUM(E370:H370)/Variables!$E$3</f>
        <v>0</v>
      </c>
      <c r="J370" s="4">
        <v>104824</v>
      </c>
      <c r="K370">
        <v>99271</v>
      </c>
      <c r="L370">
        <v>855326</v>
      </c>
      <c r="M370">
        <v>245379</v>
      </c>
      <c r="N370" s="6">
        <f>SUM(J370:M370)/Variables!$E$3</f>
        <v>1.0331039834044609</v>
      </c>
      <c r="O370" s="4">
        <v>34179</v>
      </c>
      <c r="P370">
        <v>37936</v>
      </c>
      <c r="Q370">
        <v>290395</v>
      </c>
      <c r="R370">
        <v>123115</v>
      </c>
      <c r="S370" s="6">
        <f>SUM(O370:R370)/Variables!$E$3</f>
        <v>0.38450423202083944</v>
      </c>
      <c r="T370" s="4">
        <v>50739</v>
      </c>
      <c r="U370">
        <v>50289.5</v>
      </c>
      <c r="V370">
        <v>459528.6</v>
      </c>
      <c r="W370">
        <v>163088.1</v>
      </c>
      <c r="X370" s="6">
        <f>SUM(T370:W370)/Variables!$E$3</f>
        <v>0.57296193952446173</v>
      </c>
      <c r="Y370" s="4">
        <v>50826.400000000001</v>
      </c>
      <c r="Z370">
        <v>50352.4</v>
      </c>
      <c r="AA370">
        <v>454510.7</v>
      </c>
      <c r="AB370">
        <v>163311.20000000001</v>
      </c>
      <c r="AC370" s="6">
        <f>SUM(Y370:AB370)/Variables!$E$3</f>
        <v>0.56928455490542285</v>
      </c>
      <c r="AD370" s="4">
        <v>46418.5</v>
      </c>
      <c r="AE370" s="2">
        <v>47331.1</v>
      </c>
      <c r="AF370" s="2">
        <v>407765.6</v>
      </c>
      <c r="AG370" s="2">
        <v>138326.39999999999</v>
      </c>
      <c r="AH370" s="6">
        <f>SUM(AD370:AG370)/Variables!$E$3</f>
        <v>0.50660860339353442</v>
      </c>
      <c r="AI370" s="4">
        <v>43740.4</v>
      </c>
      <c r="AJ370" s="2">
        <v>44960.7</v>
      </c>
      <c r="AK370" s="2">
        <v>367178</v>
      </c>
      <c r="AL370" s="2">
        <v>126460.5</v>
      </c>
      <c r="AM370" s="6">
        <f>SUM(AI370:AL370)/Variables!$E$3</f>
        <v>0.46108013523464159</v>
      </c>
      <c r="AN370" s="4">
        <v>44529.4</v>
      </c>
      <c r="AO370" s="2">
        <v>45592.3</v>
      </c>
      <c r="AP370" s="2">
        <v>372089.5</v>
      </c>
      <c r="AQ370" s="2">
        <v>152732.79999999999</v>
      </c>
      <c r="AR370" s="6">
        <f>SUM(AN370:AQ370)/Variables!$E$3</f>
        <v>0.48689538317801406</v>
      </c>
      <c r="AS370" s="4">
        <v>58651.5</v>
      </c>
      <c r="AT370" s="2">
        <v>56028.7</v>
      </c>
      <c r="AU370" s="2">
        <v>469717.2</v>
      </c>
      <c r="AV370" s="2">
        <v>193741</v>
      </c>
      <c r="AW370" s="6">
        <f>SUM(AS370:AV370)/Variables!$E$3</f>
        <v>0.61610812437153106</v>
      </c>
      <c r="AX370" s="4">
        <v>46406.7</v>
      </c>
      <c r="AY370" s="2">
        <v>47091</v>
      </c>
      <c r="AZ370" s="2">
        <v>396184.3</v>
      </c>
      <c r="BA370" s="2">
        <v>157289.20000000001</v>
      </c>
      <c r="BB370" s="6">
        <f>SUM(AX370:BA370)/Variables!$E$3</f>
        <v>0.5122536203770417</v>
      </c>
      <c r="BC370" s="12">
        <f t="shared" si="86"/>
        <v>50826.400000000001</v>
      </c>
      <c r="BD370" s="110">
        <f t="shared" si="86"/>
        <v>50352.4</v>
      </c>
      <c r="BE370" s="110">
        <f t="shared" si="86"/>
        <v>454510.7</v>
      </c>
      <c r="BF370" s="110">
        <f t="shared" si="86"/>
        <v>163311.20000000001</v>
      </c>
      <c r="BG370" s="6">
        <f>SUM(BC370:BF370)/Variables!$E$3</f>
        <v>0.56928455490542285</v>
      </c>
      <c r="BH370" s="4">
        <v>46934.400000000001</v>
      </c>
      <c r="BI370">
        <v>47484.9</v>
      </c>
      <c r="BJ370">
        <v>392213.1</v>
      </c>
      <c r="BK370">
        <v>160554.6</v>
      </c>
      <c r="BL370" s="6">
        <f>SUM(BH370:BK370)/Variables!$E$3</f>
        <v>0.51242448475443192</v>
      </c>
      <c r="BM370" s="110">
        <v>47617.1</v>
      </c>
      <c r="BN370" s="110">
        <v>48065.8</v>
      </c>
      <c r="BO370" s="110">
        <v>408771.2</v>
      </c>
      <c r="BP370" s="110">
        <v>156863.4</v>
      </c>
      <c r="BQ370" s="6">
        <f>SUM(BM370:BP370)/Variables!$E$3</f>
        <v>0.52361261767709955</v>
      </c>
      <c r="BS370" s="4">
        <v>368</v>
      </c>
      <c r="BT370" s="125">
        <f t="shared" si="87"/>
        <v>0</v>
      </c>
      <c r="BU370" s="125">
        <f t="shared" si="74"/>
        <v>0.66656901479821695</v>
      </c>
      <c r="BV370" s="125">
        <f t="shared" si="75"/>
        <v>0.47544319432457899</v>
      </c>
      <c r="BW370" s="125">
        <f t="shared" si="76"/>
        <v>0.54329994695128225</v>
      </c>
      <c r="BX370" s="125">
        <f t="shared" si="77"/>
        <v>0.54279060008392777</v>
      </c>
      <c r="BY370" s="125">
        <f t="shared" si="78"/>
        <v>0.52829246470676727</v>
      </c>
      <c r="BZ370" s="125">
        <f t="shared" si="79"/>
        <v>0.4932574287999113</v>
      </c>
      <c r="CA370" s="125">
        <f t="shared" si="80"/>
        <v>0.50726244863379755</v>
      </c>
      <c r="CB370" s="125">
        <f t="shared" si="81"/>
        <v>0.5667093959572127</v>
      </c>
      <c r="CC370" s="125">
        <f t="shared" si="82"/>
        <v>0.54358158021837066</v>
      </c>
      <c r="CD370" s="125">
        <f t="shared" si="83"/>
        <v>0.54279060008392777</v>
      </c>
      <c r="CE370" s="125">
        <f t="shared" si="84"/>
        <v>0.55464524659736025</v>
      </c>
      <c r="CF370" s="126">
        <f t="shared" si="85"/>
        <v>0.54343882374365593</v>
      </c>
      <c r="CH370" s="4">
        <v>368</v>
      </c>
      <c r="CI370" s="129">
        <v>0</v>
      </c>
      <c r="CJ370" s="125">
        <v>0</v>
      </c>
      <c r="CK370" s="125">
        <v>0</v>
      </c>
      <c r="CL370" s="125">
        <v>0</v>
      </c>
      <c r="CM370" s="125">
        <v>0</v>
      </c>
      <c r="CN370" s="125">
        <v>0</v>
      </c>
      <c r="CO370" s="125">
        <v>0</v>
      </c>
      <c r="CP370" s="125">
        <v>0</v>
      </c>
      <c r="CQ370" s="125">
        <v>0</v>
      </c>
      <c r="CR370" s="125">
        <v>0</v>
      </c>
      <c r="CS370" s="125">
        <v>0</v>
      </c>
      <c r="CT370" s="125">
        <v>0</v>
      </c>
      <c r="CU370" s="126">
        <v>0</v>
      </c>
    </row>
    <row r="371" spans="1:99" x14ac:dyDescent="0.25">
      <c r="A371" t="s">
        <v>276</v>
      </c>
      <c r="B371" s="2" t="s">
        <v>4</v>
      </c>
      <c r="C371" s="1">
        <v>35216</v>
      </c>
      <c r="D371" s="19">
        <v>164.25</v>
      </c>
      <c r="E371" s="18">
        <v>0</v>
      </c>
      <c r="F371" s="19">
        <v>0</v>
      </c>
      <c r="G371" s="19">
        <v>0</v>
      </c>
      <c r="H371" s="19">
        <v>0</v>
      </c>
      <c r="I371" s="19">
        <f>SUM(E371:H371)/Variables!$E$3</f>
        <v>0</v>
      </c>
      <c r="J371" s="4">
        <v>65090</v>
      </c>
      <c r="K371">
        <v>56451</v>
      </c>
      <c r="L371">
        <v>509836</v>
      </c>
      <c r="M371">
        <v>210493</v>
      </c>
      <c r="N371" s="6">
        <f>SUM(J371:M371)/Variables!$E$3</f>
        <v>0.66656901479821695</v>
      </c>
      <c r="O371" s="4">
        <v>35539</v>
      </c>
      <c r="P371">
        <v>33781</v>
      </c>
      <c r="Q371">
        <v>383685</v>
      </c>
      <c r="R371">
        <v>147475</v>
      </c>
      <c r="S371" s="6">
        <f>SUM(O371:R371)/Variables!$E$3</f>
        <v>0.47544319432457899</v>
      </c>
      <c r="T371" s="4">
        <v>39206.300000000003</v>
      </c>
      <c r="U371">
        <v>37090.1</v>
      </c>
      <c r="V371">
        <v>448975.4</v>
      </c>
      <c r="W371">
        <v>160910.6</v>
      </c>
      <c r="X371" s="6">
        <f>SUM(T371:W371)/Variables!$E$3</f>
        <v>0.54329994695128225</v>
      </c>
      <c r="Y371" s="4">
        <v>39179.4</v>
      </c>
      <c r="Z371">
        <v>37068.300000000003</v>
      </c>
      <c r="AA371">
        <v>448474.5</v>
      </c>
      <c r="AB371">
        <v>160816.9</v>
      </c>
      <c r="AC371" s="6">
        <f>SUM(Y371:AB371)/Variables!$E$3</f>
        <v>0.54279060008392777</v>
      </c>
      <c r="AD371" s="4">
        <v>38843</v>
      </c>
      <c r="AE371" s="2">
        <v>36578.5</v>
      </c>
      <c r="AF371" s="2">
        <v>440316.7</v>
      </c>
      <c r="AG371" s="2">
        <v>151489.9</v>
      </c>
      <c r="AH371" s="6">
        <f>SUM(AD371:AG371)/Variables!$E$3</f>
        <v>0.52829246470676727</v>
      </c>
      <c r="AI371" s="4">
        <v>34436.699999999997</v>
      </c>
      <c r="AJ371" s="2">
        <v>33100.9</v>
      </c>
      <c r="AK371" s="2">
        <v>403343.8</v>
      </c>
      <c r="AL371" s="2">
        <v>152097.79999999999</v>
      </c>
      <c r="AM371" s="6">
        <f>SUM(AI371:AL371)/Variables!$E$3</f>
        <v>0.4932574287999113</v>
      </c>
      <c r="AN371" s="4">
        <v>35202.699999999997</v>
      </c>
      <c r="AO371" s="2">
        <v>33675.199999999997</v>
      </c>
      <c r="AP371" s="2">
        <v>406112.7</v>
      </c>
      <c r="AQ371" s="2">
        <v>165676.79999999999</v>
      </c>
      <c r="AR371" s="6">
        <f>SUM(AN371:AQ371)/Variables!$E$3</f>
        <v>0.50726244863379755</v>
      </c>
      <c r="AS371" s="4">
        <v>39624.199999999997</v>
      </c>
      <c r="AT371" s="2">
        <v>37580.300000000003</v>
      </c>
      <c r="AU371" s="2">
        <v>452281.9</v>
      </c>
      <c r="AV371" s="2">
        <v>186261.9</v>
      </c>
      <c r="AW371" s="6">
        <f>SUM(AS371:AV371)/Variables!$E$3</f>
        <v>0.5667093959572127</v>
      </c>
      <c r="AX371" s="4">
        <v>38636.1</v>
      </c>
      <c r="AY371" s="2">
        <v>36493.699999999997</v>
      </c>
      <c r="AZ371" s="2">
        <v>444306.5</v>
      </c>
      <c r="BA371" s="2">
        <v>167101.79999999999</v>
      </c>
      <c r="BB371" s="6">
        <f>SUM(AX371:BA371)/Variables!$E$3</f>
        <v>0.54358158021837066</v>
      </c>
      <c r="BC371" s="12">
        <f t="shared" si="86"/>
        <v>39179.4</v>
      </c>
      <c r="BD371" s="110">
        <f t="shared" si="86"/>
        <v>37068.300000000003</v>
      </c>
      <c r="BE371" s="110">
        <f t="shared" si="86"/>
        <v>448474.5</v>
      </c>
      <c r="BF371" s="110">
        <f t="shared" si="86"/>
        <v>160816.9</v>
      </c>
      <c r="BG371" s="6">
        <f>SUM(BC371:BF371)/Variables!$E$3</f>
        <v>0.54279060008392777</v>
      </c>
      <c r="BH371" s="4">
        <v>38373.199999999997</v>
      </c>
      <c r="BI371">
        <v>36368.6</v>
      </c>
      <c r="BJ371">
        <v>442886.2</v>
      </c>
      <c r="BK371">
        <v>182883.4</v>
      </c>
      <c r="BL371" s="6">
        <f>SUM(BH371:BK371)/Variables!$E$3</f>
        <v>0.55464524659736025</v>
      </c>
      <c r="BM371" s="110">
        <v>38698.699999999997</v>
      </c>
      <c r="BN371" s="110">
        <v>36532.9</v>
      </c>
      <c r="BO371" s="110">
        <v>443808.9</v>
      </c>
      <c r="BP371" s="110">
        <v>167317.29999999999</v>
      </c>
      <c r="BQ371" s="6">
        <f>SUM(BM371:BP371)/Variables!$E$3</f>
        <v>0.54343882374365593</v>
      </c>
      <c r="BS371" s="4">
        <v>369</v>
      </c>
      <c r="BT371" s="125">
        <f t="shared" si="87"/>
        <v>0</v>
      </c>
      <c r="BU371" s="125">
        <f t="shared" si="74"/>
        <v>0.14581588136089754</v>
      </c>
      <c r="BV371" s="125">
        <f t="shared" si="75"/>
        <v>0.11657812017513995</v>
      </c>
      <c r="BW371" s="125">
        <f t="shared" si="76"/>
        <v>0.11754519038155488</v>
      </c>
      <c r="BX371" s="125">
        <f t="shared" si="77"/>
        <v>0.11753291791700646</v>
      </c>
      <c r="BY371" s="125">
        <f t="shared" si="78"/>
        <v>0.11899634993151172</v>
      </c>
      <c r="BZ371" s="125">
        <f t="shared" si="79"/>
        <v>0.11757884068757472</v>
      </c>
      <c r="CA371" s="125">
        <f t="shared" si="80"/>
        <v>0.11758937125392915</v>
      </c>
      <c r="CB371" s="125">
        <f t="shared" si="81"/>
        <v>0.11601857496892294</v>
      </c>
      <c r="CC371" s="125">
        <f t="shared" si="82"/>
        <v>0.11466377405996879</v>
      </c>
      <c r="CD371" s="125">
        <f t="shared" si="83"/>
        <v>0.11753291791700646</v>
      </c>
      <c r="CE371" s="125">
        <f t="shared" si="84"/>
        <v>0.11427921044505499</v>
      </c>
      <c r="CF371" s="126">
        <f t="shared" si="85"/>
        <v>0.11499006326257531</v>
      </c>
      <c r="CH371" s="4">
        <v>369</v>
      </c>
      <c r="CI371" s="129">
        <v>0</v>
      </c>
      <c r="CJ371" s="125">
        <v>0.76081362481096448</v>
      </c>
      <c r="CK371" s="125">
        <v>0.37558452560986233</v>
      </c>
      <c r="CL371" s="125">
        <v>0.42587942105638205</v>
      </c>
      <c r="CM371" s="125">
        <v>0.42580269835865686</v>
      </c>
      <c r="CN371" s="125">
        <v>0.42671284016500532</v>
      </c>
      <c r="CO371" s="125">
        <v>0.37763600661921315</v>
      </c>
      <c r="CP371" s="125">
        <v>0.3994634953562578</v>
      </c>
      <c r="CQ371" s="125">
        <v>0.42784337168148601</v>
      </c>
      <c r="CR371" s="125">
        <v>0.42631117427691428</v>
      </c>
      <c r="CS371" s="125">
        <v>0.42580269835865686</v>
      </c>
      <c r="CT371" s="125">
        <v>0.42459318759451775</v>
      </c>
      <c r="CU371" s="126">
        <v>0.42644957600614419</v>
      </c>
    </row>
    <row r="372" spans="1:99" x14ac:dyDescent="0.25">
      <c r="A372" t="s">
        <v>276</v>
      </c>
      <c r="B372" s="2" t="s">
        <v>1</v>
      </c>
      <c r="C372" s="1">
        <v>35308</v>
      </c>
      <c r="D372" s="19">
        <v>100.8125</v>
      </c>
      <c r="E372" s="18">
        <v>0</v>
      </c>
      <c r="F372" s="19">
        <v>0</v>
      </c>
      <c r="G372" s="19">
        <v>0</v>
      </c>
      <c r="H372" s="19">
        <v>0</v>
      </c>
      <c r="I372" s="19">
        <f>SUM(E372:H372)/Variables!$E$3</f>
        <v>0</v>
      </c>
      <c r="J372" s="4">
        <v>31752</v>
      </c>
      <c r="K372">
        <v>31951</v>
      </c>
      <c r="L372">
        <v>119607</v>
      </c>
      <c r="M372">
        <v>854</v>
      </c>
      <c r="N372" s="6">
        <f>SUM(J372:M372)/Variables!$E$3</f>
        <v>0.14581588136089754</v>
      </c>
      <c r="O372" s="4">
        <v>21930</v>
      </c>
      <c r="P372">
        <v>23241</v>
      </c>
      <c r="Q372">
        <v>101588</v>
      </c>
      <c r="R372">
        <v>478</v>
      </c>
      <c r="S372" s="6">
        <f>SUM(O372:R372)/Variables!$E$3</f>
        <v>0.11657812017513995</v>
      </c>
      <c r="T372" s="4">
        <v>22185.1</v>
      </c>
      <c r="U372">
        <v>23531.1</v>
      </c>
      <c r="V372">
        <v>102576.3</v>
      </c>
      <c r="W372">
        <v>165.9</v>
      </c>
      <c r="X372" s="6">
        <f>SUM(T372:W372)/Variables!$E$3</f>
        <v>0.11754519038155488</v>
      </c>
      <c r="Y372" s="4">
        <v>22177.7</v>
      </c>
      <c r="Z372">
        <v>23526.3</v>
      </c>
      <c r="AA372">
        <v>102573</v>
      </c>
      <c r="AB372">
        <v>165.9</v>
      </c>
      <c r="AC372" s="6">
        <f>SUM(Y372:AB372)/Variables!$E$3</f>
        <v>0.11753291791700646</v>
      </c>
      <c r="AD372" s="4">
        <v>22413.1</v>
      </c>
      <c r="AE372" s="2">
        <v>23686.2</v>
      </c>
      <c r="AF372" s="2">
        <v>103572</v>
      </c>
      <c r="AG372" s="2">
        <v>619.9</v>
      </c>
      <c r="AH372" s="6">
        <f>SUM(AD372:AG372)/Variables!$E$3</f>
        <v>0.11899634993151172</v>
      </c>
      <c r="AI372" s="4">
        <v>21853.5</v>
      </c>
      <c r="AJ372" s="2">
        <v>23257.4</v>
      </c>
      <c r="AK372" s="2">
        <v>102691.6</v>
      </c>
      <c r="AL372" s="2">
        <v>698.4</v>
      </c>
      <c r="AM372" s="6">
        <f>SUM(AI372:AL372)/Variables!$E$3</f>
        <v>0.11757884068757472</v>
      </c>
      <c r="AN372" s="4">
        <v>21836.6</v>
      </c>
      <c r="AO372" s="2">
        <v>23251.8</v>
      </c>
      <c r="AP372" s="2">
        <v>102750.7</v>
      </c>
      <c r="AQ372" s="2">
        <v>675.1</v>
      </c>
      <c r="AR372" s="6">
        <f>SUM(AN372:AQ372)/Variables!$E$3</f>
        <v>0.11758937125392915</v>
      </c>
      <c r="AS372" s="4">
        <v>21477.9</v>
      </c>
      <c r="AT372" s="2">
        <v>22898.7</v>
      </c>
      <c r="AU372" s="2">
        <v>101472.9</v>
      </c>
      <c r="AV372" s="2">
        <v>680.8</v>
      </c>
      <c r="AW372" s="6">
        <f>SUM(AS372:AV372)/Variables!$E$3</f>
        <v>0.11601857496892294</v>
      </c>
      <c r="AX372" s="4">
        <v>20874.2</v>
      </c>
      <c r="AY372" s="2">
        <v>22403.1</v>
      </c>
      <c r="AZ372" s="2">
        <v>100866.5</v>
      </c>
      <c r="BA372" s="2">
        <v>675.4</v>
      </c>
      <c r="BB372" s="6">
        <f>SUM(AX372:BA372)/Variables!$E$3</f>
        <v>0.11466377405996879</v>
      </c>
      <c r="BC372" s="12">
        <f t="shared" si="86"/>
        <v>22177.7</v>
      </c>
      <c r="BD372" s="110">
        <f t="shared" si="86"/>
        <v>23526.3</v>
      </c>
      <c r="BE372" s="110">
        <f t="shared" si="86"/>
        <v>102573</v>
      </c>
      <c r="BF372" s="110">
        <f t="shared" si="86"/>
        <v>165.9</v>
      </c>
      <c r="BG372" s="6">
        <f>SUM(BC372:BF372)/Variables!$E$3</f>
        <v>0.11753291791700646</v>
      </c>
      <c r="BH372" s="4">
        <v>20783.8</v>
      </c>
      <c r="BI372">
        <v>22331</v>
      </c>
      <c r="BJ372">
        <v>100452.2</v>
      </c>
      <c r="BK372">
        <v>766.5</v>
      </c>
      <c r="BL372" s="6">
        <f>SUM(BH372:BK372)/Variables!$E$3</f>
        <v>0.11427921044505499</v>
      </c>
      <c r="BM372" s="110">
        <v>20904.099999999999</v>
      </c>
      <c r="BN372" s="110">
        <v>22428.9</v>
      </c>
      <c r="BO372" s="110">
        <v>101208.4</v>
      </c>
      <c r="BP372" s="110">
        <v>689.9</v>
      </c>
      <c r="BQ372" s="6">
        <f>SUM(BM372:BP372)/Variables!$E$3</f>
        <v>0.11499006326257531</v>
      </c>
      <c r="BS372" s="4">
        <v>370</v>
      </c>
      <c r="BT372" s="125">
        <f t="shared" si="87"/>
        <v>0</v>
      </c>
      <c r="BU372" s="125">
        <f t="shared" si="74"/>
        <v>0</v>
      </c>
      <c r="BV372" s="125">
        <f t="shared" si="75"/>
        <v>0</v>
      </c>
      <c r="BW372" s="125">
        <f t="shared" si="76"/>
        <v>0</v>
      </c>
      <c r="BX372" s="125">
        <f t="shared" si="77"/>
        <v>0</v>
      </c>
      <c r="BY372" s="125">
        <f t="shared" si="78"/>
        <v>0</v>
      </c>
      <c r="BZ372" s="125">
        <f t="shared" si="79"/>
        <v>0</v>
      </c>
      <c r="CA372" s="125">
        <f t="shared" si="80"/>
        <v>0</v>
      </c>
      <c r="CB372" s="125">
        <f t="shared" si="81"/>
        <v>0</v>
      </c>
      <c r="CC372" s="125">
        <f t="shared" si="82"/>
        <v>0</v>
      </c>
      <c r="CD372" s="125">
        <f t="shared" si="83"/>
        <v>0</v>
      </c>
      <c r="CE372" s="125">
        <f t="shared" si="84"/>
        <v>0</v>
      </c>
      <c r="CF372" s="126">
        <f t="shared" si="85"/>
        <v>0</v>
      </c>
      <c r="CH372" s="4">
        <v>370</v>
      </c>
      <c r="CI372" s="129">
        <v>0</v>
      </c>
      <c r="CJ372" s="125">
        <v>0</v>
      </c>
      <c r="CK372" s="125">
        <v>0</v>
      </c>
      <c r="CL372" s="125">
        <v>0</v>
      </c>
      <c r="CM372" s="125">
        <v>0</v>
      </c>
      <c r="CN372" s="125">
        <v>0</v>
      </c>
      <c r="CO372" s="125">
        <v>0</v>
      </c>
      <c r="CP372" s="125">
        <v>0</v>
      </c>
      <c r="CQ372" s="125">
        <v>0</v>
      </c>
      <c r="CR372" s="125">
        <v>0</v>
      </c>
      <c r="CS372" s="125">
        <v>0</v>
      </c>
      <c r="CT372" s="125">
        <v>0</v>
      </c>
      <c r="CU372" s="126">
        <v>0</v>
      </c>
    </row>
    <row r="373" spans="1:99" x14ac:dyDescent="0.25">
      <c r="A373" t="s">
        <v>276</v>
      </c>
      <c r="B373" s="2" t="s">
        <v>2</v>
      </c>
      <c r="C373" s="1">
        <v>35399</v>
      </c>
      <c r="D373" s="19">
        <v>61.517857142857103</v>
      </c>
      <c r="E373" s="18">
        <v>0</v>
      </c>
      <c r="F373" s="19">
        <v>0</v>
      </c>
      <c r="G373" s="19">
        <v>0</v>
      </c>
      <c r="H373" s="19">
        <v>0</v>
      </c>
      <c r="I373" s="19">
        <f>SUM(E373:H373)/Variables!$E$3</f>
        <v>0</v>
      </c>
      <c r="J373" s="4">
        <v>0</v>
      </c>
      <c r="K373">
        <v>0</v>
      </c>
      <c r="L373">
        <v>0</v>
      </c>
      <c r="M373">
        <v>0</v>
      </c>
      <c r="N373" s="6">
        <f>SUM(J373:M373)/Variables!$E$3</f>
        <v>0</v>
      </c>
      <c r="O373" s="4">
        <v>0</v>
      </c>
      <c r="P373">
        <v>0</v>
      </c>
      <c r="Q373">
        <v>0</v>
      </c>
      <c r="R373">
        <v>0</v>
      </c>
      <c r="S373" s="6">
        <f>SUM(O373:R373)/Variables!$E$3</f>
        <v>0</v>
      </c>
      <c r="T373" s="4">
        <v>0</v>
      </c>
      <c r="U373">
        <v>0</v>
      </c>
      <c r="V373">
        <v>0</v>
      </c>
      <c r="W373">
        <v>0</v>
      </c>
      <c r="X373" s="6">
        <f>SUM(T373:W373)/Variables!$E$3</f>
        <v>0</v>
      </c>
      <c r="Y373" s="4">
        <v>0</v>
      </c>
      <c r="Z373">
        <v>0</v>
      </c>
      <c r="AA373">
        <v>0</v>
      </c>
      <c r="AB373">
        <v>0</v>
      </c>
      <c r="AC373" s="6">
        <f>SUM(Y373:AB373)/Variables!$E$3</f>
        <v>0</v>
      </c>
      <c r="AD373" s="4">
        <v>0</v>
      </c>
      <c r="AE373" s="2">
        <v>0</v>
      </c>
      <c r="AF373" s="2">
        <v>0</v>
      </c>
      <c r="AG373" s="2">
        <v>0</v>
      </c>
      <c r="AH373" s="6">
        <f>SUM(AD373:AG373)/Variables!$E$3</f>
        <v>0</v>
      </c>
      <c r="AI373" s="4">
        <v>0</v>
      </c>
      <c r="AJ373" s="2">
        <v>0</v>
      </c>
      <c r="AK373" s="2">
        <v>0</v>
      </c>
      <c r="AL373" s="2">
        <v>0</v>
      </c>
      <c r="AM373" s="6">
        <f>SUM(AI373:AL373)/Variables!$E$3</f>
        <v>0</v>
      </c>
      <c r="AN373" s="4">
        <v>0</v>
      </c>
      <c r="AO373" s="2">
        <v>0</v>
      </c>
      <c r="AP373" s="2">
        <v>0</v>
      </c>
      <c r="AQ373" s="2">
        <v>0</v>
      </c>
      <c r="AR373" s="6">
        <f>SUM(AN373:AQ373)/Variables!$E$3</f>
        <v>0</v>
      </c>
      <c r="AS373" s="4">
        <v>0</v>
      </c>
      <c r="AT373" s="2">
        <v>0</v>
      </c>
      <c r="AU373" s="2">
        <v>0</v>
      </c>
      <c r="AV373" s="2">
        <v>0</v>
      </c>
      <c r="AW373" s="6">
        <f>SUM(AS373:AV373)/Variables!$E$3</f>
        <v>0</v>
      </c>
      <c r="AX373" s="4">
        <v>0</v>
      </c>
      <c r="AY373" s="2">
        <v>0</v>
      </c>
      <c r="AZ373" s="2">
        <v>0</v>
      </c>
      <c r="BA373" s="2">
        <v>0</v>
      </c>
      <c r="BB373" s="6">
        <f>SUM(AX373:BA373)/Variables!$E$3</f>
        <v>0</v>
      </c>
      <c r="BC373" s="12">
        <f t="shared" si="86"/>
        <v>0</v>
      </c>
      <c r="BD373" s="110">
        <f t="shared" si="86"/>
        <v>0</v>
      </c>
      <c r="BE373" s="110">
        <f t="shared" si="86"/>
        <v>0</v>
      </c>
      <c r="BF373" s="110">
        <f t="shared" si="86"/>
        <v>0</v>
      </c>
      <c r="BG373" s="6">
        <f>SUM(BC373:BF373)/Variables!$E$3</f>
        <v>0</v>
      </c>
      <c r="BH373" s="4">
        <v>0</v>
      </c>
      <c r="BI373">
        <v>0</v>
      </c>
      <c r="BJ373">
        <v>0</v>
      </c>
      <c r="BK373">
        <v>0</v>
      </c>
      <c r="BL373" s="6">
        <f>SUM(BH373:BK373)/Variables!$E$3</f>
        <v>0</v>
      </c>
      <c r="BM373" s="110">
        <v>0</v>
      </c>
      <c r="BN373" s="110">
        <v>0</v>
      </c>
      <c r="BO373" s="110">
        <v>0</v>
      </c>
      <c r="BP373" s="110">
        <v>0</v>
      </c>
      <c r="BQ373" s="6">
        <f>SUM(BM373:BP373)/Variables!$E$3</f>
        <v>0</v>
      </c>
      <c r="BS373" s="4">
        <v>371</v>
      </c>
      <c r="BT373" s="125">
        <f t="shared" si="87"/>
        <v>0</v>
      </c>
      <c r="BU373" s="125">
        <f t="shared" si="74"/>
        <v>7.9711636671707609E-2</v>
      </c>
      <c r="BV373" s="125">
        <f t="shared" si="75"/>
        <v>0</v>
      </c>
      <c r="BW373" s="125">
        <f t="shared" si="76"/>
        <v>9.5391095733141189E-3</v>
      </c>
      <c r="BX373" s="125">
        <f t="shared" si="77"/>
        <v>8.9942121473645872E-3</v>
      </c>
      <c r="BY373" s="125">
        <f t="shared" si="78"/>
        <v>4.438990015756262E-3</v>
      </c>
      <c r="BZ373" s="125">
        <f t="shared" si="79"/>
        <v>3.1338332053302085E-3</v>
      </c>
      <c r="CA373" s="125">
        <f t="shared" si="80"/>
        <v>4.1194308743537173E-3</v>
      </c>
      <c r="CB373" s="125">
        <f t="shared" si="81"/>
        <v>1.1719332694637329E-2</v>
      </c>
      <c r="CC373" s="125">
        <f t="shared" si="82"/>
        <v>6.2773260279178778E-3</v>
      </c>
      <c r="CD373" s="125">
        <f t="shared" si="83"/>
        <v>8.9942121473645872E-3</v>
      </c>
      <c r="CE373" s="125">
        <f t="shared" si="84"/>
        <v>4.5122289170935635E-3</v>
      </c>
      <c r="CF373" s="126">
        <f t="shared" si="85"/>
        <v>6.6224594018955019E-3</v>
      </c>
      <c r="CH373" s="4">
        <v>371</v>
      </c>
      <c r="CI373" s="129">
        <v>0</v>
      </c>
      <c r="CJ373" s="125">
        <v>0</v>
      </c>
      <c r="CK373" s="125">
        <v>0</v>
      </c>
      <c r="CL373" s="125">
        <v>0</v>
      </c>
      <c r="CM373" s="125">
        <v>0</v>
      </c>
      <c r="CN373" s="125">
        <v>0</v>
      </c>
      <c r="CO373" s="125">
        <v>0</v>
      </c>
      <c r="CP373" s="125">
        <v>0</v>
      </c>
      <c r="CQ373" s="125">
        <v>0</v>
      </c>
      <c r="CR373" s="125">
        <v>0</v>
      </c>
      <c r="CS373" s="125">
        <v>0</v>
      </c>
      <c r="CT373" s="125">
        <v>0</v>
      </c>
      <c r="CU373" s="126">
        <v>0</v>
      </c>
    </row>
    <row r="374" spans="1:99" x14ac:dyDescent="0.25">
      <c r="A374" t="s">
        <v>277</v>
      </c>
      <c r="B374" s="2" t="s">
        <v>3</v>
      </c>
      <c r="C374" s="1">
        <v>35489</v>
      </c>
      <c r="D374" s="19">
        <v>131.69999999999999</v>
      </c>
      <c r="E374" s="18">
        <v>0</v>
      </c>
      <c r="F374" s="19">
        <v>0</v>
      </c>
      <c r="G374" s="19">
        <v>0</v>
      </c>
      <c r="H374" s="19">
        <v>0</v>
      </c>
      <c r="I374" s="19">
        <f>SUM(E374:H374)/Variables!$E$3</f>
        <v>0</v>
      </c>
      <c r="J374" s="4">
        <v>0</v>
      </c>
      <c r="K374">
        <v>0</v>
      </c>
      <c r="L374">
        <v>89312</v>
      </c>
      <c r="M374">
        <v>11363</v>
      </c>
      <c r="N374" s="6">
        <f>SUM(J374:M374)/Variables!$E$3</f>
        <v>7.9711636671707609E-2</v>
      </c>
      <c r="O374" s="4">
        <v>0</v>
      </c>
      <c r="P374">
        <v>0</v>
      </c>
      <c r="Q374">
        <v>0</v>
      </c>
      <c r="R374">
        <v>0</v>
      </c>
      <c r="S374" s="6">
        <f>SUM(O374:R374)/Variables!$E$3</f>
        <v>0</v>
      </c>
      <c r="T374" s="4">
        <v>0</v>
      </c>
      <c r="U374">
        <v>0</v>
      </c>
      <c r="V374">
        <v>11825.5</v>
      </c>
      <c r="W374">
        <v>222.3</v>
      </c>
      <c r="X374" s="6">
        <f>SUM(T374:W374)/Variables!$E$3</f>
        <v>9.5391095733141189E-3</v>
      </c>
      <c r="Y374" s="4">
        <v>0</v>
      </c>
      <c r="Z374">
        <v>0</v>
      </c>
      <c r="AA374">
        <v>11096.5</v>
      </c>
      <c r="AB374">
        <v>263.10000000000002</v>
      </c>
      <c r="AC374" s="6">
        <f>SUM(Y374:AB374)/Variables!$E$3</f>
        <v>8.9942121473645872E-3</v>
      </c>
      <c r="AD374" s="4">
        <v>0</v>
      </c>
      <c r="AE374" s="2">
        <v>0</v>
      </c>
      <c r="AF374" s="2">
        <v>4704.5</v>
      </c>
      <c r="AG374" s="2">
        <v>901.900000000001</v>
      </c>
      <c r="AH374" s="6">
        <f>SUM(AD374:AG374)/Variables!$E$3</f>
        <v>4.438990015756262E-3</v>
      </c>
      <c r="AI374" s="4">
        <v>0</v>
      </c>
      <c r="AJ374" s="2">
        <v>0</v>
      </c>
      <c r="AK374" s="2">
        <v>3958</v>
      </c>
      <c r="AL374" s="2">
        <v>0</v>
      </c>
      <c r="AM374" s="6">
        <f>SUM(AI374:AL374)/Variables!$E$3</f>
        <v>3.1338332053302085E-3</v>
      </c>
      <c r="AN374" s="4">
        <v>0</v>
      </c>
      <c r="AO374" s="2">
        <v>0</v>
      </c>
      <c r="AP374" s="2">
        <v>4319.1000000000004</v>
      </c>
      <c r="AQ374" s="2">
        <v>883.70000000000095</v>
      </c>
      <c r="AR374" s="6">
        <f>SUM(AN374:AQ374)/Variables!$E$3</f>
        <v>4.1194308743537173E-3</v>
      </c>
      <c r="AS374" s="4">
        <v>0</v>
      </c>
      <c r="AT374" s="2">
        <v>0</v>
      </c>
      <c r="AU374" s="2">
        <v>12232.5</v>
      </c>
      <c r="AV374" s="2">
        <v>2568.9</v>
      </c>
      <c r="AW374" s="6">
        <f>SUM(AS374:AV374)/Variables!$E$3</f>
        <v>1.1719332694637329E-2</v>
      </c>
      <c r="AX374" s="4">
        <v>0</v>
      </c>
      <c r="AY374" s="2">
        <v>0</v>
      </c>
      <c r="AZ374" s="2">
        <v>6339.3</v>
      </c>
      <c r="BA374" s="2">
        <v>1588.9</v>
      </c>
      <c r="BB374" s="6">
        <f>SUM(AX374:BA374)/Variables!$E$3</f>
        <v>6.2773260279178778E-3</v>
      </c>
      <c r="BC374" s="12">
        <f t="shared" si="86"/>
        <v>0</v>
      </c>
      <c r="BD374" s="110">
        <f t="shared" si="86"/>
        <v>0</v>
      </c>
      <c r="BE374" s="110">
        <f t="shared" si="86"/>
        <v>11096.5</v>
      </c>
      <c r="BF374" s="110">
        <f t="shared" si="86"/>
        <v>263.10000000000002</v>
      </c>
      <c r="BG374" s="6">
        <f>SUM(BC374:BF374)/Variables!$E$3</f>
        <v>8.9942121473645872E-3</v>
      </c>
      <c r="BH374" s="4">
        <v>0</v>
      </c>
      <c r="BI374">
        <v>0</v>
      </c>
      <c r="BJ374">
        <v>5635.7</v>
      </c>
      <c r="BK374">
        <v>63.199999999999797</v>
      </c>
      <c r="BL374" s="6">
        <f>SUM(BH374:BK374)/Variables!$E$3</f>
        <v>4.5122289170935635E-3</v>
      </c>
      <c r="BM374" s="110">
        <v>0</v>
      </c>
      <c r="BN374" s="110">
        <v>0</v>
      </c>
      <c r="BO374" s="110">
        <v>6801</v>
      </c>
      <c r="BP374" s="110">
        <v>1563.1</v>
      </c>
      <c r="BQ374" s="6">
        <f>SUM(BM374:BP374)/Variables!$E$3</f>
        <v>6.6224594018955019E-3</v>
      </c>
      <c r="BS374" s="4">
        <v>372</v>
      </c>
      <c r="BT374" s="125">
        <f t="shared" si="87"/>
        <v>0</v>
      </c>
      <c r="BU374" s="125">
        <f t="shared" si="74"/>
        <v>0.1740085036302742</v>
      </c>
      <c r="BV374" s="125">
        <f t="shared" si="75"/>
        <v>3.6469014006445025E-3</v>
      </c>
      <c r="BW374" s="125">
        <f t="shared" si="76"/>
        <v>4.8809254230041406E-2</v>
      </c>
      <c r="BX374" s="125">
        <f t="shared" si="77"/>
        <v>4.7033705730053284E-2</v>
      </c>
      <c r="BY374" s="125">
        <f t="shared" si="78"/>
        <v>2.8409567771716323E-2</v>
      </c>
      <c r="BZ374" s="125">
        <f t="shared" si="79"/>
        <v>2.4191482117831495E-2</v>
      </c>
      <c r="CA374" s="125">
        <f t="shared" si="80"/>
        <v>2.8516694510645375E-2</v>
      </c>
      <c r="CB374" s="125">
        <f t="shared" si="81"/>
        <v>5.3469227784859741E-2</v>
      </c>
      <c r="CC374" s="125">
        <f t="shared" si="82"/>
        <v>3.6204799721296289E-2</v>
      </c>
      <c r="CD374" s="125">
        <f t="shared" si="83"/>
        <v>4.7033705730053284E-2</v>
      </c>
      <c r="CE374" s="125">
        <f t="shared" si="84"/>
        <v>3.1762959326677165E-2</v>
      </c>
      <c r="CF374" s="126">
        <f t="shared" si="85"/>
        <v>3.7763719427707267E-2</v>
      </c>
      <c r="CH374" s="4">
        <v>372</v>
      </c>
      <c r="CI374" s="129">
        <v>0</v>
      </c>
      <c r="CJ374" s="125">
        <v>0.37016682634066778</v>
      </c>
      <c r="CK374" s="125">
        <v>0</v>
      </c>
      <c r="CL374" s="125">
        <v>0</v>
      </c>
      <c r="CM374" s="125">
        <v>0</v>
      </c>
      <c r="CN374" s="125">
        <v>0</v>
      </c>
      <c r="CO374" s="125">
        <v>0</v>
      </c>
      <c r="CP374" s="125">
        <v>0</v>
      </c>
      <c r="CQ374" s="125">
        <v>0</v>
      </c>
      <c r="CR374" s="125">
        <v>0</v>
      </c>
      <c r="CS374" s="125">
        <v>0</v>
      </c>
      <c r="CT374" s="125">
        <v>0</v>
      </c>
      <c r="CU374" s="126">
        <v>0</v>
      </c>
    </row>
    <row r="375" spans="1:99" x14ac:dyDescent="0.25">
      <c r="A375" t="s">
        <v>277</v>
      </c>
      <c r="B375" s="2" t="s">
        <v>4</v>
      </c>
      <c r="C375" s="1">
        <v>35581</v>
      </c>
      <c r="D375" s="19">
        <v>87.762500000000003</v>
      </c>
      <c r="E375" s="18">
        <v>0</v>
      </c>
      <c r="F375" s="19">
        <v>0</v>
      </c>
      <c r="G375" s="19">
        <v>0</v>
      </c>
      <c r="H375" s="19">
        <v>0</v>
      </c>
      <c r="I375" s="19">
        <f>SUM(E375:H375)/Variables!$E$3</f>
        <v>0</v>
      </c>
      <c r="J375" s="4">
        <v>0</v>
      </c>
      <c r="K375">
        <v>9860</v>
      </c>
      <c r="L375">
        <v>200346</v>
      </c>
      <c r="M375">
        <v>9565</v>
      </c>
      <c r="N375" s="6">
        <f>SUM(J375:M375)/Variables!$E$3</f>
        <v>0.1740085036302742</v>
      </c>
      <c r="O375" s="4">
        <v>0</v>
      </c>
      <c r="P375">
        <v>0</v>
      </c>
      <c r="Q375">
        <v>4523</v>
      </c>
      <c r="R375">
        <v>83</v>
      </c>
      <c r="S375" s="6">
        <f>SUM(O375:R375)/Variables!$E$3</f>
        <v>3.6469014006445025E-3</v>
      </c>
      <c r="T375" s="4">
        <v>0</v>
      </c>
      <c r="U375">
        <v>0</v>
      </c>
      <c r="V375">
        <v>60505.7</v>
      </c>
      <c r="W375">
        <v>1139.9000000000001</v>
      </c>
      <c r="X375" s="6">
        <f>SUM(T375:W375)/Variables!$E$3</f>
        <v>4.8809254230041406E-2</v>
      </c>
      <c r="Y375" s="4">
        <v>0</v>
      </c>
      <c r="Z375">
        <v>0</v>
      </c>
      <c r="AA375">
        <v>58282</v>
      </c>
      <c r="AB375">
        <v>1121.0999999999999</v>
      </c>
      <c r="AC375" s="6">
        <f>SUM(Y375:AB375)/Variables!$E$3</f>
        <v>4.7033705730053284E-2</v>
      </c>
      <c r="AD375" s="4">
        <v>0</v>
      </c>
      <c r="AE375" s="2">
        <v>0</v>
      </c>
      <c r="AF375" s="2">
        <v>33857.300000000003</v>
      </c>
      <c r="AG375" s="2">
        <v>2023.7</v>
      </c>
      <c r="AH375" s="6">
        <f>SUM(AD375:AG375)/Variables!$E$3</f>
        <v>2.8409567771716323E-2</v>
      </c>
      <c r="AI375" s="4">
        <v>0</v>
      </c>
      <c r="AJ375" s="2">
        <v>0</v>
      </c>
      <c r="AK375" s="2">
        <v>30161.5</v>
      </c>
      <c r="AL375" s="2">
        <v>392.099999999999</v>
      </c>
      <c r="AM375" s="6">
        <f>SUM(AI375:AL375)/Variables!$E$3</f>
        <v>2.4191482117831495E-2</v>
      </c>
      <c r="AN375" s="4">
        <v>0</v>
      </c>
      <c r="AO375" s="2">
        <v>0</v>
      </c>
      <c r="AP375" s="2">
        <v>33749.300000000003</v>
      </c>
      <c r="AQ375" s="2">
        <v>2267</v>
      </c>
      <c r="AR375" s="6">
        <f>SUM(AN375:AQ375)/Variables!$E$3</f>
        <v>2.8516694510645375E-2</v>
      </c>
      <c r="AS375" s="4">
        <v>0</v>
      </c>
      <c r="AT375" s="2">
        <v>0</v>
      </c>
      <c r="AU375" s="2">
        <v>63677.1</v>
      </c>
      <c r="AV375" s="2">
        <v>3854</v>
      </c>
      <c r="AW375" s="6">
        <f>SUM(AS375:AV375)/Variables!$E$3</f>
        <v>5.3469227784859741E-2</v>
      </c>
      <c r="AX375" s="4">
        <v>0</v>
      </c>
      <c r="AY375" s="2">
        <v>0</v>
      </c>
      <c r="AZ375" s="2">
        <v>42837.4</v>
      </c>
      <c r="BA375" s="2">
        <v>2888.9</v>
      </c>
      <c r="BB375" s="6">
        <f>SUM(AX375:BA375)/Variables!$E$3</f>
        <v>3.6204799721296289E-2</v>
      </c>
      <c r="BC375" s="12">
        <f t="shared" si="86"/>
        <v>0</v>
      </c>
      <c r="BD375" s="110">
        <f t="shared" si="86"/>
        <v>0</v>
      </c>
      <c r="BE375" s="110">
        <f t="shared" si="86"/>
        <v>58282</v>
      </c>
      <c r="BF375" s="110">
        <f t="shared" si="86"/>
        <v>1121.0999999999999</v>
      </c>
      <c r="BG375" s="6">
        <f>SUM(BC375:BF375)/Variables!$E$3</f>
        <v>4.7033705730053284E-2</v>
      </c>
      <c r="BH375" s="4">
        <v>0</v>
      </c>
      <c r="BI375">
        <v>0</v>
      </c>
      <c r="BJ375">
        <v>38635.1</v>
      </c>
      <c r="BK375">
        <v>1481.2</v>
      </c>
      <c r="BL375" s="6">
        <f>SUM(BH375:BK375)/Variables!$E$3</f>
        <v>3.1762959326677165E-2</v>
      </c>
      <c r="BM375" s="110">
        <v>0</v>
      </c>
      <c r="BN375" s="110">
        <v>0</v>
      </c>
      <c r="BO375" s="110">
        <v>44817.4</v>
      </c>
      <c r="BP375" s="110">
        <v>2877.8</v>
      </c>
      <c r="BQ375" s="6">
        <f>SUM(BM375:BP375)/Variables!$E$3</f>
        <v>3.7763719427707267E-2</v>
      </c>
      <c r="BS375" s="4">
        <v>373</v>
      </c>
      <c r="BT375" s="125">
        <f t="shared" si="87"/>
        <v>0</v>
      </c>
      <c r="BU375" s="125">
        <f t="shared" si="74"/>
        <v>0</v>
      </c>
      <c r="BV375" s="125">
        <f t="shared" si="75"/>
        <v>0</v>
      </c>
      <c r="BW375" s="125">
        <f t="shared" si="76"/>
        <v>0</v>
      </c>
      <c r="BX375" s="125">
        <f t="shared" si="77"/>
        <v>0</v>
      </c>
      <c r="BY375" s="125">
        <f t="shared" si="78"/>
        <v>0</v>
      </c>
      <c r="BZ375" s="125">
        <f t="shared" si="79"/>
        <v>0</v>
      </c>
      <c r="CA375" s="125">
        <f t="shared" si="80"/>
        <v>0</v>
      </c>
      <c r="CB375" s="125">
        <f t="shared" si="81"/>
        <v>0</v>
      </c>
      <c r="CC375" s="125">
        <f t="shared" si="82"/>
        <v>0</v>
      </c>
      <c r="CD375" s="125">
        <f t="shared" si="83"/>
        <v>0</v>
      </c>
      <c r="CE375" s="125">
        <f t="shared" si="84"/>
        <v>0</v>
      </c>
      <c r="CF375" s="126">
        <f t="shared" si="85"/>
        <v>0</v>
      </c>
      <c r="CH375" s="4">
        <v>373</v>
      </c>
      <c r="CI375" s="129">
        <v>0</v>
      </c>
      <c r="CJ375" s="125">
        <v>0</v>
      </c>
      <c r="CK375" s="125">
        <v>0</v>
      </c>
      <c r="CL375" s="125">
        <v>0</v>
      </c>
      <c r="CM375" s="125">
        <v>0</v>
      </c>
      <c r="CN375" s="125">
        <v>0</v>
      </c>
      <c r="CO375" s="125">
        <v>0</v>
      </c>
      <c r="CP375" s="125">
        <v>0</v>
      </c>
      <c r="CQ375" s="125">
        <v>0</v>
      </c>
      <c r="CR375" s="125">
        <v>0</v>
      </c>
      <c r="CS375" s="125">
        <v>0</v>
      </c>
      <c r="CT375" s="125">
        <v>0</v>
      </c>
      <c r="CU375" s="126">
        <v>0</v>
      </c>
    </row>
    <row r="376" spans="1:99" x14ac:dyDescent="0.25">
      <c r="A376" t="s">
        <v>277</v>
      </c>
      <c r="B376" s="2" t="s">
        <v>1</v>
      </c>
      <c r="C376" s="1">
        <v>35673</v>
      </c>
      <c r="D376" s="19">
        <v>25.662500000000001</v>
      </c>
      <c r="E376" s="18">
        <v>0</v>
      </c>
      <c r="F376" s="19">
        <v>0</v>
      </c>
      <c r="G376" s="19">
        <v>0</v>
      </c>
      <c r="H376" s="19">
        <v>0</v>
      </c>
      <c r="I376" s="19">
        <f>SUM(E376:H376)/Variables!$E$3</f>
        <v>0</v>
      </c>
      <c r="J376" s="4">
        <v>0</v>
      </c>
      <c r="K376">
        <v>0</v>
      </c>
      <c r="L376">
        <v>0</v>
      </c>
      <c r="M376">
        <v>0</v>
      </c>
      <c r="N376" s="6">
        <f>SUM(J376:M376)/Variables!$E$3</f>
        <v>0</v>
      </c>
      <c r="O376" s="4">
        <v>0</v>
      </c>
      <c r="P376">
        <v>0</v>
      </c>
      <c r="Q376">
        <v>0</v>
      </c>
      <c r="R376">
        <v>0</v>
      </c>
      <c r="S376" s="6">
        <f>SUM(O376:R376)/Variables!$E$3</f>
        <v>0</v>
      </c>
      <c r="T376" s="4">
        <v>0</v>
      </c>
      <c r="U376">
        <v>0</v>
      </c>
      <c r="V376">
        <v>0</v>
      </c>
      <c r="W376">
        <v>0</v>
      </c>
      <c r="X376" s="6">
        <f>SUM(T376:W376)/Variables!$E$3</f>
        <v>0</v>
      </c>
      <c r="Y376" s="4">
        <v>0</v>
      </c>
      <c r="Z376">
        <v>0</v>
      </c>
      <c r="AA376">
        <v>0</v>
      </c>
      <c r="AB376">
        <v>0</v>
      </c>
      <c r="AC376" s="6">
        <f>SUM(Y376:AB376)/Variables!$E$3</f>
        <v>0</v>
      </c>
      <c r="AD376" s="4">
        <v>0</v>
      </c>
      <c r="AE376" s="2">
        <v>0</v>
      </c>
      <c r="AF376" s="2">
        <v>0</v>
      </c>
      <c r="AG376" s="2">
        <v>0</v>
      </c>
      <c r="AH376" s="6">
        <f>SUM(AD376:AG376)/Variables!$E$3</f>
        <v>0</v>
      </c>
      <c r="AI376" s="4">
        <v>0</v>
      </c>
      <c r="AJ376" s="2">
        <v>0</v>
      </c>
      <c r="AK376" s="2">
        <v>0</v>
      </c>
      <c r="AL376" s="2">
        <v>0</v>
      </c>
      <c r="AM376" s="6">
        <f>SUM(AI376:AL376)/Variables!$E$3</f>
        <v>0</v>
      </c>
      <c r="AN376" s="4">
        <v>0</v>
      </c>
      <c r="AO376" s="2">
        <v>0</v>
      </c>
      <c r="AP376" s="2">
        <v>0</v>
      </c>
      <c r="AQ376" s="2">
        <v>0</v>
      </c>
      <c r="AR376" s="6">
        <f>SUM(AN376:AQ376)/Variables!$E$3</f>
        <v>0</v>
      </c>
      <c r="AS376" s="4">
        <v>0</v>
      </c>
      <c r="AT376" s="2">
        <v>0</v>
      </c>
      <c r="AU376" s="2">
        <v>0</v>
      </c>
      <c r="AV376" s="2">
        <v>0</v>
      </c>
      <c r="AW376" s="6">
        <f>SUM(AS376:AV376)/Variables!$E$3</f>
        <v>0</v>
      </c>
      <c r="AX376" s="4">
        <v>0</v>
      </c>
      <c r="AY376" s="2">
        <v>0</v>
      </c>
      <c r="AZ376" s="2">
        <v>0</v>
      </c>
      <c r="BA376" s="2">
        <v>0</v>
      </c>
      <c r="BB376" s="6">
        <f>SUM(AX376:BA376)/Variables!$E$3</f>
        <v>0</v>
      </c>
      <c r="BC376" s="12">
        <f t="shared" si="86"/>
        <v>0</v>
      </c>
      <c r="BD376" s="110">
        <f t="shared" si="86"/>
        <v>0</v>
      </c>
      <c r="BE376" s="110">
        <f t="shared" si="86"/>
        <v>0</v>
      </c>
      <c r="BF376" s="110">
        <f t="shared" si="86"/>
        <v>0</v>
      </c>
      <c r="BG376" s="6">
        <f>SUM(BC376:BF376)/Variables!$E$3</f>
        <v>0</v>
      </c>
      <c r="BH376" s="4">
        <v>0</v>
      </c>
      <c r="BI376">
        <v>0</v>
      </c>
      <c r="BJ376">
        <v>0</v>
      </c>
      <c r="BK376">
        <v>0</v>
      </c>
      <c r="BL376" s="6">
        <f>SUM(BH376:BK376)/Variables!$E$3</f>
        <v>0</v>
      </c>
      <c r="BM376" s="110">
        <v>0</v>
      </c>
      <c r="BN376" s="110">
        <v>0</v>
      </c>
      <c r="BO376" s="110">
        <v>0</v>
      </c>
      <c r="BP376" s="110">
        <v>0</v>
      </c>
      <c r="BQ376" s="6">
        <f>SUM(BM376:BP376)/Variables!$E$3</f>
        <v>0</v>
      </c>
      <c r="BS376" s="4">
        <v>374</v>
      </c>
      <c r="BT376" s="125">
        <f t="shared" si="87"/>
        <v>0</v>
      </c>
      <c r="BU376" s="125">
        <f t="shared" si="74"/>
        <v>0</v>
      </c>
      <c r="BV376" s="125">
        <f t="shared" si="75"/>
        <v>0</v>
      </c>
      <c r="BW376" s="125">
        <f t="shared" si="76"/>
        <v>0</v>
      </c>
      <c r="BX376" s="125">
        <f t="shared" si="77"/>
        <v>0</v>
      </c>
      <c r="BY376" s="125">
        <f t="shared" si="78"/>
        <v>0</v>
      </c>
      <c r="BZ376" s="125">
        <f t="shared" si="79"/>
        <v>0</v>
      </c>
      <c r="CA376" s="125">
        <f t="shared" si="80"/>
        <v>0</v>
      </c>
      <c r="CB376" s="125">
        <f t="shared" si="81"/>
        <v>0</v>
      </c>
      <c r="CC376" s="125">
        <f t="shared" si="82"/>
        <v>0</v>
      </c>
      <c r="CD376" s="125">
        <f t="shared" si="83"/>
        <v>0</v>
      </c>
      <c r="CE376" s="125">
        <f t="shared" si="84"/>
        <v>0</v>
      </c>
      <c r="CF376" s="126">
        <f t="shared" si="85"/>
        <v>0</v>
      </c>
      <c r="CH376" s="4">
        <v>374</v>
      </c>
      <c r="CI376" s="129">
        <v>0</v>
      </c>
      <c r="CJ376" s="125">
        <v>0</v>
      </c>
      <c r="CK376" s="125">
        <v>0</v>
      </c>
      <c r="CL376" s="125">
        <v>0</v>
      </c>
      <c r="CM376" s="125">
        <v>0</v>
      </c>
      <c r="CN376" s="125">
        <v>0</v>
      </c>
      <c r="CO376" s="125">
        <v>0</v>
      </c>
      <c r="CP376" s="125">
        <v>0</v>
      </c>
      <c r="CQ376" s="125">
        <v>0</v>
      </c>
      <c r="CR376" s="125">
        <v>0</v>
      </c>
      <c r="CS376" s="125">
        <v>0</v>
      </c>
      <c r="CT376" s="125">
        <v>0</v>
      </c>
      <c r="CU376" s="126">
        <v>0</v>
      </c>
    </row>
    <row r="377" spans="1:99" x14ac:dyDescent="0.25">
      <c r="A377" t="s">
        <v>277</v>
      </c>
      <c r="B377" s="2" t="s">
        <v>2</v>
      </c>
      <c r="C377" s="1">
        <v>35764</v>
      </c>
      <c r="D377" s="19">
        <v>93.275000000000006</v>
      </c>
      <c r="E377" s="18">
        <v>0</v>
      </c>
      <c r="F377" s="19">
        <v>0</v>
      </c>
      <c r="G377" s="19">
        <v>0</v>
      </c>
      <c r="H377" s="19">
        <v>0</v>
      </c>
      <c r="I377" s="19">
        <f>SUM(E377:H377)/Variables!$E$3</f>
        <v>0</v>
      </c>
      <c r="J377" s="4">
        <v>0</v>
      </c>
      <c r="K377">
        <v>0</v>
      </c>
      <c r="L377">
        <v>0</v>
      </c>
      <c r="M377">
        <v>0</v>
      </c>
      <c r="N377" s="6">
        <f>SUM(J377:M377)/Variables!$E$3</f>
        <v>0</v>
      </c>
      <c r="O377" s="4">
        <v>0</v>
      </c>
      <c r="P377">
        <v>0</v>
      </c>
      <c r="Q377">
        <v>0</v>
      </c>
      <c r="R377">
        <v>0</v>
      </c>
      <c r="S377" s="6">
        <f>SUM(O377:R377)/Variables!$E$3</f>
        <v>0</v>
      </c>
      <c r="T377" s="4">
        <v>0</v>
      </c>
      <c r="U377">
        <v>0</v>
      </c>
      <c r="V377">
        <v>0</v>
      </c>
      <c r="W377">
        <v>0</v>
      </c>
      <c r="X377" s="6">
        <f>SUM(T377:W377)/Variables!$E$3</f>
        <v>0</v>
      </c>
      <c r="Y377" s="4">
        <v>0</v>
      </c>
      <c r="Z377">
        <v>0</v>
      </c>
      <c r="AA377">
        <v>0</v>
      </c>
      <c r="AB377">
        <v>0</v>
      </c>
      <c r="AC377" s="6">
        <f>SUM(Y377:AB377)/Variables!$E$3</f>
        <v>0</v>
      </c>
      <c r="AD377" s="4">
        <v>0</v>
      </c>
      <c r="AE377" s="2">
        <v>0</v>
      </c>
      <c r="AF377" s="2">
        <v>0</v>
      </c>
      <c r="AG377" s="2">
        <v>0</v>
      </c>
      <c r="AH377" s="6">
        <f>SUM(AD377:AG377)/Variables!$E$3</f>
        <v>0</v>
      </c>
      <c r="AI377" s="4">
        <v>0</v>
      </c>
      <c r="AJ377" s="2">
        <v>0</v>
      </c>
      <c r="AK377" s="2">
        <v>0</v>
      </c>
      <c r="AL377" s="2">
        <v>0</v>
      </c>
      <c r="AM377" s="6">
        <f>SUM(AI377:AL377)/Variables!$E$3</f>
        <v>0</v>
      </c>
      <c r="AN377" s="4">
        <v>0</v>
      </c>
      <c r="AO377" s="2">
        <v>0</v>
      </c>
      <c r="AP377" s="2">
        <v>0</v>
      </c>
      <c r="AQ377" s="2">
        <v>0</v>
      </c>
      <c r="AR377" s="6">
        <f>SUM(AN377:AQ377)/Variables!$E$3</f>
        <v>0</v>
      </c>
      <c r="AS377" s="4">
        <v>0</v>
      </c>
      <c r="AT377" s="2">
        <v>0</v>
      </c>
      <c r="AU377" s="2">
        <v>0</v>
      </c>
      <c r="AV377" s="2">
        <v>0</v>
      </c>
      <c r="AW377" s="6">
        <f>SUM(AS377:AV377)/Variables!$E$3</f>
        <v>0</v>
      </c>
      <c r="AX377" s="4">
        <v>0</v>
      </c>
      <c r="AY377" s="2">
        <v>0</v>
      </c>
      <c r="AZ377" s="2">
        <v>0</v>
      </c>
      <c r="BA377" s="2">
        <v>0</v>
      </c>
      <c r="BB377" s="6">
        <f>SUM(AX377:BA377)/Variables!$E$3</f>
        <v>0</v>
      </c>
      <c r="BC377" s="12">
        <f t="shared" si="86"/>
        <v>0</v>
      </c>
      <c r="BD377" s="110">
        <f t="shared" si="86"/>
        <v>0</v>
      </c>
      <c r="BE377" s="110">
        <f t="shared" si="86"/>
        <v>0</v>
      </c>
      <c r="BF377" s="110">
        <f t="shared" si="86"/>
        <v>0</v>
      </c>
      <c r="BG377" s="6">
        <f>SUM(BC377:BF377)/Variables!$E$3</f>
        <v>0</v>
      </c>
      <c r="BH377" s="4">
        <v>0</v>
      </c>
      <c r="BI377">
        <v>0</v>
      </c>
      <c r="BJ377">
        <v>0</v>
      </c>
      <c r="BK377">
        <v>0</v>
      </c>
      <c r="BL377" s="6">
        <f>SUM(BH377:BK377)/Variables!$E$3</f>
        <v>0</v>
      </c>
      <c r="BM377" s="110">
        <v>0</v>
      </c>
      <c r="BN377" s="110">
        <v>0</v>
      </c>
      <c r="BO377" s="110">
        <v>0</v>
      </c>
      <c r="BP377" s="110">
        <v>0</v>
      </c>
      <c r="BQ377" s="6">
        <f>SUM(BM377:BP377)/Variables!$E$3</f>
        <v>0</v>
      </c>
      <c r="BS377" s="4">
        <v>375</v>
      </c>
      <c r="BT377" s="125">
        <f t="shared" si="87"/>
        <v>0</v>
      </c>
      <c r="BU377" s="125">
        <f t="shared" si="74"/>
        <v>4.9989311079264284E-2</v>
      </c>
      <c r="BV377" s="125">
        <f t="shared" si="75"/>
        <v>0</v>
      </c>
      <c r="BW377" s="125">
        <f t="shared" si="76"/>
        <v>8.0202535253644132E-3</v>
      </c>
      <c r="BX377" s="125">
        <f t="shared" si="77"/>
        <v>7.4128852960039272E-3</v>
      </c>
      <c r="BY377" s="125">
        <f t="shared" si="78"/>
        <v>0</v>
      </c>
      <c r="BZ377" s="125">
        <f t="shared" si="79"/>
        <v>1.4274063927663719E-3</v>
      </c>
      <c r="CA377" s="125">
        <f t="shared" si="80"/>
        <v>1.7011219407912967E-3</v>
      </c>
      <c r="CB377" s="125">
        <f t="shared" si="81"/>
        <v>7.9135226723885382E-3</v>
      </c>
      <c r="CC377" s="125">
        <f t="shared" si="82"/>
        <v>3.8762777219138707E-3</v>
      </c>
      <c r="CD377" s="125">
        <f t="shared" si="83"/>
        <v>7.4128852960039272E-3</v>
      </c>
      <c r="CE377" s="125">
        <f t="shared" si="84"/>
        <v>3.0966199257317951E-3</v>
      </c>
      <c r="CF377" s="126">
        <f t="shared" si="85"/>
        <v>3.9652728841875233E-3</v>
      </c>
      <c r="CH377" s="4">
        <v>375</v>
      </c>
      <c r="CI377" s="129">
        <v>0</v>
      </c>
      <c r="CJ377" s="125">
        <v>0</v>
      </c>
      <c r="CK377" s="125">
        <v>0</v>
      </c>
      <c r="CL377" s="125">
        <v>0</v>
      </c>
      <c r="CM377" s="125">
        <v>0</v>
      </c>
      <c r="CN377" s="125">
        <v>0</v>
      </c>
      <c r="CO377" s="125">
        <v>0</v>
      </c>
      <c r="CP377" s="125">
        <v>0</v>
      </c>
      <c r="CQ377" s="125">
        <v>0</v>
      </c>
      <c r="CR377" s="125">
        <v>0</v>
      </c>
      <c r="CS377" s="125">
        <v>0</v>
      </c>
      <c r="CT377" s="125">
        <v>0</v>
      </c>
      <c r="CU377" s="126">
        <v>0</v>
      </c>
    </row>
    <row r="378" spans="1:99" x14ac:dyDescent="0.25">
      <c r="A378" t="s">
        <v>278</v>
      </c>
      <c r="B378" s="2" t="s">
        <v>3</v>
      </c>
      <c r="C378" s="1">
        <v>35854</v>
      </c>
      <c r="D378" s="19">
        <v>176.02500000000001</v>
      </c>
      <c r="E378" s="18">
        <v>0</v>
      </c>
      <c r="F378" s="19">
        <v>0</v>
      </c>
      <c r="G378" s="19">
        <v>0</v>
      </c>
      <c r="H378" s="19">
        <v>0</v>
      </c>
      <c r="I378" s="19">
        <f>SUM(E378:H378)/Variables!$E$3</f>
        <v>0</v>
      </c>
      <c r="J378" s="4">
        <v>0</v>
      </c>
      <c r="K378">
        <v>67</v>
      </c>
      <c r="L378">
        <v>59912</v>
      </c>
      <c r="M378">
        <v>3157</v>
      </c>
      <c r="N378" s="6">
        <f>SUM(J378:M378)/Variables!$E$3</f>
        <v>4.9989311079264284E-2</v>
      </c>
      <c r="O378" s="4">
        <v>0</v>
      </c>
      <c r="P378">
        <v>0</v>
      </c>
      <c r="Q378">
        <v>0</v>
      </c>
      <c r="R378">
        <v>0</v>
      </c>
      <c r="S378" s="6">
        <f>SUM(O378:R378)/Variables!$E$3</f>
        <v>0</v>
      </c>
      <c r="T378" s="4">
        <v>0</v>
      </c>
      <c r="U378">
        <v>0</v>
      </c>
      <c r="V378">
        <v>10129.5</v>
      </c>
      <c r="W378">
        <v>0</v>
      </c>
      <c r="X378" s="6">
        <f>SUM(T378:W378)/Variables!$E$3</f>
        <v>8.0202535253644132E-3</v>
      </c>
      <c r="Y378" s="4">
        <v>0</v>
      </c>
      <c r="Z378">
        <v>0</v>
      </c>
      <c r="AA378">
        <v>9362.4</v>
      </c>
      <c r="AB378">
        <v>0</v>
      </c>
      <c r="AC378" s="6">
        <f>SUM(Y378:AB378)/Variables!$E$3</f>
        <v>7.4128852960039272E-3</v>
      </c>
      <c r="AD378" s="4">
        <v>0</v>
      </c>
      <c r="AE378" s="2">
        <v>0</v>
      </c>
      <c r="AF378" s="2">
        <v>0</v>
      </c>
      <c r="AG378" s="2">
        <v>0</v>
      </c>
      <c r="AH378" s="6">
        <f>SUM(AD378:AG378)/Variables!$E$3</f>
        <v>0</v>
      </c>
      <c r="AI378" s="4">
        <v>0</v>
      </c>
      <c r="AJ378" s="2">
        <v>0</v>
      </c>
      <c r="AK378" s="2">
        <v>1802.8</v>
      </c>
      <c r="AL378" s="2">
        <v>0</v>
      </c>
      <c r="AM378" s="6">
        <f>SUM(AI378:AL378)/Variables!$E$3</f>
        <v>1.4274063927663719E-3</v>
      </c>
      <c r="AN378" s="4">
        <v>0</v>
      </c>
      <c r="AO378" s="2">
        <v>0</v>
      </c>
      <c r="AP378" s="2">
        <v>2148.5</v>
      </c>
      <c r="AQ378" s="2">
        <v>0</v>
      </c>
      <c r="AR378" s="6">
        <f>SUM(AN378:AQ378)/Variables!$E$3</f>
        <v>1.7011219407912967E-3</v>
      </c>
      <c r="AS378" s="4">
        <v>0</v>
      </c>
      <c r="AT378" s="2">
        <v>0</v>
      </c>
      <c r="AU378" s="2">
        <v>9904</v>
      </c>
      <c r="AV378" s="2">
        <v>90.699999999999804</v>
      </c>
      <c r="AW378" s="6">
        <f>SUM(AS378:AV378)/Variables!$E$3</f>
        <v>7.9135226723885382E-3</v>
      </c>
      <c r="AX378" s="4">
        <v>0</v>
      </c>
      <c r="AY378" s="2">
        <v>0</v>
      </c>
      <c r="AZ378" s="2">
        <v>4895.7</v>
      </c>
      <c r="BA378" s="2">
        <v>0</v>
      </c>
      <c r="BB378" s="6">
        <f>SUM(AX378:BA378)/Variables!$E$3</f>
        <v>3.8762777219138707E-3</v>
      </c>
      <c r="BC378" s="12">
        <f t="shared" si="86"/>
        <v>0</v>
      </c>
      <c r="BD378" s="110">
        <f t="shared" si="86"/>
        <v>0</v>
      </c>
      <c r="BE378" s="110">
        <f t="shared" si="86"/>
        <v>9362.4</v>
      </c>
      <c r="BF378" s="110">
        <f t="shared" si="86"/>
        <v>0</v>
      </c>
      <c r="BG378" s="6">
        <f>SUM(BC378:BF378)/Variables!$E$3</f>
        <v>7.4128852960039272E-3</v>
      </c>
      <c r="BH378" s="4">
        <v>0</v>
      </c>
      <c r="BI378">
        <v>0</v>
      </c>
      <c r="BJ378">
        <v>3911</v>
      </c>
      <c r="BK378">
        <v>0</v>
      </c>
      <c r="BL378" s="6">
        <f>SUM(BH378:BK378)/Variables!$E$3</f>
        <v>3.0966199257317951E-3</v>
      </c>
      <c r="BM378" s="110">
        <v>0</v>
      </c>
      <c r="BN378" s="110">
        <v>0</v>
      </c>
      <c r="BO378" s="110">
        <v>5008.1000000000004</v>
      </c>
      <c r="BP378" s="110">
        <v>0</v>
      </c>
      <c r="BQ378" s="6">
        <f>SUM(BM378:BP378)/Variables!$E$3</f>
        <v>3.9652728841875233E-3</v>
      </c>
      <c r="BS378" s="4">
        <v>376</v>
      </c>
      <c r="BT378" s="125">
        <f t="shared" si="87"/>
        <v>0</v>
      </c>
      <c r="BU378" s="125">
        <f t="shared" si="74"/>
        <v>4.608350026524359E-2</v>
      </c>
      <c r="BV378" s="125">
        <f t="shared" si="75"/>
        <v>0</v>
      </c>
      <c r="BW378" s="125">
        <f t="shared" si="76"/>
        <v>5.150238719229764E-3</v>
      </c>
      <c r="BX378" s="125">
        <f t="shared" si="77"/>
        <v>4.5831716799024534E-3</v>
      </c>
      <c r="BY378" s="125">
        <f t="shared" si="78"/>
        <v>0</v>
      </c>
      <c r="BZ378" s="125">
        <f t="shared" si="79"/>
        <v>6.5954599798890093E-5</v>
      </c>
      <c r="CA378" s="125">
        <f t="shared" si="80"/>
        <v>2.2795113183794093E-4</v>
      </c>
      <c r="CB378" s="125">
        <f t="shared" si="81"/>
        <v>5.2048709807678605E-3</v>
      </c>
      <c r="CC378" s="125">
        <f t="shared" si="82"/>
        <v>1.666442331293201E-3</v>
      </c>
      <c r="CD378" s="125">
        <f t="shared" si="83"/>
        <v>4.5831716799024534E-3</v>
      </c>
      <c r="CE378" s="125">
        <f t="shared" si="84"/>
        <v>7.7300691216874236E-4</v>
      </c>
      <c r="CF378" s="126">
        <f t="shared" si="85"/>
        <v>1.643243414437169E-3</v>
      </c>
      <c r="CH378" s="4">
        <v>376</v>
      </c>
      <c r="CI378" s="129">
        <v>0</v>
      </c>
      <c r="CJ378" s="125">
        <v>0</v>
      </c>
      <c r="CK378" s="125">
        <v>0</v>
      </c>
      <c r="CL378" s="125">
        <v>0</v>
      </c>
      <c r="CM378" s="125">
        <v>0</v>
      </c>
      <c r="CN378" s="125">
        <v>0</v>
      </c>
      <c r="CO378" s="125">
        <v>0</v>
      </c>
      <c r="CP378" s="125">
        <v>0</v>
      </c>
      <c r="CQ378" s="125">
        <v>0</v>
      </c>
      <c r="CR378" s="125">
        <v>0</v>
      </c>
      <c r="CS378" s="125">
        <v>0</v>
      </c>
      <c r="CT378" s="125">
        <v>0</v>
      </c>
      <c r="CU378" s="126">
        <v>0</v>
      </c>
    </row>
    <row r="379" spans="1:99" x14ac:dyDescent="0.25">
      <c r="A379" t="s">
        <v>278</v>
      </c>
      <c r="B379" s="2" t="s">
        <v>4</v>
      </c>
      <c r="C379" s="1">
        <v>35946</v>
      </c>
      <c r="D379" s="19">
        <v>106.875</v>
      </c>
      <c r="E379" s="18">
        <v>0</v>
      </c>
      <c r="F379" s="19">
        <v>0</v>
      </c>
      <c r="G379" s="19">
        <v>0</v>
      </c>
      <c r="H379" s="19">
        <v>0</v>
      </c>
      <c r="I379" s="19">
        <f>SUM(E379:H379)/Variables!$E$3</f>
        <v>0</v>
      </c>
      <c r="J379" s="4">
        <v>0</v>
      </c>
      <c r="K379">
        <v>53</v>
      </c>
      <c r="L379">
        <v>58150</v>
      </c>
      <c r="M379">
        <v>0</v>
      </c>
      <c r="N379" s="6">
        <f>SUM(J379:M379)/Variables!$E$3</f>
        <v>4.608350026524359E-2</v>
      </c>
      <c r="O379" s="4">
        <v>0</v>
      </c>
      <c r="P379">
        <v>0</v>
      </c>
      <c r="Q379">
        <v>0</v>
      </c>
      <c r="R379">
        <v>0</v>
      </c>
      <c r="S379" s="6">
        <f>SUM(O379:R379)/Variables!$E$3</f>
        <v>0</v>
      </c>
      <c r="T379" s="4">
        <v>0</v>
      </c>
      <c r="U379">
        <v>0</v>
      </c>
      <c r="V379">
        <v>6504.7</v>
      </c>
      <c r="W379">
        <v>0</v>
      </c>
      <c r="X379" s="6">
        <f>SUM(T379:W379)/Variables!$E$3</f>
        <v>5.150238719229764E-3</v>
      </c>
      <c r="Y379" s="4">
        <v>0</v>
      </c>
      <c r="Z379">
        <v>0</v>
      </c>
      <c r="AA379">
        <v>5788.5</v>
      </c>
      <c r="AB379">
        <v>0</v>
      </c>
      <c r="AC379" s="6">
        <f>SUM(Y379:AB379)/Variables!$E$3</f>
        <v>4.5831716799024534E-3</v>
      </c>
      <c r="AD379" s="4">
        <v>0</v>
      </c>
      <c r="AE379" s="2">
        <v>0</v>
      </c>
      <c r="AF379" s="2">
        <v>0</v>
      </c>
      <c r="AG379" s="2">
        <v>0</v>
      </c>
      <c r="AH379" s="6">
        <f>SUM(AD379:AG379)/Variables!$E$3</f>
        <v>0</v>
      </c>
      <c r="AI379" s="4">
        <v>0</v>
      </c>
      <c r="AJ379" s="2">
        <v>0</v>
      </c>
      <c r="AK379" s="2">
        <v>83.300000000000196</v>
      </c>
      <c r="AL379" s="2">
        <v>0</v>
      </c>
      <c r="AM379" s="6">
        <f>SUM(AI379:AL379)/Variables!$E$3</f>
        <v>6.5954599798890093E-5</v>
      </c>
      <c r="AN379" s="4">
        <v>0</v>
      </c>
      <c r="AO379" s="2">
        <v>0</v>
      </c>
      <c r="AP379" s="2">
        <v>287.900000000001</v>
      </c>
      <c r="AQ379" s="2">
        <v>0</v>
      </c>
      <c r="AR379" s="6">
        <f>SUM(AN379:AQ379)/Variables!$E$3</f>
        <v>2.2795113183794093E-4</v>
      </c>
      <c r="AS379" s="4">
        <v>0</v>
      </c>
      <c r="AT379" s="2">
        <v>0</v>
      </c>
      <c r="AU379" s="2">
        <v>6573.7</v>
      </c>
      <c r="AV379" s="2">
        <v>0</v>
      </c>
      <c r="AW379" s="6">
        <f>SUM(AS379:AV379)/Variables!$E$3</f>
        <v>5.2048709807678605E-3</v>
      </c>
      <c r="AX379" s="4">
        <v>0</v>
      </c>
      <c r="AY379" s="2">
        <v>0</v>
      </c>
      <c r="AZ379" s="2">
        <v>2104.6999999999998</v>
      </c>
      <c r="BA379" s="2">
        <v>0</v>
      </c>
      <c r="BB379" s="6">
        <f>SUM(AX379:BA379)/Variables!$E$3</f>
        <v>1.666442331293201E-3</v>
      </c>
      <c r="BC379" s="12">
        <f t="shared" si="86"/>
        <v>0</v>
      </c>
      <c r="BD379" s="110">
        <f t="shared" si="86"/>
        <v>0</v>
      </c>
      <c r="BE379" s="110">
        <f t="shared" si="86"/>
        <v>5788.5</v>
      </c>
      <c r="BF379" s="110">
        <f t="shared" si="86"/>
        <v>0</v>
      </c>
      <c r="BG379" s="6">
        <f>SUM(BC379:BF379)/Variables!$E$3</f>
        <v>4.5831716799024534E-3</v>
      </c>
      <c r="BH379" s="4">
        <v>0</v>
      </c>
      <c r="BI379">
        <v>0</v>
      </c>
      <c r="BJ379">
        <v>976.3</v>
      </c>
      <c r="BK379">
        <v>0</v>
      </c>
      <c r="BL379" s="6">
        <f>SUM(BH379:BK379)/Variables!$E$3</f>
        <v>7.7300691216874236E-4</v>
      </c>
      <c r="BM379" s="110">
        <v>0</v>
      </c>
      <c r="BN379" s="110">
        <v>0</v>
      </c>
      <c r="BO379" s="110">
        <v>2075.4</v>
      </c>
      <c r="BP379" s="110">
        <v>0</v>
      </c>
      <c r="BQ379" s="6">
        <f>SUM(BM379:BP379)/Variables!$E$3</f>
        <v>1.643243414437169E-3</v>
      </c>
      <c r="BS379" s="4">
        <v>377</v>
      </c>
      <c r="BT379" s="125">
        <f t="shared" si="87"/>
        <v>0</v>
      </c>
      <c r="BU379" s="125">
        <f t="shared" si="74"/>
        <v>0</v>
      </c>
      <c r="BV379" s="125">
        <f t="shared" si="75"/>
        <v>0</v>
      </c>
      <c r="BW379" s="125">
        <f t="shared" si="76"/>
        <v>0</v>
      </c>
      <c r="BX379" s="125">
        <f t="shared" si="77"/>
        <v>0</v>
      </c>
      <c r="BY379" s="125">
        <f t="shared" si="78"/>
        <v>0</v>
      </c>
      <c r="BZ379" s="125">
        <f t="shared" si="79"/>
        <v>0</v>
      </c>
      <c r="CA379" s="125">
        <f t="shared" si="80"/>
        <v>0</v>
      </c>
      <c r="CB379" s="125">
        <f t="shared" si="81"/>
        <v>0</v>
      </c>
      <c r="CC379" s="125">
        <f t="shared" si="82"/>
        <v>0</v>
      </c>
      <c r="CD379" s="125">
        <f t="shared" si="83"/>
        <v>0</v>
      </c>
      <c r="CE379" s="125">
        <f t="shared" si="84"/>
        <v>0</v>
      </c>
      <c r="CF379" s="126">
        <f t="shared" si="85"/>
        <v>0</v>
      </c>
      <c r="CH379" s="4">
        <v>377</v>
      </c>
      <c r="CI379" s="129">
        <v>0</v>
      </c>
      <c r="CJ379" s="125">
        <v>0</v>
      </c>
      <c r="CK379" s="125">
        <v>0</v>
      </c>
      <c r="CL379" s="125">
        <v>0</v>
      </c>
      <c r="CM379" s="125">
        <v>0</v>
      </c>
      <c r="CN379" s="125">
        <v>0</v>
      </c>
      <c r="CO379" s="125">
        <v>0</v>
      </c>
      <c r="CP379" s="125">
        <v>0</v>
      </c>
      <c r="CQ379" s="125">
        <v>0</v>
      </c>
      <c r="CR379" s="125">
        <v>0</v>
      </c>
      <c r="CS379" s="125">
        <v>0</v>
      </c>
      <c r="CT379" s="125">
        <v>0</v>
      </c>
      <c r="CU379" s="126">
        <v>0</v>
      </c>
    </row>
    <row r="380" spans="1:99" x14ac:dyDescent="0.25">
      <c r="A380" t="s">
        <v>278</v>
      </c>
      <c r="B380" s="2" t="s">
        <v>1</v>
      </c>
      <c r="C380" s="1">
        <v>36038</v>
      </c>
      <c r="D380" s="19">
        <v>202.021428571429</v>
      </c>
      <c r="E380" s="18">
        <v>0</v>
      </c>
      <c r="F380" s="19">
        <v>0</v>
      </c>
      <c r="G380" s="19">
        <v>0</v>
      </c>
      <c r="H380" s="19">
        <v>0</v>
      </c>
      <c r="I380" s="19">
        <f>SUM(E380:H380)/Variables!$E$3</f>
        <v>0</v>
      </c>
      <c r="J380" s="4">
        <v>0</v>
      </c>
      <c r="K380">
        <v>0</v>
      </c>
      <c r="L380">
        <v>0</v>
      </c>
      <c r="M380">
        <v>0</v>
      </c>
      <c r="N380" s="6">
        <f>SUM(J380:M380)/Variables!$E$3</f>
        <v>0</v>
      </c>
      <c r="O380" s="4">
        <v>0</v>
      </c>
      <c r="P380">
        <v>0</v>
      </c>
      <c r="Q380">
        <v>0</v>
      </c>
      <c r="R380">
        <v>0</v>
      </c>
      <c r="S380" s="6">
        <f>SUM(O380:R380)/Variables!$E$3</f>
        <v>0</v>
      </c>
      <c r="T380" s="4">
        <v>0</v>
      </c>
      <c r="U380">
        <v>0</v>
      </c>
      <c r="V380">
        <v>0</v>
      </c>
      <c r="W380">
        <v>0</v>
      </c>
      <c r="X380" s="6">
        <f>SUM(T380:W380)/Variables!$E$3</f>
        <v>0</v>
      </c>
      <c r="Y380" s="4">
        <v>0</v>
      </c>
      <c r="Z380">
        <v>0</v>
      </c>
      <c r="AA380">
        <v>0</v>
      </c>
      <c r="AB380">
        <v>0</v>
      </c>
      <c r="AC380" s="6">
        <f>SUM(Y380:AB380)/Variables!$E$3</f>
        <v>0</v>
      </c>
      <c r="AD380" s="4">
        <v>0</v>
      </c>
      <c r="AE380" s="2">
        <v>0</v>
      </c>
      <c r="AF380" s="2">
        <v>0</v>
      </c>
      <c r="AG380" s="2">
        <v>0</v>
      </c>
      <c r="AH380" s="6">
        <f>SUM(AD380:AG380)/Variables!$E$3</f>
        <v>0</v>
      </c>
      <c r="AI380" s="4">
        <v>0</v>
      </c>
      <c r="AJ380" s="2">
        <v>0</v>
      </c>
      <c r="AK380" s="2">
        <v>0</v>
      </c>
      <c r="AL380" s="2">
        <v>0</v>
      </c>
      <c r="AM380" s="6">
        <f>SUM(AI380:AL380)/Variables!$E$3</f>
        <v>0</v>
      </c>
      <c r="AN380" s="4">
        <v>0</v>
      </c>
      <c r="AO380" s="2">
        <v>0</v>
      </c>
      <c r="AP380" s="2">
        <v>0</v>
      </c>
      <c r="AQ380" s="2">
        <v>0</v>
      </c>
      <c r="AR380" s="6">
        <f>SUM(AN380:AQ380)/Variables!$E$3</f>
        <v>0</v>
      </c>
      <c r="AS380" s="4">
        <v>0</v>
      </c>
      <c r="AT380" s="2">
        <v>0</v>
      </c>
      <c r="AU380" s="2">
        <v>0</v>
      </c>
      <c r="AV380" s="2">
        <v>0</v>
      </c>
      <c r="AW380" s="6">
        <f>SUM(AS380:AV380)/Variables!$E$3</f>
        <v>0</v>
      </c>
      <c r="AX380" s="4">
        <v>0</v>
      </c>
      <c r="AY380" s="2">
        <v>0</v>
      </c>
      <c r="AZ380" s="2">
        <v>0</v>
      </c>
      <c r="BA380" s="2">
        <v>0</v>
      </c>
      <c r="BB380" s="6">
        <f>SUM(AX380:BA380)/Variables!$E$3</f>
        <v>0</v>
      </c>
      <c r="BC380" s="12">
        <f t="shared" si="86"/>
        <v>0</v>
      </c>
      <c r="BD380" s="110">
        <f t="shared" si="86"/>
        <v>0</v>
      </c>
      <c r="BE380" s="110">
        <f t="shared" si="86"/>
        <v>0</v>
      </c>
      <c r="BF380" s="110">
        <f t="shared" si="86"/>
        <v>0</v>
      </c>
      <c r="BG380" s="6">
        <f>SUM(BC380:BF380)/Variables!$E$3</f>
        <v>0</v>
      </c>
      <c r="BH380" s="4">
        <v>0</v>
      </c>
      <c r="BI380">
        <v>0</v>
      </c>
      <c r="BJ380">
        <v>0</v>
      </c>
      <c r="BK380">
        <v>0</v>
      </c>
      <c r="BL380" s="6">
        <f>SUM(BH380:BK380)/Variables!$E$3</f>
        <v>0</v>
      </c>
      <c r="BM380" s="110">
        <v>0</v>
      </c>
      <c r="BN380" s="110">
        <v>0</v>
      </c>
      <c r="BO380" s="110">
        <v>0</v>
      </c>
      <c r="BP380" s="110">
        <v>0</v>
      </c>
      <c r="BQ380" s="6">
        <f>SUM(BM380:BP380)/Variables!$E$3</f>
        <v>0</v>
      </c>
      <c r="BS380" s="4">
        <v>378</v>
      </c>
      <c r="BT380" s="125">
        <f t="shared" si="87"/>
        <v>0</v>
      </c>
      <c r="BU380" s="125">
        <f t="shared" si="74"/>
        <v>0.44180238956761336</v>
      </c>
      <c r="BV380" s="125">
        <f t="shared" si="75"/>
        <v>9.8407746696331719E-2</v>
      </c>
      <c r="BW380" s="125">
        <f t="shared" si="76"/>
        <v>0.19437818193334866</v>
      </c>
      <c r="BX380" s="125">
        <f t="shared" si="77"/>
        <v>0.19170690187570763</v>
      </c>
      <c r="BY380" s="125">
        <f t="shared" si="78"/>
        <v>0.16189977751209431</v>
      </c>
      <c r="BZ380" s="125">
        <f t="shared" si="79"/>
        <v>0.17203461626774558</v>
      </c>
      <c r="CA380" s="125">
        <f t="shared" si="80"/>
        <v>0.18355497668231735</v>
      </c>
      <c r="CB380" s="125">
        <f t="shared" si="81"/>
        <v>0.23737709720583697</v>
      </c>
      <c r="CC380" s="125">
        <f t="shared" si="82"/>
        <v>0.19327247246613197</v>
      </c>
      <c r="CD380" s="125">
        <f t="shared" si="83"/>
        <v>0.19170690187570763</v>
      </c>
      <c r="CE380" s="125">
        <f t="shared" si="84"/>
        <v>0.18650963190524072</v>
      </c>
      <c r="CF380" s="126">
        <f t="shared" si="85"/>
        <v>0.19949263256241143</v>
      </c>
      <c r="CH380" s="4">
        <v>378</v>
      </c>
      <c r="CI380" s="129">
        <v>0</v>
      </c>
      <c r="CJ380" s="125">
        <v>1.0068868320414255</v>
      </c>
      <c r="CK380" s="125">
        <v>0</v>
      </c>
      <c r="CL380" s="125">
        <v>8.6019485506615256E-2</v>
      </c>
      <c r="CM380" s="125">
        <v>8.5471896056184132E-2</v>
      </c>
      <c r="CN380" s="125">
        <v>6.9451618777662524E-2</v>
      </c>
      <c r="CO380" s="125">
        <v>7.662622031845065E-2</v>
      </c>
      <c r="CP380" s="125">
        <v>7.7899587486836785E-2</v>
      </c>
      <c r="CQ380" s="125">
        <v>0.10719863181814582</v>
      </c>
      <c r="CR380" s="125">
        <v>7.9870466116121266E-2</v>
      </c>
      <c r="CS380" s="125">
        <v>8.5471896056184132E-2</v>
      </c>
      <c r="CT380" s="125">
        <v>7.998269978384627E-2</v>
      </c>
      <c r="CU380" s="126">
        <v>8.3414001694391879E-2</v>
      </c>
    </row>
    <row r="381" spans="1:99" x14ac:dyDescent="0.25">
      <c r="A381" t="s">
        <v>278</v>
      </c>
      <c r="B381" s="2" t="s">
        <v>2</v>
      </c>
      <c r="C381" s="1">
        <v>36129</v>
      </c>
      <c r="D381" s="19">
        <v>159.77500000000001</v>
      </c>
      <c r="E381" s="18">
        <v>0</v>
      </c>
      <c r="F381" s="19">
        <v>0</v>
      </c>
      <c r="G381" s="19">
        <v>0</v>
      </c>
      <c r="H381" s="19">
        <v>0</v>
      </c>
      <c r="I381" s="19">
        <f>SUM(E381:H381)/Variables!$E$3</f>
        <v>0</v>
      </c>
      <c r="J381" s="4">
        <v>28134</v>
      </c>
      <c r="K381">
        <v>38026</v>
      </c>
      <c r="L381">
        <v>412331</v>
      </c>
      <c r="M381">
        <v>79501</v>
      </c>
      <c r="N381" s="6">
        <f>SUM(J381:M381)/Variables!$E$3</f>
        <v>0.44180238956761336</v>
      </c>
      <c r="O381" s="4">
        <v>379</v>
      </c>
      <c r="P381">
        <v>2382</v>
      </c>
      <c r="Q381">
        <v>92515</v>
      </c>
      <c r="R381">
        <v>29012</v>
      </c>
      <c r="S381" s="6">
        <f>SUM(O381:R381)/Variables!$E$3</f>
        <v>9.8407746696331719E-2</v>
      </c>
      <c r="T381" s="4">
        <v>2735</v>
      </c>
      <c r="U381">
        <v>6165.9</v>
      </c>
      <c r="V381">
        <v>194025.1</v>
      </c>
      <c r="W381">
        <v>42571.7</v>
      </c>
      <c r="X381" s="6">
        <f>SUM(T381:W381)/Variables!$E$3</f>
        <v>0.19437818193334866</v>
      </c>
      <c r="Y381" s="4">
        <v>2782.8</v>
      </c>
      <c r="Z381">
        <v>6224.7</v>
      </c>
      <c r="AA381">
        <v>190349.8</v>
      </c>
      <c r="AB381">
        <v>42766.6</v>
      </c>
      <c r="AC381" s="6">
        <f>SUM(Y381:AB381)/Variables!$E$3</f>
        <v>0.19170690187570763</v>
      </c>
      <c r="AD381" s="4">
        <v>3881.5</v>
      </c>
      <c r="AE381" s="2">
        <v>7655.9</v>
      </c>
      <c r="AF381" s="2">
        <v>156438.29999999999</v>
      </c>
      <c r="AG381" s="2">
        <v>36502.1</v>
      </c>
      <c r="AH381" s="6">
        <f>SUM(AD381:AG381)/Variables!$E$3</f>
        <v>0.16189977751209431</v>
      </c>
      <c r="AI381" s="4">
        <v>2545.4</v>
      </c>
      <c r="AJ381" s="2">
        <v>5650.2</v>
      </c>
      <c r="AK381" s="2">
        <v>178088.5</v>
      </c>
      <c r="AL381" s="2">
        <v>30993.9</v>
      </c>
      <c r="AM381" s="6">
        <f>SUM(AI381:AL381)/Variables!$E$3</f>
        <v>0.17203461626774558</v>
      </c>
      <c r="AN381" s="4">
        <v>2683.1</v>
      </c>
      <c r="AO381" s="2">
        <v>5865.5</v>
      </c>
      <c r="AP381" s="2">
        <v>182768.3</v>
      </c>
      <c r="AQ381" s="2">
        <v>40511.199999999997</v>
      </c>
      <c r="AR381" s="6">
        <f>SUM(AN381:AQ381)/Variables!$E$3</f>
        <v>0.18355497668231735</v>
      </c>
      <c r="AS381" s="4">
        <v>6541.6</v>
      </c>
      <c r="AT381" s="2">
        <v>10966.4</v>
      </c>
      <c r="AU381" s="2">
        <v>227608.5</v>
      </c>
      <c r="AV381" s="2">
        <v>54688.4</v>
      </c>
      <c r="AW381" s="6">
        <f>SUM(AS381:AV381)/Variables!$E$3</f>
        <v>0.23737709720583697</v>
      </c>
      <c r="AX381" s="4">
        <v>2915.9</v>
      </c>
      <c r="AY381" s="2">
        <v>6225</v>
      </c>
      <c r="AZ381" s="2">
        <v>192181.2</v>
      </c>
      <c r="BA381" s="2">
        <v>42779.1</v>
      </c>
      <c r="BB381" s="6">
        <f>SUM(AX381:BA381)/Variables!$E$3</f>
        <v>0.19327247246613197</v>
      </c>
      <c r="BC381" s="12">
        <f t="shared" si="86"/>
        <v>2782.8</v>
      </c>
      <c r="BD381" s="110">
        <f t="shared" si="86"/>
        <v>6224.7</v>
      </c>
      <c r="BE381" s="110">
        <f t="shared" si="86"/>
        <v>190349.8</v>
      </c>
      <c r="BF381" s="110">
        <f t="shared" si="86"/>
        <v>42766.6</v>
      </c>
      <c r="BG381" s="6">
        <f>SUM(BC381:BF381)/Variables!$E$3</f>
        <v>0.19170690187570763</v>
      </c>
      <c r="BH381" s="4">
        <v>3003.2</v>
      </c>
      <c r="BI381">
        <v>6332</v>
      </c>
      <c r="BJ381">
        <v>186904.8</v>
      </c>
      <c r="BK381">
        <v>39319.800000000003</v>
      </c>
      <c r="BL381" s="6">
        <f>SUM(BH381:BK381)/Variables!$E$3</f>
        <v>0.18650963190524072</v>
      </c>
      <c r="BM381" s="110">
        <v>3858.6</v>
      </c>
      <c r="BN381" s="110">
        <v>7410.1</v>
      </c>
      <c r="BO381" s="110">
        <v>198367.1</v>
      </c>
      <c r="BP381" s="110">
        <v>42321.4</v>
      </c>
      <c r="BQ381" s="6">
        <f>SUM(BM381:BP381)/Variables!$E$3</f>
        <v>0.19949263256241143</v>
      </c>
      <c r="BS381" s="4">
        <v>379</v>
      </c>
      <c r="BT381" s="125">
        <f t="shared" si="87"/>
        <v>0</v>
      </c>
      <c r="BU381" s="125">
        <f t="shared" si="74"/>
        <v>9.8330153049509497E-2</v>
      </c>
      <c r="BV381" s="125">
        <f t="shared" si="75"/>
        <v>0</v>
      </c>
      <c r="BW381" s="125">
        <f t="shared" si="76"/>
        <v>1.8353668675128068E-2</v>
      </c>
      <c r="BX381" s="125">
        <f t="shared" si="77"/>
        <v>1.7403463210318371E-2</v>
      </c>
      <c r="BY381" s="125">
        <f t="shared" si="78"/>
        <v>4.8331340707369018E-3</v>
      </c>
      <c r="BZ381" s="125">
        <f t="shared" si="79"/>
        <v>1.1418142661462085E-3</v>
      </c>
      <c r="CA381" s="125">
        <f t="shared" si="80"/>
        <v>2.3386566797836878E-3</v>
      </c>
      <c r="CB381" s="125">
        <f t="shared" si="81"/>
        <v>1.4861241973412298E-2</v>
      </c>
      <c r="CC381" s="125">
        <f t="shared" si="82"/>
        <v>6.3752682127332753E-3</v>
      </c>
      <c r="CD381" s="125">
        <f t="shared" si="83"/>
        <v>1.7403463210318371E-2</v>
      </c>
      <c r="CE381" s="125">
        <f t="shared" si="84"/>
        <v>5.2186478119383367E-3</v>
      </c>
      <c r="CF381" s="126">
        <f t="shared" si="85"/>
        <v>6.50789000704677E-3</v>
      </c>
      <c r="CH381" s="4">
        <v>379</v>
      </c>
      <c r="CI381" s="129">
        <v>0</v>
      </c>
      <c r="CJ381" s="125">
        <v>0.28378490724392119</v>
      </c>
      <c r="CK381" s="125">
        <v>0</v>
      </c>
      <c r="CL381" s="125">
        <v>0</v>
      </c>
      <c r="CM381" s="125">
        <v>0</v>
      </c>
      <c r="CN381" s="125">
        <v>0</v>
      </c>
      <c r="CO381" s="125">
        <v>0</v>
      </c>
      <c r="CP381" s="125">
        <v>0</v>
      </c>
      <c r="CQ381" s="125">
        <v>0</v>
      </c>
      <c r="CR381" s="125">
        <v>0</v>
      </c>
      <c r="CS381" s="125">
        <v>0</v>
      </c>
      <c r="CT381" s="125">
        <v>0</v>
      </c>
      <c r="CU381" s="126">
        <v>0</v>
      </c>
    </row>
    <row r="382" spans="1:99" x14ac:dyDescent="0.25">
      <c r="A382" t="s">
        <v>279</v>
      </c>
      <c r="B382" s="2" t="s">
        <v>3</v>
      </c>
      <c r="C382" s="1">
        <v>36219</v>
      </c>
      <c r="D382" s="19">
        <v>115.3</v>
      </c>
      <c r="E382" s="18">
        <v>0</v>
      </c>
      <c r="F382" s="19">
        <v>0</v>
      </c>
      <c r="G382" s="19">
        <v>0</v>
      </c>
      <c r="H382" s="19">
        <v>0</v>
      </c>
      <c r="I382" s="19">
        <f>SUM(E382:H382)/Variables!$E$3</f>
        <v>0</v>
      </c>
      <c r="J382" s="4">
        <v>0</v>
      </c>
      <c r="K382">
        <v>3126</v>
      </c>
      <c r="L382">
        <v>114579</v>
      </c>
      <c r="M382">
        <v>6485</v>
      </c>
      <c r="N382" s="6">
        <f>SUM(J382:M382)/Variables!$E$3</f>
        <v>9.8330153049509497E-2</v>
      </c>
      <c r="O382" s="4">
        <v>0</v>
      </c>
      <c r="P382">
        <v>0</v>
      </c>
      <c r="Q382">
        <v>0</v>
      </c>
      <c r="R382">
        <v>0</v>
      </c>
      <c r="S382" s="6">
        <f>SUM(O382:R382)/Variables!$E$3</f>
        <v>0</v>
      </c>
      <c r="T382" s="4">
        <v>0</v>
      </c>
      <c r="U382">
        <v>0</v>
      </c>
      <c r="V382">
        <v>23180.5</v>
      </c>
      <c r="W382">
        <v>0</v>
      </c>
      <c r="X382" s="6">
        <f>SUM(T382:W382)/Variables!$E$3</f>
        <v>1.8353668675128068E-2</v>
      </c>
      <c r="Y382" s="4">
        <v>0</v>
      </c>
      <c r="Z382">
        <v>0</v>
      </c>
      <c r="AA382">
        <v>21980.400000000001</v>
      </c>
      <c r="AB382">
        <v>0</v>
      </c>
      <c r="AC382" s="6">
        <f>SUM(Y382:AB382)/Variables!$E$3</f>
        <v>1.7403463210318371E-2</v>
      </c>
      <c r="AD382" s="4">
        <v>0</v>
      </c>
      <c r="AE382" s="2">
        <v>0</v>
      </c>
      <c r="AF382" s="2">
        <v>6104.2</v>
      </c>
      <c r="AG382" s="2">
        <v>0</v>
      </c>
      <c r="AH382" s="6">
        <f>SUM(AD382:AG382)/Variables!$E$3</f>
        <v>4.8331340707369018E-3</v>
      </c>
      <c r="AI382" s="4">
        <v>0</v>
      </c>
      <c r="AJ382" s="2">
        <v>0</v>
      </c>
      <c r="AK382" s="2">
        <v>1442.1</v>
      </c>
      <c r="AL382" s="2">
        <v>0</v>
      </c>
      <c r="AM382" s="6">
        <f>SUM(AI382:AL382)/Variables!$E$3</f>
        <v>1.1418142661462085E-3</v>
      </c>
      <c r="AN382" s="4">
        <v>0</v>
      </c>
      <c r="AO382" s="2">
        <v>0</v>
      </c>
      <c r="AP382" s="2">
        <v>2953.7</v>
      </c>
      <c r="AQ382" s="2">
        <v>0</v>
      </c>
      <c r="AR382" s="6">
        <f>SUM(AN382:AQ382)/Variables!$E$3</f>
        <v>2.3386566797836878E-3</v>
      </c>
      <c r="AS382" s="4">
        <v>0</v>
      </c>
      <c r="AT382" s="2">
        <v>0</v>
      </c>
      <c r="AU382" s="2">
        <v>18758.099999999999</v>
      </c>
      <c r="AV382" s="2">
        <v>11.5</v>
      </c>
      <c r="AW382" s="6">
        <f>SUM(AS382:AV382)/Variables!$E$3</f>
        <v>1.4861241973412298E-2</v>
      </c>
      <c r="AX382" s="4">
        <v>0</v>
      </c>
      <c r="AY382" s="2">
        <v>0</v>
      </c>
      <c r="AZ382" s="2">
        <v>8051.9</v>
      </c>
      <c r="BA382" s="2">
        <v>0</v>
      </c>
      <c r="BB382" s="6">
        <f>SUM(AX382:BA382)/Variables!$E$3</f>
        <v>6.3752682127332753E-3</v>
      </c>
      <c r="BC382" s="12">
        <f t="shared" si="86"/>
        <v>0</v>
      </c>
      <c r="BD382" s="110">
        <f t="shared" si="86"/>
        <v>0</v>
      </c>
      <c r="BE382" s="110">
        <f t="shared" si="86"/>
        <v>21980.400000000001</v>
      </c>
      <c r="BF382" s="110">
        <f t="shared" si="86"/>
        <v>0</v>
      </c>
      <c r="BG382" s="6">
        <f>SUM(BC382:BF382)/Variables!$E$3</f>
        <v>1.7403463210318371E-2</v>
      </c>
      <c r="BH382" s="4">
        <v>0</v>
      </c>
      <c r="BI382">
        <v>0</v>
      </c>
      <c r="BJ382">
        <v>6591.1</v>
      </c>
      <c r="BK382">
        <v>0</v>
      </c>
      <c r="BL382" s="6">
        <f>SUM(BH382:BK382)/Variables!$E$3</f>
        <v>5.2186478119383367E-3</v>
      </c>
      <c r="BM382" s="110">
        <v>0</v>
      </c>
      <c r="BN382" s="110">
        <v>0</v>
      </c>
      <c r="BO382" s="110">
        <v>8219.4</v>
      </c>
      <c r="BP382" s="110">
        <v>0</v>
      </c>
      <c r="BQ382" s="6">
        <f>SUM(BM382:BP382)/Variables!$E$3</f>
        <v>6.50789000704677E-3</v>
      </c>
      <c r="BS382" s="4">
        <v>380</v>
      </c>
      <c r="BT382" s="125">
        <f t="shared" si="87"/>
        <v>0</v>
      </c>
      <c r="BU382" s="125">
        <f t="shared" si="74"/>
        <v>0.1958883284903285</v>
      </c>
      <c r="BV382" s="125">
        <f t="shared" si="75"/>
        <v>3.1320913071362401E-2</v>
      </c>
      <c r="BW382" s="125">
        <f t="shared" si="76"/>
        <v>0.10096976223089653</v>
      </c>
      <c r="BX382" s="125">
        <f t="shared" si="77"/>
        <v>0.10094110008788668</v>
      </c>
      <c r="BY382" s="125">
        <f t="shared" si="78"/>
        <v>0.10106548745437416</v>
      </c>
      <c r="BZ382" s="125">
        <f t="shared" si="79"/>
        <v>6.9878067126422222E-2</v>
      </c>
      <c r="CA382" s="125">
        <f t="shared" si="80"/>
        <v>7.4769158900703889E-2</v>
      </c>
      <c r="CB382" s="125">
        <f t="shared" si="81"/>
        <v>9.2134617059517504E-2</v>
      </c>
      <c r="CC382" s="125">
        <f t="shared" si="82"/>
        <v>7.9760726529901266E-2</v>
      </c>
      <c r="CD382" s="125">
        <f t="shared" si="83"/>
        <v>0.10094110008788668</v>
      </c>
      <c r="CE382" s="125">
        <f t="shared" si="84"/>
        <v>7.9120816475189815E-2</v>
      </c>
      <c r="CF382" s="126">
        <f t="shared" si="85"/>
        <v>8.1900331752428765E-2</v>
      </c>
      <c r="CH382" s="4">
        <v>380</v>
      </c>
      <c r="CI382" s="129">
        <v>0</v>
      </c>
      <c r="CJ382" s="125">
        <v>0.28378490724392119</v>
      </c>
      <c r="CK382" s="125">
        <v>0</v>
      </c>
      <c r="CL382" s="125">
        <v>0</v>
      </c>
      <c r="CM382" s="125">
        <v>0</v>
      </c>
      <c r="CN382" s="125">
        <v>0</v>
      </c>
      <c r="CO382" s="125">
        <v>0</v>
      </c>
      <c r="CP382" s="125">
        <v>0</v>
      </c>
      <c r="CQ382" s="125">
        <v>0</v>
      </c>
      <c r="CR382" s="125">
        <v>0</v>
      </c>
      <c r="CS382" s="125">
        <v>0</v>
      </c>
      <c r="CT382" s="125">
        <v>0</v>
      </c>
      <c r="CU382" s="126">
        <v>0</v>
      </c>
    </row>
    <row r="383" spans="1:99" x14ac:dyDescent="0.25">
      <c r="A383" t="s">
        <v>279</v>
      </c>
      <c r="B383" s="2" t="s">
        <v>4</v>
      </c>
      <c r="C383" s="1">
        <v>36311</v>
      </c>
      <c r="D383" s="19">
        <v>109.741071428571</v>
      </c>
      <c r="E383" s="18">
        <v>0</v>
      </c>
      <c r="F383" s="19">
        <v>0</v>
      </c>
      <c r="G383" s="19">
        <v>0</v>
      </c>
      <c r="H383" s="19">
        <v>0</v>
      </c>
      <c r="I383" s="19">
        <f>SUM(E383:H383)/Variables!$E$3</f>
        <v>0</v>
      </c>
      <c r="J383" s="4">
        <v>1237</v>
      </c>
      <c r="K383">
        <v>12918</v>
      </c>
      <c r="L383">
        <v>210698</v>
      </c>
      <c r="M383">
        <v>22552</v>
      </c>
      <c r="N383" s="6">
        <f>SUM(J383:M383)/Variables!$E$3</f>
        <v>0.1958883284903285</v>
      </c>
      <c r="O383" s="4">
        <v>0</v>
      </c>
      <c r="P383">
        <v>0</v>
      </c>
      <c r="Q383">
        <v>35300</v>
      </c>
      <c r="R383">
        <v>4258</v>
      </c>
      <c r="S383" s="6">
        <f>SUM(O383:R383)/Variables!$E$3</f>
        <v>3.1320913071362401E-2</v>
      </c>
      <c r="T383" s="4">
        <v>0</v>
      </c>
      <c r="U383">
        <v>0</v>
      </c>
      <c r="V383">
        <v>118365.7</v>
      </c>
      <c r="W383">
        <v>9158.1</v>
      </c>
      <c r="X383" s="6">
        <f>SUM(T383:W383)/Variables!$E$3</f>
        <v>0.10096976223089653</v>
      </c>
      <c r="Y383" s="4">
        <v>0</v>
      </c>
      <c r="Z383">
        <v>0</v>
      </c>
      <c r="AA383">
        <v>118334.39999999999</v>
      </c>
      <c r="AB383">
        <v>9153.2000000000007</v>
      </c>
      <c r="AC383" s="6">
        <f>SUM(Y383:AB383)/Variables!$E$3</f>
        <v>0.10094110008788668</v>
      </c>
      <c r="AD383" s="4">
        <v>0</v>
      </c>
      <c r="AE383" s="2">
        <v>0</v>
      </c>
      <c r="AF383" s="2">
        <v>117551.1</v>
      </c>
      <c r="AG383" s="2">
        <v>10093.6</v>
      </c>
      <c r="AH383" s="6">
        <f>SUM(AD383:AG383)/Variables!$E$3</f>
        <v>0.10106548745437416</v>
      </c>
      <c r="AI383" s="4">
        <v>0</v>
      </c>
      <c r="AJ383" s="2">
        <v>0</v>
      </c>
      <c r="AK383" s="2">
        <v>81951.600000000006</v>
      </c>
      <c r="AL383" s="2">
        <v>6303.7</v>
      </c>
      <c r="AM383" s="6">
        <f>SUM(AI383:AL383)/Variables!$E$3</f>
        <v>6.9878067126422222E-2</v>
      </c>
      <c r="AN383" s="4">
        <v>0</v>
      </c>
      <c r="AO383" s="2">
        <v>0</v>
      </c>
      <c r="AP383" s="2">
        <v>84021.8</v>
      </c>
      <c r="AQ383" s="2">
        <v>10410.9</v>
      </c>
      <c r="AR383" s="6">
        <f>SUM(AN383:AQ383)/Variables!$E$3</f>
        <v>7.4769158900703889E-2</v>
      </c>
      <c r="AS383" s="4">
        <v>0</v>
      </c>
      <c r="AT383" s="2">
        <v>0</v>
      </c>
      <c r="AU383" s="2">
        <v>103173</v>
      </c>
      <c r="AV383" s="2">
        <v>13192.1</v>
      </c>
      <c r="AW383" s="6">
        <f>SUM(AS383:AV383)/Variables!$E$3</f>
        <v>9.2134617059517504E-2</v>
      </c>
      <c r="AX383" s="4">
        <v>0</v>
      </c>
      <c r="AY383" s="2">
        <v>0</v>
      </c>
      <c r="AZ383" s="2">
        <v>89127.5</v>
      </c>
      <c r="BA383" s="2">
        <v>11609.5</v>
      </c>
      <c r="BB383" s="6">
        <f>SUM(AX383:BA383)/Variables!$E$3</f>
        <v>7.9760726529901266E-2</v>
      </c>
      <c r="BC383" s="12">
        <f t="shared" si="86"/>
        <v>0</v>
      </c>
      <c r="BD383" s="110">
        <f t="shared" si="86"/>
        <v>0</v>
      </c>
      <c r="BE383" s="110">
        <f t="shared" si="86"/>
        <v>118334.39999999999</v>
      </c>
      <c r="BF383" s="110">
        <f t="shared" si="86"/>
        <v>9153.2000000000007</v>
      </c>
      <c r="BG383" s="6">
        <f>SUM(BC383:BF383)/Variables!$E$3</f>
        <v>0.10094110008788668</v>
      </c>
      <c r="BH383" s="4">
        <v>0</v>
      </c>
      <c r="BI383">
        <v>0</v>
      </c>
      <c r="BJ383">
        <v>88536.9</v>
      </c>
      <c r="BK383">
        <v>11391.9</v>
      </c>
      <c r="BL383" s="6">
        <f>SUM(BH383:BK383)/Variables!$E$3</f>
        <v>7.9120816475189815E-2</v>
      </c>
      <c r="BM383" s="110">
        <v>0</v>
      </c>
      <c r="BN383" s="110">
        <v>0</v>
      </c>
      <c r="BO383" s="110">
        <v>91874.5</v>
      </c>
      <c r="BP383" s="110">
        <v>11564.8</v>
      </c>
      <c r="BQ383" s="6">
        <f>SUM(BM383:BP383)/Variables!$E$3</f>
        <v>8.1900331752428765E-2</v>
      </c>
      <c r="BS383" s="4">
        <v>381</v>
      </c>
      <c r="BT383" s="125">
        <f t="shared" si="87"/>
        <v>0</v>
      </c>
      <c r="BU383" s="125">
        <f t="shared" si="74"/>
        <v>0</v>
      </c>
      <c r="BV383" s="125">
        <f t="shared" si="75"/>
        <v>0</v>
      </c>
      <c r="BW383" s="125">
        <f t="shared" si="76"/>
        <v>0</v>
      </c>
      <c r="BX383" s="125">
        <f t="shared" si="77"/>
        <v>0</v>
      </c>
      <c r="BY383" s="125">
        <f t="shared" si="78"/>
        <v>0</v>
      </c>
      <c r="BZ383" s="125">
        <f t="shared" si="79"/>
        <v>0</v>
      </c>
      <c r="CA383" s="125">
        <f t="shared" si="80"/>
        <v>0</v>
      </c>
      <c r="CB383" s="125">
        <f t="shared" si="81"/>
        <v>0</v>
      </c>
      <c r="CC383" s="125">
        <f t="shared" si="82"/>
        <v>0</v>
      </c>
      <c r="CD383" s="125">
        <f t="shared" si="83"/>
        <v>0</v>
      </c>
      <c r="CE383" s="125">
        <f t="shared" si="84"/>
        <v>0</v>
      </c>
      <c r="CF383" s="126">
        <f t="shared" si="85"/>
        <v>0</v>
      </c>
      <c r="CH383" s="4">
        <v>381</v>
      </c>
      <c r="CI383" s="129">
        <v>0</v>
      </c>
      <c r="CJ383" s="125">
        <v>0</v>
      </c>
      <c r="CK383" s="125">
        <v>0</v>
      </c>
      <c r="CL383" s="125">
        <v>0</v>
      </c>
      <c r="CM383" s="125">
        <v>0</v>
      </c>
      <c r="CN383" s="125">
        <v>0</v>
      </c>
      <c r="CO383" s="125">
        <v>0</v>
      </c>
      <c r="CP383" s="125">
        <v>0</v>
      </c>
      <c r="CQ383" s="125">
        <v>0</v>
      </c>
      <c r="CR383" s="125">
        <v>0</v>
      </c>
      <c r="CS383" s="125">
        <v>0</v>
      </c>
      <c r="CT383" s="125">
        <v>0</v>
      </c>
      <c r="CU383" s="126">
        <v>0</v>
      </c>
    </row>
    <row r="384" spans="1:99" x14ac:dyDescent="0.25">
      <c r="A384" t="s">
        <v>279</v>
      </c>
      <c r="B384" s="2" t="s">
        <v>1</v>
      </c>
      <c r="C384" s="1">
        <v>36403</v>
      </c>
      <c r="D384" s="19">
        <v>66.5625</v>
      </c>
      <c r="E384" s="18">
        <v>0</v>
      </c>
      <c r="F384" s="19">
        <v>0</v>
      </c>
      <c r="G384" s="19">
        <v>0</v>
      </c>
      <c r="H384" s="19">
        <v>0</v>
      </c>
      <c r="I384" s="19">
        <f>SUM(E384:H384)/Variables!$E$3</f>
        <v>0</v>
      </c>
      <c r="J384" s="4">
        <v>0</v>
      </c>
      <c r="K384">
        <v>0</v>
      </c>
      <c r="L384">
        <v>0</v>
      </c>
      <c r="M384">
        <v>0</v>
      </c>
      <c r="N384" s="6">
        <f>SUM(J384:M384)/Variables!$E$3</f>
        <v>0</v>
      </c>
      <c r="O384" s="4">
        <v>0</v>
      </c>
      <c r="P384">
        <v>0</v>
      </c>
      <c r="Q384">
        <v>0</v>
      </c>
      <c r="R384">
        <v>0</v>
      </c>
      <c r="S384" s="6">
        <f>SUM(O384:R384)/Variables!$E$3</f>
        <v>0</v>
      </c>
      <c r="T384" s="4">
        <v>0</v>
      </c>
      <c r="U384">
        <v>0</v>
      </c>
      <c r="V384">
        <v>0</v>
      </c>
      <c r="W384">
        <v>0</v>
      </c>
      <c r="X384" s="6">
        <f>SUM(T384:W384)/Variables!$E$3</f>
        <v>0</v>
      </c>
      <c r="Y384" s="4">
        <v>0</v>
      </c>
      <c r="Z384">
        <v>0</v>
      </c>
      <c r="AA384">
        <v>0</v>
      </c>
      <c r="AB384">
        <v>0</v>
      </c>
      <c r="AC384" s="6">
        <f>SUM(Y384:AB384)/Variables!$E$3</f>
        <v>0</v>
      </c>
      <c r="AD384" s="4">
        <v>0</v>
      </c>
      <c r="AE384" s="2">
        <v>0</v>
      </c>
      <c r="AF384" s="2">
        <v>0</v>
      </c>
      <c r="AG384" s="2">
        <v>0</v>
      </c>
      <c r="AH384" s="6">
        <f>SUM(AD384:AG384)/Variables!$E$3</f>
        <v>0</v>
      </c>
      <c r="AI384" s="4">
        <v>0</v>
      </c>
      <c r="AJ384" s="2">
        <v>0</v>
      </c>
      <c r="AK384" s="2">
        <v>0</v>
      </c>
      <c r="AL384" s="2">
        <v>0</v>
      </c>
      <c r="AM384" s="6">
        <f>SUM(AI384:AL384)/Variables!$E$3</f>
        <v>0</v>
      </c>
      <c r="AN384" s="4">
        <v>0</v>
      </c>
      <c r="AO384" s="2">
        <v>0</v>
      </c>
      <c r="AP384" s="2">
        <v>0</v>
      </c>
      <c r="AQ384" s="2">
        <v>0</v>
      </c>
      <c r="AR384" s="6">
        <f>SUM(AN384:AQ384)/Variables!$E$3</f>
        <v>0</v>
      </c>
      <c r="AS384" s="4">
        <v>0</v>
      </c>
      <c r="AT384" s="2">
        <v>0</v>
      </c>
      <c r="AU384" s="2">
        <v>0</v>
      </c>
      <c r="AV384" s="2">
        <v>0</v>
      </c>
      <c r="AW384" s="6">
        <f>SUM(AS384:AV384)/Variables!$E$3</f>
        <v>0</v>
      </c>
      <c r="AX384" s="4">
        <v>0</v>
      </c>
      <c r="AY384" s="2">
        <v>0</v>
      </c>
      <c r="AZ384" s="2">
        <v>0</v>
      </c>
      <c r="BA384" s="2">
        <v>0</v>
      </c>
      <c r="BB384" s="6">
        <f>SUM(AX384:BA384)/Variables!$E$3</f>
        <v>0</v>
      </c>
      <c r="BC384" s="12">
        <f t="shared" si="86"/>
        <v>0</v>
      </c>
      <c r="BD384" s="110">
        <f t="shared" si="86"/>
        <v>0</v>
      </c>
      <c r="BE384" s="110">
        <f t="shared" si="86"/>
        <v>0</v>
      </c>
      <c r="BF384" s="110">
        <f t="shared" si="86"/>
        <v>0</v>
      </c>
      <c r="BG384" s="6">
        <f>SUM(BC384:BF384)/Variables!$E$3</f>
        <v>0</v>
      </c>
      <c r="BH384" s="4">
        <v>0</v>
      </c>
      <c r="BI384">
        <v>0</v>
      </c>
      <c r="BJ384">
        <v>0</v>
      </c>
      <c r="BK384">
        <v>0</v>
      </c>
      <c r="BL384" s="6">
        <f>SUM(BH384:BK384)/Variables!$E$3</f>
        <v>0</v>
      </c>
      <c r="BM384" s="110">
        <v>0</v>
      </c>
      <c r="BN384" s="110">
        <v>0</v>
      </c>
      <c r="BO384" s="110">
        <v>0</v>
      </c>
      <c r="BP384" s="110">
        <v>0</v>
      </c>
      <c r="BQ384" s="6">
        <f>SUM(BM384:BP384)/Variables!$E$3</f>
        <v>0</v>
      </c>
      <c r="BS384" s="4">
        <v>382</v>
      </c>
      <c r="BT384" s="125">
        <f t="shared" si="87"/>
        <v>0</v>
      </c>
      <c r="BU384" s="125">
        <f t="shared" si="74"/>
        <v>1.3555135036698628E-3</v>
      </c>
      <c r="BV384" s="125">
        <f t="shared" si="75"/>
        <v>0</v>
      </c>
      <c r="BW384" s="125">
        <f t="shared" si="76"/>
        <v>0</v>
      </c>
      <c r="BX384" s="125">
        <f t="shared" si="77"/>
        <v>0</v>
      </c>
      <c r="BY384" s="125">
        <f t="shared" si="78"/>
        <v>0</v>
      </c>
      <c r="BZ384" s="125">
        <f t="shared" si="79"/>
        <v>0</v>
      </c>
      <c r="CA384" s="125">
        <f t="shared" si="80"/>
        <v>0</v>
      </c>
      <c r="CB384" s="125">
        <f t="shared" si="81"/>
        <v>0</v>
      </c>
      <c r="CC384" s="125">
        <f t="shared" si="82"/>
        <v>0</v>
      </c>
      <c r="CD384" s="125">
        <f t="shared" si="83"/>
        <v>0</v>
      </c>
      <c r="CE384" s="125">
        <f t="shared" si="84"/>
        <v>0</v>
      </c>
      <c r="CF384" s="126">
        <f t="shared" si="85"/>
        <v>0</v>
      </c>
      <c r="CH384" s="4">
        <v>382</v>
      </c>
      <c r="CI384" s="129">
        <v>0</v>
      </c>
      <c r="CJ384" s="125">
        <v>0</v>
      </c>
      <c r="CK384" s="125">
        <v>0</v>
      </c>
      <c r="CL384" s="125">
        <v>0</v>
      </c>
      <c r="CM384" s="125">
        <v>0</v>
      </c>
      <c r="CN384" s="125">
        <v>0</v>
      </c>
      <c r="CO384" s="125">
        <v>0</v>
      </c>
      <c r="CP384" s="125">
        <v>0</v>
      </c>
      <c r="CQ384" s="125">
        <v>0</v>
      </c>
      <c r="CR384" s="125">
        <v>0</v>
      </c>
      <c r="CS384" s="125">
        <v>0</v>
      </c>
      <c r="CT384" s="125">
        <v>0</v>
      </c>
      <c r="CU384" s="126">
        <v>0</v>
      </c>
    </row>
    <row r="385" spans="1:99" x14ac:dyDescent="0.25">
      <c r="A385" t="s">
        <v>279</v>
      </c>
      <c r="B385" s="2" t="s">
        <v>2</v>
      </c>
      <c r="C385" s="1">
        <v>36494</v>
      </c>
      <c r="D385" s="19">
        <v>144.24107142857099</v>
      </c>
      <c r="E385" s="18">
        <v>0</v>
      </c>
      <c r="F385" s="19">
        <v>0</v>
      </c>
      <c r="G385" s="19">
        <v>0</v>
      </c>
      <c r="H385" s="19">
        <v>0</v>
      </c>
      <c r="I385" s="19">
        <f>SUM(E385:H385)/Variables!$E$3</f>
        <v>0</v>
      </c>
      <c r="J385" s="4">
        <v>0</v>
      </c>
      <c r="K385">
        <v>0</v>
      </c>
      <c r="L385">
        <v>1712</v>
      </c>
      <c r="M385">
        <v>0</v>
      </c>
      <c r="N385" s="6">
        <f>SUM(J385:M385)/Variables!$E$3</f>
        <v>1.3555135036698628E-3</v>
      </c>
      <c r="O385" s="4">
        <v>0</v>
      </c>
      <c r="P385">
        <v>0</v>
      </c>
      <c r="Q385">
        <v>0</v>
      </c>
      <c r="R385">
        <v>0</v>
      </c>
      <c r="S385" s="6">
        <f>SUM(O385:R385)/Variables!$E$3</f>
        <v>0</v>
      </c>
      <c r="T385" s="4">
        <v>0</v>
      </c>
      <c r="U385">
        <v>0</v>
      </c>
      <c r="V385">
        <v>0</v>
      </c>
      <c r="W385">
        <v>0</v>
      </c>
      <c r="X385" s="6">
        <f>SUM(T385:W385)/Variables!$E$3</f>
        <v>0</v>
      </c>
      <c r="Y385" s="4">
        <v>0</v>
      </c>
      <c r="Z385">
        <v>0</v>
      </c>
      <c r="AA385">
        <v>0</v>
      </c>
      <c r="AB385">
        <v>0</v>
      </c>
      <c r="AC385" s="6">
        <f>SUM(Y385:AB385)/Variables!$E$3</f>
        <v>0</v>
      </c>
      <c r="AD385" s="4">
        <v>0</v>
      </c>
      <c r="AE385" s="2">
        <v>0</v>
      </c>
      <c r="AF385" s="2">
        <v>0</v>
      </c>
      <c r="AG385" s="2">
        <v>0</v>
      </c>
      <c r="AH385" s="6">
        <f>SUM(AD385:AG385)/Variables!$E$3</f>
        <v>0</v>
      </c>
      <c r="AI385" s="4">
        <v>0</v>
      </c>
      <c r="AJ385" s="2">
        <v>0</v>
      </c>
      <c r="AK385" s="2">
        <v>0</v>
      </c>
      <c r="AL385" s="2">
        <v>0</v>
      </c>
      <c r="AM385" s="6">
        <f>SUM(AI385:AL385)/Variables!$E$3</f>
        <v>0</v>
      </c>
      <c r="AN385" s="4">
        <v>0</v>
      </c>
      <c r="AO385" s="2">
        <v>0</v>
      </c>
      <c r="AP385" s="2">
        <v>0</v>
      </c>
      <c r="AQ385" s="2">
        <v>0</v>
      </c>
      <c r="AR385" s="6">
        <f>SUM(AN385:AQ385)/Variables!$E$3</f>
        <v>0</v>
      </c>
      <c r="AS385" s="4">
        <v>0</v>
      </c>
      <c r="AT385" s="2">
        <v>0</v>
      </c>
      <c r="AU385" s="2">
        <v>0</v>
      </c>
      <c r="AV385" s="2">
        <v>0</v>
      </c>
      <c r="AW385" s="6">
        <f>SUM(AS385:AV385)/Variables!$E$3</f>
        <v>0</v>
      </c>
      <c r="AX385" s="4">
        <v>0</v>
      </c>
      <c r="AY385" s="2">
        <v>0</v>
      </c>
      <c r="AZ385" s="2">
        <v>0</v>
      </c>
      <c r="BA385" s="2">
        <v>0</v>
      </c>
      <c r="BB385" s="6">
        <f>SUM(AX385:BA385)/Variables!$E$3</f>
        <v>0</v>
      </c>
      <c r="BC385" s="12">
        <f t="shared" si="86"/>
        <v>0</v>
      </c>
      <c r="BD385" s="110">
        <f t="shared" si="86"/>
        <v>0</v>
      </c>
      <c r="BE385" s="110">
        <f t="shared" si="86"/>
        <v>0</v>
      </c>
      <c r="BF385" s="110">
        <f t="shared" si="86"/>
        <v>0</v>
      </c>
      <c r="BG385" s="6">
        <f>SUM(BC385:BF385)/Variables!$E$3</f>
        <v>0</v>
      </c>
      <c r="BH385" s="4">
        <v>0</v>
      </c>
      <c r="BI385">
        <v>0</v>
      </c>
      <c r="BJ385">
        <v>0</v>
      </c>
      <c r="BK385">
        <v>0</v>
      </c>
      <c r="BL385" s="6">
        <f>SUM(BH385:BK385)/Variables!$E$3</f>
        <v>0</v>
      </c>
      <c r="BM385" s="110">
        <v>0</v>
      </c>
      <c r="BN385" s="110">
        <v>0</v>
      </c>
      <c r="BO385" s="110">
        <v>0</v>
      </c>
      <c r="BP385" s="110">
        <v>0</v>
      </c>
      <c r="BQ385" s="6">
        <f>SUM(BM385:BP385)/Variables!$E$3</f>
        <v>0</v>
      </c>
      <c r="BS385" s="4">
        <v>383</v>
      </c>
      <c r="BT385" s="125">
        <f t="shared" si="87"/>
        <v>0</v>
      </c>
      <c r="BU385" s="125">
        <f t="shared" si="74"/>
        <v>2.421713552759721E-2</v>
      </c>
      <c r="BV385" s="125">
        <f t="shared" si="75"/>
        <v>0</v>
      </c>
      <c r="BW385" s="125">
        <f t="shared" si="76"/>
        <v>0</v>
      </c>
      <c r="BX385" s="125">
        <f t="shared" si="77"/>
        <v>0</v>
      </c>
      <c r="BY385" s="125">
        <f t="shared" si="78"/>
        <v>0</v>
      </c>
      <c r="BZ385" s="125">
        <f t="shared" si="79"/>
        <v>0</v>
      </c>
      <c r="CA385" s="125">
        <f t="shared" si="80"/>
        <v>0</v>
      </c>
      <c r="CB385" s="125">
        <f t="shared" si="81"/>
        <v>0</v>
      </c>
      <c r="CC385" s="125">
        <f t="shared" si="82"/>
        <v>0</v>
      </c>
      <c r="CD385" s="125">
        <f t="shared" si="83"/>
        <v>0</v>
      </c>
      <c r="CE385" s="125">
        <f t="shared" si="84"/>
        <v>0</v>
      </c>
      <c r="CF385" s="126">
        <f t="shared" si="85"/>
        <v>0</v>
      </c>
      <c r="CH385" s="4">
        <v>383</v>
      </c>
      <c r="CI385" s="129">
        <v>0</v>
      </c>
      <c r="CJ385" s="125">
        <v>0</v>
      </c>
      <c r="CK385" s="125">
        <v>0</v>
      </c>
      <c r="CL385" s="125">
        <v>0</v>
      </c>
      <c r="CM385" s="125">
        <v>0</v>
      </c>
      <c r="CN385" s="125">
        <v>0</v>
      </c>
      <c r="CO385" s="125">
        <v>0</v>
      </c>
      <c r="CP385" s="125">
        <v>0</v>
      </c>
      <c r="CQ385" s="125">
        <v>0</v>
      </c>
      <c r="CR385" s="125">
        <v>0</v>
      </c>
      <c r="CS385" s="125">
        <v>0</v>
      </c>
      <c r="CT385" s="125">
        <v>0</v>
      </c>
      <c r="CU385" s="126">
        <v>0</v>
      </c>
    </row>
    <row r="386" spans="1:99" x14ac:dyDescent="0.25">
      <c r="A386" t="s">
        <v>280</v>
      </c>
      <c r="B386" s="2" t="s">
        <v>3</v>
      </c>
      <c r="C386" s="1">
        <v>36584</v>
      </c>
      <c r="D386" s="19">
        <v>177.23988095238099</v>
      </c>
      <c r="E386" s="18">
        <v>0</v>
      </c>
      <c r="F386" s="19">
        <v>0</v>
      </c>
      <c r="G386" s="19">
        <v>0</v>
      </c>
      <c r="H386" s="19">
        <v>0</v>
      </c>
      <c r="I386" s="19">
        <f>SUM(E386:H386)/Variables!$E$3</f>
        <v>0</v>
      </c>
      <c r="J386" s="4">
        <v>0</v>
      </c>
      <c r="K386">
        <v>0</v>
      </c>
      <c r="L386">
        <v>30586</v>
      </c>
      <c r="M386">
        <v>0</v>
      </c>
      <c r="N386" s="6">
        <f>SUM(J386:M386)/Variables!$E$3</f>
        <v>2.421713552759721E-2</v>
      </c>
      <c r="O386" s="4">
        <v>0</v>
      </c>
      <c r="P386">
        <v>0</v>
      </c>
      <c r="Q386">
        <v>0</v>
      </c>
      <c r="R386">
        <v>0</v>
      </c>
      <c r="S386" s="6">
        <f>SUM(O386:R386)/Variables!$E$3</f>
        <v>0</v>
      </c>
      <c r="T386" s="4">
        <v>0</v>
      </c>
      <c r="U386">
        <v>0</v>
      </c>
      <c r="V386">
        <v>0</v>
      </c>
      <c r="W386">
        <v>0</v>
      </c>
      <c r="X386" s="6">
        <f>SUM(T386:W386)/Variables!$E$3</f>
        <v>0</v>
      </c>
      <c r="Y386" s="4">
        <v>0</v>
      </c>
      <c r="Z386">
        <v>0</v>
      </c>
      <c r="AA386">
        <v>0</v>
      </c>
      <c r="AB386">
        <v>0</v>
      </c>
      <c r="AC386" s="6">
        <f>SUM(Y386:AB386)/Variables!$E$3</f>
        <v>0</v>
      </c>
      <c r="AD386" s="4">
        <v>0</v>
      </c>
      <c r="AE386" s="2">
        <v>0</v>
      </c>
      <c r="AF386" s="2">
        <v>0</v>
      </c>
      <c r="AG386" s="2">
        <v>0</v>
      </c>
      <c r="AH386" s="6">
        <f>SUM(AD386:AG386)/Variables!$E$3</f>
        <v>0</v>
      </c>
      <c r="AI386" s="4">
        <v>0</v>
      </c>
      <c r="AJ386" s="2">
        <v>0</v>
      </c>
      <c r="AK386" s="2">
        <v>0</v>
      </c>
      <c r="AL386" s="2">
        <v>0</v>
      </c>
      <c r="AM386" s="6">
        <f>SUM(AI386:AL386)/Variables!$E$3</f>
        <v>0</v>
      </c>
      <c r="AN386" s="4">
        <v>0</v>
      </c>
      <c r="AO386" s="2">
        <v>0</v>
      </c>
      <c r="AP386" s="2">
        <v>0</v>
      </c>
      <c r="AQ386" s="2">
        <v>0</v>
      </c>
      <c r="AR386" s="6">
        <f>SUM(AN386:AQ386)/Variables!$E$3</f>
        <v>0</v>
      </c>
      <c r="AS386" s="4">
        <v>0</v>
      </c>
      <c r="AT386" s="2">
        <v>0</v>
      </c>
      <c r="AU386" s="2">
        <v>0</v>
      </c>
      <c r="AV386" s="2">
        <v>0</v>
      </c>
      <c r="AW386" s="6">
        <f>SUM(AS386:AV386)/Variables!$E$3</f>
        <v>0</v>
      </c>
      <c r="AX386" s="4">
        <v>0</v>
      </c>
      <c r="AY386" s="2">
        <v>0</v>
      </c>
      <c r="AZ386" s="2">
        <v>0</v>
      </c>
      <c r="BA386" s="2">
        <v>0</v>
      </c>
      <c r="BB386" s="6">
        <f>SUM(AX386:BA386)/Variables!$E$3</f>
        <v>0</v>
      </c>
      <c r="BC386" s="12">
        <f t="shared" si="86"/>
        <v>0</v>
      </c>
      <c r="BD386" s="110">
        <f t="shared" si="86"/>
        <v>0</v>
      </c>
      <c r="BE386" s="110">
        <f t="shared" si="86"/>
        <v>0</v>
      </c>
      <c r="BF386" s="110">
        <f t="shared" si="86"/>
        <v>0</v>
      </c>
      <c r="BG386" s="6">
        <f>SUM(BC386:BF386)/Variables!$E$3</f>
        <v>0</v>
      </c>
      <c r="BH386" s="4">
        <v>0</v>
      </c>
      <c r="BI386">
        <v>0</v>
      </c>
      <c r="BJ386">
        <v>0</v>
      </c>
      <c r="BK386">
        <v>0</v>
      </c>
      <c r="BL386" s="6">
        <f>SUM(BH386:BK386)/Variables!$E$3</f>
        <v>0</v>
      </c>
      <c r="BM386" s="110">
        <v>0</v>
      </c>
      <c r="BN386" s="110">
        <v>0</v>
      </c>
      <c r="BO386" s="110">
        <v>0</v>
      </c>
      <c r="BP386" s="110">
        <v>0</v>
      </c>
      <c r="BQ386" s="6">
        <f>SUM(BM386:BP386)/Variables!$E$3</f>
        <v>0</v>
      </c>
      <c r="BS386" s="4">
        <v>384</v>
      </c>
      <c r="BT386" s="125">
        <f t="shared" si="87"/>
        <v>0</v>
      </c>
      <c r="BU386" s="125">
        <f t="shared" si="74"/>
        <v>9.8733956721747595E-4</v>
      </c>
      <c r="BV386" s="125">
        <f t="shared" si="75"/>
        <v>0</v>
      </c>
      <c r="BW386" s="125">
        <f t="shared" si="76"/>
        <v>0</v>
      </c>
      <c r="BX386" s="125">
        <f t="shared" si="77"/>
        <v>0</v>
      </c>
      <c r="BY386" s="125">
        <f t="shared" si="78"/>
        <v>0</v>
      </c>
      <c r="BZ386" s="125">
        <f t="shared" si="79"/>
        <v>0</v>
      </c>
      <c r="CA386" s="125">
        <f t="shared" si="80"/>
        <v>0</v>
      </c>
      <c r="CB386" s="125">
        <f t="shared" si="81"/>
        <v>0</v>
      </c>
      <c r="CC386" s="125">
        <f t="shared" si="82"/>
        <v>0</v>
      </c>
      <c r="CD386" s="125">
        <f t="shared" si="83"/>
        <v>0</v>
      </c>
      <c r="CE386" s="125">
        <f t="shared" si="84"/>
        <v>0</v>
      </c>
      <c r="CF386" s="126">
        <f t="shared" si="85"/>
        <v>0</v>
      </c>
      <c r="CH386" s="4">
        <v>384</v>
      </c>
      <c r="CI386" s="129">
        <v>0</v>
      </c>
      <c r="CJ386" s="125">
        <v>0</v>
      </c>
      <c r="CK386" s="125">
        <v>0</v>
      </c>
      <c r="CL386" s="125">
        <v>0</v>
      </c>
      <c r="CM386" s="125">
        <v>0</v>
      </c>
      <c r="CN386" s="125">
        <v>0</v>
      </c>
      <c r="CO386" s="125">
        <v>0</v>
      </c>
      <c r="CP386" s="125">
        <v>0</v>
      </c>
      <c r="CQ386" s="125">
        <v>0</v>
      </c>
      <c r="CR386" s="125">
        <v>0</v>
      </c>
      <c r="CS386" s="125">
        <v>0</v>
      </c>
      <c r="CT386" s="125">
        <v>0</v>
      </c>
      <c r="CU386" s="126">
        <v>0</v>
      </c>
    </row>
    <row r="387" spans="1:99" x14ac:dyDescent="0.25">
      <c r="A387" t="s">
        <v>280</v>
      </c>
      <c r="B387" s="2" t="s">
        <v>4</v>
      </c>
      <c r="C387" s="1">
        <v>36677</v>
      </c>
      <c r="D387" s="19">
        <v>234.517857142857</v>
      </c>
      <c r="E387" s="18">
        <v>0</v>
      </c>
      <c r="F387" s="19">
        <v>0</v>
      </c>
      <c r="G387" s="19">
        <v>0</v>
      </c>
      <c r="H387" s="19">
        <v>0</v>
      </c>
      <c r="I387" s="19">
        <f>SUM(E387:H387)/Variables!$E$3</f>
        <v>0</v>
      </c>
      <c r="J387" s="4">
        <v>0</v>
      </c>
      <c r="K387">
        <v>0</v>
      </c>
      <c r="L387">
        <v>1247</v>
      </c>
      <c r="M387">
        <v>0</v>
      </c>
      <c r="N387" s="6">
        <f>SUM(J387:M387)/Variables!$E$3</f>
        <v>9.8733956721747595E-4</v>
      </c>
      <c r="O387" s="4">
        <v>0</v>
      </c>
      <c r="P387">
        <v>0</v>
      </c>
      <c r="Q387">
        <v>0</v>
      </c>
      <c r="R387">
        <v>0</v>
      </c>
      <c r="S387" s="6">
        <f>SUM(O387:R387)/Variables!$E$3</f>
        <v>0</v>
      </c>
      <c r="T387" s="4">
        <v>0</v>
      </c>
      <c r="U387">
        <v>0</v>
      </c>
      <c r="V387">
        <v>0</v>
      </c>
      <c r="W387">
        <v>0</v>
      </c>
      <c r="X387" s="6">
        <f>SUM(T387:W387)/Variables!$E$3</f>
        <v>0</v>
      </c>
      <c r="Y387" s="4">
        <v>0</v>
      </c>
      <c r="Z387">
        <v>0</v>
      </c>
      <c r="AA387">
        <v>0</v>
      </c>
      <c r="AB387">
        <v>0</v>
      </c>
      <c r="AC387" s="6">
        <f>SUM(Y387:AB387)/Variables!$E$3</f>
        <v>0</v>
      </c>
      <c r="AD387" s="4">
        <v>0</v>
      </c>
      <c r="AE387" s="2">
        <v>0</v>
      </c>
      <c r="AF387" s="2">
        <v>0</v>
      </c>
      <c r="AG387" s="2">
        <v>0</v>
      </c>
      <c r="AH387" s="6">
        <f>SUM(AD387:AG387)/Variables!$E$3</f>
        <v>0</v>
      </c>
      <c r="AI387" s="4">
        <v>0</v>
      </c>
      <c r="AJ387" s="2">
        <v>0</v>
      </c>
      <c r="AK387" s="2">
        <v>0</v>
      </c>
      <c r="AL387" s="2">
        <v>0</v>
      </c>
      <c r="AM387" s="6">
        <f>SUM(AI387:AL387)/Variables!$E$3</f>
        <v>0</v>
      </c>
      <c r="AN387" s="4">
        <v>0</v>
      </c>
      <c r="AO387" s="2">
        <v>0</v>
      </c>
      <c r="AP387" s="2">
        <v>0</v>
      </c>
      <c r="AQ387" s="2">
        <v>0</v>
      </c>
      <c r="AR387" s="6">
        <f>SUM(AN387:AQ387)/Variables!$E$3</f>
        <v>0</v>
      </c>
      <c r="AS387" s="4">
        <v>0</v>
      </c>
      <c r="AT387" s="2">
        <v>0</v>
      </c>
      <c r="AU387" s="2">
        <v>0</v>
      </c>
      <c r="AV387" s="2">
        <v>0</v>
      </c>
      <c r="AW387" s="6">
        <f>SUM(AS387:AV387)/Variables!$E$3</f>
        <v>0</v>
      </c>
      <c r="AX387" s="4">
        <v>0</v>
      </c>
      <c r="AY387" s="2">
        <v>0</v>
      </c>
      <c r="AZ387" s="2">
        <v>0</v>
      </c>
      <c r="BA387" s="2">
        <v>0</v>
      </c>
      <c r="BB387" s="6">
        <f>SUM(AX387:BA387)/Variables!$E$3</f>
        <v>0</v>
      </c>
      <c r="BC387" s="12">
        <f t="shared" si="86"/>
        <v>0</v>
      </c>
      <c r="BD387" s="110">
        <f t="shared" si="86"/>
        <v>0</v>
      </c>
      <c r="BE387" s="110">
        <f t="shared" si="86"/>
        <v>0</v>
      </c>
      <c r="BF387" s="110">
        <f t="shared" si="86"/>
        <v>0</v>
      </c>
      <c r="BG387" s="6">
        <f>SUM(BC387:BF387)/Variables!$E$3</f>
        <v>0</v>
      </c>
      <c r="BH387" s="4">
        <v>0</v>
      </c>
      <c r="BI387">
        <v>0</v>
      </c>
      <c r="BJ387">
        <v>0</v>
      </c>
      <c r="BK387">
        <v>0</v>
      </c>
      <c r="BL387" s="6">
        <f>SUM(BH387:BK387)/Variables!$E$3</f>
        <v>0</v>
      </c>
      <c r="BM387" s="110">
        <v>0</v>
      </c>
      <c r="BN387" s="110">
        <v>0</v>
      </c>
      <c r="BO387" s="110">
        <v>0</v>
      </c>
      <c r="BP387" s="110">
        <v>0</v>
      </c>
      <c r="BQ387" s="6">
        <f>SUM(BM387:BP387)/Variables!$E$3</f>
        <v>0</v>
      </c>
      <c r="BS387" s="4">
        <v>385</v>
      </c>
      <c r="BT387" s="125">
        <f t="shared" si="87"/>
        <v>0</v>
      </c>
      <c r="BU387" s="125">
        <f t="shared" ref="BU387:BU423" si="88">N388</f>
        <v>0</v>
      </c>
      <c r="BV387" s="125">
        <f t="shared" ref="BV387:BV423" si="89">S388</f>
        <v>0</v>
      </c>
      <c r="BW387" s="125">
        <f t="shared" ref="BW387:BW423" si="90">X388</f>
        <v>0</v>
      </c>
      <c r="BX387" s="125">
        <f t="shared" ref="BX387:BX423" si="91">AC388</f>
        <v>0</v>
      </c>
      <c r="BY387" s="125">
        <f t="shared" ref="BY387:BY423" si="92">AH388</f>
        <v>0</v>
      </c>
      <c r="BZ387" s="125">
        <f t="shared" ref="BZ387:BZ423" si="93">AM388</f>
        <v>0</v>
      </c>
      <c r="CA387" s="125">
        <f t="shared" ref="CA387:CA423" si="94">AR388</f>
        <v>0</v>
      </c>
      <c r="CB387" s="125">
        <f t="shared" ref="CB387:CB423" si="95">AW388</f>
        <v>0</v>
      </c>
      <c r="CC387" s="125">
        <f t="shared" ref="CC387:CC423" si="96">BB388</f>
        <v>0</v>
      </c>
      <c r="CD387" s="125">
        <f t="shared" ref="CD387:CD423" si="97">BG388</f>
        <v>0</v>
      </c>
      <c r="CE387" s="125">
        <f t="shared" si="84"/>
        <v>0</v>
      </c>
      <c r="CF387" s="126">
        <f t="shared" si="85"/>
        <v>0</v>
      </c>
      <c r="CH387" s="4">
        <v>385</v>
      </c>
      <c r="CI387" s="129">
        <v>0</v>
      </c>
      <c r="CJ387" s="125">
        <v>0</v>
      </c>
      <c r="CK387" s="125">
        <v>0</v>
      </c>
      <c r="CL387" s="125">
        <v>0</v>
      </c>
      <c r="CM387" s="125">
        <v>0</v>
      </c>
      <c r="CN387" s="125">
        <v>0</v>
      </c>
      <c r="CO387" s="125">
        <v>0</v>
      </c>
      <c r="CP387" s="125">
        <v>0</v>
      </c>
      <c r="CQ387" s="125">
        <v>0</v>
      </c>
      <c r="CR387" s="125">
        <v>0</v>
      </c>
      <c r="CS387" s="125">
        <v>0</v>
      </c>
      <c r="CT387" s="125">
        <v>0</v>
      </c>
      <c r="CU387" s="126">
        <v>0</v>
      </c>
    </row>
    <row r="388" spans="1:99" x14ac:dyDescent="0.25">
      <c r="A388" t="s">
        <v>280</v>
      </c>
      <c r="B388" s="2" t="s">
        <v>1</v>
      </c>
      <c r="C388" s="1">
        <v>36769</v>
      </c>
      <c r="D388" s="19">
        <v>21.137499999999999</v>
      </c>
      <c r="E388" s="18">
        <v>0</v>
      </c>
      <c r="F388" s="19">
        <v>0</v>
      </c>
      <c r="G388" s="19">
        <v>0</v>
      </c>
      <c r="H388" s="19">
        <v>0</v>
      </c>
      <c r="I388" s="19">
        <f>SUM(E388:H388)/Variables!$E$3</f>
        <v>0</v>
      </c>
      <c r="J388" s="4">
        <v>0</v>
      </c>
      <c r="K388">
        <v>0</v>
      </c>
      <c r="L388">
        <v>0</v>
      </c>
      <c r="M388">
        <v>0</v>
      </c>
      <c r="N388" s="6">
        <f>SUM(J388:M388)/Variables!$E$3</f>
        <v>0</v>
      </c>
      <c r="O388" s="4">
        <v>0</v>
      </c>
      <c r="P388">
        <v>0</v>
      </c>
      <c r="Q388">
        <v>0</v>
      </c>
      <c r="R388">
        <v>0</v>
      </c>
      <c r="S388" s="6">
        <f>SUM(O388:R388)/Variables!$E$3</f>
        <v>0</v>
      </c>
      <c r="T388" s="4">
        <v>0</v>
      </c>
      <c r="U388">
        <v>0</v>
      </c>
      <c r="V388">
        <v>0</v>
      </c>
      <c r="W388">
        <v>0</v>
      </c>
      <c r="X388" s="6">
        <f>SUM(T388:W388)/Variables!$E$3</f>
        <v>0</v>
      </c>
      <c r="Y388" s="4">
        <v>0</v>
      </c>
      <c r="Z388">
        <v>0</v>
      </c>
      <c r="AA388">
        <v>0</v>
      </c>
      <c r="AB388">
        <v>0</v>
      </c>
      <c r="AC388" s="6">
        <f>SUM(Y388:AB388)/Variables!$E$3</f>
        <v>0</v>
      </c>
      <c r="AD388" s="4">
        <v>0</v>
      </c>
      <c r="AE388" s="2">
        <v>0</v>
      </c>
      <c r="AF388" s="2">
        <v>0</v>
      </c>
      <c r="AG388" s="2">
        <v>0</v>
      </c>
      <c r="AH388" s="6">
        <f>SUM(AD388:AG388)/Variables!$E$3</f>
        <v>0</v>
      </c>
      <c r="AI388" s="4">
        <v>0</v>
      </c>
      <c r="AJ388" s="2">
        <v>0</v>
      </c>
      <c r="AK388" s="2">
        <v>0</v>
      </c>
      <c r="AL388" s="2">
        <v>0</v>
      </c>
      <c r="AM388" s="6">
        <f>SUM(AI388:AL388)/Variables!$E$3</f>
        <v>0</v>
      </c>
      <c r="AN388" s="4">
        <v>0</v>
      </c>
      <c r="AO388" s="2">
        <v>0</v>
      </c>
      <c r="AP388" s="2">
        <v>0</v>
      </c>
      <c r="AQ388" s="2">
        <v>0</v>
      </c>
      <c r="AR388" s="6">
        <f>SUM(AN388:AQ388)/Variables!$E$3</f>
        <v>0</v>
      </c>
      <c r="AS388" s="4">
        <v>0</v>
      </c>
      <c r="AT388" s="2">
        <v>0</v>
      </c>
      <c r="AU388" s="2">
        <v>0</v>
      </c>
      <c r="AV388" s="2">
        <v>0</v>
      </c>
      <c r="AW388" s="6">
        <f>SUM(AS388:AV388)/Variables!$E$3</f>
        <v>0</v>
      </c>
      <c r="AX388" s="4">
        <v>0</v>
      </c>
      <c r="AY388" s="2">
        <v>0</v>
      </c>
      <c r="AZ388" s="2">
        <v>0</v>
      </c>
      <c r="BA388" s="2">
        <v>0</v>
      </c>
      <c r="BB388" s="6">
        <f>SUM(AX388:BA388)/Variables!$E$3</f>
        <v>0</v>
      </c>
      <c r="BC388" s="12">
        <f t="shared" si="86"/>
        <v>0</v>
      </c>
      <c r="BD388" s="110">
        <f t="shared" si="86"/>
        <v>0</v>
      </c>
      <c r="BE388" s="110">
        <f t="shared" si="86"/>
        <v>0</v>
      </c>
      <c r="BF388" s="110">
        <f t="shared" ref="BF388:BF424" si="98">AB388</f>
        <v>0</v>
      </c>
      <c r="BG388" s="6">
        <f>SUM(BC388:BF388)/Variables!$E$3</f>
        <v>0</v>
      </c>
      <c r="BH388" s="4">
        <v>0</v>
      </c>
      <c r="BI388">
        <v>0</v>
      </c>
      <c r="BJ388">
        <v>0</v>
      </c>
      <c r="BK388">
        <v>0</v>
      </c>
      <c r="BL388" s="6">
        <f>SUM(BH388:BK388)/Variables!$E$3</f>
        <v>0</v>
      </c>
      <c r="BM388" s="110">
        <v>0</v>
      </c>
      <c r="BN388" s="110">
        <v>0</v>
      </c>
      <c r="BO388" s="110">
        <v>0</v>
      </c>
      <c r="BP388" s="110">
        <v>0</v>
      </c>
      <c r="BQ388" s="6">
        <f>SUM(BM388:BP388)/Variables!$E$3</f>
        <v>0</v>
      </c>
      <c r="BS388" s="4">
        <v>386</v>
      </c>
      <c r="BT388" s="125">
        <f t="shared" si="87"/>
        <v>0</v>
      </c>
      <c r="BU388" s="125">
        <f t="shared" si="88"/>
        <v>1.0424468918993816E-2</v>
      </c>
      <c r="BV388" s="125">
        <f t="shared" si="89"/>
        <v>0</v>
      </c>
      <c r="BW388" s="125">
        <f t="shared" si="90"/>
        <v>8.817963721011251E-4</v>
      </c>
      <c r="BX388" s="125">
        <f t="shared" si="91"/>
        <v>7.194831312995353E-4</v>
      </c>
      <c r="BY388" s="125">
        <f t="shared" si="92"/>
        <v>0</v>
      </c>
      <c r="BZ388" s="125">
        <f t="shared" si="93"/>
        <v>0</v>
      </c>
      <c r="CA388" s="125">
        <f t="shared" si="94"/>
        <v>0</v>
      </c>
      <c r="CB388" s="125">
        <f t="shared" si="95"/>
        <v>9.3888312654890379E-4</v>
      </c>
      <c r="CC388" s="125">
        <f t="shared" si="96"/>
        <v>1.5890862160428823E-4</v>
      </c>
      <c r="CD388" s="125">
        <f t="shared" si="97"/>
        <v>7.194831312995353E-4</v>
      </c>
      <c r="CE388" s="125">
        <f t="shared" ref="CE388:CE423" si="99">BL389</f>
        <v>3.1908407825873685E-5</v>
      </c>
      <c r="CF388" s="126">
        <f t="shared" ref="CF388:CF423" si="100">BQ389</f>
        <v>1.4481508167127214E-4</v>
      </c>
      <c r="CH388" s="4">
        <v>386</v>
      </c>
      <c r="CI388" s="129">
        <v>0</v>
      </c>
      <c r="CJ388" s="125">
        <v>0</v>
      </c>
      <c r="CK388" s="125">
        <v>0</v>
      </c>
      <c r="CL388" s="125">
        <v>0</v>
      </c>
      <c r="CM388" s="125">
        <v>0</v>
      </c>
      <c r="CN388" s="125">
        <v>0</v>
      </c>
      <c r="CO388" s="125">
        <v>0</v>
      </c>
      <c r="CP388" s="125">
        <v>0</v>
      </c>
      <c r="CQ388" s="125">
        <v>0</v>
      </c>
      <c r="CR388" s="125">
        <v>0</v>
      </c>
      <c r="CS388" s="125">
        <v>0</v>
      </c>
      <c r="CT388" s="125">
        <v>0</v>
      </c>
      <c r="CU388" s="126">
        <v>0</v>
      </c>
    </row>
    <row r="389" spans="1:99" x14ac:dyDescent="0.25">
      <c r="A389" t="s">
        <v>280</v>
      </c>
      <c r="B389" s="2" t="s">
        <v>2</v>
      </c>
      <c r="C389" s="1">
        <v>36860</v>
      </c>
      <c r="D389" s="19">
        <v>186.582142857143</v>
      </c>
      <c r="E389" s="18">
        <v>0</v>
      </c>
      <c r="F389" s="19">
        <v>0</v>
      </c>
      <c r="G389" s="19">
        <v>0</v>
      </c>
      <c r="H389" s="19">
        <v>0</v>
      </c>
      <c r="I389" s="19">
        <f>SUM(E389:H389)/Variables!$E$3</f>
        <v>0</v>
      </c>
      <c r="J389" s="4">
        <v>0</v>
      </c>
      <c r="K389">
        <v>0</v>
      </c>
      <c r="L389">
        <v>13166</v>
      </c>
      <c r="M389">
        <v>0</v>
      </c>
      <c r="N389" s="6">
        <f>SUM(J389:M389)/Variables!$E$3</f>
        <v>1.0424468918993816E-2</v>
      </c>
      <c r="O389" s="4">
        <v>0</v>
      </c>
      <c r="P389">
        <v>0</v>
      </c>
      <c r="Q389">
        <v>0</v>
      </c>
      <c r="R389">
        <v>0</v>
      </c>
      <c r="S389" s="6">
        <f>SUM(O389:R389)/Variables!$E$3</f>
        <v>0</v>
      </c>
      <c r="T389" s="4">
        <v>0</v>
      </c>
      <c r="U389">
        <v>0</v>
      </c>
      <c r="V389">
        <v>1113.7</v>
      </c>
      <c r="W389">
        <v>0</v>
      </c>
      <c r="X389" s="6">
        <f>SUM(T389:W389)/Variables!$E$3</f>
        <v>8.817963721011251E-4</v>
      </c>
      <c r="Y389" s="4">
        <v>0</v>
      </c>
      <c r="Z389">
        <v>0</v>
      </c>
      <c r="AA389">
        <v>908.7</v>
      </c>
      <c r="AB389">
        <v>0</v>
      </c>
      <c r="AC389" s="6">
        <f>SUM(Y389:AB389)/Variables!$E$3</f>
        <v>7.194831312995353E-4</v>
      </c>
      <c r="AD389" s="4">
        <v>0</v>
      </c>
      <c r="AE389" s="2">
        <v>0</v>
      </c>
      <c r="AF389" s="2">
        <v>0</v>
      </c>
      <c r="AG389" s="2">
        <v>0</v>
      </c>
      <c r="AH389" s="6">
        <f>SUM(AD389:AG389)/Variables!$E$3</f>
        <v>0</v>
      </c>
      <c r="AI389" s="4">
        <v>0</v>
      </c>
      <c r="AJ389" s="2">
        <v>0</v>
      </c>
      <c r="AK389" s="2">
        <v>0</v>
      </c>
      <c r="AL389" s="2">
        <v>0</v>
      </c>
      <c r="AM389" s="6">
        <f>SUM(AI389:AL389)/Variables!$E$3</f>
        <v>0</v>
      </c>
      <c r="AN389" s="4">
        <v>0</v>
      </c>
      <c r="AO389" s="2">
        <v>0</v>
      </c>
      <c r="AP389" s="2">
        <v>0</v>
      </c>
      <c r="AQ389" s="2">
        <v>0</v>
      </c>
      <c r="AR389" s="6">
        <f>SUM(AN389:AQ389)/Variables!$E$3</f>
        <v>0</v>
      </c>
      <c r="AS389" s="4">
        <v>0</v>
      </c>
      <c r="AT389" s="2">
        <v>0</v>
      </c>
      <c r="AU389" s="2">
        <v>1185.8</v>
      </c>
      <c r="AV389" s="2">
        <v>0</v>
      </c>
      <c r="AW389" s="6">
        <f>SUM(AS389:AV389)/Variables!$E$3</f>
        <v>9.3888312654890379E-4</v>
      </c>
      <c r="AX389" s="4">
        <v>0</v>
      </c>
      <c r="AY389" s="2">
        <v>0</v>
      </c>
      <c r="AZ389" s="2">
        <v>200.7</v>
      </c>
      <c r="BA389" s="2">
        <v>0</v>
      </c>
      <c r="BB389" s="6">
        <f>SUM(AX389:BA389)/Variables!$E$3</f>
        <v>1.5890862160428823E-4</v>
      </c>
      <c r="BC389" s="12">
        <f t="shared" ref="BC389:BE424" si="101">Y389</f>
        <v>0</v>
      </c>
      <c r="BD389" s="110">
        <f t="shared" si="101"/>
        <v>0</v>
      </c>
      <c r="BE389" s="110">
        <f t="shared" si="101"/>
        <v>908.7</v>
      </c>
      <c r="BF389" s="110">
        <f t="shared" si="98"/>
        <v>0</v>
      </c>
      <c r="BG389" s="6">
        <f>SUM(BC389:BF389)/Variables!$E$3</f>
        <v>7.194831312995353E-4</v>
      </c>
      <c r="BH389" s="4">
        <v>0</v>
      </c>
      <c r="BI389">
        <v>0</v>
      </c>
      <c r="BJ389">
        <v>40.300000000000203</v>
      </c>
      <c r="BK389">
        <v>0</v>
      </c>
      <c r="BL389" s="6">
        <f>SUM(BH389:BK389)/Variables!$E$3</f>
        <v>3.1908407825873685E-5</v>
      </c>
      <c r="BM389" s="110">
        <v>0</v>
      </c>
      <c r="BN389" s="110">
        <v>0</v>
      </c>
      <c r="BO389" s="110">
        <v>182.9</v>
      </c>
      <c r="BP389" s="110">
        <v>0</v>
      </c>
      <c r="BQ389" s="6">
        <f>SUM(BM389:BP389)/Variables!$E$3</f>
        <v>1.4481508167127214E-4</v>
      </c>
      <c r="BS389" s="4">
        <v>387</v>
      </c>
      <c r="BT389" s="125">
        <f t="shared" si="87"/>
        <v>0</v>
      </c>
      <c r="BU389" s="125">
        <f t="shared" si="88"/>
        <v>4.4075566710741969E-2</v>
      </c>
      <c r="BV389" s="125">
        <f t="shared" si="89"/>
        <v>0</v>
      </c>
      <c r="BW389" s="125">
        <f t="shared" si="90"/>
        <v>4.2090594541524477E-3</v>
      </c>
      <c r="BX389" s="125">
        <f t="shared" si="91"/>
        <v>3.7735057284697423E-3</v>
      </c>
      <c r="BY389" s="125">
        <f t="shared" si="92"/>
        <v>0</v>
      </c>
      <c r="BZ389" s="125">
        <f t="shared" si="93"/>
        <v>1.27950340066033E-4</v>
      </c>
      <c r="CA389" s="125">
        <f t="shared" si="94"/>
        <v>3.6358165939556129E-4</v>
      </c>
      <c r="CB389" s="125">
        <f t="shared" si="95"/>
        <v>4.1363747931495894E-3</v>
      </c>
      <c r="CC389" s="125">
        <f t="shared" si="96"/>
        <v>1.6338213287516133E-3</v>
      </c>
      <c r="CD389" s="125">
        <f t="shared" si="97"/>
        <v>3.7735057284697423E-3</v>
      </c>
      <c r="CE389" s="125">
        <f t="shared" si="99"/>
        <v>1.0166351277523971E-3</v>
      </c>
      <c r="CF389" s="126">
        <f t="shared" si="100"/>
        <v>1.5839396986516124E-3</v>
      </c>
      <c r="CH389" s="4">
        <v>387</v>
      </c>
      <c r="CI389" s="129">
        <v>0</v>
      </c>
      <c r="CJ389" s="125">
        <v>0</v>
      </c>
      <c r="CK389" s="125">
        <v>0</v>
      </c>
      <c r="CL389" s="125">
        <v>0</v>
      </c>
      <c r="CM389" s="125">
        <v>0</v>
      </c>
      <c r="CN389" s="125">
        <v>0</v>
      </c>
      <c r="CO389" s="125">
        <v>0</v>
      </c>
      <c r="CP389" s="125">
        <v>0</v>
      </c>
      <c r="CQ389" s="125">
        <v>0</v>
      </c>
      <c r="CR389" s="125">
        <v>0</v>
      </c>
      <c r="CS389" s="125">
        <v>0</v>
      </c>
      <c r="CT389" s="125">
        <v>0</v>
      </c>
      <c r="CU389" s="126">
        <v>0</v>
      </c>
    </row>
    <row r="390" spans="1:99" x14ac:dyDescent="0.25">
      <c r="A390" t="s">
        <v>281</v>
      </c>
      <c r="B390" s="2" t="s">
        <v>3</v>
      </c>
      <c r="C390" s="1">
        <v>36950</v>
      </c>
      <c r="D390" s="19">
        <v>59.728571428571399</v>
      </c>
      <c r="E390" s="18">
        <v>0</v>
      </c>
      <c r="F390" s="19">
        <v>0</v>
      </c>
      <c r="G390" s="19">
        <v>0</v>
      </c>
      <c r="H390" s="19">
        <v>0</v>
      </c>
      <c r="I390" s="19">
        <f>SUM(E390:H390)/Variables!$E$3</f>
        <v>0</v>
      </c>
      <c r="J390" s="4">
        <v>0</v>
      </c>
      <c r="K390">
        <v>0</v>
      </c>
      <c r="L390">
        <v>55667</v>
      </c>
      <c r="M390">
        <v>0</v>
      </c>
      <c r="N390" s="6">
        <f>SUM(J390:M390)/Variables!$E$3</f>
        <v>4.4075566710741969E-2</v>
      </c>
      <c r="O390" s="4">
        <v>0</v>
      </c>
      <c r="P390">
        <v>0</v>
      </c>
      <c r="Q390">
        <v>0</v>
      </c>
      <c r="R390">
        <v>0</v>
      </c>
      <c r="S390" s="6">
        <f>SUM(O390:R390)/Variables!$E$3</f>
        <v>0</v>
      </c>
      <c r="T390" s="4">
        <v>0</v>
      </c>
      <c r="U390">
        <v>0</v>
      </c>
      <c r="V390">
        <v>5316</v>
      </c>
      <c r="W390">
        <v>0</v>
      </c>
      <c r="X390" s="6">
        <f>SUM(T390:W390)/Variables!$E$3</f>
        <v>4.2090594541524477E-3</v>
      </c>
      <c r="Y390" s="4">
        <v>0</v>
      </c>
      <c r="Z390">
        <v>0</v>
      </c>
      <c r="AA390">
        <v>4765.8999999999996</v>
      </c>
      <c r="AB390">
        <v>0</v>
      </c>
      <c r="AC390" s="6">
        <f>SUM(Y390:AB390)/Variables!$E$3</f>
        <v>3.7735057284697423E-3</v>
      </c>
      <c r="AD390" s="4">
        <v>0</v>
      </c>
      <c r="AE390" s="2">
        <v>0</v>
      </c>
      <c r="AF390" s="2">
        <v>0</v>
      </c>
      <c r="AG390" s="2">
        <v>0</v>
      </c>
      <c r="AH390" s="6">
        <f>SUM(AD390:AG390)/Variables!$E$3</f>
        <v>0</v>
      </c>
      <c r="AI390" s="4">
        <v>0</v>
      </c>
      <c r="AJ390" s="2">
        <v>0</v>
      </c>
      <c r="AK390" s="2">
        <v>161.599999999999</v>
      </c>
      <c r="AL390" s="2">
        <v>0</v>
      </c>
      <c r="AM390" s="6">
        <f>SUM(AI390:AL390)/Variables!$E$3</f>
        <v>1.27950340066033E-4</v>
      </c>
      <c r="AN390" s="4">
        <v>0</v>
      </c>
      <c r="AO390" s="2">
        <v>0</v>
      </c>
      <c r="AP390" s="2">
        <v>459.2</v>
      </c>
      <c r="AQ390" s="2">
        <v>0</v>
      </c>
      <c r="AR390" s="6">
        <f>SUM(AN390:AQ390)/Variables!$E$3</f>
        <v>3.6358165939556129E-4</v>
      </c>
      <c r="AS390" s="4">
        <v>0</v>
      </c>
      <c r="AT390" s="2">
        <v>0</v>
      </c>
      <c r="AU390" s="2">
        <v>5224.2</v>
      </c>
      <c r="AV390" s="2">
        <v>0</v>
      </c>
      <c r="AW390" s="6">
        <f>SUM(AS390:AV390)/Variables!$E$3</f>
        <v>4.1363747931495894E-3</v>
      </c>
      <c r="AX390" s="4">
        <v>0</v>
      </c>
      <c r="AY390" s="2">
        <v>0</v>
      </c>
      <c r="AZ390" s="2">
        <v>2063.5</v>
      </c>
      <c r="BA390" s="2">
        <v>0</v>
      </c>
      <c r="BB390" s="6">
        <f>SUM(AX390:BA390)/Variables!$E$3</f>
        <v>1.6338213287516133E-3</v>
      </c>
      <c r="BC390" s="12">
        <f t="shared" si="101"/>
        <v>0</v>
      </c>
      <c r="BD390" s="110">
        <f t="shared" si="101"/>
        <v>0</v>
      </c>
      <c r="BE390" s="110">
        <f t="shared" si="101"/>
        <v>4765.8999999999996</v>
      </c>
      <c r="BF390" s="110">
        <f t="shared" si="98"/>
        <v>0</v>
      </c>
      <c r="BG390" s="6">
        <f>SUM(BC390:BF390)/Variables!$E$3</f>
        <v>3.7735057284697423E-3</v>
      </c>
      <c r="BH390" s="4">
        <v>0</v>
      </c>
      <c r="BI390">
        <v>0</v>
      </c>
      <c r="BJ390">
        <v>1284</v>
      </c>
      <c r="BK390">
        <v>0</v>
      </c>
      <c r="BL390" s="6">
        <f>SUM(BH390:BK390)/Variables!$E$3</f>
        <v>1.0166351277523971E-3</v>
      </c>
      <c r="BM390" s="110">
        <v>0</v>
      </c>
      <c r="BN390" s="110">
        <v>0</v>
      </c>
      <c r="BO390" s="110">
        <v>2000.5</v>
      </c>
      <c r="BP390" s="110">
        <v>0</v>
      </c>
      <c r="BQ390" s="6">
        <f>SUM(BM390:BP390)/Variables!$E$3</f>
        <v>1.5839396986516124E-3</v>
      </c>
      <c r="BS390" s="4">
        <v>388</v>
      </c>
      <c r="BT390" s="125">
        <f t="shared" si="87"/>
        <v>0</v>
      </c>
      <c r="BU390" s="125">
        <f t="shared" si="88"/>
        <v>0</v>
      </c>
      <c r="BV390" s="125">
        <f t="shared" si="89"/>
        <v>0</v>
      </c>
      <c r="BW390" s="125">
        <f t="shared" si="90"/>
        <v>0</v>
      </c>
      <c r="BX390" s="125">
        <f t="shared" si="91"/>
        <v>0</v>
      </c>
      <c r="BY390" s="125">
        <f t="shared" si="92"/>
        <v>0</v>
      </c>
      <c r="BZ390" s="125">
        <f t="shared" si="93"/>
        <v>0</v>
      </c>
      <c r="CA390" s="125">
        <f t="shared" si="94"/>
        <v>0</v>
      </c>
      <c r="CB390" s="125">
        <f t="shared" si="95"/>
        <v>0</v>
      </c>
      <c r="CC390" s="125">
        <f t="shared" si="96"/>
        <v>0</v>
      </c>
      <c r="CD390" s="125">
        <f t="shared" si="97"/>
        <v>0</v>
      </c>
      <c r="CE390" s="125">
        <f t="shared" si="99"/>
        <v>0</v>
      </c>
      <c r="CF390" s="126">
        <f t="shared" si="100"/>
        <v>0</v>
      </c>
      <c r="CH390" s="4">
        <v>388</v>
      </c>
      <c r="CI390" s="129">
        <v>0</v>
      </c>
      <c r="CJ390" s="125">
        <v>0</v>
      </c>
      <c r="CK390" s="125">
        <v>0</v>
      </c>
      <c r="CL390" s="125">
        <v>0</v>
      </c>
      <c r="CM390" s="125">
        <v>0</v>
      </c>
      <c r="CN390" s="125">
        <v>0</v>
      </c>
      <c r="CO390" s="125">
        <v>0</v>
      </c>
      <c r="CP390" s="125">
        <v>0</v>
      </c>
      <c r="CQ390" s="125">
        <v>0</v>
      </c>
      <c r="CR390" s="125">
        <v>0</v>
      </c>
      <c r="CS390" s="125">
        <v>0</v>
      </c>
      <c r="CT390" s="125">
        <v>0</v>
      </c>
      <c r="CU390" s="126">
        <v>0</v>
      </c>
    </row>
    <row r="391" spans="1:99" x14ac:dyDescent="0.25">
      <c r="A391" t="s">
        <v>281</v>
      </c>
      <c r="B391" s="2" t="s">
        <v>4</v>
      </c>
      <c r="C391" s="1">
        <v>37042</v>
      </c>
      <c r="D391" s="19">
        <v>30.503571428571401</v>
      </c>
      <c r="E391" s="18">
        <v>0</v>
      </c>
      <c r="F391" s="19">
        <v>0</v>
      </c>
      <c r="G391" s="19">
        <v>0</v>
      </c>
      <c r="H391" s="19">
        <v>0</v>
      </c>
      <c r="I391" s="19">
        <f>SUM(E391:H391)/Variables!$E$3</f>
        <v>0</v>
      </c>
      <c r="J391" s="4">
        <v>0</v>
      </c>
      <c r="K391">
        <v>0</v>
      </c>
      <c r="L391">
        <v>0</v>
      </c>
      <c r="M391">
        <v>0</v>
      </c>
      <c r="N391" s="6">
        <f>SUM(J391:M391)/Variables!$E$3</f>
        <v>0</v>
      </c>
      <c r="O391" s="4">
        <v>0</v>
      </c>
      <c r="P391">
        <v>0</v>
      </c>
      <c r="Q391">
        <v>0</v>
      </c>
      <c r="R391">
        <v>0</v>
      </c>
      <c r="S391" s="6">
        <f>SUM(O391:R391)/Variables!$E$3</f>
        <v>0</v>
      </c>
      <c r="T391" s="4">
        <v>0</v>
      </c>
      <c r="U391">
        <v>0</v>
      </c>
      <c r="V391">
        <v>0</v>
      </c>
      <c r="W391">
        <v>0</v>
      </c>
      <c r="X391" s="6">
        <f>SUM(T391:W391)/Variables!$E$3</f>
        <v>0</v>
      </c>
      <c r="Y391" s="4">
        <v>0</v>
      </c>
      <c r="Z391">
        <v>0</v>
      </c>
      <c r="AA391">
        <v>0</v>
      </c>
      <c r="AB391">
        <v>0</v>
      </c>
      <c r="AC391" s="6">
        <f>SUM(Y391:AB391)/Variables!$E$3</f>
        <v>0</v>
      </c>
      <c r="AD391" s="4">
        <v>0</v>
      </c>
      <c r="AE391" s="2">
        <v>0</v>
      </c>
      <c r="AF391" s="2">
        <v>0</v>
      </c>
      <c r="AG391" s="2">
        <v>0</v>
      </c>
      <c r="AH391" s="6">
        <f>SUM(AD391:AG391)/Variables!$E$3</f>
        <v>0</v>
      </c>
      <c r="AI391" s="4">
        <v>0</v>
      </c>
      <c r="AJ391" s="2">
        <v>0</v>
      </c>
      <c r="AK391" s="2">
        <v>0</v>
      </c>
      <c r="AL391" s="2">
        <v>0</v>
      </c>
      <c r="AM391" s="6">
        <f>SUM(AI391:AL391)/Variables!$E$3</f>
        <v>0</v>
      </c>
      <c r="AN391" s="4">
        <v>0</v>
      </c>
      <c r="AO391" s="2">
        <v>0</v>
      </c>
      <c r="AP391" s="2">
        <v>0</v>
      </c>
      <c r="AQ391" s="2">
        <v>0</v>
      </c>
      <c r="AR391" s="6">
        <f>SUM(AN391:AQ391)/Variables!$E$3</f>
        <v>0</v>
      </c>
      <c r="AS391" s="4">
        <v>0</v>
      </c>
      <c r="AT391" s="2">
        <v>0</v>
      </c>
      <c r="AU391" s="2">
        <v>0</v>
      </c>
      <c r="AV391" s="2">
        <v>0</v>
      </c>
      <c r="AW391" s="6">
        <f>SUM(AS391:AV391)/Variables!$E$3</f>
        <v>0</v>
      </c>
      <c r="AX391" s="4">
        <v>0</v>
      </c>
      <c r="AY391" s="2">
        <v>0</v>
      </c>
      <c r="AZ391" s="2">
        <v>0</v>
      </c>
      <c r="BA391" s="2">
        <v>0</v>
      </c>
      <c r="BB391" s="6">
        <f>SUM(AX391:BA391)/Variables!$E$3</f>
        <v>0</v>
      </c>
      <c r="BC391" s="12">
        <f t="shared" si="101"/>
        <v>0</v>
      </c>
      <c r="BD391" s="110">
        <f t="shared" si="101"/>
        <v>0</v>
      </c>
      <c r="BE391" s="110">
        <f t="shared" si="101"/>
        <v>0</v>
      </c>
      <c r="BF391" s="110">
        <f t="shared" si="98"/>
        <v>0</v>
      </c>
      <c r="BG391" s="6">
        <f>SUM(BC391:BF391)/Variables!$E$3</f>
        <v>0</v>
      </c>
      <c r="BH391" s="4">
        <v>0</v>
      </c>
      <c r="BI391">
        <v>0</v>
      </c>
      <c r="BJ391">
        <v>0</v>
      </c>
      <c r="BK391">
        <v>0</v>
      </c>
      <c r="BL391" s="6">
        <f>SUM(BH391:BK391)/Variables!$E$3</f>
        <v>0</v>
      </c>
      <c r="BM391" s="110">
        <v>0</v>
      </c>
      <c r="BN391" s="110">
        <v>0</v>
      </c>
      <c r="BO391" s="110">
        <v>0</v>
      </c>
      <c r="BP391" s="110">
        <v>0</v>
      </c>
      <c r="BQ391" s="6">
        <f>SUM(BM391:BP391)/Variables!$E$3</f>
        <v>0</v>
      </c>
      <c r="BS391" s="4">
        <v>389</v>
      </c>
      <c r="BT391" s="125">
        <f t="shared" ref="BT391:BT423" si="102">I392</f>
        <v>0</v>
      </c>
      <c r="BU391" s="125">
        <f t="shared" si="88"/>
        <v>0</v>
      </c>
      <c r="BV391" s="125">
        <f t="shared" si="89"/>
        <v>0</v>
      </c>
      <c r="BW391" s="125">
        <f t="shared" si="90"/>
        <v>0</v>
      </c>
      <c r="BX391" s="125">
        <f t="shared" si="91"/>
        <v>0</v>
      </c>
      <c r="BY391" s="125">
        <f t="shared" si="92"/>
        <v>0</v>
      </c>
      <c r="BZ391" s="125">
        <f t="shared" si="93"/>
        <v>0</v>
      </c>
      <c r="CA391" s="125">
        <f t="shared" si="94"/>
        <v>0</v>
      </c>
      <c r="CB391" s="125">
        <f t="shared" si="95"/>
        <v>0</v>
      </c>
      <c r="CC391" s="125">
        <f t="shared" si="96"/>
        <v>0</v>
      </c>
      <c r="CD391" s="125">
        <f t="shared" si="97"/>
        <v>0</v>
      </c>
      <c r="CE391" s="125">
        <f t="shared" si="99"/>
        <v>0</v>
      </c>
      <c r="CF391" s="126">
        <f t="shared" si="100"/>
        <v>0</v>
      </c>
      <c r="CH391" s="4">
        <v>389</v>
      </c>
      <c r="CI391" s="129">
        <v>0</v>
      </c>
      <c r="CJ391" s="125">
        <v>0</v>
      </c>
      <c r="CK391" s="125">
        <v>0</v>
      </c>
      <c r="CL391" s="125">
        <v>0</v>
      </c>
      <c r="CM391" s="125">
        <v>0</v>
      </c>
      <c r="CN391" s="125">
        <v>0</v>
      </c>
      <c r="CO391" s="125">
        <v>0</v>
      </c>
      <c r="CP391" s="125">
        <v>0</v>
      </c>
      <c r="CQ391" s="125">
        <v>0</v>
      </c>
      <c r="CR391" s="125">
        <v>0</v>
      </c>
      <c r="CS391" s="125">
        <v>0</v>
      </c>
      <c r="CT391" s="125">
        <v>0</v>
      </c>
      <c r="CU391" s="126">
        <v>0</v>
      </c>
    </row>
    <row r="392" spans="1:99" x14ac:dyDescent="0.25">
      <c r="A392" t="s">
        <v>281</v>
      </c>
      <c r="B392" s="2" t="s">
        <v>1</v>
      </c>
      <c r="C392" s="1">
        <v>37134</v>
      </c>
      <c r="D392" s="19">
        <v>64.875</v>
      </c>
      <c r="E392" s="18">
        <v>0</v>
      </c>
      <c r="F392" s="19">
        <v>0</v>
      </c>
      <c r="G392" s="19">
        <v>0</v>
      </c>
      <c r="H392" s="19">
        <v>0</v>
      </c>
      <c r="I392" s="19">
        <f>SUM(E392:H392)/Variables!$E$3</f>
        <v>0</v>
      </c>
      <c r="J392" s="4">
        <v>0</v>
      </c>
      <c r="K392">
        <v>0</v>
      </c>
      <c r="L392">
        <v>0</v>
      </c>
      <c r="M392">
        <v>0</v>
      </c>
      <c r="N392" s="6">
        <f>SUM(J392:M392)/Variables!$E$3</f>
        <v>0</v>
      </c>
      <c r="O392" s="4">
        <v>0</v>
      </c>
      <c r="P392">
        <v>0</v>
      </c>
      <c r="Q392">
        <v>0</v>
      </c>
      <c r="R392">
        <v>0</v>
      </c>
      <c r="S392" s="6">
        <f>SUM(O392:R392)/Variables!$E$3</f>
        <v>0</v>
      </c>
      <c r="T392" s="4">
        <v>0</v>
      </c>
      <c r="U392">
        <v>0</v>
      </c>
      <c r="V392">
        <v>0</v>
      </c>
      <c r="W392">
        <v>0</v>
      </c>
      <c r="X392" s="6">
        <f>SUM(T392:W392)/Variables!$E$3</f>
        <v>0</v>
      </c>
      <c r="Y392" s="4">
        <v>0</v>
      </c>
      <c r="Z392">
        <v>0</v>
      </c>
      <c r="AA392">
        <v>0</v>
      </c>
      <c r="AB392">
        <v>0</v>
      </c>
      <c r="AC392" s="6">
        <f>SUM(Y392:AB392)/Variables!$E$3</f>
        <v>0</v>
      </c>
      <c r="AD392" s="4">
        <v>0</v>
      </c>
      <c r="AE392" s="2">
        <v>0</v>
      </c>
      <c r="AF392" s="2">
        <v>0</v>
      </c>
      <c r="AG392" s="2">
        <v>0</v>
      </c>
      <c r="AH392" s="6">
        <f>SUM(AD392:AG392)/Variables!$E$3</f>
        <v>0</v>
      </c>
      <c r="AI392" s="4">
        <v>0</v>
      </c>
      <c r="AJ392" s="2">
        <v>0</v>
      </c>
      <c r="AK392" s="2">
        <v>0</v>
      </c>
      <c r="AL392" s="2">
        <v>0</v>
      </c>
      <c r="AM392" s="6">
        <f>SUM(AI392:AL392)/Variables!$E$3</f>
        <v>0</v>
      </c>
      <c r="AN392" s="4">
        <v>0</v>
      </c>
      <c r="AO392" s="2">
        <v>0</v>
      </c>
      <c r="AP392" s="2">
        <v>0</v>
      </c>
      <c r="AQ392" s="2">
        <v>0</v>
      </c>
      <c r="AR392" s="6">
        <f>SUM(AN392:AQ392)/Variables!$E$3</f>
        <v>0</v>
      </c>
      <c r="AS392" s="4">
        <v>0</v>
      </c>
      <c r="AT392" s="2">
        <v>0</v>
      </c>
      <c r="AU392" s="2">
        <v>0</v>
      </c>
      <c r="AV392" s="2">
        <v>0</v>
      </c>
      <c r="AW392" s="6">
        <f>SUM(AS392:AV392)/Variables!$E$3</f>
        <v>0</v>
      </c>
      <c r="AX392" s="4">
        <v>0</v>
      </c>
      <c r="AY392" s="2">
        <v>0</v>
      </c>
      <c r="AZ392" s="2">
        <v>0</v>
      </c>
      <c r="BA392" s="2">
        <v>0</v>
      </c>
      <c r="BB392" s="6">
        <f>SUM(AX392:BA392)/Variables!$E$3</f>
        <v>0</v>
      </c>
      <c r="BC392" s="12">
        <f t="shared" si="101"/>
        <v>0</v>
      </c>
      <c r="BD392" s="110">
        <f t="shared" si="101"/>
        <v>0</v>
      </c>
      <c r="BE392" s="110">
        <f t="shared" si="101"/>
        <v>0</v>
      </c>
      <c r="BF392" s="110">
        <f t="shared" si="98"/>
        <v>0</v>
      </c>
      <c r="BG392" s="6">
        <f>SUM(BC392:BF392)/Variables!$E$3</f>
        <v>0</v>
      </c>
      <c r="BH392" s="4">
        <v>0</v>
      </c>
      <c r="BI392">
        <v>0</v>
      </c>
      <c r="BJ392">
        <v>0</v>
      </c>
      <c r="BK392">
        <v>0</v>
      </c>
      <c r="BL392" s="6">
        <f>SUM(BH392:BK392)/Variables!$E$3</f>
        <v>0</v>
      </c>
      <c r="BM392" s="110">
        <v>0</v>
      </c>
      <c r="BN392" s="110">
        <v>0</v>
      </c>
      <c r="BO392" s="110">
        <v>0</v>
      </c>
      <c r="BP392" s="110">
        <v>0</v>
      </c>
      <c r="BQ392" s="6">
        <f>SUM(BM392:BP392)/Variables!$E$3</f>
        <v>0</v>
      </c>
      <c r="BS392" s="4">
        <v>390</v>
      </c>
      <c r="BT392" s="125">
        <f t="shared" si="102"/>
        <v>0</v>
      </c>
      <c r="BU392" s="125">
        <f t="shared" si="88"/>
        <v>0</v>
      </c>
      <c r="BV392" s="125">
        <f t="shared" si="89"/>
        <v>0</v>
      </c>
      <c r="BW392" s="125">
        <f t="shared" si="90"/>
        <v>0</v>
      </c>
      <c r="BX392" s="125">
        <f t="shared" si="91"/>
        <v>0</v>
      </c>
      <c r="BY392" s="125">
        <f t="shared" si="92"/>
        <v>0</v>
      </c>
      <c r="BZ392" s="125">
        <f t="shared" si="93"/>
        <v>0</v>
      </c>
      <c r="CA392" s="125">
        <f t="shared" si="94"/>
        <v>0</v>
      </c>
      <c r="CB392" s="125">
        <f t="shared" si="95"/>
        <v>0</v>
      </c>
      <c r="CC392" s="125">
        <f t="shared" si="96"/>
        <v>0</v>
      </c>
      <c r="CD392" s="125">
        <f t="shared" si="97"/>
        <v>0</v>
      </c>
      <c r="CE392" s="125">
        <f t="shared" si="99"/>
        <v>0</v>
      </c>
      <c r="CF392" s="126">
        <f t="shared" si="100"/>
        <v>0</v>
      </c>
      <c r="CH392" s="4">
        <v>390</v>
      </c>
      <c r="CI392" s="129">
        <v>0</v>
      </c>
      <c r="CJ392" s="125">
        <v>0</v>
      </c>
      <c r="CK392" s="125">
        <v>0</v>
      </c>
      <c r="CL392" s="125">
        <v>0</v>
      </c>
      <c r="CM392" s="125">
        <v>0</v>
      </c>
      <c r="CN392" s="125">
        <v>0</v>
      </c>
      <c r="CO392" s="125">
        <v>0</v>
      </c>
      <c r="CP392" s="125">
        <v>0</v>
      </c>
      <c r="CQ392" s="125">
        <v>0</v>
      </c>
      <c r="CR392" s="125">
        <v>0</v>
      </c>
      <c r="CS392" s="125">
        <v>0</v>
      </c>
      <c r="CT392" s="125">
        <v>0</v>
      </c>
      <c r="CU392" s="126">
        <v>0</v>
      </c>
    </row>
    <row r="393" spans="1:99" x14ac:dyDescent="0.25">
      <c r="A393" t="s">
        <v>281</v>
      </c>
      <c r="B393" s="2" t="s">
        <v>2</v>
      </c>
      <c r="C393" s="1">
        <v>37225</v>
      </c>
      <c r="D393" s="19">
        <v>70.080952380952397</v>
      </c>
      <c r="E393" s="18">
        <v>0</v>
      </c>
      <c r="F393" s="19">
        <v>0</v>
      </c>
      <c r="G393" s="19">
        <v>0</v>
      </c>
      <c r="H393" s="19">
        <v>0</v>
      </c>
      <c r="I393" s="19">
        <f>SUM(E393:H393)/Variables!$E$3</f>
        <v>0</v>
      </c>
      <c r="J393" s="4">
        <v>0</v>
      </c>
      <c r="K393">
        <v>0</v>
      </c>
      <c r="L393">
        <v>0</v>
      </c>
      <c r="M393">
        <v>0</v>
      </c>
      <c r="N393" s="6">
        <f>SUM(J393:M393)/Variables!$E$3</f>
        <v>0</v>
      </c>
      <c r="O393" s="4">
        <v>0</v>
      </c>
      <c r="P393">
        <v>0</v>
      </c>
      <c r="Q393">
        <v>0</v>
      </c>
      <c r="R393">
        <v>0</v>
      </c>
      <c r="S393" s="6">
        <f>SUM(O393:R393)/Variables!$E$3</f>
        <v>0</v>
      </c>
      <c r="T393" s="4">
        <v>0</v>
      </c>
      <c r="U393">
        <v>0</v>
      </c>
      <c r="V393">
        <v>0</v>
      </c>
      <c r="W393">
        <v>0</v>
      </c>
      <c r="X393" s="6">
        <f>SUM(T393:W393)/Variables!$E$3</f>
        <v>0</v>
      </c>
      <c r="Y393" s="4">
        <v>0</v>
      </c>
      <c r="Z393">
        <v>0</v>
      </c>
      <c r="AA393">
        <v>0</v>
      </c>
      <c r="AB393">
        <v>0</v>
      </c>
      <c r="AC393" s="6">
        <f>SUM(Y393:AB393)/Variables!$E$3</f>
        <v>0</v>
      </c>
      <c r="AD393" s="4">
        <v>0</v>
      </c>
      <c r="AE393" s="2">
        <v>0</v>
      </c>
      <c r="AF393" s="2">
        <v>0</v>
      </c>
      <c r="AG393" s="2">
        <v>0</v>
      </c>
      <c r="AH393" s="6">
        <f>SUM(AD393:AG393)/Variables!$E$3</f>
        <v>0</v>
      </c>
      <c r="AI393" s="4">
        <v>0</v>
      </c>
      <c r="AJ393" s="2">
        <v>0</v>
      </c>
      <c r="AK393" s="2">
        <v>0</v>
      </c>
      <c r="AL393" s="2">
        <v>0</v>
      </c>
      <c r="AM393" s="6">
        <f>SUM(AI393:AL393)/Variables!$E$3</f>
        <v>0</v>
      </c>
      <c r="AN393" s="4">
        <v>0</v>
      </c>
      <c r="AO393" s="2">
        <v>0</v>
      </c>
      <c r="AP393" s="2">
        <v>0</v>
      </c>
      <c r="AQ393" s="2">
        <v>0</v>
      </c>
      <c r="AR393" s="6">
        <f>SUM(AN393:AQ393)/Variables!$E$3</f>
        <v>0</v>
      </c>
      <c r="AS393" s="4">
        <v>0</v>
      </c>
      <c r="AT393" s="2">
        <v>0</v>
      </c>
      <c r="AU393" s="2">
        <v>0</v>
      </c>
      <c r="AV393" s="2">
        <v>0</v>
      </c>
      <c r="AW393" s="6">
        <f>SUM(AS393:AV393)/Variables!$E$3</f>
        <v>0</v>
      </c>
      <c r="AX393" s="4">
        <v>0</v>
      </c>
      <c r="AY393" s="2">
        <v>0</v>
      </c>
      <c r="AZ393" s="2">
        <v>0</v>
      </c>
      <c r="BA393" s="2">
        <v>0</v>
      </c>
      <c r="BB393" s="6">
        <f>SUM(AX393:BA393)/Variables!$E$3</f>
        <v>0</v>
      </c>
      <c r="BC393" s="12">
        <f t="shared" si="101"/>
        <v>0</v>
      </c>
      <c r="BD393" s="110">
        <f t="shared" si="101"/>
        <v>0</v>
      </c>
      <c r="BE393" s="110">
        <f t="shared" si="101"/>
        <v>0</v>
      </c>
      <c r="BF393" s="110">
        <f t="shared" si="98"/>
        <v>0</v>
      </c>
      <c r="BG393" s="6">
        <f>SUM(BC393:BF393)/Variables!$E$3</f>
        <v>0</v>
      </c>
      <c r="BH393" s="4">
        <v>0</v>
      </c>
      <c r="BI393">
        <v>0</v>
      </c>
      <c r="BJ393">
        <v>0</v>
      </c>
      <c r="BK393">
        <v>0</v>
      </c>
      <c r="BL393" s="6">
        <f>SUM(BH393:BK393)/Variables!$E$3</f>
        <v>0</v>
      </c>
      <c r="BM393" s="110">
        <v>0</v>
      </c>
      <c r="BN393" s="110">
        <v>0</v>
      </c>
      <c r="BO393" s="110">
        <v>0</v>
      </c>
      <c r="BP393" s="110">
        <v>0</v>
      </c>
      <c r="BQ393" s="6">
        <f>SUM(BM393:BP393)/Variables!$E$3</f>
        <v>0</v>
      </c>
      <c r="BS393" s="4">
        <v>391</v>
      </c>
      <c r="BT393" s="125">
        <f t="shared" si="102"/>
        <v>0</v>
      </c>
      <c r="BU393" s="125">
        <f t="shared" si="88"/>
        <v>0</v>
      </c>
      <c r="BV393" s="125">
        <f t="shared" si="89"/>
        <v>0</v>
      </c>
      <c r="BW393" s="125">
        <f t="shared" si="90"/>
        <v>0</v>
      </c>
      <c r="BX393" s="125">
        <f t="shared" si="91"/>
        <v>0</v>
      </c>
      <c r="BY393" s="125">
        <f t="shared" si="92"/>
        <v>0</v>
      </c>
      <c r="BZ393" s="125">
        <f t="shared" si="93"/>
        <v>0</v>
      </c>
      <c r="CA393" s="125">
        <f t="shared" si="94"/>
        <v>0</v>
      </c>
      <c r="CB393" s="125">
        <f t="shared" si="95"/>
        <v>0</v>
      </c>
      <c r="CC393" s="125">
        <f t="shared" si="96"/>
        <v>0</v>
      </c>
      <c r="CD393" s="125">
        <f t="shared" si="97"/>
        <v>0</v>
      </c>
      <c r="CE393" s="125">
        <f t="shared" si="99"/>
        <v>0</v>
      </c>
      <c r="CF393" s="126">
        <f t="shared" si="100"/>
        <v>0</v>
      </c>
      <c r="CH393" s="4">
        <v>391</v>
      </c>
      <c r="CI393" s="129">
        <v>0</v>
      </c>
      <c r="CJ393" s="125">
        <v>0</v>
      </c>
      <c r="CK393" s="125">
        <v>0</v>
      </c>
      <c r="CL393" s="125">
        <v>0</v>
      </c>
      <c r="CM393" s="125">
        <v>0</v>
      </c>
      <c r="CN393" s="125">
        <v>0</v>
      </c>
      <c r="CO393" s="125">
        <v>0</v>
      </c>
      <c r="CP393" s="125">
        <v>0</v>
      </c>
      <c r="CQ393" s="125">
        <v>0</v>
      </c>
      <c r="CR393" s="125">
        <v>0</v>
      </c>
      <c r="CS393" s="125">
        <v>0</v>
      </c>
      <c r="CT393" s="125">
        <v>0</v>
      </c>
      <c r="CU393" s="126">
        <v>0</v>
      </c>
    </row>
    <row r="394" spans="1:99" x14ac:dyDescent="0.25">
      <c r="A394" t="s">
        <v>282</v>
      </c>
      <c r="B394" s="2" t="s">
        <v>3</v>
      </c>
      <c r="C394" s="1">
        <v>37315</v>
      </c>
      <c r="D394" s="19">
        <v>63.683333333333302</v>
      </c>
      <c r="E394" s="18">
        <v>0</v>
      </c>
      <c r="F394" s="19">
        <v>0</v>
      </c>
      <c r="G394" s="19">
        <v>0</v>
      </c>
      <c r="H394" s="19">
        <v>0</v>
      </c>
      <c r="I394" s="19">
        <f>SUM(E394:H394)/Variables!$E$3</f>
        <v>0</v>
      </c>
      <c r="J394" s="4">
        <v>0</v>
      </c>
      <c r="K394">
        <v>0</v>
      </c>
      <c r="L394">
        <v>0</v>
      </c>
      <c r="M394">
        <v>0</v>
      </c>
      <c r="N394" s="6">
        <f>SUM(J394:M394)/Variables!$E$3</f>
        <v>0</v>
      </c>
      <c r="O394" s="4">
        <v>0</v>
      </c>
      <c r="P394">
        <v>0</v>
      </c>
      <c r="Q394">
        <v>0</v>
      </c>
      <c r="R394">
        <v>0</v>
      </c>
      <c r="S394" s="6">
        <f>SUM(O394:R394)/Variables!$E$3</f>
        <v>0</v>
      </c>
      <c r="T394" s="4">
        <v>0</v>
      </c>
      <c r="U394">
        <v>0</v>
      </c>
      <c r="V394">
        <v>0</v>
      </c>
      <c r="W394">
        <v>0</v>
      </c>
      <c r="X394" s="6">
        <f>SUM(T394:W394)/Variables!$E$3</f>
        <v>0</v>
      </c>
      <c r="Y394" s="4">
        <v>0</v>
      </c>
      <c r="Z394">
        <v>0</v>
      </c>
      <c r="AA394">
        <v>0</v>
      </c>
      <c r="AB394">
        <v>0</v>
      </c>
      <c r="AC394" s="6">
        <f>SUM(Y394:AB394)/Variables!$E$3</f>
        <v>0</v>
      </c>
      <c r="AD394" s="4">
        <v>0</v>
      </c>
      <c r="AE394" s="2">
        <v>0</v>
      </c>
      <c r="AF394" s="2">
        <v>0</v>
      </c>
      <c r="AG394" s="2">
        <v>0</v>
      </c>
      <c r="AH394" s="6">
        <f>SUM(AD394:AG394)/Variables!$E$3</f>
        <v>0</v>
      </c>
      <c r="AI394" s="4">
        <v>0</v>
      </c>
      <c r="AJ394" s="2">
        <v>0</v>
      </c>
      <c r="AK394" s="2">
        <v>0</v>
      </c>
      <c r="AL394" s="2">
        <v>0</v>
      </c>
      <c r="AM394" s="6">
        <f>SUM(AI394:AL394)/Variables!$E$3</f>
        <v>0</v>
      </c>
      <c r="AN394" s="4">
        <v>0</v>
      </c>
      <c r="AO394" s="2">
        <v>0</v>
      </c>
      <c r="AP394" s="2">
        <v>0</v>
      </c>
      <c r="AQ394" s="2">
        <v>0</v>
      </c>
      <c r="AR394" s="6">
        <f>SUM(AN394:AQ394)/Variables!$E$3</f>
        <v>0</v>
      </c>
      <c r="AS394" s="4">
        <v>0</v>
      </c>
      <c r="AT394" s="2">
        <v>0</v>
      </c>
      <c r="AU394" s="2">
        <v>0</v>
      </c>
      <c r="AV394" s="2">
        <v>0</v>
      </c>
      <c r="AW394" s="6">
        <f>SUM(AS394:AV394)/Variables!$E$3</f>
        <v>0</v>
      </c>
      <c r="AX394" s="4">
        <v>0</v>
      </c>
      <c r="AY394" s="2">
        <v>0</v>
      </c>
      <c r="AZ394" s="2">
        <v>0</v>
      </c>
      <c r="BA394" s="2">
        <v>0</v>
      </c>
      <c r="BB394" s="6">
        <f>SUM(AX394:BA394)/Variables!$E$3</f>
        <v>0</v>
      </c>
      <c r="BC394" s="12">
        <f t="shared" si="101"/>
        <v>0</v>
      </c>
      <c r="BD394" s="110">
        <f t="shared" si="101"/>
        <v>0</v>
      </c>
      <c r="BE394" s="110">
        <f t="shared" si="101"/>
        <v>0</v>
      </c>
      <c r="BF394" s="110">
        <f t="shared" si="98"/>
        <v>0</v>
      </c>
      <c r="BG394" s="6">
        <f>SUM(BC394:BF394)/Variables!$E$3</f>
        <v>0</v>
      </c>
      <c r="BH394" s="4">
        <v>0</v>
      </c>
      <c r="BI394">
        <v>0</v>
      </c>
      <c r="BJ394">
        <v>0</v>
      </c>
      <c r="BK394">
        <v>0</v>
      </c>
      <c r="BL394" s="6">
        <f>SUM(BH394:BK394)/Variables!$E$3</f>
        <v>0</v>
      </c>
      <c r="BM394" s="110">
        <v>0</v>
      </c>
      <c r="BN394" s="110">
        <v>0</v>
      </c>
      <c r="BO394" s="110">
        <v>0</v>
      </c>
      <c r="BP394" s="110">
        <v>0</v>
      </c>
      <c r="BQ394" s="6">
        <f>SUM(BM394:BP394)/Variables!$E$3</f>
        <v>0</v>
      </c>
      <c r="BS394" s="4">
        <v>392</v>
      </c>
      <c r="BT394" s="125">
        <f t="shared" si="102"/>
        <v>0</v>
      </c>
      <c r="BU394" s="125">
        <f t="shared" si="88"/>
        <v>0</v>
      </c>
      <c r="BV394" s="125">
        <f t="shared" si="89"/>
        <v>0</v>
      </c>
      <c r="BW394" s="125">
        <f t="shared" si="90"/>
        <v>0</v>
      </c>
      <c r="BX394" s="125">
        <f t="shared" si="91"/>
        <v>0</v>
      </c>
      <c r="BY394" s="125">
        <f t="shared" si="92"/>
        <v>0</v>
      </c>
      <c r="BZ394" s="125">
        <f t="shared" si="93"/>
        <v>0</v>
      </c>
      <c r="CA394" s="125">
        <f t="shared" si="94"/>
        <v>0</v>
      </c>
      <c r="CB394" s="125">
        <f t="shared" si="95"/>
        <v>0</v>
      </c>
      <c r="CC394" s="125">
        <f t="shared" si="96"/>
        <v>0</v>
      </c>
      <c r="CD394" s="125">
        <f t="shared" si="97"/>
        <v>0</v>
      </c>
      <c r="CE394" s="125">
        <f t="shared" si="99"/>
        <v>0</v>
      </c>
      <c r="CF394" s="126">
        <f t="shared" si="100"/>
        <v>0</v>
      </c>
      <c r="CH394" s="4">
        <v>392</v>
      </c>
      <c r="CI394" s="129">
        <v>0</v>
      </c>
      <c r="CJ394" s="125">
        <v>0</v>
      </c>
      <c r="CK394" s="125">
        <v>0</v>
      </c>
      <c r="CL394" s="125">
        <v>0</v>
      </c>
      <c r="CM394" s="125">
        <v>0</v>
      </c>
      <c r="CN394" s="125">
        <v>0</v>
      </c>
      <c r="CO394" s="125">
        <v>0</v>
      </c>
      <c r="CP394" s="125">
        <v>0</v>
      </c>
      <c r="CQ394" s="125">
        <v>0</v>
      </c>
      <c r="CR394" s="125">
        <v>0</v>
      </c>
      <c r="CS394" s="125">
        <v>0</v>
      </c>
      <c r="CT394" s="125">
        <v>0</v>
      </c>
      <c r="CU394" s="126">
        <v>0</v>
      </c>
    </row>
    <row r="395" spans="1:99" x14ac:dyDescent="0.25">
      <c r="A395" t="s">
        <v>282</v>
      </c>
      <c r="B395" s="2" t="s">
        <v>4</v>
      </c>
      <c r="C395" s="1">
        <v>37407</v>
      </c>
      <c r="D395" s="19">
        <v>31.503571428571401</v>
      </c>
      <c r="E395" s="18">
        <v>0</v>
      </c>
      <c r="F395" s="19">
        <v>0</v>
      </c>
      <c r="G395" s="19">
        <v>0</v>
      </c>
      <c r="H395" s="19">
        <v>0</v>
      </c>
      <c r="I395" s="19">
        <f>SUM(E395:H395)/Variables!$E$3</f>
        <v>0</v>
      </c>
      <c r="J395" s="4">
        <v>0</v>
      </c>
      <c r="K395">
        <v>0</v>
      </c>
      <c r="L395">
        <v>0</v>
      </c>
      <c r="M395">
        <v>0</v>
      </c>
      <c r="N395" s="6">
        <f>SUM(J395:M395)/Variables!$E$3</f>
        <v>0</v>
      </c>
      <c r="O395" s="4">
        <v>0</v>
      </c>
      <c r="P395">
        <v>0</v>
      </c>
      <c r="Q395">
        <v>0</v>
      </c>
      <c r="R395">
        <v>0</v>
      </c>
      <c r="S395" s="6">
        <f>SUM(O395:R395)/Variables!$E$3</f>
        <v>0</v>
      </c>
      <c r="T395" s="4">
        <v>0</v>
      </c>
      <c r="U395">
        <v>0</v>
      </c>
      <c r="V395">
        <v>0</v>
      </c>
      <c r="W395">
        <v>0</v>
      </c>
      <c r="X395" s="6">
        <f>SUM(T395:W395)/Variables!$E$3</f>
        <v>0</v>
      </c>
      <c r="Y395" s="4">
        <v>0</v>
      </c>
      <c r="Z395">
        <v>0</v>
      </c>
      <c r="AA395">
        <v>0</v>
      </c>
      <c r="AB395">
        <v>0</v>
      </c>
      <c r="AC395" s="6">
        <f>SUM(Y395:AB395)/Variables!$E$3</f>
        <v>0</v>
      </c>
      <c r="AD395" s="4">
        <v>0</v>
      </c>
      <c r="AE395" s="2">
        <v>0</v>
      </c>
      <c r="AF395" s="2">
        <v>0</v>
      </c>
      <c r="AG395" s="2">
        <v>0</v>
      </c>
      <c r="AH395" s="6">
        <f>SUM(AD395:AG395)/Variables!$E$3</f>
        <v>0</v>
      </c>
      <c r="AI395" s="4">
        <v>0</v>
      </c>
      <c r="AJ395" s="2">
        <v>0</v>
      </c>
      <c r="AK395" s="2">
        <v>0</v>
      </c>
      <c r="AL395" s="2">
        <v>0</v>
      </c>
      <c r="AM395" s="6">
        <f>SUM(AI395:AL395)/Variables!$E$3</f>
        <v>0</v>
      </c>
      <c r="AN395" s="4">
        <v>0</v>
      </c>
      <c r="AO395" s="2">
        <v>0</v>
      </c>
      <c r="AP395" s="2">
        <v>0</v>
      </c>
      <c r="AQ395" s="2">
        <v>0</v>
      </c>
      <c r="AR395" s="6">
        <f>SUM(AN395:AQ395)/Variables!$E$3</f>
        <v>0</v>
      </c>
      <c r="AS395" s="4">
        <v>0</v>
      </c>
      <c r="AT395" s="2">
        <v>0</v>
      </c>
      <c r="AU395" s="2">
        <v>0</v>
      </c>
      <c r="AV395" s="2">
        <v>0</v>
      </c>
      <c r="AW395" s="6">
        <f>SUM(AS395:AV395)/Variables!$E$3</f>
        <v>0</v>
      </c>
      <c r="AX395" s="4">
        <v>0</v>
      </c>
      <c r="AY395" s="2">
        <v>0</v>
      </c>
      <c r="AZ395" s="2">
        <v>0</v>
      </c>
      <c r="BA395" s="2">
        <v>0</v>
      </c>
      <c r="BB395" s="6">
        <f>SUM(AX395:BA395)/Variables!$E$3</f>
        <v>0</v>
      </c>
      <c r="BC395" s="12">
        <f t="shared" si="101"/>
        <v>0</v>
      </c>
      <c r="BD395" s="110">
        <f t="shared" si="101"/>
        <v>0</v>
      </c>
      <c r="BE395" s="110">
        <f t="shared" si="101"/>
        <v>0</v>
      </c>
      <c r="BF395" s="110">
        <f t="shared" si="98"/>
        <v>0</v>
      </c>
      <c r="BG395" s="6">
        <f>SUM(BC395:BF395)/Variables!$E$3</f>
        <v>0</v>
      </c>
      <c r="BH395" s="4">
        <v>0</v>
      </c>
      <c r="BI395">
        <v>0</v>
      </c>
      <c r="BJ395">
        <v>0</v>
      </c>
      <c r="BK395">
        <v>0</v>
      </c>
      <c r="BL395" s="6">
        <f>SUM(BH395:BK395)/Variables!$E$3</f>
        <v>0</v>
      </c>
      <c r="BM395" s="110">
        <v>0</v>
      </c>
      <c r="BN395" s="110">
        <v>0</v>
      </c>
      <c r="BO395" s="110">
        <v>0</v>
      </c>
      <c r="BP395" s="110">
        <v>0</v>
      </c>
      <c r="BQ395" s="6">
        <f>SUM(BM395:BP395)/Variables!$E$3</f>
        <v>0</v>
      </c>
      <c r="BS395" s="4">
        <v>393</v>
      </c>
      <c r="BT395" s="125">
        <f t="shared" si="102"/>
        <v>0</v>
      </c>
      <c r="BU395" s="125">
        <f t="shared" si="88"/>
        <v>0</v>
      </c>
      <c r="BV395" s="125">
        <f t="shared" si="89"/>
        <v>0</v>
      </c>
      <c r="BW395" s="125">
        <f t="shared" si="90"/>
        <v>0</v>
      </c>
      <c r="BX395" s="125">
        <f t="shared" si="91"/>
        <v>0</v>
      </c>
      <c r="BY395" s="125">
        <f t="shared" si="92"/>
        <v>0</v>
      </c>
      <c r="BZ395" s="125">
        <f t="shared" si="93"/>
        <v>0</v>
      </c>
      <c r="CA395" s="125">
        <f t="shared" si="94"/>
        <v>0</v>
      </c>
      <c r="CB395" s="125">
        <f t="shared" si="95"/>
        <v>0</v>
      </c>
      <c r="CC395" s="125">
        <f t="shared" si="96"/>
        <v>0</v>
      </c>
      <c r="CD395" s="125">
        <f t="shared" si="97"/>
        <v>0</v>
      </c>
      <c r="CE395" s="125">
        <f t="shared" si="99"/>
        <v>0</v>
      </c>
      <c r="CF395" s="126">
        <f t="shared" si="100"/>
        <v>0</v>
      </c>
      <c r="CH395" s="4">
        <v>393</v>
      </c>
      <c r="CI395" s="129">
        <v>0</v>
      </c>
      <c r="CJ395" s="125">
        <v>0</v>
      </c>
      <c r="CK395" s="125">
        <v>0</v>
      </c>
      <c r="CL395" s="125">
        <v>0</v>
      </c>
      <c r="CM395" s="125">
        <v>0</v>
      </c>
      <c r="CN395" s="125">
        <v>0</v>
      </c>
      <c r="CO395" s="125">
        <v>0</v>
      </c>
      <c r="CP395" s="125">
        <v>0</v>
      </c>
      <c r="CQ395" s="125">
        <v>0</v>
      </c>
      <c r="CR395" s="125">
        <v>0</v>
      </c>
      <c r="CS395" s="125">
        <v>0</v>
      </c>
      <c r="CT395" s="125">
        <v>0</v>
      </c>
      <c r="CU395" s="126">
        <v>0</v>
      </c>
    </row>
    <row r="396" spans="1:99" x14ac:dyDescent="0.25">
      <c r="A396" t="s">
        <v>282</v>
      </c>
      <c r="B396" s="2" t="s">
        <v>1</v>
      </c>
      <c r="C396" s="1">
        <v>37499</v>
      </c>
      <c r="D396" s="19">
        <v>7.7</v>
      </c>
      <c r="E396" s="18">
        <v>0</v>
      </c>
      <c r="F396" s="19">
        <v>0</v>
      </c>
      <c r="G396" s="19">
        <v>0</v>
      </c>
      <c r="H396" s="19">
        <v>0</v>
      </c>
      <c r="I396" s="19">
        <f>SUM(E396:H396)/Variables!$E$3</f>
        <v>0</v>
      </c>
      <c r="J396" s="4">
        <v>0</v>
      </c>
      <c r="K396">
        <v>0</v>
      </c>
      <c r="L396">
        <v>0</v>
      </c>
      <c r="M396">
        <v>0</v>
      </c>
      <c r="N396" s="6">
        <f>SUM(J396:M396)/Variables!$E$3</f>
        <v>0</v>
      </c>
      <c r="O396" s="4">
        <v>0</v>
      </c>
      <c r="P396">
        <v>0</v>
      </c>
      <c r="Q396">
        <v>0</v>
      </c>
      <c r="R396">
        <v>0</v>
      </c>
      <c r="S396" s="6">
        <f>SUM(O396:R396)/Variables!$E$3</f>
        <v>0</v>
      </c>
      <c r="T396" s="4">
        <v>0</v>
      </c>
      <c r="U396">
        <v>0</v>
      </c>
      <c r="V396">
        <v>0</v>
      </c>
      <c r="W396">
        <v>0</v>
      </c>
      <c r="X396" s="6">
        <f>SUM(T396:W396)/Variables!$E$3</f>
        <v>0</v>
      </c>
      <c r="Y396" s="4">
        <v>0</v>
      </c>
      <c r="Z396">
        <v>0</v>
      </c>
      <c r="AA396">
        <v>0</v>
      </c>
      <c r="AB396">
        <v>0</v>
      </c>
      <c r="AC396" s="6">
        <f>SUM(Y396:AB396)/Variables!$E$3</f>
        <v>0</v>
      </c>
      <c r="AD396" s="4">
        <v>0</v>
      </c>
      <c r="AE396" s="2">
        <v>0</v>
      </c>
      <c r="AF396" s="2">
        <v>0</v>
      </c>
      <c r="AG396" s="2">
        <v>0</v>
      </c>
      <c r="AH396" s="6">
        <f>SUM(AD396:AG396)/Variables!$E$3</f>
        <v>0</v>
      </c>
      <c r="AI396" s="4">
        <v>0</v>
      </c>
      <c r="AJ396" s="2">
        <v>0</v>
      </c>
      <c r="AK396" s="2">
        <v>0</v>
      </c>
      <c r="AL396" s="2">
        <v>0</v>
      </c>
      <c r="AM396" s="6">
        <f>SUM(AI396:AL396)/Variables!$E$3</f>
        <v>0</v>
      </c>
      <c r="AN396" s="4">
        <v>0</v>
      </c>
      <c r="AO396" s="2">
        <v>0</v>
      </c>
      <c r="AP396" s="2">
        <v>0</v>
      </c>
      <c r="AQ396" s="2">
        <v>0</v>
      </c>
      <c r="AR396" s="6">
        <f>SUM(AN396:AQ396)/Variables!$E$3</f>
        <v>0</v>
      </c>
      <c r="AS396" s="4">
        <v>0</v>
      </c>
      <c r="AT396" s="2">
        <v>0</v>
      </c>
      <c r="AU396" s="2">
        <v>0</v>
      </c>
      <c r="AV396" s="2">
        <v>0</v>
      </c>
      <c r="AW396" s="6">
        <f>SUM(AS396:AV396)/Variables!$E$3</f>
        <v>0</v>
      </c>
      <c r="AX396" s="4">
        <v>0</v>
      </c>
      <c r="AY396" s="2">
        <v>0</v>
      </c>
      <c r="AZ396" s="2">
        <v>0</v>
      </c>
      <c r="BA396" s="2">
        <v>0</v>
      </c>
      <c r="BB396" s="6">
        <f>SUM(AX396:BA396)/Variables!$E$3</f>
        <v>0</v>
      </c>
      <c r="BC396" s="12">
        <f t="shared" si="101"/>
        <v>0</v>
      </c>
      <c r="BD396" s="110">
        <f t="shared" si="101"/>
        <v>0</v>
      </c>
      <c r="BE396" s="110">
        <f t="shared" si="101"/>
        <v>0</v>
      </c>
      <c r="BF396" s="110">
        <f t="shared" si="98"/>
        <v>0</v>
      </c>
      <c r="BG396" s="6">
        <f>SUM(BC396:BF396)/Variables!$E$3</f>
        <v>0</v>
      </c>
      <c r="BH396" s="4">
        <v>0</v>
      </c>
      <c r="BI396">
        <v>0</v>
      </c>
      <c r="BJ396">
        <v>0</v>
      </c>
      <c r="BK396">
        <v>0</v>
      </c>
      <c r="BL396" s="6">
        <f>SUM(BH396:BK396)/Variables!$E$3</f>
        <v>0</v>
      </c>
      <c r="BM396" s="110">
        <v>0</v>
      </c>
      <c r="BN396" s="110">
        <v>0</v>
      </c>
      <c r="BO396" s="110">
        <v>0</v>
      </c>
      <c r="BP396" s="110">
        <v>0</v>
      </c>
      <c r="BQ396" s="6">
        <f>SUM(BM396:BP396)/Variables!$E$3</f>
        <v>0</v>
      </c>
      <c r="BS396" s="4">
        <v>394</v>
      </c>
      <c r="BT396" s="125">
        <f t="shared" si="102"/>
        <v>0</v>
      </c>
      <c r="BU396" s="125">
        <f t="shared" si="88"/>
        <v>0</v>
      </c>
      <c r="BV396" s="125">
        <f t="shared" si="89"/>
        <v>0</v>
      </c>
      <c r="BW396" s="125">
        <f t="shared" si="90"/>
        <v>0</v>
      </c>
      <c r="BX396" s="125">
        <f t="shared" si="91"/>
        <v>0</v>
      </c>
      <c r="BY396" s="125">
        <f t="shared" si="92"/>
        <v>0</v>
      </c>
      <c r="BZ396" s="125">
        <f t="shared" si="93"/>
        <v>0</v>
      </c>
      <c r="CA396" s="125">
        <f t="shared" si="94"/>
        <v>0</v>
      </c>
      <c r="CB396" s="125">
        <f t="shared" si="95"/>
        <v>0</v>
      </c>
      <c r="CC396" s="125">
        <f t="shared" si="96"/>
        <v>0</v>
      </c>
      <c r="CD396" s="125">
        <f t="shared" si="97"/>
        <v>0</v>
      </c>
      <c r="CE396" s="125">
        <f t="shared" si="99"/>
        <v>0</v>
      </c>
      <c r="CF396" s="126">
        <f t="shared" si="100"/>
        <v>0</v>
      </c>
      <c r="CH396" s="4">
        <v>394</v>
      </c>
      <c r="CI396" s="129">
        <v>0</v>
      </c>
      <c r="CJ396" s="125">
        <v>0</v>
      </c>
      <c r="CK396" s="125">
        <v>0</v>
      </c>
      <c r="CL396" s="125">
        <v>0</v>
      </c>
      <c r="CM396" s="125">
        <v>0</v>
      </c>
      <c r="CN396" s="125">
        <v>0</v>
      </c>
      <c r="CO396" s="125">
        <v>0</v>
      </c>
      <c r="CP396" s="125">
        <v>0</v>
      </c>
      <c r="CQ396" s="125">
        <v>0</v>
      </c>
      <c r="CR396" s="125">
        <v>0</v>
      </c>
      <c r="CS396" s="125">
        <v>0</v>
      </c>
      <c r="CT396" s="125">
        <v>0</v>
      </c>
      <c r="CU396" s="126">
        <v>0</v>
      </c>
    </row>
    <row r="397" spans="1:99" x14ac:dyDescent="0.25">
      <c r="A397" t="s">
        <v>282</v>
      </c>
      <c r="B397" s="2" t="s">
        <v>2</v>
      </c>
      <c r="C397" s="1">
        <v>37590</v>
      </c>
      <c r="D397" s="19">
        <v>11.3</v>
      </c>
      <c r="E397" s="18">
        <v>0</v>
      </c>
      <c r="F397" s="19">
        <v>0</v>
      </c>
      <c r="G397" s="19">
        <v>0</v>
      </c>
      <c r="H397" s="19">
        <v>0</v>
      </c>
      <c r="I397" s="19">
        <f>SUM(E397:H397)/Variables!$E$3</f>
        <v>0</v>
      </c>
      <c r="J397" s="4">
        <v>0</v>
      </c>
      <c r="K397">
        <v>0</v>
      </c>
      <c r="L397">
        <v>0</v>
      </c>
      <c r="M397">
        <v>0</v>
      </c>
      <c r="N397" s="6">
        <f>SUM(J397:M397)/Variables!$E$3</f>
        <v>0</v>
      </c>
      <c r="O397" s="4">
        <v>0</v>
      </c>
      <c r="P397">
        <v>0</v>
      </c>
      <c r="Q397">
        <v>0</v>
      </c>
      <c r="R397">
        <v>0</v>
      </c>
      <c r="S397" s="6">
        <f>SUM(O397:R397)/Variables!$E$3</f>
        <v>0</v>
      </c>
      <c r="T397" s="4">
        <v>0</v>
      </c>
      <c r="U397">
        <v>0</v>
      </c>
      <c r="V397">
        <v>0</v>
      </c>
      <c r="W397">
        <v>0</v>
      </c>
      <c r="X397" s="6">
        <f>SUM(T397:W397)/Variables!$E$3</f>
        <v>0</v>
      </c>
      <c r="Y397" s="4">
        <v>0</v>
      </c>
      <c r="Z397">
        <v>0</v>
      </c>
      <c r="AA397">
        <v>0</v>
      </c>
      <c r="AB397">
        <v>0</v>
      </c>
      <c r="AC397" s="6">
        <f>SUM(Y397:AB397)/Variables!$E$3</f>
        <v>0</v>
      </c>
      <c r="AD397" s="4">
        <v>0</v>
      </c>
      <c r="AE397" s="2">
        <v>0</v>
      </c>
      <c r="AF397" s="2">
        <v>0</v>
      </c>
      <c r="AG397" s="2">
        <v>0</v>
      </c>
      <c r="AH397" s="6">
        <f>SUM(AD397:AG397)/Variables!$E$3</f>
        <v>0</v>
      </c>
      <c r="AI397" s="4">
        <v>0</v>
      </c>
      <c r="AJ397" s="2">
        <v>0</v>
      </c>
      <c r="AK397" s="2">
        <v>0</v>
      </c>
      <c r="AL397" s="2">
        <v>0</v>
      </c>
      <c r="AM397" s="6">
        <f>SUM(AI397:AL397)/Variables!$E$3</f>
        <v>0</v>
      </c>
      <c r="AN397" s="4">
        <v>0</v>
      </c>
      <c r="AO397" s="2">
        <v>0</v>
      </c>
      <c r="AP397" s="2">
        <v>0</v>
      </c>
      <c r="AQ397" s="2">
        <v>0</v>
      </c>
      <c r="AR397" s="6">
        <f>SUM(AN397:AQ397)/Variables!$E$3</f>
        <v>0</v>
      </c>
      <c r="AS397" s="4">
        <v>0</v>
      </c>
      <c r="AT397" s="2">
        <v>0</v>
      </c>
      <c r="AU397" s="2">
        <v>0</v>
      </c>
      <c r="AV397" s="2">
        <v>0</v>
      </c>
      <c r="AW397" s="6">
        <f>SUM(AS397:AV397)/Variables!$E$3</f>
        <v>0</v>
      </c>
      <c r="AX397" s="4">
        <v>0</v>
      </c>
      <c r="AY397" s="2">
        <v>0</v>
      </c>
      <c r="AZ397" s="2">
        <v>0</v>
      </c>
      <c r="BA397" s="2">
        <v>0</v>
      </c>
      <c r="BB397" s="6">
        <f>SUM(AX397:BA397)/Variables!$E$3</f>
        <v>0</v>
      </c>
      <c r="BC397" s="12">
        <f t="shared" si="101"/>
        <v>0</v>
      </c>
      <c r="BD397" s="110">
        <f t="shared" si="101"/>
        <v>0</v>
      </c>
      <c r="BE397" s="110">
        <f t="shared" si="101"/>
        <v>0</v>
      </c>
      <c r="BF397" s="110">
        <f t="shared" si="98"/>
        <v>0</v>
      </c>
      <c r="BG397" s="6">
        <f>SUM(BC397:BF397)/Variables!$E$3</f>
        <v>0</v>
      </c>
      <c r="BH397" s="4">
        <v>0</v>
      </c>
      <c r="BI397">
        <v>0</v>
      </c>
      <c r="BJ397">
        <v>0</v>
      </c>
      <c r="BK397">
        <v>0</v>
      </c>
      <c r="BL397" s="6">
        <f>SUM(BH397:BK397)/Variables!$E$3</f>
        <v>0</v>
      </c>
      <c r="BM397" s="110">
        <v>0</v>
      </c>
      <c r="BN397" s="110">
        <v>0</v>
      </c>
      <c r="BO397" s="110">
        <v>0</v>
      </c>
      <c r="BP397" s="110">
        <v>0</v>
      </c>
      <c r="BQ397" s="6">
        <f>SUM(BM397:BP397)/Variables!$E$3</f>
        <v>0</v>
      </c>
      <c r="BS397" s="4">
        <v>395</v>
      </c>
      <c r="BT397" s="125">
        <f t="shared" si="102"/>
        <v>0</v>
      </c>
      <c r="BU397" s="125">
        <f t="shared" si="88"/>
        <v>0</v>
      </c>
      <c r="BV397" s="125">
        <f t="shared" si="89"/>
        <v>0</v>
      </c>
      <c r="BW397" s="125">
        <f t="shared" si="90"/>
        <v>0</v>
      </c>
      <c r="BX397" s="125">
        <f t="shared" si="91"/>
        <v>0</v>
      </c>
      <c r="BY397" s="125">
        <f t="shared" si="92"/>
        <v>0</v>
      </c>
      <c r="BZ397" s="125">
        <f t="shared" si="93"/>
        <v>0</v>
      </c>
      <c r="CA397" s="125">
        <f t="shared" si="94"/>
        <v>0</v>
      </c>
      <c r="CB397" s="125">
        <f t="shared" si="95"/>
        <v>0</v>
      </c>
      <c r="CC397" s="125">
        <f t="shared" si="96"/>
        <v>0</v>
      </c>
      <c r="CD397" s="125">
        <f t="shared" si="97"/>
        <v>0</v>
      </c>
      <c r="CE397" s="125">
        <f t="shared" si="99"/>
        <v>0</v>
      </c>
      <c r="CF397" s="126">
        <f t="shared" si="100"/>
        <v>0</v>
      </c>
      <c r="CH397" s="4">
        <v>395</v>
      </c>
      <c r="CI397" s="129">
        <v>0</v>
      </c>
      <c r="CJ397" s="125">
        <v>0</v>
      </c>
      <c r="CK397" s="125">
        <v>0</v>
      </c>
      <c r="CL397" s="125">
        <v>0</v>
      </c>
      <c r="CM397" s="125">
        <v>0</v>
      </c>
      <c r="CN397" s="125">
        <v>0</v>
      </c>
      <c r="CO397" s="125">
        <v>0</v>
      </c>
      <c r="CP397" s="125">
        <v>0</v>
      </c>
      <c r="CQ397" s="125">
        <v>0</v>
      </c>
      <c r="CR397" s="125">
        <v>0</v>
      </c>
      <c r="CS397" s="125">
        <v>0</v>
      </c>
      <c r="CT397" s="125">
        <v>0</v>
      </c>
      <c r="CU397" s="126">
        <v>0</v>
      </c>
    </row>
    <row r="398" spans="1:99" x14ac:dyDescent="0.25">
      <c r="A398" t="s">
        <v>283</v>
      </c>
      <c r="B398" s="2" t="s">
        <v>3</v>
      </c>
      <c r="C398" s="1">
        <v>37680</v>
      </c>
      <c r="D398" s="19">
        <v>56.835714285714303</v>
      </c>
      <c r="E398" s="18">
        <v>0</v>
      </c>
      <c r="F398" s="19">
        <v>0</v>
      </c>
      <c r="G398" s="19">
        <v>0</v>
      </c>
      <c r="H398" s="19">
        <v>0</v>
      </c>
      <c r="I398" s="19">
        <f>SUM(E398:H398)/Variables!$E$3</f>
        <v>0</v>
      </c>
      <c r="J398" s="4">
        <v>0</v>
      </c>
      <c r="K398">
        <v>0</v>
      </c>
      <c r="L398">
        <v>0</v>
      </c>
      <c r="M398">
        <v>0</v>
      </c>
      <c r="N398" s="6">
        <f>SUM(J398:M398)/Variables!$E$3</f>
        <v>0</v>
      </c>
      <c r="O398" s="4">
        <v>0</v>
      </c>
      <c r="P398">
        <v>0</v>
      </c>
      <c r="Q398">
        <v>0</v>
      </c>
      <c r="R398">
        <v>0</v>
      </c>
      <c r="S398" s="6">
        <f>SUM(O398:R398)/Variables!$E$3</f>
        <v>0</v>
      </c>
      <c r="T398" s="4">
        <v>0</v>
      </c>
      <c r="U398">
        <v>0</v>
      </c>
      <c r="V398">
        <v>0</v>
      </c>
      <c r="W398">
        <v>0</v>
      </c>
      <c r="X398" s="6">
        <f>SUM(T398:W398)/Variables!$E$3</f>
        <v>0</v>
      </c>
      <c r="Y398" s="4">
        <v>0</v>
      </c>
      <c r="Z398">
        <v>0</v>
      </c>
      <c r="AA398">
        <v>0</v>
      </c>
      <c r="AB398">
        <v>0</v>
      </c>
      <c r="AC398" s="6">
        <f>SUM(Y398:AB398)/Variables!$E$3</f>
        <v>0</v>
      </c>
      <c r="AD398" s="4">
        <v>0</v>
      </c>
      <c r="AE398" s="2">
        <v>0</v>
      </c>
      <c r="AF398" s="2">
        <v>0</v>
      </c>
      <c r="AG398" s="2">
        <v>0</v>
      </c>
      <c r="AH398" s="6">
        <f>SUM(AD398:AG398)/Variables!$E$3</f>
        <v>0</v>
      </c>
      <c r="AI398" s="4">
        <v>0</v>
      </c>
      <c r="AJ398" s="2">
        <v>0</v>
      </c>
      <c r="AK398" s="2">
        <v>0</v>
      </c>
      <c r="AL398" s="2">
        <v>0</v>
      </c>
      <c r="AM398" s="6">
        <f>SUM(AI398:AL398)/Variables!$E$3</f>
        <v>0</v>
      </c>
      <c r="AN398" s="4">
        <v>0</v>
      </c>
      <c r="AO398" s="2">
        <v>0</v>
      </c>
      <c r="AP398" s="2">
        <v>0</v>
      </c>
      <c r="AQ398" s="2">
        <v>0</v>
      </c>
      <c r="AR398" s="6">
        <f>SUM(AN398:AQ398)/Variables!$E$3</f>
        <v>0</v>
      </c>
      <c r="AS398" s="4">
        <v>0</v>
      </c>
      <c r="AT398" s="2">
        <v>0</v>
      </c>
      <c r="AU398" s="2">
        <v>0</v>
      </c>
      <c r="AV398" s="2">
        <v>0</v>
      </c>
      <c r="AW398" s="6">
        <f>SUM(AS398:AV398)/Variables!$E$3</f>
        <v>0</v>
      </c>
      <c r="AX398" s="4">
        <v>0</v>
      </c>
      <c r="AY398" s="2">
        <v>0</v>
      </c>
      <c r="AZ398" s="2">
        <v>0</v>
      </c>
      <c r="BA398" s="2">
        <v>0</v>
      </c>
      <c r="BB398" s="6">
        <f>SUM(AX398:BA398)/Variables!$E$3</f>
        <v>0</v>
      </c>
      <c r="BC398" s="12">
        <f t="shared" si="101"/>
        <v>0</v>
      </c>
      <c r="BD398" s="110">
        <f t="shared" si="101"/>
        <v>0</v>
      </c>
      <c r="BE398" s="110">
        <f t="shared" si="101"/>
        <v>0</v>
      </c>
      <c r="BF398" s="110">
        <f t="shared" si="98"/>
        <v>0</v>
      </c>
      <c r="BG398" s="6">
        <f>SUM(BC398:BF398)/Variables!$E$3</f>
        <v>0</v>
      </c>
      <c r="BH398" s="4">
        <v>0</v>
      </c>
      <c r="BI398">
        <v>0</v>
      </c>
      <c r="BJ398">
        <v>0</v>
      </c>
      <c r="BK398">
        <v>0</v>
      </c>
      <c r="BL398" s="6">
        <f>SUM(BH398:BK398)/Variables!$E$3</f>
        <v>0</v>
      </c>
      <c r="BM398" s="110">
        <v>0</v>
      </c>
      <c r="BN398" s="110">
        <v>0</v>
      </c>
      <c r="BO398" s="110">
        <v>0</v>
      </c>
      <c r="BP398" s="110">
        <v>0</v>
      </c>
      <c r="BQ398" s="6">
        <f>SUM(BM398:BP398)/Variables!$E$3</f>
        <v>0</v>
      </c>
      <c r="BS398" s="4">
        <v>396</v>
      </c>
      <c r="BT398" s="125">
        <f t="shared" si="102"/>
        <v>0</v>
      </c>
      <c r="BU398" s="125">
        <f t="shared" si="88"/>
        <v>1.8251925985162194E-2</v>
      </c>
      <c r="BV398" s="125">
        <f t="shared" si="89"/>
        <v>0</v>
      </c>
      <c r="BW398" s="125">
        <f t="shared" si="90"/>
        <v>0</v>
      </c>
      <c r="BX398" s="125">
        <f t="shared" si="91"/>
        <v>0</v>
      </c>
      <c r="BY398" s="125">
        <f t="shared" si="92"/>
        <v>0</v>
      </c>
      <c r="BZ398" s="125">
        <f t="shared" si="93"/>
        <v>0</v>
      </c>
      <c r="CA398" s="125">
        <f t="shared" si="94"/>
        <v>0</v>
      </c>
      <c r="CB398" s="125">
        <f t="shared" si="95"/>
        <v>0</v>
      </c>
      <c r="CC398" s="125">
        <f t="shared" si="96"/>
        <v>0</v>
      </c>
      <c r="CD398" s="125">
        <f t="shared" si="97"/>
        <v>0</v>
      </c>
      <c r="CE398" s="125">
        <f t="shared" si="99"/>
        <v>0</v>
      </c>
      <c r="CF398" s="126">
        <f t="shared" si="100"/>
        <v>0</v>
      </c>
      <c r="CH398" s="4">
        <v>396</v>
      </c>
      <c r="CI398" s="129">
        <v>0</v>
      </c>
      <c r="CJ398" s="125">
        <v>0</v>
      </c>
      <c r="CK398" s="125">
        <v>0</v>
      </c>
      <c r="CL398" s="125">
        <v>0</v>
      </c>
      <c r="CM398" s="125">
        <v>0</v>
      </c>
      <c r="CN398" s="125">
        <v>0</v>
      </c>
      <c r="CO398" s="125">
        <v>0</v>
      </c>
      <c r="CP398" s="125">
        <v>0</v>
      </c>
      <c r="CQ398" s="125">
        <v>0</v>
      </c>
      <c r="CR398" s="125">
        <v>0</v>
      </c>
      <c r="CS398" s="125">
        <v>0</v>
      </c>
      <c r="CT398" s="125">
        <v>0</v>
      </c>
      <c r="CU398" s="126">
        <v>0</v>
      </c>
    </row>
    <row r="399" spans="1:99" x14ac:dyDescent="0.25">
      <c r="A399" t="s">
        <v>283</v>
      </c>
      <c r="B399" s="2" t="s">
        <v>4</v>
      </c>
      <c r="C399" s="1">
        <v>37772</v>
      </c>
      <c r="D399" s="19">
        <v>95.85</v>
      </c>
      <c r="E399" s="18">
        <v>0</v>
      </c>
      <c r="F399" s="19">
        <v>0</v>
      </c>
      <c r="G399" s="19">
        <v>0</v>
      </c>
      <c r="H399" s="19">
        <v>0</v>
      </c>
      <c r="I399" s="19">
        <f>SUM(E399:H399)/Variables!$E$3</f>
        <v>0</v>
      </c>
      <c r="J399" s="4">
        <v>0</v>
      </c>
      <c r="K399">
        <v>0</v>
      </c>
      <c r="L399">
        <v>23052</v>
      </c>
      <c r="M399">
        <v>0</v>
      </c>
      <c r="N399" s="6">
        <f>SUM(J399:M399)/Variables!$E$3</f>
        <v>1.8251925985162194E-2</v>
      </c>
      <c r="O399" s="4">
        <v>0</v>
      </c>
      <c r="P399">
        <v>0</v>
      </c>
      <c r="Q399">
        <v>0</v>
      </c>
      <c r="R399">
        <v>0</v>
      </c>
      <c r="S399" s="6">
        <f>SUM(O399:R399)/Variables!$E$3</f>
        <v>0</v>
      </c>
      <c r="T399" s="4">
        <v>0</v>
      </c>
      <c r="U399">
        <v>0</v>
      </c>
      <c r="V399">
        <v>0</v>
      </c>
      <c r="W399">
        <v>0</v>
      </c>
      <c r="X399" s="6">
        <f>SUM(T399:W399)/Variables!$E$3</f>
        <v>0</v>
      </c>
      <c r="Y399" s="4">
        <v>0</v>
      </c>
      <c r="Z399">
        <v>0</v>
      </c>
      <c r="AA399">
        <v>0</v>
      </c>
      <c r="AB399">
        <v>0</v>
      </c>
      <c r="AC399" s="6">
        <f>SUM(Y399:AB399)/Variables!$E$3</f>
        <v>0</v>
      </c>
      <c r="AD399" s="4">
        <v>0</v>
      </c>
      <c r="AE399" s="2">
        <v>0</v>
      </c>
      <c r="AF399" s="2">
        <v>0</v>
      </c>
      <c r="AG399" s="2">
        <v>0</v>
      </c>
      <c r="AH399" s="6">
        <f>SUM(AD399:AG399)/Variables!$E$3</f>
        <v>0</v>
      </c>
      <c r="AI399" s="4">
        <v>0</v>
      </c>
      <c r="AJ399" s="2">
        <v>0</v>
      </c>
      <c r="AK399" s="2">
        <v>0</v>
      </c>
      <c r="AL399" s="2">
        <v>0</v>
      </c>
      <c r="AM399" s="6">
        <f>SUM(AI399:AL399)/Variables!$E$3</f>
        <v>0</v>
      </c>
      <c r="AN399" s="4">
        <v>0</v>
      </c>
      <c r="AO399" s="2">
        <v>0</v>
      </c>
      <c r="AP399" s="2">
        <v>0</v>
      </c>
      <c r="AQ399" s="2">
        <v>0</v>
      </c>
      <c r="AR399" s="6">
        <f>SUM(AN399:AQ399)/Variables!$E$3</f>
        <v>0</v>
      </c>
      <c r="AS399" s="4">
        <v>0</v>
      </c>
      <c r="AT399" s="2">
        <v>0</v>
      </c>
      <c r="AU399" s="2">
        <v>0</v>
      </c>
      <c r="AV399" s="2">
        <v>0</v>
      </c>
      <c r="AW399" s="6">
        <f>SUM(AS399:AV399)/Variables!$E$3</f>
        <v>0</v>
      </c>
      <c r="AX399" s="4">
        <v>0</v>
      </c>
      <c r="AY399" s="2">
        <v>0</v>
      </c>
      <c r="AZ399" s="2">
        <v>0</v>
      </c>
      <c r="BA399" s="2">
        <v>0</v>
      </c>
      <c r="BB399" s="6">
        <f>SUM(AX399:BA399)/Variables!$E$3</f>
        <v>0</v>
      </c>
      <c r="BC399" s="12">
        <f t="shared" si="101"/>
        <v>0</v>
      </c>
      <c r="BD399" s="110">
        <f t="shared" si="101"/>
        <v>0</v>
      </c>
      <c r="BE399" s="110">
        <f t="shared" si="101"/>
        <v>0</v>
      </c>
      <c r="BF399" s="110">
        <f t="shared" si="98"/>
        <v>0</v>
      </c>
      <c r="BG399" s="6">
        <f>SUM(BC399:BF399)/Variables!$E$3</f>
        <v>0</v>
      </c>
      <c r="BH399" s="4">
        <v>0</v>
      </c>
      <c r="BI399">
        <v>0</v>
      </c>
      <c r="BJ399">
        <v>0</v>
      </c>
      <c r="BK399">
        <v>0</v>
      </c>
      <c r="BL399" s="6">
        <f>SUM(BH399:BK399)/Variables!$E$3</f>
        <v>0</v>
      </c>
      <c r="BM399" s="110">
        <v>0</v>
      </c>
      <c r="BN399" s="110">
        <v>0</v>
      </c>
      <c r="BO399" s="110">
        <v>0</v>
      </c>
      <c r="BP399" s="110">
        <v>0</v>
      </c>
      <c r="BQ399" s="6">
        <f>SUM(BM399:BP399)/Variables!$E$3</f>
        <v>0</v>
      </c>
      <c r="BS399" s="4">
        <v>397</v>
      </c>
      <c r="BT399" s="125">
        <f t="shared" si="102"/>
        <v>0</v>
      </c>
      <c r="BU399" s="125">
        <f t="shared" si="88"/>
        <v>0</v>
      </c>
      <c r="BV399" s="125">
        <f t="shared" si="89"/>
        <v>0</v>
      </c>
      <c r="BW399" s="125">
        <f t="shared" si="90"/>
        <v>0</v>
      </c>
      <c r="BX399" s="125">
        <f t="shared" si="91"/>
        <v>0</v>
      </c>
      <c r="BY399" s="125">
        <f t="shared" si="92"/>
        <v>0</v>
      </c>
      <c r="BZ399" s="125">
        <f t="shared" si="93"/>
        <v>0</v>
      </c>
      <c r="CA399" s="125">
        <f t="shared" si="94"/>
        <v>0</v>
      </c>
      <c r="CB399" s="125">
        <f t="shared" si="95"/>
        <v>0</v>
      </c>
      <c r="CC399" s="125">
        <f t="shared" si="96"/>
        <v>0</v>
      </c>
      <c r="CD399" s="125">
        <f t="shared" si="97"/>
        <v>0</v>
      </c>
      <c r="CE399" s="125">
        <f t="shared" si="99"/>
        <v>0</v>
      </c>
      <c r="CF399" s="126">
        <f t="shared" si="100"/>
        <v>0</v>
      </c>
      <c r="CH399" s="4">
        <v>397</v>
      </c>
      <c r="CI399" s="129">
        <v>0</v>
      </c>
      <c r="CJ399" s="125">
        <v>0</v>
      </c>
      <c r="CK399" s="125">
        <v>0</v>
      </c>
      <c r="CL399" s="125">
        <v>0</v>
      </c>
      <c r="CM399" s="125">
        <v>0</v>
      </c>
      <c r="CN399" s="125">
        <v>0</v>
      </c>
      <c r="CO399" s="125">
        <v>0</v>
      </c>
      <c r="CP399" s="125">
        <v>0</v>
      </c>
      <c r="CQ399" s="125">
        <v>0</v>
      </c>
      <c r="CR399" s="125">
        <v>0</v>
      </c>
      <c r="CS399" s="125">
        <v>0</v>
      </c>
      <c r="CT399" s="125">
        <v>0</v>
      </c>
      <c r="CU399" s="126">
        <v>0</v>
      </c>
    </row>
    <row r="400" spans="1:99" x14ac:dyDescent="0.25">
      <c r="A400" t="s">
        <v>283</v>
      </c>
      <c r="B400" s="2" t="s">
        <v>1</v>
      </c>
      <c r="C400" s="1">
        <v>37864</v>
      </c>
      <c r="D400" s="19">
        <v>50.375</v>
      </c>
      <c r="E400" s="18">
        <v>0</v>
      </c>
      <c r="F400" s="19">
        <v>0</v>
      </c>
      <c r="G400" s="19">
        <v>0</v>
      </c>
      <c r="H400" s="19">
        <v>0</v>
      </c>
      <c r="I400" s="19">
        <f>SUM(E400:H400)/Variables!$E$3</f>
        <v>0</v>
      </c>
      <c r="J400" s="4">
        <v>0</v>
      </c>
      <c r="K400">
        <v>0</v>
      </c>
      <c r="L400">
        <v>0</v>
      </c>
      <c r="M400">
        <v>0</v>
      </c>
      <c r="N400" s="6">
        <f>SUM(J400:M400)/Variables!$E$3</f>
        <v>0</v>
      </c>
      <c r="O400" s="4">
        <v>0</v>
      </c>
      <c r="P400">
        <v>0</v>
      </c>
      <c r="Q400">
        <v>0</v>
      </c>
      <c r="R400">
        <v>0</v>
      </c>
      <c r="S400" s="6">
        <f>SUM(O400:R400)/Variables!$E$3</f>
        <v>0</v>
      </c>
      <c r="T400" s="4">
        <v>0</v>
      </c>
      <c r="U400">
        <v>0</v>
      </c>
      <c r="V400">
        <v>0</v>
      </c>
      <c r="W400">
        <v>0</v>
      </c>
      <c r="X400" s="6">
        <f>SUM(T400:W400)/Variables!$E$3</f>
        <v>0</v>
      </c>
      <c r="Y400" s="4">
        <v>0</v>
      </c>
      <c r="Z400">
        <v>0</v>
      </c>
      <c r="AA400">
        <v>0</v>
      </c>
      <c r="AB400">
        <v>0</v>
      </c>
      <c r="AC400" s="6">
        <f>SUM(Y400:AB400)/Variables!$E$3</f>
        <v>0</v>
      </c>
      <c r="AD400" s="4">
        <v>0</v>
      </c>
      <c r="AE400" s="2">
        <v>0</v>
      </c>
      <c r="AF400" s="2">
        <v>0</v>
      </c>
      <c r="AG400" s="2">
        <v>0</v>
      </c>
      <c r="AH400" s="6">
        <f>SUM(AD400:AG400)/Variables!$E$3</f>
        <v>0</v>
      </c>
      <c r="AI400" s="4">
        <v>0</v>
      </c>
      <c r="AJ400" s="2">
        <v>0</v>
      </c>
      <c r="AK400" s="2">
        <v>0</v>
      </c>
      <c r="AL400" s="2">
        <v>0</v>
      </c>
      <c r="AM400" s="6">
        <f>SUM(AI400:AL400)/Variables!$E$3</f>
        <v>0</v>
      </c>
      <c r="AN400" s="4">
        <v>0</v>
      </c>
      <c r="AO400" s="2">
        <v>0</v>
      </c>
      <c r="AP400" s="2">
        <v>0</v>
      </c>
      <c r="AQ400" s="2">
        <v>0</v>
      </c>
      <c r="AR400" s="6">
        <f>SUM(AN400:AQ400)/Variables!$E$3</f>
        <v>0</v>
      </c>
      <c r="AS400" s="4">
        <v>0</v>
      </c>
      <c r="AT400" s="2">
        <v>0</v>
      </c>
      <c r="AU400" s="2">
        <v>0</v>
      </c>
      <c r="AV400" s="2">
        <v>0</v>
      </c>
      <c r="AW400" s="6">
        <f>SUM(AS400:AV400)/Variables!$E$3</f>
        <v>0</v>
      </c>
      <c r="AX400" s="4">
        <v>0</v>
      </c>
      <c r="AY400" s="2">
        <v>0</v>
      </c>
      <c r="AZ400" s="2">
        <v>0</v>
      </c>
      <c r="BA400" s="2">
        <v>0</v>
      </c>
      <c r="BB400" s="6">
        <f>SUM(AX400:BA400)/Variables!$E$3</f>
        <v>0</v>
      </c>
      <c r="BC400" s="12">
        <f t="shared" si="101"/>
        <v>0</v>
      </c>
      <c r="BD400" s="110">
        <f t="shared" si="101"/>
        <v>0</v>
      </c>
      <c r="BE400" s="110">
        <f t="shared" si="101"/>
        <v>0</v>
      </c>
      <c r="BF400" s="110">
        <f t="shared" si="98"/>
        <v>0</v>
      </c>
      <c r="BG400" s="6">
        <f>SUM(BC400:BF400)/Variables!$E$3</f>
        <v>0</v>
      </c>
      <c r="BH400" s="4">
        <v>0</v>
      </c>
      <c r="BI400">
        <v>0</v>
      </c>
      <c r="BJ400">
        <v>0</v>
      </c>
      <c r="BK400">
        <v>0</v>
      </c>
      <c r="BL400" s="6">
        <f>SUM(BH400:BK400)/Variables!$E$3</f>
        <v>0</v>
      </c>
      <c r="BM400" s="110">
        <v>0</v>
      </c>
      <c r="BN400" s="110">
        <v>0</v>
      </c>
      <c r="BO400" s="110">
        <v>0</v>
      </c>
      <c r="BP400" s="110">
        <v>0</v>
      </c>
      <c r="BQ400" s="6">
        <f>SUM(BM400:BP400)/Variables!$E$3</f>
        <v>0</v>
      </c>
      <c r="BS400" s="4">
        <v>398</v>
      </c>
      <c r="BT400" s="125">
        <f t="shared" si="102"/>
        <v>0</v>
      </c>
      <c r="BU400" s="125">
        <f t="shared" si="88"/>
        <v>0</v>
      </c>
      <c r="BV400" s="125">
        <f t="shared" si="89"/>
        <v>0</v>
      </c>
      <c r="BW400" s="125">
        <f t="shared" si="90"/>
        <v>0</v>
      </c>
      <c r="BX400" s="125">
        <f t="shared" si="91"/>
        <v>0</v>
      </c>
      <c r="BY400" s="125">
        <f t="shared" si="92"/>
        <v>0</v>
      </c>
      <c r="BZ400" s="125">
        <f t="shared" si="93"/>
        <v>0</v>
      </c>
      <c r="CA400" s="125">
        <f t="shared" si="94"/>
        <v>0</v>
      </c>
      <c r="CB400" s="125">
        <f t="shared" si="95"/>
        <v>0</v>
      </c>
      <c r="CC400" s="125">
        <f t="shared" si="96"/>
        <v>0</v>
      </c>
      <c r="CD400" s="125">
        <f t="shared" si="97"/>
        <v>0</v>
      </c>
      <c r="CE400" s="125">
        <f t="shared" si="99"/>
        <v>0</v>
      </c>
      <c r="CF400" s="126">
        <f t="shared" si="100"/>
        <v>0</v>
      </c>
      <c r="CH400" s="4">
        <v>398</v>
      </c>
      <c r="CI400" s="129">
        <v>0</v>
      </c>
      <c r="CJ400" s="125">
        <v>0</v>
      </c>
      <c r="CK400" s="125">
        <v>0</v>
      </c>
      <c r="CL400" s="125">
        <v>0</v>
      </c>
      <c r="CM400" s="125">
        <v>0</v>
      </c>
      <c r="CN400" s="125">
        <v>0</v>
      </c>
      <c r="CO400" s="125">
        <v>0</v>
      </c>
      <c r="CP400" s="125">
        <v>0</v>
      </c>
      <c r="CQ400" s="125">
        <v>0</v>
      </c>
      <c r="CR400" s="125">
        <v>0</v>
      </c>
      <c r="CS400" s="125">
        <v>0</v>
      </c>
      <c r="CT400" s="125">
        <v>0</v>
      </c>
      <c r="CU400" s="126">
        <v>0</v>
      </c>
    </row>
    <row r="401" spans="1:99" x14ac:dyDescent="0.25">
      <c r="A401" t="s">
        <v>283</v>
      </c>
      <c r="B401" s="2" t="s">
        <v>2</v>
      </c>
      <c r="C401" s="1">
        <v>37955</v>
      </c>
      <c r="D401" s="19">
        <v>23.875</v>
      </c>
      <c r="E401" s="18">
        <v>0</v>
      </c>
      <c r="F401" s="19">
        <v>0</v>
      </c>
      <c r="G401" s="19">
        <v>0</v>
      </c>
      <c r="H401" s="19">
        <v>0</v>
      </c>
      <c r="I401" s="19">
        <f>SUM(E401:H401)/Variables!$E$3</f>
        <v>0</v>
      </c>
      <c r="J401" s="4">
        <v>0</v>
      </c>
      <c r="K401">
        <v>0</v>
      </c>
      <c r="L401">
        <v>0</v>
      </c>
      <c r="M401">
        <v>0</v>
      </c>
      <c r="N401" s="6">
        <f>SUM(J401:M401)/Variables!$E$3</f>
        <v>0</v>
      </c>
      <c r="O401" s="4">
        <v>0</v>
      </c>
      <c r="P401">
        <v>0</v>
      </c>
      <c r="Q401">
        <v>0</v>
      </c>
      <c r="R401">
        <v>0</v>
      </c>
      <c r="S401" s="6">
        <f>SUM(O401:R401)/Variables!$E$3</f>
        <v>0</v>
      </c>
      <c r="T401" s="4">
        <v>0</v>
      </c>
      <c r="U401">
        <v>0</v>
      </c>
      <c r="V401">
        <v>0</v>
      </c>
      <c r="W401">
        <v>0</v>
      </c>
      <c r="X401" s="6">
        <f>SUM(T401:W401)/Variables!$E$3</f>
        <v>0</v>
      </c>
      <c r="Y401" s="4">
        <v>0</v>
      </c>
      <c r="Z401">
        <v>0</v>
      </c>
      <c r="AA401">
        <v>0</v>
      </c>
      <c r="AB401">
        <v>0</v>
      </c>
      <c r="AC401" s="6">
        <f>SUM(Y401:AB401)/Variables!$E$3</f>
        <v>0</v>
      </c>
      <c r="AD401" s="4">
        <v>0</v>
      </c>
      <c r="AE401" s="2">
        <v>0</v>
      </c>
      <c r="AF401" s="2">
        <v>0</v>
      </c>
      <c r="AG401" s="2">
        <v>0</v>
      </c>
      <c r="AH401" s="6">
        <f>SUM(AD401:AG401)/Variables!$E$3</f>
        <v>0</v>
      </c>
      <c r="AI401" s="4">
        <v>0</v>
      </c>
      <c r="AJ401" s="2">
        <v>0</v>
      </c>
      <c r="AK401" s="2">
        <v>0</v>
      </c>
      <c r="AL401" s="2">
        <v>0</v>
      </c>
      <c r="AM401" s="6">
        <f>SUM(AI401:AL401)/Variables!$E$3</f>
        <v>0</v>
      </c>
      <c r="AN401" s="4">
        <v>0</v>
      </c>
      <c r="AO401" s="2">
        <v>0</v>
      </c>
      <c r="AP401" s="2">
        <v>0</v>
      </c>
      <c r="AQ401" s="2">
        <v>0</v>
      </c>
      <c r="AR401" s="6">
        <f>SUM(AN401:AQ401)/Variables!$E$3</f>
        <v>0</v>
      </c>
      <c r="AS401" s="4">
        <v>0</v>
      </c>
      <c r="AT401" s="2">
        <v>0</v>
      </c>
      <c r="AU401" s="2">
        <v>0</v>
      </c>
      <c r="AV401" s="2">
        <v>0</v>
      </c>
      <c r="AW401" s="6">
        <f>SUM(AS401:AV401)/Variables!$E$3</f>
        <v>0</v>
      </c>
      <c r="AX401" s="4">
        <v>0</v>
      </c>
      <c r="AY401" s="2">
        <v>0</v>
      </c>
      <c r="AZ401" s="2">
        <v>0</v>
      </c>
      <c r="BA401" s="2">
        <v>0</v>
      </c>
      <c r="BB401" s="6">
        <f>SUM(AX401:BA401)/Variables!$E$3</f>
        <v>0</v>
      </c>
      <c r="BC401" s="12">
        <f t="shared" si="101"/>
        <v>0</v>
      </c>
      <c r="BD401" s="110">
        <f t="shared" si="101"/>
        <v>0</v>
      </c>
      <c r="BE401" s="110">
        <f t="shared" si="101"/>
        <v>0</v>
      </c>
      <c r="BF401" s="110">
        <f t="shared" si="98"/>
        <v>0</v>
      </c>
      <c r="BG401" s="6">
        <f>SUM(BC401:BF401)/Variables!$E$3</f>
        <v>0</v>
      </c>
      <c r="BH401" s="4">
        <v>0</v>
      </c>
      <c r="BI401">
        <v>0</v>
      </c>
      <c r="BJ401">
        <v>0</v>
      </c>
      <c r="BK401">
        <v>0</v>
      </c>
      <c r="BL401" s="6">
        <f>SUM(BH401:BK401)/Variables!$E$3</f>
        <v>0</v>
      </c>
      <c r="BM401" s="110">
        <v>0</v>
      </c>
      <c r="BN401" s="110">
        <v>0</v>
      </c>
      <c r="BO401" s="110">
        <v>0</v>
      </c>
      <c r="BP401" s="110">
        <v>0</v>
      </c>
      <c r="BQ401" s="6">
        <f>SUM(BM401:BP401)/Variables!$E$3</f>
        <v>0</v>
      </c>
      <c r="BS401" s="4">
        <v>399</v>
      </c>
      <c r="BT401" s="125">
        <f t="shared" si="102"/>
        <v>0</v>
      </c>
      <c r="BU401" s="125">
        <f t="shared" si="88"/>
        <v>0.26415411048385179</v>
      </c>
      <c r="BV401" s="125">
        <f t="shared" si="89"/>
        <v>1.9942359005217777E-2</v>
      </c>
      <c r="BW401" s="125">
        <f t="shared" si="90"/>
        <v>6.9438396186826498E-2</v>
      </c>
      <c r="BX401" s="125">
        <f t="shared" si="91"/>
        <v>6.8103152043959184E-2</v>
      </c>
      <c r="BY401" s="125">
        <f t="shared" si="92"/>
        <v>4.9817892461539677E-2</v>
      </c>
      <c r="BZ401" s="125">
        <f t="shared" si="93"/>
        <v>4.4205338126192609E-2</v>
      </c>
      <c r="CA401" s="125">
        <f t="shared" si="94"/>
        <v>4.9880521619331902E-2</v>
      </c>
      <c r="CB401" s="125">
        <f t="shared" si="95"/>
        <v>7.609688121046089E-2</v>
      </c>
      <c r="CC401" s="125">
        <f t="shared" si="96"/>
        <v>5.6301712602633433E-2</v>
      </c>
      <c r="CD401" s="125">
        <f t="shared" si="97"/>
        <v>6.8103152043959184E-2</v>
      </c>
      <c r="CE401" s="125">
        <f t="shared" si="99"/>
        <v>5.2449742278244484E-2</v>
      </c>
      <c r="CF401" s="126">
        <f t="shared" si="100"/>
        <v>5.7054212622427727E-2</v>
      </c>
      <c r="CH401" s="4">
        <v>399</v>
      </c>
      <c r="CI401" s="129">
        <v>0</v>
      </c>
      <c r="CJ401" s="125">
        <v>0.23688429837132519</v>
      </c>
      <c r="CK401" s="125">
        <v>0</v>
      </c>
      <c r="CL401" s="125">
        <v>0</v>
      </c>
      <c r="CM401" s="125">
        <v>0</v>
      </c>
      <c r="CN401" s="125">
        <v>0</v>
      </c>
      <c r="CO401" s="125">
        <v>0</v>
      </c>
      <c r="CP401" s="125">
        <v>0</v>
      </c>
      <c r="CQ401" s="125">
        <v>0</v>
      </c>
      <c r="CR401" s="125">
        <v>0</v>
      </c>
      <c r="CS401" s="125">
        <v>0</v>
      </c>
      <c r="CT401" s="125">
        <v>0</v>
      </c>
      <c r="CU401" s="126">
        <v>0</v>
      </c>
    </row>
    <row r="402" spans="1:99" x14ac:dyDescent="0.25">
      <c r="A402" t="s">
        <v>284</v>
      </c>
      <c r="B402" s="2" t="s">
        <v>3</v>
      </c>
      <c r="C402" s="1">
        <v>38045</v>
      </c>
      <c r="D402" s="19">
        <v>151.98142857142901</v>
      </c>
      <c r="E402" s="18">
        <v>0</v>
      </c>
      <c r="F402" s="19">
        <v>0</v>
      </c>
      <c r="G402" s="19">
        <v>0</v>
      </c>
      <c r="H402" s="19">
        <v>0</v>
      </c>
      <c r="I402" s="19">
        <f>SUM(E402:H402)/Variables!$E$3</f>
        <v>0</v>
      </c>
      <c r="J402" s="4">
        <v>8098</v>
      </c>
      <c r="K402">
        <v>18556</v>
      </c>
      <c r="L402">
        <v>268764</v>
      </c>
      <c r="M402">
        <v>38206</v>
      </c>
      <c r="N402" s="6">
        <f>SUM(J402:M402)/Variables!$E$3</f>
        <v>0.26415411048385179</v>
      </c>
      <c r="O402" s="4">
        <v>0</v>
      </c>
      <c r="P402">
        <v>0</v>
      </c>
      <c r="Q402">
        <v>19805</v>
      </c>
      <c r="R402">
        <v>5382</v>
      </c>
      <c r="S402" s="6">
        <f>SUM(O402:R402)/Variables!$E$3</f>
        <v>1.9942359005217777E-2</v>
      </c>
      <c r="T402" s="4">
        <v>0</v>
      </c>
      <c r="U402">
        <v>0</v>
      </c>
      <c r="V402">
        <v>75896.399999999994</v>
      </c>
      <c r="W402">
        <v>11803.6</v>
      </c>
      <c r="X402" s="6">
        <f>SUM(T402:W402)/Variables!$E$3</f>
        <v>6.9438396186826498E-2</v>
      </c>
      <c r="Y402" s="4">
        <v>0</v>
      </c>
      <c r="Z402">
        <v>0</v>
      </c>
      <c r="AA402">
        <v>74072.800000000003</v>
      </c>
      <c r="AB402">
        <v>11940.8</v>
      </c>
      <c r="AC402" s="6">
        <f>SUM(Y402:AB402)/Variables!$E$3</f>
        <v>6.8103152043959184E-2</v>
      </c>
      <c r="AD402" s="4">
        <v>0</v>
      </c>
      <c r="AE402" s="2">
        <v>0</v>
      </c>
      <c r="AF402" s="2">
        <v>52008.4</v>
      </c>
      <c r="AG402" s="2">
        <v>10911.1</v>
      </c>
      <c r="AH402" s="6">
        <f>SUM(AD402:AG402)/Variables!$E$3</f>
        <v>4.9817892461539677E-2</v>
      </c>
      <c r="AI402" s="4">
        <v>0</v>
      </c>
      <c r="AJ402" s="2">
        <v>0</v>
      </c>
      <c r="AK402" s="2">
        <v>48739.9</v>
      </c>
      <c r="AL402" s="2">
        <v>7091</v>
      </c>
      <c r="AM402" s="6">
        <f>SUM(AI402:AL402)/Variables!$E$3</f>
        <v>4.4205338126192609E-2</v>
      </c>
      <c r="AN402" s="4">
        <v>0</v>
      </c>
      <c r="AO402" s="2">
        <v>0</v>
      </c>
      <c r="AP402" s="2">
        <v>51412</v>
      </c>
      <c r="AQ402" s="2">
        <v>11586.6</v>
      </c>
      <c r="AR402" s="6">
        <f>SUM(AN402:AQ402)/Variables!$E$3</f>
        <v>4.9880521619331902E-2</v>
      </c>
      <c r="AS402" s="4">
        <v>0</v>
      </c>
      <c r="AT402" s="2">
        <v>241.9</v>
      </c>
      <c r="AU402" s="2">
        <v>78360.800000000003</v>
      </c>
      <c r="AV402" s="2">
        <v>17506.900000000001</v>
      </c>
      <c r="AW402" s="6">
        <f>SUM(AS402:AV402)/Variables!$E$3</f>
        <v>7.609688121046089E-2</v>
      </c>
      <c r="AX402" s="4">
        <v>0</v>
      </c>
      <c r="AY402" s="2">
        <v>0</v>
      </c>
      <c r="AZ402" s="2">
        <v>58151</v>
      </c>
      <c r="BA402" s="2">
        <v>12957.5</v>
      </c>
      <c r="BB402" s="6">
        <f>SUM(AX402:BA402)/Variables!$E$3</f>
        <v>5.6301712602633433E-2</v>
      </c>
      <c r="BC402" s="12">
        <f t="shared" si="101"/>
        <v>0</v>
      </c>
      <c r="BD402" s="110">
        <f t="shared" si="101"/>
        <v>0</v>
      </c>
      <c r="BE402" s="110">
        <f t="shared" si="101"/>
        <v>74072.800000000003</v>
      </c>
      <c r="BF402" s="110">
        <f t="shared" si="98"/>
        <v>11940.8</v>
      </c>
      <c r="BG402" s="6">
        <f>SUM(BC402:BF402)/Variables!$E$3</f>
        <v>6.8103152043959184E-2</v>
      </c>
      <c r="BH402" s="4">
        <v>0</v>
      </c>
      <c r="BI402">
        <v>0</v>
      </c>
      <c r="BJ402">
        <v>55470.400000000001</v>
      </c>
      <c r="BK402">
        <v>10773.1</v>
      </c>
      <c r="BL402" s="6">
        <f>SUM(BH402:BK402)/Variables!$E$3</f>
        <v>5.2449742278244484E-2</v>
      </c>
      <c r="BM402" s="110">
        <v>0</v>
      </c>
      <c r="BN402" s="110">
        <v>0</v>
      </c>
      <c r="BO402" s="110">
        <v>59520.7</v>
      </c>
      <c r="BP402" s="110">
        <v>12538.2</v>
      </c>
      <c r="BQ402" s="6">
        <f>SUM(BM402:BP402)/Variables!$E$3</f>
        <v>5.7054212622427727E-2</v>
      </c>
      <c r="BS402" s="4">
        <v>400</v>
      </c>
      <c r="BT402" s="125">
        <f t="shared" si="102"/>
        <v>0</v>
      </c>
      <c r="BU402" s="125">
        <f t="shared" si="88"/>
        <v>1.2166367112962097E-2</v>
      </c>
      <c r="BV402" s="125">
        <f t="shared" si="89"/>
        <v>0</v>
      </c>
      <c r="BW402" s="125">
        <f t="shared" si="90"/>
        <v>0</v>
      </c>
      <c r="BX402" s="125">
        <f t="shared" si="91"/>
        <v>0</v>
      </c>
      <c r="BY402" s="125">
        <f t="shared" si="92"/>
        <v>0</v>
      </c>
      <c r="BZ402" s="125">
        <f t="shared" si="93"/>
        <v>0</v>
      </c>
      <c r="CA402" s="125">
        <f t="shared" si="94"/>
        <v>0</v>
      </c>
      <c r="CB402" s="125">
        <f t="shared" si="95"/>
        <v>4.3943340802381652E-5</v>
      </c>
      <c r="CC402" s="125">
        <f t="shared" si="96"/>
        <v>0</v>
      </c>
      <c r="CD402" s="125">
        <f t="shared" si="97"/>
        <v>0</v>
      </c>
      <c r="CE402" s="125">
        <f t="shared" si="99"/>
        <v>0</v>
      </c>
      <c r="CF402" s="126">
        <f t="shared" si="100"/>
        <v>0</v>
      </c>
      <c r="CH402" s="4">
        <v>400</v>
      </c>
      <c r="CI402" s="129">
        <v>0</v>
      </c>
      <c r="CJ402" s="125">
        <v>0</v>
      </c>
      <c r="CK402" s="125">
        <v>0</v>
      </c>
      <c r="CL402" s="125">
        <v>0</v>
      </c>
      <c r="CM402" s="125">
        <v>0</v>
      </c>
      <c r="CN402" s="125">
        <v>0</v>
      </c>
      <c r="CO402" s="125">
        <v>0</v>
      </c>
      <c r="CP402" s="125">
        <v>0</v>
      </c>
      <c r="CQ402" s="125">
        <v>0</v>
      </c>
      <c r="CR402" s="125">
        <v>0</v>
      </c>
      <c r="CS402" s="125">
        <v>0</v>
      </c>
      <c r="CT402" s="125">
        <v>0</v>
      </c>
      <c r="CU402" s="126">
        <v>0</v>
      </c>
    </row>
    <row r="403" spans="1:99" x14ac:dyDescent="0.25">
      <c r="A403" t="s">
        <v>284</v>
      </c>
      <c r="B403" s="2" t="s">
        <v>4</v>
      </c>
      <c r="C403" s="1">
        <v>38138</v>
      </c>
      <c r="D403" s="19">
        <v>146.086904761905</v>
      </c>
      <c r="E403" s="18">
        <v>0</v>
      </c>
      <c r="F403" s="19">
        <v>0</v>
      </c>
      <c r="G403" s="19">
        <v>0</v>
      </c>
      <c r="H403" s="19">
        <v>0</v>
      </c>
      <c r="I403" s="19">
        <f>SUM(E403:H403)/Variables!$E$3</f>
        <v>0</v>
      </c>
      <c r="J403" s="4">
        <v>0</v>
      </c>
      <c r="K403">
        <v>0</v>
      </c>
      <c r="L403">
        <v>15366</v>
      </c>
      <c r="M403">
        <v>0</v>
      </c>
      <c r="N403" s="6">
        <f>SUM(J403:M403)/Variables!$E$3</f>
        <v>1.2166367112962097E-2</v>
      </c>
      <c r="O403" s="4">
        <v>0</v>
      </c>
      <c r="P403">
        <v>0</v>
      </c>
      <c r="Q403">
        <v>0</v>
      </c>
      <c r="R403">
        <v>0</v>
      </c>
      <c r="S403" s="6">
        <f>SUM(O403:R403)/Variables!$E$3</f>
        <v>0</v>
      </c>
      <c r="T403" s="4">
        <v>0</v>
      </c>
      <c r="U403">
        <v>0</v>
      </c>
      <c r="V403">
        <v>0</v>
      </c>
      <c r="W403">
        <v>0</v>
      </c>
      <c r="X403" s="6">
        <f>SUM(T403:W403)/Variables!$E$3</f>
        <v>0</v>
      </c>
      <c r="Y403" s="4">
        <v>0</v>
      </c>
      <c r="Z403">
        <v>0</v>
      </c>
      <c r="AA403">
        <v>0</v>
      </c>
      <c r="AB403">
        <v>0</v>
      </c>
      <c r="AC403" s="6">
        <f>SUM(Y403:AB403)/Variables!$E$3</f>
        <v>0</v>
      </c>
      <c r="AD403" s="4">
        <v>0</v>
      </c>
      <c r="AE403" s="2">
        <v>0</v>
      </c>
      <c r="AF403" s="2">
        <v>0</v>
      </c>
      <c r="AG403" s="2">
        <v>0</v>
      </c>
      <c r="AH403" s="6">
        <f>SUM(AD403:AG403)/Variables!$E$3</f>
        <v>0</v>
      </c>
      <c r="AI403" s="4">
        <v>0</v>
      </c>
      <c r="AJ403" s="2">
        <v>0</v>
      </c>
      <c r="AK403" s="2">
        <v>0</v>
      </c>
      <c r="AL403" s="2">
        <v>0</v>
      </c>
      <c r="AM403" s="6">
        <f>SUM(AI403:AL403)/Variables!$E$3</f>
        <v>0</v>
      </c>
      <c r="AN403" s="4">
        <v>0</v>
      </c>
      <c r="AO403" s="2">
        <v>0</v>
      </c>
      <c r="AP403" s="2">
        <v>0</v>
      </c>
      <c r="AQ403" s="2">
        <v>0</v>
      </c>
      <c r="AR403" s="6">
        <f>SUM(AN403:AQ403)/Variables!$E$3</f>
        <v>0</v>
      </c>
      <c r="AS403" s="4">
        <v>0</v>
      </c>
      <c r="AT403" s="2">
        <v>0</v>
      </c>
      <c r="AU403" s="2">
        <v>55.5</v>
      </c>
      <c r="AV403" s="2">
        <v>0</v>
      </c>
      <c r="AW403" s="6">
        <f>SUM(AS403:AV403)/Variables!$E$3</f>
        <v>4.3943340802381652E-5</v>
      </c>
      <c r="AX403" s="4">
        <v>0</v>
      </c>
      <c r="AY403" s="2">
        <v>0</v>
      </c>
      <c r="AZ403" s="2">
        <v>0</v>
      </c>
      <c r="BA403" s="2">
        <v>0</v>
      </c>
      <c r="BB403" s="6">
        <f>SUM(AX403:BA403)/Variables!$E$3</f>
        <v>0</v>
      </c>
      <c r="BC403" s="12">
        <f t="shared" si="101"/>
        <v>0</v>
      </c>
      <c r="BD403" s="110">
        <f t="shared" si="101"/>
        <v>0</v>
      </c>
      <c r="BE403" s="110">
        <f t="shared" si="101"/>
        <v>0</v>
      </c>
      <c r="BF403" s="110">
        <f t="shared" si="98"/>
        <v>0</v>
      </c>
      <c r="BG403" s="6">
        <f>SUM(BC403:BF403)/Variables!$E$3</f>
        <v>0</v>
      </c>
      <c r="BH403" s="4">
        <v>0</v>
      </c>
      <c r="BI403">
        <v>0</v>
      </c>
      <c r="BJ403">
        <v>0</v>
      </c>
      <c r="BK403">
        <v>0</v>
      </c>
      <c r="BL403" s="6">
        <f>SUM(BH403:BK403)/Variables!$E$3</f>
        <v>0</v>
      </c>
      <c r="BM403" s="110">
        <v>0</v>
      </c>
      <c r="BN403" s="110">
        <v>0</v>
      </c>
      <c r="BO403" s="110">
        <v>0</v>
      </c>
      <c r="BP403" s="110">
        <v>0</v>
      </c>
      <c r="BQ403" s="6">
        <f>SUM(BM403:BP403)/Variables!$E$3</f>
        <v>0</v>
      </c>
      <c r="BS403" s="4">
        <v>401</v>
      </c>
      <c r="BT403" s="125">
        <f t="shared" si="102"/>
        <v>0</v>
      </c>
      <c r="BU403" s="125">
        <f t="shared" si="88"/>
        <v>0</v>
      </c>
      <c r="BV403" s="125">
        <f t="shared" si="89"/>
        <v>0</v>
      </c>
      <c r="BW403" s="125">
        <f t="shared" si="90"/>
        <v>0</v>
      </c>
      <c r="BX403" s="125">
        <f t="shared" si="91"/>
        <v>0</v>
      </c>
      <c r="BY403" s="125">
        <f t="shared" si="92"/>
        <v>0</v>
      </c>
      <c r="BZ403" s="125">
        <f t="shared" si="93"/>
        <v>0</v>
      </c>
      <c r="CA403" s="125">
        <f t="shared" si="94"/>
        <v>0</v>
      </c>
      <c r="CB403" s="125">
        <f t="shared" si="95"/>
        <v>0</v>
      </c>
      <c r="CC403" s="125">
        <f t="shared" si="96"/>
        <v>0</v>
      </c>
      <c r="CD403" s="125">
        <f t="shared" si="97"/>
        <v>0</v>
      </c>
      <c r="CE403" s="125">
        <f t="shared" si="99"/>
        <v>0</v>
      </c>
      <c r="CF403" s="126">
        <f t="shared" si="100"/>
        <v>0</v>
      </c>
      <c r="CH403" s="4">
        <v>401</v>
      </c>
      <c r="CI403" s="129">
        <v>0</v>
      </c>
      <c r="CJ403" s="125">
        <v>0</v>
      </c>
      <c r="CK403" s="125">
        <v>0</v>
      </c>
      <c r="CL403" s="125">
        <v>0</v>
      </c>
      <c r="CM403" s="125">
        <v>0</v>
      </c>
      <c r="CN403" s="125">
        <v>0</v>
      </c>
      <c r="CO403" s="125">
        <v>0</v>
      </c>
      <c r="CP403" s="125">
        <v>0</v>
      </c>
      <c r="CQ403" s="125">
        <v>0</v>
      </c>
      <c r="CR403" s="125">
        <v>0</v>
      </c>
      <c r="CS403" s="125">
        <v>0</v>
      </c>
      <c r="CT403" s="125">
        <v>0</v>
      </c>
      <c r="CU403" s="126">
        <v>0</v>
      </c>
    </row>
    <row r="404" spans="1:99" x14ac:dyDescent="0.25">
      <c r="A404" t="s">
        <v>284</v>
      </c>
      <c r="B404" s="2" t="s">
        <v>1</v>
      </c>
      <c r="C404" s="1">
        <v>38230</v>
      </c>
      <c r="D404" s="19">
        <v>30.658333333333299</v>
      </c>
      <c r="E404" s="18">
        <v>0</v>
      </c>
      <c r="F404" s="19">
        <v>0</v>
      </c>
      <c r="G404" s="19">
        <v>0</v>
      </c>
      <c r="H404" s="19">
        <v>0</v>
      </c>
      <c r="I404" s="19">
        <f>SUM(E404:H404)/Variables!$E$3</f>
        <v>0</v>
      </c>
      <c r="J404" s="4">
        <v>0</v>
      </c>
      <c r="K404">
        <v>0</v>
      </c>
      <c r="L404">
        <v>0</v>
      </c>
      <c r="M404">
        <v>0</v>
      </c>
      <c r="N404" s="6">
        <f>SUM(J404:M404)/Variables!$E$3</f>
        <v>0</v>
      </c>
      <c r="O404" s="4">
        <v>0</v>
      </c>
      <c r="P404">
        <v>0</v>
      </c>
      <c r="Q404">
        <v>0</v>
      </c>
      <c r="R404">
        <v>0</v>
      </c>
      <c r="S404" s="6">
        <f>SUM(O404:R404)/Variables!$E$3</f>
        <v>0</v>
      </c>
      <c r="T404" s="4">
        <v>0</v>
      </c>
      <c r="U404">
        <v>0</v>
      </c>
      <c r="V404">
        <v>0</v>
      </c>
      <c r="W404">
        <v>0</v>
      </c>
      <c r="X404" s="6">
        <f>SUM(T404:W404)/Variables!$E$3</f>
        <v>0</v>
      </c>
      <c r="Y404" s="4">
        <v>0</v>
      </c>
      <c r="Z404">
        <v>0</v>
      </c>
      <c r="AA404">
        <v>0</v>
      </c>
      <c r="AB404">
        <v>0</v>
      </c>
      <c r="AC404" s="6">
        <f>SUM(Y404:AB404)/Variables!$E$3</f>
        <v>0</v>
      </c>
      <c r="AD404" s="4">
        <v>0</v>
      </c>
      <c r="AE404" s="2">
        <v>0</v>
      </c>
      <c r="AF404" s="2">
        <v>0</v>
      </c>
      <c r="AG404" s="2">
        <v>0</v>
      </c>
      <c r="AH404" s="6">
        <f>SUM(AD404:AG404)/Variables!$E$3</f>
        <v>0</v>
      </c>
      <c r="AI404" s="4">
        <v>0</v>
      </c>
      <c r="AJ404" s="2">
        <v>0</v>
      </c>
      <c r="AK404" s="2">
        <v>0</v>
      </c>
      <c r="AL404" s="2">
        <v>0</v>
      </c>
      <c r="AM404" s="6">
        <f>SUM(AI404:AL404)/Variables!$E$3</f>
        <v>0</v>
      </c>
      <c r="AN404" s="4">
        <v>0</v>
      </c>
      <c r="AO404" s="2">
        <v>0</v>
      </c>
      <c r="AP404" s="2">
        <v>0</v>
      </c>
      <c r="AQ404" s="2">
        <v>0</v>
      </c>
      <c r="AR404" s="6">
        <f>SUM(AN404:AQ404)/Variables!$E$3</f>
        <v>0</v>
      </c>
      <c r="AS404" s="4">
        <v>0</v>
      </c>
      <c r="AT404" s="2">
        <v>0</v>
      </c>
      <c r="AU404" s="2">
        <v>0</v>
      </c>
      <c r="AV404" s="2">
        <v>0</v>
      </c>
      <c r="AW404" s="6">
        <f>SUM(AS404:AV404)/Variables!$E$3</f>
        <v>0</v>
      </c>
      <c r="AX404" s="4">
        <v>0</v>
      </c>
      <c r="AY404" s="2">
        <v>0</v>
      </c>
      <c r="AZ404" s="2">
        <v>0</v>
      </c>
      <c r="BA404" s="2">
        <v>0</v>
      </c>
      <c r="BB404" s="6">
        <f>SUM(AX404:BA404)/Variables!$E$3</f>
        <v>0</v>
      </c>
      <c r="BC404" s="12">
        <f t="shared" si="101"/>
        <v>0</v>
      </c>
      <c r="BD404" s="110">
        <f t="shared" si="101"/>
        <v>0</v>
      </c>
      <c r="BE404" s="110">
        <f t="shared" si="101"/>
        <v>0</v>
      </c>
      <c r="BF404" s="110">
        <f t="shared" si="98"/>
        <v>0</v>
      </c>
      <c r="BG404" s="6">
        <f>SUM(BC404:BF404)/Variables!$E$3</f>
        <v>0</v>
      </c>
      <c r="BH404" s="4">
        <v>0</v>
      </c>
      <c r="BI404">
        <v>0</v>
      </c>
      <c r="BJ404">
        <v>0</v>
      </c>
      <c r="BK404">
        <v>0</v>
      </c>
      <c r="BL404" s="6">
        <f>SUM(BH404:BK404)/Variables!$E$3</f>
        <v>0</v>
      </c>
      <c r="BM404" s="110">
        <v>0</v>
      </c>
      <c r="BN404" s="110">
        <v>0</v>
      </c>
      <c r="BO404" s="110">
        <v>0</v>
      </c>
      <c r="BP404" s="110">
        <v>0</v>
      </c>
      <c r="BQ404" s="6">
        <f>SUM(BM404:BP404)/Variables!$E$3</f>
        <v>0</v>
      </c>
      <c r="BS404" s="4">
        <v>402</v>
      </c>
      <c r="BT404" s="125">
        <f t="shared" si="102"/>
        <v>0</v>
      </c>
      <c r="BU404" s="125">
        <f t="shared" si="88"/>
        <v>0</v>
      </c>
      <c r="BV404" s="125">
        <f t="shared" si="89"/>
        <v>0</v>
      </c>
      <c r="BW404" s="125">
        <f t="shared" si="90"/>
        <v>0</v>
      </c>
      <c r="BX404" s="125">
        <f t="shared" si="91"/>
        <v>0</v>
      </c>
      <c r="BY404" s="125">
        <f t="shared" si="92"/>
        <v>0</v>
      </c>
      <c r="BZ404" s="125">
        <f t="shared" si="93"/>
        <v>0</v>
      </c>
      <c r="CA404" s="125">
        <f t="shared" si="94"/>
        <v>0</v>
      </c>
      <c r="CB404" s="125">
        <f t="shared" si="95"/>
        <v>0</v>
      </c>
      <c r="CC404" s="125">
        <f t="shared" si="96"/>
        <v>0</v>
      </c>
      <c r="CD404" s="125">
        <f t="shared" si="97"/>
        <v>0</v>
      </c>
      <c r="CE404" s="125">
        <f t="shared" si="99"/>
        <v>0</v>
      </c>
      <c r="CF404" s="126">
        <f t="shared" si="100"/>
        <v>0</v>
      </c>
      <c r="CH404" s="4">
        <v>402</v>
      </c>
      <c r="CI404" s="129">
        <v>0</v>
      </c>
      <c r="CJ404" s="125">
        <v>0</v>
      </c>
      <c r="CK404" s="125">
        <v>0</v>
      </c>
      <c r="CL404" s="125">
        <v>0</v>
      </c>
      <c r="CM404" s="125">
        <v>0</v>
      </c>
      <c r="CN404" s="125">
        <v>0</v>
      </c>
      <c r="CO404" s="125">
        <v>0</v>
      </c>
      <c r="CP404" s="125">
        <v>0</v>
      </c>
      <c r="CQ404" s="125">
        <v>0</v>
      </c>
      <c r="CR404" s="125">
        <v>0</v>
      </c>
      <c r="CS404" s="125">
        <v>0</v>
      </c>
      <c r="CT404" s="125">
        <v>0</v>
      </c>
      <c r="CU404" s="126">
        <v>0</v>
      </c>
    </row>
    <row r="405" spans="1:99" x14ac:dyDescent="0.25">
      <c r="A405" t="s">
        <v>284</v>
      </c>
      <c r="B405" s="2" t="s">
        <v>2</v>
      </c>
      <c r="C405" s="1">
        <v>38321</v>
      </c>
      <c r="D405" s="19">
        <v>51.708571428571403</v>
      </c>
      <c r="E405" s="18">
        <v>0</v>
      </c>
      <c r="F405" s="19">
        <v>0</v>
      </c>
      <c r="G405" s="19">
        <v>0</v>
      </c>
      <c r="H405" s="19">
        <v>0</v>
      </c>
      <c r="I405" s="19">
        <f>SUM(E405:H405)/Variables!$E$3</f>
        <v>0</v>
      </c>
      <c r="J405" s="4">
        <v>0</v>
      </c>
      <c r="K405">
        <v>0</v>
      </c>
      <c r="L405">
        <v>0</v>
      </c>
      <c r="M405">
        <v>0</v>
      </c>
      <c r="N405" s="6">
        <f>SUM(J405:M405)/Variables!$E$3</f>
        <v>0</v>
      </c>
      <c r="O405" s="4">
        <v>0</v>
      </c>
      <c r="P405">
        <v>0</v>
      </c>
      <c r="Q405">
        <v>0</v>
      </c>
      <c r="R405">
        <v>0</v>
      </c>
      <c r="S405" s="6">
        <f>SUM(O405:R405)/Variables!$E$3</f>
        <v>0</v>
      </c>
      <c r="T405" s="4">
        <v>0</v>
      </c>
      <c r="U405">
        <v>0</v>
      </c>
      <c r="V405">
        <v>0</v>
      </c>
      <c r="W405">
        <v>0</v>
      </c>
      <c r="X405" s="6">
        <f>SUM(T405:W405)/Variables!$E$3</f>
        <v>0</v>
      </c>
      <c r="Y405" s="4">
        <v>0</v>
      </c>
      <c r="Z405">
        <v>0</v>
      </c>
      <c r="AA405">
        <v>0</v>
      </c>
      <c r="AB405">
        <v>0</v>
      </c>
      <c r="AC405" s="6">
        <f>SUM(Y405:AB405)/Variables!$E$3</f>
        <v>0</v>
      </c>
      <c r="AD405" s="4">
        <v>0</v>
      </c>
      <c r="AE405" s="2">
        <v>0</v>
      </c>
      <c r="AF405" s="2">
        <v>0</v>
      </c>
      <c r="AG405" s="2">
        <v>0</v>
      </c>
      <c r="AH405" s="6">
        <f>SUM(AD405:AG405)/Variables!$E$3</f>
        <v>0</v>
      </c>
      <c r="AI405" s="4">
        <v>0</v>
      </c>
      <c r="AJ405" s="2">
        <v>0</v>
      </c>
      <c r="AK405" s="2">
        <v>0</v>
      </c>
      <c r="AL405" s="2">
        <v>0</v>
      </c>
      <c r="AM405" s="6">
        <f>SUM(AI405:AL405)/Variables!$E$3</f>
        <v>0</v>
      </c>
      <c r="AN405" s="4">
        <v>0</v>
      </c>
      <c r="AO405" s="2">
        <v>0</v>
      </c>
      <c r="AP405" s="2">
        <v>0</v>
      </c>
      <c r="AQ405" s="2">
        <v>0</v>
      </c>
      <c r="AR405" s="6">
        <f>SUM(AN405:AQ405)/Variables!$E$3</f>
        <v>0</v>
      </c>
      <c r="AS405" s="4">
        <v>0</v>
      </c>
      <c r="AT405" s="2">
        <v>0</v>
      </c>
      <c r="AU405" s="2">
        <v>0</v>
      </c>
      <c r="AV405" s="2">
        <v>0</v>
      </c>
      <c r="AW405" s="6">
        <f>SUM(AS405:AV405)/Variables!$E$3</f>
        <v>0</v>
      </c>
      <c r="AX405" s="4">
        <v>0</v>
      </c>
      <c r="AY405" s="2">
        <v>0</v>
      </c>
      <c r="AZ405" s="2">
        <v>0</v>
      </c>
      <c r="BA405" s="2">
        <v>0</v>
      </c>
      <c r="BB405" s="6">
        <f>SUM(AX405:BA405)/Variables!$E$3</f>
        <v>0</v>
      </c>
      <c r="BC405" s="12">
        <f t="shared" si="101"/>
        <v>0</v>
      </c>
      <c r="BD405" s="110">
        <f t="shared" si="101"/>
        <v>0</v>
      </c>
      <c r="BE405" s="110">
        <f t="shared" si="101"/>
        <v>0</v>
      </c>
      <c r="BF405" s="110">
        <f t="shared" si="98"/>
        <v>0</v>
      </c>
      <c r="BG405" s="6">
        <f>SUM(BC405:BF405)/Variables!$E$3</f>
        <v>0</v>
      </c>
      <c r="BH405" s="4">
        <v>0</v>
      </c>
      <c r="BI405">
        <v>0</v>
      </c>
      <c r="BJ405">
        <v>0</v>
      </c>
      <c r="BK405">
        <v>0</v>
      </c>
      <c r="BL405" s="6">
        <f>SUM(BH405:BK405)/Variables!$E$3</f>
        <v>0</v>
      </c>
      <c r="BM405" s="110">
        <v>0</v>
      </c>
      <c r="BN405" s="110">
        <v>0</v>
      </c>
      <c r="BO405" s="110">
        <v>0</v>
      </c>
      <c r="BP405" s="110">
        <v>0</v>
      </c>
      <c r="BQ405" s="6">
        <f>SUM(BM405:BP405)/Variables!$E$3</f>
        <v>0</v>
      </c>
      <c r="BS405" s="4">
        <v>403</v>
      </c>
      <c r="BT405" s="125">
        <f t="shared" si="102"/>
        <v>0</v>
      </c>
      <c r="BU405" s="125">
        <f t="shared" si="88"/>
        <v>8.6714859183366459E-3</v>
      </c>
      <c r="BV405" s="125">
        <f t="shared" si="89"/>
        <v>0</v>
      </c>
      <c r="BW405" s="125">
        <f t="shared" si="90"/>
        <v>0</v>
      </c>
      <c r="BX405" s="125">
        <f t="shared" si="91"/>
        <v>0</v>
      </c>
      <c r="BY405" s="125">
        <f t="shared" si="92"/>
        <v>0</v>
      </c>
      <c r="BZ405" s="125">
        <f t="shared" si="93"/>
        <v>0</v>
      </c>
      <c r="CA405" s="125">
        <f t="shared" si="94"/>
        <v>0</v>
      </c>
      <c r="CB405" s="125">
        <f t="shared" si="95"/>
        <v>0</v>
      </c>
      <c r="CC405" s="125">
        <f t="shared" si="96"/>
        <v>0</v>
      </c>
      <c r="CD405" s="125">
        <f t="shared" si="97"/>
        <v>0</v>
      </c>
      <c r="CE405" s="125">
        <f t="shared" si="99"/>
        <v>0</v>
      </c>
      <c r="CF405" s="126">
        <f t="shared" si="100"/>
        <v>0</v>
      </c>
      <c r="CH405" s="4">
        <v>403</v>
      </c>
      <c r="CI405" s="129">
        <v>0</v>
      </c>
      <c r="CJ405" s="125">
        <v>0</v>
      </c>
      <c r="CK405" s="125">
        <v>0</v>
      </c>
      <c r="CL405" s="125">
        <v>0</v>
      </c>
      <c r="CM405" s="125">
        <v>0</v>
      </c>
      <c r="CN405" s="125">
        <v>0</v>
      </c>
      <c r="CO405" s="125">
        <v>0</v>
      </c>
      <c r="CP405" s="125">
        <v>0</v>
      </c>
      <c r="CQ405" s="125">
        <v>0</v>
      </c>
      <c r="CR405" s="125">
        <v>0</v>
      </c>
      <c r="CS405" s="125">
        <v>0</v>
      </c>
      <c r="CT405" s="125">
        <v>0</v>
      </c>
      <c r="CU405" s="126">
        <v>0</v>
      </c>
    </row>
    <row r="406" spans="1:99" x14ac:dyDescent="0.25">
      <c r="A406" t="s">
        <v>285</v>
      </c>
      <c r="B406" s="2" t="s">
        <v>3</v>
      </c>
      <c r="C406" s="1">
        <v>38411</v>
      </c>
      <c r="D406" s="19">
        <v>66.964285714285694</v>
      </c>
      <c r="E406" s="18">
        <v>0</v>
      </c>
      <c r="F406" s="19">
        <v>0</v>
      </c>
      <c r="G406" s="19">
        <v>0</v>
      </c>
      <c r="H406" s="19">
        <v>0</v>
      </c>
      <c r="I406" s="19">
        <f>SUM(E406:H406)/Variables!$E$3</f>
        <v>0</v>
      </c>
      <c r="J406" s="4">
        <v>0</v>
      </c>
      <c r="K406">
        <v>0</v>
      </c>
      <c r="L406">
        <v>10952</v>
      </c>
      <c r="M406">
        <v>0</v>
      </c>
      <c r="N406" s="6">
        <f>SUM(J406:M406)/Variables!$E$3</f>
        <v>8.6714859183366459E-3</v>
      </c>
      <c r="O406" s="4">
        <v>0</v>
      </c>
      <c r="P406">
        <v>0</v>
      </c>
      <c r="Q406">
        <v>0</v>
      </c>
      <c r="R406">
        <v>0</v>
      </c>
      <c r="S406" s="6">
        <f>SUM(O406:R406)/Variables!$E$3</f>
        <v>0</v>
      </c>
      <c r="T406" s="4">
        <v>0</v>
      </c>
      <c r="U406">
        <v>0</v>
      </c>
      <c r="V406">
        <v>0</v>
      </c>
      <c r="W406">
        <v>0</v>
      </c>
      <c r="X406" s="6">
        <f>SUM(T406:W406)/Variables!$E$3</f>
        <v>0</v>
      </c>
      <c r="Y406" s="4">
        <v>0</v>
      </c>
      <c r="Z406">
        <v>0</v>
      </c>
      <c r="AA406">
        <v>0</v>
      </c>
      <c r="AB406">
        <v>0</v>
      </c>
      <c r="AC406" s="6">
        <f>SUM(Y406:AB406)/Variables!$E$3</f>
        <v>0</v>
      </c>
      <c r="AD406" s="4">
        <v>0</v>
      </c>
      <c r="AE406" s="2">
        <v>0</v>
      </c>
      <c r="AF406" s="2">
        <v>0</v>
      </c>
      <c r="AG406" s="2">
        <v>0</v>
      </c>
      <c r="AH406" s="6">
        <f>SUM(AD406:AG406)/Variables!$E$3</f>
        <v>0</v>
      </c>
      <c r="AI406" s="4">
        <v>0</v>
      </c>
      <c r="AJ406" s="2">
        <v>0</v>
      </c>
      <c r="AK406" s="2">
        <v>0</v>
      </c>
      <c r="AL406" s="2">
        <v>0</v>
      </c>
      <c r="AM406" s="6">
        <f>SUM(AI406:AL406)/Variables!$E$3</f>
        <v>0</v>
      </c>
      <c r="AN406" s="4">
        <v>0</v>
      </c>
      <c r="AO406" s="2">
        <v>0</v>
      </c>
      <c r="AP406" s="2">
        <v>0</v>
      </c>
      <c r="AQ406" s="2">
        <v>0</v>
      </c>
      <c r="AR406" s="6">
        <f>SUM(AN406:AQ406)/Variables!$E$3</f>
        <v>0</v>
      </c>
      <c r="AS406" s="4">
        <v>0</v>
      </c>
      <c r="AT406" s="2">
        <v>0</v>
      </c>
      <c r="AU406" s="2">
        <v>0</v>
      </c>
      <c r="AV406" s="2">
        <v>0</v>
      </c>
      <c r="AW406" s="6">
        <f>SUM(AS406:AV406)/Variables!$E$3</f>
        <v>0</v>
      </c>
      <c r="AX406" s="4">
        <v>0</v>
      </c>
      <c r="AY406" s="2">
        <v>0</v>
      </c>
      <c r="AZ406" s="2">
        <v>0</v>
      </c>
      <c r="BA406" s="2">
        <v>0</v>
      </c>
      <c r="BB406" s="6">
        <f>SUM(AX406:BA406)/Variables!$E$3</f>
        <v>0</v>
      </c>
      <c r="BC406" s="12">
        <f t="shared" si="101"/>
        <v>0</v>
      </c>
      <c r="BD406" s="110">
        <f t="shared" si="101"/>
        <v>0</v>
      </c>
      <c r="BE406" s="110">
        <f t="shared" si="101"/>
        <v>0</v>
      </c>
      <c r="BF406" s="110">
        <f t="shared" si="98"/>
        <v>0</v>
      </c>
      <c r="BG406" s="6">
        <f>SUM(BC406:BF406)/Variables!$E$3</f>
        <v>0</v>
      </c>
      <c r="BH406" s="4">
        <v>0</v>
      </c>
      <c r="BI406">
        <v>0</v>
      </c>
      <c r="BJ406">
        <v>0</v>
      </c>
      <c r="BK406">
        <v>0</v>
      </c>
      <c r="BL406" s="6">
        <f>SUM(BH406:BK406)/Variables!$E$3</f>
        <v>0</v>
      </c>
      <c r="BM406" s="110">
        <v>0</v>
      </c>
      <c r="BN406" s="110">
        <v>0</v>
      </c>
      <c r="BO406" s="110">
        <v>0</v>
      </c>
      <c r="BP406" s="110">
        <v>0</v>
      </c>
      <c r="BQ406" s="6">
        <f>SUM(BM406:BP406)/Variables!$E$3</f>
        <v>0</v>
      </c>
      <c r="BS406" s="4">
        <v>404</v>
      </c>
      <c r="BT406" s="125">
        <f t="shared" si="102"/>
        <v>0</v>
      </c>
      <c r="BU406" s="125">
        <f t="shared" si="88"/>
        <v>0</v>
      </c>
      <c r="BV406" s="125">
        <f t="shared" si="89"/>
        <v>0</v>
      </c>
      <c r="BW406" s="125">
        <f t="shared" si="90"/>
        <v>0</v>
      </c>
      <c r="BX406" s="125">
        <f t="shared" si="91"/>
        <v>0</v>
      </c>
      <c r="BY406" s="125">
        <f t="shared" si="92"/>
        <v>0</v>
      </c>
      <c r="BZ406" s="125">
        <f t="shared" si="93"/>
        <v>0</v>
      </c>
      <c r="CA406" s="125">
        <f t="shared" si="94"/>
        <v>0</v>
      </c>
      <c r="CB406" s="125">
        <f t="shared" si="95"/>
        <v>0</v>
      </c>
      <c r="CC406" s="125">
        <f t="shared" si="96"/>
        <v>0</v>
      </c>
      <c r="CD406" s="125">
        <f t="shared" si="97"/>
        <v>0</v>
      </c>
      <c r="CE406" s="125">
        <f t="shared" si="99"/>
        <v>0</v>
      </c>
      <c r="CF406" s="126">
        <f t="shared" si="100"/>
        <v>0</v>
      </c>
      <c r="CH406" s="4">
        <v>404</v>
      </c>
      <c r="CI406" s="129">
        <v>0</v>
      </c>
      <c r="CJ406" s="125">
        <v>0</v>
      </c>
      <c r="CK406" s="125">
        <v>0</v>
      </c>
      <c r="CL406" s="125">
        <v>0</v>
      </c>
      <c r="CM406" s="125">
        <v>0</v>
      </c>
      <c r="CN406" s="125">
        <v>0</v>
      </c>
      <c r="CO406" s="125">
        <v>0</v>
      </c>
      <c r="CP406" s="125">
        <v>0</v>
      </c>
      <c r="CQ406" s="125">
        <v>0</v>
      </c>
      <c r="CR406" s="125">
        <v>0</v>
      </c>
      <c r="CS406" s="125">
        <v>0</v>
      </c>
      <c r="CT406" s="125">
        <v>0</v>
      </c>
      <c r="CU406" s="126">
        <v>0</v>
      </c>
    </row>
    <row r="407" spans="1:99" x14ac:dyDescent="0.25">
      <c r="A407" t="s">
        <v>285</v>
      </c>
      <c r="B407" s="2" t="s">
        <v>4</v>
      </c>
      <c r="C407" s="1">
        <v>38503</v>
      </c>
      <c r="D407" s="19">
        <v>24.485714285714302</v>
      </c>
      <c r="E407" s="18">
        <v>0</v>
      </c>
      <c r="F407" s="19">
        <v>0</v>
      </c>
      <c r="G407" s="19">
        <v>0</v>
      </c>
      <c r="H407" s="19">
        <v>0</v>
      </c>
      <c r="I407" s="19">
        <f>SUM(E407:H407)/Variables!$E$3</f>
        <v>0</v>
      </c>
      <c r="J407" s="4">
        <v>0</v>
      </c>
      <c r="K407">
        <v>0</v>
      </c>
      <c r="L407">
        <v>0</v>
      </c>
      <c r="M407">
        <v>0</v>
      </c>
      <c r="N407" s="6">
        <f>SUM(J407:M407)/Variables!$E$3</f>
        <v>0</v>
      </c>
      <c r="O407" s="4">
        <v>0</v>
      </c>
      <c r="P407">
        <v>0</v>
      </c>
      <c r="Q407">
        <v>0</v>
      </c>
      <c r="R407">
        <v>0</v>
      </c>
      <c r="S407" s="6">
        <f>SUM(O407:R407)/Variables!$E$3</f>
        <v>0</v>
      </c>
      <c r="T407" s="4">
        <v>0</v>
      </c>
      <c r="U407">
        <v>0</v>
      </c>
      <c r="V407">
        <v>0</v>
      </c>
      <c r="W407">
        <v>0</v>
      </c>
      <c r="X407" s="6">
        <f>SUM(T407:W407)/Variables!$E$3</f>
        <v>0</v>
      </c>
      <c r="Y407" s="4">
        <v>0</v>
      </c>
      <c r="Z407">
        <v>0</v>
      </c>
      <c r="AA407">
        <v>0</v>
      </c>
      <c r="AB407">
        <v>0</v>
      </c>
      <c r="AC407" s="6">
        <f>SUM(Y407:AB407)/Variables!$E$3</f>
        <v>0</v>
      </c>
      <c r="AD407" s="4">
        <v>0</v>
      </c>
      <c r="AE407" s="2">
        <v>0</v>
      </c>
      <c r="AF407" s="2">
        <v>0</v>
      </c>
      <c r="AG407" s="2">
        <v>0</v>
      </c>
      <c r="AH407" s="6">
        <f>SUM(AD407:AG407)/Variables!$E$3</f>
        <v>0</v>
      </c>
      <c r="AI407" s="4">
        <v>0</v>
      </c>
      <c r="AJ407" s="2">
        <v>0</v>
      </c>
      <c r="AK407" s="2">
        <v>0</v>
      </c>
      <c r="AL407" s="2">
        <v>0</v>
      </c>
      <c r="AM407" s="6">
        <f>SUM(AI407:AL407)/Variables!$E$3</f>
        <v>0</v>
      </c>
      <c r="AN407" s="4">
        <v>0</v>
      </c>
      <c r="AO407" s="2">
        <v>0</v>
      </c>
      <c r="AP407" s="2">
        <v>0</v>
      </c>
      <c r="AQ407" s="2">
        <v>0</v>
      </c>
      <c r="AR407" s="6">
        <f>SUM(AN407:AQ407)/Variables!$E$3</f>
        <v>0</v>
      </c>
      <c r="AS407" s="4">
        <v>0</v>
      </c>
      <c r="AT407" s="2">
        <v>0</v>
      </c>
      <c r="AU407" s="2">
        <v>0</v>
      </c>
      <c r="AV407" s="2">
        <v>0</v>
      </c>
      <c r="AW407" s="6">
        <f>SUM(AS407:AV407)/Variables!$E$3</f>
        <v>0</v>
      </c>
      <c r="AX407" s="4">
        <v>0</v>
      </c>
      <c r="AY407" s="2">
        <v>0</v>
      </c>
      <c r="AZ407" s="2">
        <v>0</v>
      </c>
      <c r="BA407" s="2">
        <v>0</v>
      </c>
      <c r="BB407" s="6">
        <f>SUM(AX407:BA407)/Variables!$E$3</f>
        <v>0</v>
      </c>
      <c r="BC407" s="12">
        <f t="shared" si="101"/>
        <v>0</v>
      </c>
      <c r="BD407" s="110">
        <f t="shared" si="101"/>
        <v>0</v>
      </c>
      <c r="BE407" s="110">
        <f t="shared" si="101"/>
        <v>0</v>
      </c>
      <c r="BF407" s="110">
        <f t="shared" si="98"/>
        <v>0</v>
      </c>
      <c r="BG407" s="6">
        <f>SUM(BC407:BF407)/Variables!$E$3</f>
        <v>0</v>
      </c>
      <c r="BH407" s="4">
        <v>0</v>
      </c>
      <c r="BI407">
        <v>0</v>
      </c>
      <c r="BJ407">
        <v>0</v>
      </c>
      <c r="BK407">
        <v>0</v>
      </c>
      <c r="BL407" s="6">
        <f>SUM(BH407:BK407)/Variables!$E$3</f>
        <v>0</v>
      </c>
      <c r="BM407" s="110">
        <v>0</v>
      </c>
      <c r="BN407" s="110">
        <v>0</v>
      </c>
      <c r="BO407" s="110">
        <v>0</v>
      </c>
      <c r="BP407" s="110">
        <v>0</v>
      </c>
      <c r="BQ407" s="6">
        <f>SUM(BM407:BP407)/Variables!$E$3</f>
        <v>0</v>
      </c>
      <c r="BS407" s="4">
        <v>405</v>
      </c>
      <c r="BT407" s="125">
        <f t="shared" si="102"/>
        <v>0</v>
      </c>
      <c r="BU407" s="125">
        <f t="shared" si="88"/>
        <v>1.0013539299598572E-2</v>
      </c>
      <c r="BV407" s="125">
        <f t="shared" si="89"/>
        <v>0</v>
      </c>
      <c r="BW407" s="125">
        <f t="shared" si="90"/>
        <v>0</v>
      </c>
      <c r="BX407" s="125">
        <f t="shared" si="91"/>
        <v>0</v>
      </c>
      <c r="BY407" s="125">
        <f t="shared" si="92"/>
        <v>0</v>
      </c>
      <c r="BZ407" s="125">
        <f t="shared" si="93"/>
        <v>0</v>
      </c>
      <c r="CA407" s="125">
        <f t="shared" si="94"/>
        <v>0</v>
      </c>
      <c r="CB407" s="125">
        <f t="shared" si="95"/>
        <v>0</v>
      </c>
      <c r="CC407" s="125">
        <f t="shared" si="96"/>
        <v>0</v>
      </c>
      <c r="CD407" s="125">
        <f t="shared" si="97"/>
        <v>0</v>
      </c>
      <c r="CE407" s="125">
        <f t="shared" si="99"/>
        <v>0</v>
      </c>
      <c r="CF407" s="126">
        <f t="shared" si="100"/>
        <v>0</v>
      </c>
      <c r="CH407" s="4">
        <v>405</v>
      </c>
      <c r="CI407" s="129">
        <v>0</v>
      </c>
      <c r="CJ407" s="125">
        <v>0</v>
      </c>
      <c r="CK407" s="125">
        <v>0</v>
      </c>
      <c r="CL407" s="125">
        <v>0</v>
      </c>
      <c r="CM407" s="125">
        <v>0</v>
      </c>
      <c r="CN407" s="125">
        <v>0</v>
      </c>
      <c r="CO407" s="125">
        <v>0</v>
      </c>
      <c r="CP407" s="125">
        <v>0</v>
      </c>
      <c r="CQ407" s="125">
        <v>0</v>
      </c>
      <c r="CR407" s="125">
        <v>0</v>
      </c>
      <c r="CS407" s="125">
        <v>0</v>
      </c>
      <c r="CT407" s="125">
        <v>0</v>
      </c>
      <c r="CU407" s="126">
        <v>0</v>
      </c>
    </row>
    <row r="408" spans="1:99" x14ac:dyDescent="0.25">
      <c r="A408" t="s">
        <v>285</v>
      </c>
      <c r="B408" s="2" t="s">
        <v>1</v>
      </c>
      <c r="C408" s="1">
        <v>38595</v>
      </c>
      <c r="D408" s="19">
        <v>81.753333333333302</v>
      </c>
      <c r="E408" s="18">
        <v>0</v>
      </c>
      <c r="F408" s="19">
        <v>0</v>
      </c>
      <c r="G408" s="19">
        <v>0</v>
      </c>
      <c r="H408" s="19">
        <v>0</v>
      </c>
      <c r="I408" s="19">
        <f>SUM(E408:H408)/Variables!$E$3</f>
        <v>0</v>
      </c>
      <c r="J408" s="4">
        <v>0</v>
      </c>
      <c r="K408">
        <v>0</v>
      </c>
      <c r="L408">
        <v>12647</v>
      </c>
      <c r="M408">
        <v>0</v>
      </c>
      <c r="N408" s="6">
        <f>SUM(J408:M408)/Variables!$E$3</f>
        <v>1.0013539299598572E-2</v>
      </c>
      <c r="O408" s="4">
        <v>0</v>
      </c>
      <c r="P408">
        <v>0</v>
      </c>
      <c r="Q408">
        <v>0</v>
      </c>
      <c r="R408">
        <v>0</v>
      </c>
      <c r="S408" s="6">
        <f>SUM(O408:R408)/Variables!$E$3</f>
        <v>0</v>
      </c>
      <c r="T408" s="4">
        <v>0</v>
      </c>
      <c r="U408">
        <v>0</v>
      </c>
      <c r="V408">
        <v>0</v>
      </c>
      <c r="W408">
        <v>0</v>
      </c>
      <c r="X408" s="6">
        <f>SUM(T408:W408)/Variables!$E$3</f>
        <v>0</v>
      </c>
      <c r="Y408" s="4">
        <v>0</v>
      </c>
      <c r="Z408">
        <v>0</v>
      </c>
      <c r="AA408">
        <v>0</v>
      </c>
      <c r="AB408">
        <v>0</v>
      </c>
      <c r="AC408" s="6">
        <f>SUM(Y408:AB408)/Variables!$E$3</f>
        <v>0</v>
      </c>
      <c r="AD408" s="4">
        <v>0</v>
      </c>
      <c r="AE408" s="2">
        <v>0</v>
      </c>
      <c r="AF408" s="2">
        <v>0</v>
      </c>
      <c r="AG408" s="2">
        <v>0</v>
      </c>
      <c r="AH408" s="6">
        <f>SUM(AD408:AG408)/Variables!$E$3</f>
        <v>0</v>
      </c>
      <c r="AI408" s="4">
        <v>0</v>
      </c>
      <c r="AJ408" s="2">
        <v>0</v>
      </c>
      <c r="AK408" s="2">
        <v>0</v>
      </c>
      <c r="AL408" s="2">
        <v>0</v>
      </c>
      <c r="AM408" s="6">
        <f>SUM(AI408:AL408)/Variables!$E$3</f>
        <v>0</v>
      </c>
      <c r="AN408" s="4">
        <v>0</v>
      </c>
      <c r="AO408" s="2">
        <v>0</v>
      </c>
      <c r="AP408" s="2">
        <v>0</v>
      </c>
      <c r="AQ408" s="2">
        <v>0</v>
      </c>
      <c r="AR408" s="6">
        <f>SUM(AN408:AQ408)/Variables!$E$3</f>
        <v>0</v>
      </c>
      <c r="AS408" s="4">
        <v>0</v>
      </c>
      <c r="AT408" s="2">
        <v>0</v>
      </c>
      <c r="AU408" s="2">
        <v>0</v>
      </c>
      <c r="AV408" s="2">
        <v>0</v>
      </c>
      <c r="AW408" s="6">
        <f>SUM(AS408:AV408)/Variables!$E$3</f>
        <v>0</v>
      </c>
      <c r="AX408" s="4">
        <v>0</v>
      </c>
      <c r="AY408" s="2">
        <v>0</v>
      </c>
      <c r="AZ408" s="2">
        <v>0</v>
      </c>
      <c r="BA408" s="2">
        <v>0</v>
      </c>
      <c r="BB408" s="6">
        <f>SUM(AX408:BA408)/Variables!$E$3</f>
        <v>0</v>
      </c>
      <c r="BC408" s="12">
        <f t="shared" si="101"/>
        <v>0</v>
      </c>
      <c r="BD408" s="110">
        <f t="shared" si="101"/>
        <v>0</v>
      </c>
      <c r="BE408" s="110">
        <f t="shared" si="101"/>
        <v>0</v>
      </c>
      <c r="BF408" s="110">
        <f t="shared" si="98"/>
        <v>0</v>
      </c>
      <c r="BG408" s="6">
        <f>SUM(BC408:BF408)/Variables!$E$3</f>
        <v>0</v>
      </c>
      <c r="BH408" s="4">
        <v>0</v>
      </c>
      <c r="BI408">
        <v>0</v>
      </c>
      <c r="BJ408">
        <v>0</v>
      </c>
      <c r="BK408">
        <v>0</v>
      </c>
      <c r="BL408" s="6">
        <f>SUM(BH408:BK408)/Variables!$E$3</f>
        <v>0</v>
      </c>
      <c r="BM408" s="110">
        <v>0</v>
      </c>
      <c r="BN408" s="110">
        <v>0</v>
      </c>
      <c r="BO408" s="110">
        <v>0</v>
      </c>
      <c r="BP408" s="110">
        <v>0</v>
      </c>
      <c r="BQ408" s="6">
        <f>SUM(BM408:BP408)/Variables!$E$3</f>
        <v>0</v>
      </c>
      <c r="BS408" s="4">
        <v>406</v>
      </c>
      <c r="BT408" s="125">
        <f t="shared" si="102"/>
        <v>0</v>
      </c>
      <c r="BU408" s="125">
        <f t="shared" si="88"/>
        <v>0</v>
      </c>
      <c r="BV408" s="125">
        <f t="shared" si="89"/>
        <v>0</v>
      </c>
      <c r="BW408" s="125">
        <f t="shared" si="90"/>
        <v>0</v>
      </c>
      <c r="BX408" s="125">
        <f t="shared" si="91"/>
        <v>0</v>
      </c>
      <c r="BY408" s="125">
        <f t="shared" si="92"/>
        <v>0</v>
      </c>
      <c r="BZ408" s="125">
        <f t="shared" si="93"/>
        <v>0</v>
      </c>
      <c r="CA408" s="125">
        <f t="shared" si="94"/>
        <v>0</v>
      </c>
      <c r="CB408" s="125">
        <f t="shared" si="95"/>
        <v>0</v>
      </c>
      <c r="CC408" s="125">
        <f t="shared" si="96"/>
        <v>0</v>
      </c>
      <c r="CD408" s="125">
        <f t="shared" si="97"/>
        <v>0</v>
      </c>
      <c r="CE408" s="125">
        <f t="shared" si="99"/>
        <v>0</v>
      </c>
      <c r="CF408" s="126">
        <f t="shared" si="100"/>
        <v>0</v>
      </c>
      <c r="CH408" s="4">
        <v>406</v>
      </c>
      <c r="CI408" s="129">
        <v>0</v>
      </c>
      <c r="CJ408" s="125">
        <v>0</v>
      </c>
      <c r="CK408" s="125">
        <v>0</v>
      </c>
      <c r="CL408" s="125">
        <v>0</v>
      </c>
      <c r="CM408" s="125">
        <v>0</v>
      </c>
      <c r="CN408" s="125">
        <v>0</v>
      </c>
      <c r="CO408" s="125">
        <v>0</v>
      </c>
      <c r="CP408" s="125">
        <v>0</v>
      </c>
      <c r="CQ408" s="125">
        <v>0</v>
      </c>
      <c r="CR408" s="125">
        <v>0</v>
      </c>
      <c r="CS408" s="125">
        <v>0</v>
      </c>
      <c r="CT408" s="125">
        <v>0</v>
      </c>
      <c r="CU408" s="126">
        <v>0</v>
      </c>
    </row>
    <row r="409" spans="1:99" x14ac:dyDescent="0.25">
      <c r="A409" t="s">
        <v>285</v>
      </c>
      <c r="B409" s="2" t="s">
        <v>2</v>
      </c>
      <c r="C409" s="1">
        <v>38686</v>
      </c>
      <c r="D409" s="19">
        <v>83.304761904761904</v>
      </c>
      <c r="E409" s="18">
        <v>0</v>
      </c>
      <c r="F409" s="19">
        <v>0</v>
      </c>
      <c r="G409" s="19">
        <v>0</v>
      </c>
      <c r="H409" s="19">
        <v>0</v>
      </c>
      <c r="I409" s="19">
        <f>SUM(E409:H409)/Variables!$E$3</f>
        <v>0</v>
      </c>
      <c r="J409" s="4">
        <v>0</v>
      </c>
      <c r="K409">
        <v>0</v>
      </c>
      <c r="L409">
        <v>0</v>
      </c>
      <c r="M409">
        <v>0</v>
      </c>
      <c r="N409" s="6">
        <f>SUM(J409:M409)/Variables!$E$3</f>
        <v>0</v>
      </c>
      <c r="O409" s="4">
        <v>0</v>
      </c>
      <c r="P409">
        <v>0</v>
      </c>
      <c r="Q409">
        <v>0</v>
      </c>
      <c r="R409">
        <v>0</v>
      </c>
      <c r="S409" s="6">
        <f>SUM(O409:R409)/Variables!$E$3</f>
        <v>0</v>
      </c>
      <c r="T409" s="4">
        <v>0</v>
      </c>
      <c r="U409">
        <v>0</v>
      </c>
      <c r="V409">
        <v>0</v>
      </c>
      <c r="W409">
        <v>0</v>
      </c>
      <c r="X409" s="6">
        <f>SUM(T409:W409)/Variables!$E$3</f>
        <v>0</v>
      </c>
      <c r="Y409" s="4">
        <v>0</v>
      </c>
      <c r="Z409">
        <v>0</v>
      </c>
      <c r="AA409">
        <v>0</v>
      </c>
      <c r="AB409">
        <v>0</v>
      </c>
      <c r="AC409" s="6">
        <f>SUM(Y409:AB409)/Variables!$E$3</f>
        <v>0</v>
      </c>
      <c r="AD409" s="4">
        <v>0</v>
      </c>
      <c r="AE409" s="2">
        <v>0</v>
      </c>
      <c r="AF409" s="2">
        <v>0</v>
      </c>
      <c r="AG409" s="2">
        <v>0</v>
      </c>
      <c r="AH409" s="6">
        <f>SUM(AD409:AG409)/Variables!$E$3</f>
        <v>0</v>
      </c>
      <c r="AI409" s="4">
        <v>0</v>
      </c>
      <c r="AJ409" s="2">
        <v>0</v>
      </c>
      <c r="AK409" s="2">
        <v>0</v>
      </c>
      <c r="AL409" s="2">
        <v>0</v>
      </c>
      <c r="AM409" s="6">
        <f>SUM(AI409:AL409)/Variables!$E$3</f>
        <v>0</v>
      </c>
      <c r="AN409" s="4">
        <v>0</v>
      </c>
      <c r="AO409" s="2">
        <v>0</v>
      </c>
      <c r="AP409" s="2">
        <v>0</v>
      </c>
      <c r="AQ409" s="2">
        <v>0</v>
      </c>
      <c r="AR409" s="6">
        <f>SUM(AN409:AQ409)/Variables!$E$3</f>
        <v>0</v>
      </c>
      <c r="AS409" s="4">
        <v>0</v>
      </c>
      <c r="AT409" s="2">
        <v>0</v>
      </c>
      <c r="AU409" s="2">
        <v>0</v>
      </c>
      <c r="AV409" s="2">
        <v>0</v>
      </c>
      <c r="AW409" s="6">
        <f>SUM(AS409:AV409)/Variables!$E$3</f>
        <v>0</v>
      </c>
      <c r="AX409" s="4">
        <v>0</v>
      </c>
      <c r="AY409" s="2">
        <v>0</v>
      </c>
      <c r="AZ409" s="2">
        <v>0</v>
      </c>
      <c r="BA409" s="2">
        <v>0</v>
      </c>
      <c r="BB409" s="6">
        <f>SUM(AX409:BA409)/Variables!$E$3</f>
        <v>0</v>
      </c>
      <c r="BC409" s="12">
        <f t="shared" si="101"/>
        <v>0</v>
      </c>
      <c r="BD409" s="110">
        <f t="shared" si="101"/>
        <v>0</v>
      </c>
      <c r="BE409" s="110">
        <f t="shared" si="101"/>
        <v>0</v>
      </c>
      <c r="BF409" s="110">
        <f t="shared" si="98"/>
        <v>0</v>
      </c>
      <c r="BG409" s="6">
        <f>SUM(BC409:BF409)/Variables!$E$3</f>
        <v>0</v>
      </c>
      <c r="BH409" s="4">
        <v>0</v>
      </c>
      <c r="BI409">
        <v>0</v>
      </c>
      <c r="BJ409">
        <v>0</v>
      </c>
      <c r="BK409">
        <v>0</v>
      </c>
      <c r="BL409" s="6">
        <f>SUM(BH409:BK409)/Variables!$E$3</f>
        <v>0</v>
      </c>
      <c r="BM409" s="110">
        <v>0</v>
      </c>
      <c r="BN409" s="110">
        <v>0</v>
      </c>
      <c r="BO409" s="110">
        <v>0</v>
      </c>
      <c r="BP409" s="110">
        <v>0</v>
      </c>
      <c r="BQ409" s="6">
        <f>SUM(BM409:BP409)/Variables!$E$3</f>
        <v>0</v>
      </c>
      <c r="BS409" s="4">
        <v>407</v>
      </c>
      <c r="BT409" s="125">
        <f t="shared" si="102"/>
        <v>0</v>
      </c>
      <c r="BU409" s="125">
        <f t="shared" si="88"/>
        <v>2.5989912825913113E-2</v>
      </c>
      <c r="BV409" s="125">
        <f t="shared" si="89"/>
        <v>0</v>
      </c>
      <c r="BW409" s="125">
        <f t="shared" si="90"/>
        <v>3.7229115036540352E-4</v>
      </c>
      <c r="BX409" s="125">
        <f t="shared" si="91"/>
        <v>3.1750053444603676E-4</v>
      </c>
      <c r="BY409" s="125">
        <f t="shared" si="92"/>
        <v>0</v>
      </c>
      <c r="BZ409" s="125">
        <f t="shared" si="93"/>
        <v>0</v>
      </c>
      <c r="CA409" s="125">
        <f t="shared" si="94"/>
        <v>0</v>
      </c>
      <c r="CB409" s="125">
        <f t="shared" si="95"/>
        <v>5.1053452521397636E-4</v>
      </c>
      <c r="CC409" s="125">
        <f t="shared" si="96"/>
        <v>1.2692103658777979E-4</v>
      </c>
      <c r="CD409" s="125">
        <f t="shared" si="97"/>
        <v>3.1750053444603676E-4</v>
      </c>
      <c r="CE409" s="125">
        <f t="shared" si="99"/>
        <v>0</v>
      </c>
      <c r="CF409" s="126">
        <f t="shared" si="100"/>
        <v>6.5242005083175319E-5</v>
      </c>
      <c r="CH409" s="4">
        <v>407</v>
      </c>
      <c r="CI409" s="129">
        <v>0</v>
      </c>
      <c r="CJ409" s="125">
        <v>0</v>
      </c>
      <c r="CK409" s="125">
        <v>0</v>
      </c>
      <c r="CL409" s="125">
        <v>0</v>
      </c>
      <c r="CM409" s="125">
        <v>0</v>
      </c>
      <c r="CN409" s="125">
        <v>0</v>
      </c>
      <c r="CO409" s="125">
        <v>0</v>
      </c>
      <c r="CP409" s="125">
        <v>0</v>
      </c>
      <c r="CQ409" s="125">
        <v>0</v>
      </c>
      <c r="CR409" s="125">
        <v>0</v>
      </c>
      <c r="CS409" s="125">
        <v>0</v>
      </c>
      <c r="CT409" s="125">
        <v>0</v>
      </c>
      <c r="CU409" s="126">
        <v>0</v>
      </c>
    </row>
    <row r="410" spans="1:99" x14ac:dyDescent="0.25">
      <c r="A410" t="s">
        <v>286</v>
      </c>
      <c r="B410" s="2" t="s">
        <v>3</v>
      </c>
      <c r="C410" s="1">
        <v>38776</v>
      </c>
      <c r="D410" s="19">
        <v>104.071428571429</v>
      </c>
      <c r="E410" s="18">
        <v>0</v>
      </c>
      <c r="F410" s="19">
        <v>0</v>
      </c>
      <c r="G410" s="19">
        <v>0</v>
      </c>
      <c r="H410" s="19">
        <v>0</v>
      </c>
      <c r="I410" s="19">
        <f>SUM(E410:H410)/Variables!$E$3</f>
        <v>0</v>
      </c>
      <c r="J410" s="4">
        <v>0</v>
      </c>
      <c r="K410">
        <v>0</v>
      </c>
      <c r="L410">
        <v>32825</v>
      </c>
      <c r="M410">
        <v>0</v>
      </c>
      <c r="N410" s="6">
        <f>SUM(J410:M410)/Variables!$E$3</f>
        <v>2.5989912825913113E-2</v>
      </c>
      <c r="O410" s="4">
        <v>0</v>
      </c>
      <c r="P410">
        <v>0</v>
      </c>
      <c r="Q410">
        <v>0</v>
      </c>
      <c r="R410">
        <v>0</v>
      </c>
      <c r="S410" s="6">
        <f>SUM(O410:R410)/Variables!$E$3</f>
        <v>0</v>
      </c>
      <c r="T410" s="4">
        <v>0</v>
      </c>
      <c r="U410">
        <v>0</v>
      </c>
      <c r="V410">
        <v>470.20000000000101</v>
      </c>
      <c r="W410">
        <v>0</v>
      </c>
      <c r="X410" s="6">
        <f>SUM(T410:W410)/Variables!$E$3</f>
        <v>3.7229115036540352E-4</v>
      </c>
      <c r="Y410" s="4">
        <v>0</v>
      </c>
      <c r="Z410">
        <v>0</v>
      </c>
      <c r="AA410">
        <v>401</v>
      </c>
      <c r="AB410">
        <v>0</v>
      </c>
      <c r="AC410" s="6">
        <f>SUM(Y410:AB410)/Variables!$E$3</f>
        <v>3.1750053444603676E-4</v>
      </c>
      <c r="AD410" s="4">
        <v>0</v>
      </c>
      <c r="AE410" s="2">
        <v>0</v>
      </c>
      <c r="AF410" s="2">
        <v>0</v>
      </c>
      <c r="AG410" s="2">
        <v>0</v>
      </c>
      <c r="AH410" s="6">
        <f>SUM(AD410:AG410)/Variables!$E$3</f>
        <v>0</v>
      </c>
      <c r="AI410" s="4">
        <v>0</v>
      </c>
      <c r="AJ410" s="2">
        <v>0</v>
      </c>
      <c r="AK410" s="2">
        <v>0</v>
      </c>
      <c r="AL410" s="2">
        <v>0</v>
      </c>
      <c r="AM410" s="6">
        <f>SUM(AI410:AL410)/Variables!$E$3</f>
        <v>0</v>
      </c>
      <c r="AN410" s="4">
        <v>0</v>
      </c>
      <c r="AO410" s="2">
        <v>0</v>
      </c>
      <c r="AP410" s="2">
        <v>0</v>
      </c>
      <c r="AQ410" s="2">
        <v>0</v>
      </c>
      <c r="AR410" s="6">
        <f>SUM(AN410:AQ410)/Variables!$E$3</f>
        <v>0</v>
      </c>
      <c r="AS410" s="4">
        <v>0</v>
      </c>
      <c r="AT410" s="2">
        <v>0</v>
      </c>
      <c r="AU410" s="2">
        <v>644.79999999999995</v>
      </c>
      <c r="AV410" s="2">
        <v>0</v>
      </c>
      <c r="AW410" s="6">
        <f>SUM(AS410:AV410)/Variables!$E$3</f>
        <v>5.1053452521397636E-4</v>
      </c>
      <c r="AX410" s="4">
        <v>0</v>
      </c>
      <c r="AY410" s="2">
        <v>0</v>
      </c>
      <c r="AZ410" s="2">
        <v>160.30000000000001</v>
      </c>
      <c r="BA410" s="2">
        <v>0</v>
      </c>
      <c r="BB410" s="6">
        <f>SUM(AX410:BA410)/Variables!$E$3</f>
        <v>1.2692103658777979E-4</v>
      </c>
      <c r="BC410" s="12">
        <f t="shared" si="101"/>
        <v>0</v>
      </c>
      <c r="BD410" s="110">
        <f t="shared" si="101"/>
        <v>0</v>
      </c>
      <c r="BE410" s="110">
        <f t="shared" si="101"/>
        <v>401</v>
      </c>
      <c r="BF410" s="110">
        <f t="shared" si="98"/>
        <v>0</v>
      </c>
      <c r="BG410" s="6">
        <f>SUM(BC410:BF410)/Variables!$E$3</f>
        <v>3.1750053444603676E-4</v>
      </c>
      <c r="BH410" s="4">
        <v>0</v>
      </c>
      <c r="BI410">
        <v>0</v>
      </c>
      <c r="BJ410">
        <v>0</v>
      </c>
      <c r="BK410">
        <v>0</v>
      </c>
      <c r="BL410" s="6">
        <f>SUM(BH410:BK410)/Variables!$E$3</f>
        <v>0</v>
      </c>
      <c r="BM410" s="110">
        <v>0</v>
      </c>
      <c r="BN410" s="110">
        <v>0</v>
      </c>
      <c r="BO410" s="110">
        <v>82.399999999999594</v>
      </c>
      <c r="BP410" s="110">
        <v>0</v>
      </c>
      <c r="BQ410" s="6">
        <f>SUM(BM410:BP410)/Variables!$E$3</f>
        <v>6.5242005083175319E-5</v>
      </c>
      <c r="BS410" s="4">
        <v>408</v>
      </c>
      <c r="BT410" s="125">
        <f t="shared" si="102"/>
        <v>0</v>
      </c>
      <c r="BU410" s="125">
        <f t="shared" si="88"/>
        <v>0</v>
      </c>
      <c r="BV410" s="125">
        <f t="shared" si="89"/>
        <v>0</v>
      </c>
      <c r="BW410" s="125">
        <f t="shared" si="90"/>
        <v>0</v>
      </c>
      <c r="BX410" s="125">
        <f t="shared" si="91"/>
        <v>0</v>
      </c>
      <c r="BY410" s="125">
        <f t="shared" si="92"/>
        <v>0</v>
      </c>
      <c r="BZ410" s="125">
        <f t="shared" si="93"/>
        <v>0</v>
      </c>
      <c r="CA410" s="125">
        <f t="shared" si="94"/>
        <v>0</v>
      </c>
      <c r="CB410" s="125">
        <f t="shared" si="95"/>
        <v>0</v>
      </c>
      <c r="CC410" s="125">
        <f t="shared" si="96"/>
        <v>0</v>
      </c>
      <c r="CD410" s="125">
        <f t="shared" si="97"/>
        <v>0</v>
      </c>
      <c r="CE410" s="125">
        <f t="shared" si="99"/>
        <v>0</v>
      </c>
      <c r="CF410" s="126">
        <f t="shared" si="100"/>
        <v>0</v>
      </c>
      <c r="CH410" s="4">
        <v>408</v>
      </c>
      <c r="CI410" s="129">
        <v>0</v>
      </c>
      <c r="CJ410" s="125">
        <v>0</v>
      </c>
      <c r="CK410" s="125">
        <v>0</v>
      </c>
      <c r="CL410" s="125">
        <v>0</v>
      </c>
      <c r="CM410" s="125">
        <v>0</v>
      </c>
      <c r="CN410" s="125">
        <v>0</v>
      </c>
      <c r="CO410" s="125">
        <v>0</v>
      </c>
      <c r="CP410" s="125">
        <v>0</v>
      </c>
      <c r="CQ410" s="125">
        <v>0</v>
      </c>
      <c r="CR410" s="125">
        <v>0</v>
      </c>
      <c r="CS410" s="125">
        <v>0</v>
      </c>
      <c r="CT410" s="125">
        <v>0</v>
      </c>
      <c r="CU410" s="126">
        <v>0</v>
      </c>
    </row>
    <row r="411" spans="1:99" x14ac:dyDescent="0.25">
      <c r="A411" t="s">
        <v>286</v>
      </c>
      <c r="B411" s="2" t="s">
        <v>4</v>
      </c>
      <c r="C411" s="1">
        <v>38868</v>
      </c>
      <c r="D411" s="19">
        <v>21.314285714285699</v>
      </c>
      <c r="E411" s="18">
        <v>0</v>
      </c>
      <c r="F411" s="19">
        <v>0</v>
      </c>
      <c r="G411" s="19">
        <v>0</v>
      </c>
      <c r="H411" s="19">
        <v>0</v>
      </c>
      <c r="I411" s="19">
        <f>SUM(E411:H411)/Variables!$E$3</f>
        <v>0</v>
      </c>
      <c r="J411" s="4">
        <v>0</v>
      </c>
      <c r="K411">
        <v>0</v>
      </c>
      <c r="L411">
        <v>0</v>
      </c>
      <c r="M411">
        <v>0</v>
      </c>
      <c r="N411" s="6">
        <f>SUM(J411:M411)/Variables!$E$3</f>
        <v>0</v>
      </c>
      <c r="O411" s="4">
        <v>0</v>
      </c>
      <c r="P411">
        <v>0</v>
      </c>
      <c r="Q411">
        <v>0</v>
      </c>
      <c r="R411">
        <v>0</v>
      </c>
      <c r="S411" s="6">
        <f>SUM(O411:R411)/Variables!$E$3</f>
        <v>0</v>
      </c>
      <c r="T411" s="4">
        <v>0</v>
      </c>
      <c r="U411">
        <v>0</v>
      </c>
      <c r="V411">
        <v>0</v>
      </c>
      <c r="W411">
        <v>0</v>
      </c>
      <c r="X411" s="6">
        <f>SUM(T411:W411)/Variables!$E$3</f>
        <v>0</v>
      </c>
      <c r="Y411" s="4">
        <v>0</v>
      </c>
      <c r="Z411">
        <v>0</v>
      </c>
      <c r="AA411">
        <v>0</v>
      </c>
      <c r="AB411">
        <v>0</v>
      </c>
      <c r="AC411" s="6">
        <f>SUM(Y411:AB411)/Variables!$E$3</f>
        <v>0</v>
      </c>
      <c r="AD411" s="4">
        <v>0</v>
      </c>
      <c r="AE411" s="2">
        <v>0</v>
      </c>
      <c r="AF411" s="2">
        <v>0</v>
      </c>
      <c r="AG411" s="2">
        <v>0</v>
      </c>
      <c r="AH411" s="6">
        <f>SUM(AD411:AG411)/Variables!$E$3</f>
        <v>0</v>
      </c>
      <c r="AI411" s="4">
        <v>0</v>
      </c>
      <c r="AJ411" s="2">
        <v>0</v>
      </c>
      <c r="AK411" s="2">
        <v>0</v>
      </c>
      <c r="AL411" s="2">
        <v>0</v>
      </c>
      <c r="AM411" s="6">
        <f>SUM(AI411:AL411)/Variables!$E$3</f>
        <v>0</v>
      </c>
      <c r="AN411" s="4">
        <v>0</v>
      </c>
      <c r="AO411" s="2">
        <v>0</v>
      </c>
      <c r="AP411" s="2">
        <v>0</v>
      </c>
      <c r="AQ411" s="2">
        <v>0</v>
      </c>
      <c r="AR411" s="6">
        <f>SUM(AN411:AQ411)/Variables!$E$3</f>
        <v>0</v>
      </c>
      <c r="AS411" s="4">
        <v>0</v>
      </c>
      <c r="AT411" s="2">
        <v>0</v>
      </c>
      <c r="AU411" s="2">
        <v>0</v>
      </c>
      <c r="AV411" s="2">
        <v>0</v>
      </c>
      <c r="AW411" s="6">
        <f>SUM(AS411:AV411)/Variables!$E$3</f>
        <v>0</v>
      </c>
      <c r="AX411" s="4">
        <v>0</v>
      </c>
      <c r="AY411" s="2">
        <v>0</v>
      </c>
      <c r="AZ411" s="2">
        <v>0</v>
      </c>
      <c r="BA411" s="2">
        <v>0</v>
      </c>
      <c r="BB411" s="6">
        <f>SUM(AX411:BA411)/Variables!$E$3</f>
        <v>0</v>
      </c>
      <c r="BC411" s="12">
        <f t="shared" si="101"/>
        <v>0</v>
      </c>
      <c r="BD411" s="110">
        <f t="shared" si="101"/>
        <v>0</v>
      </c>
      <c r="BE411" s="110">
        <f t="shared" si="101"/>
        <v>0</v>
      </c>
      <c r="BF411" s="110">
        <f t="shared" si="98"/>
        <v>0</v>
      </c>
      <c r="BG411" s="6">
        <f>SUM(BC411:BF411)/Variables!$E$3</f>
        <v>0</v>
      </c>
      <c r="BH411" s="4">
        <v>0</v>
      </c>
      <c r="BI411">
        <v>0</v>
      </c>
      <c r="BJ411">
        <v>0</v>
      </c>
      <c r="BK411">
        <v>0</v>
      </c>
      <c r="BL411" s="6">
        <f>SUM(BH411:BK411)/Variables!$E$3</f>
        <v>0</v>
      </c>
      <c r="BM411" s="110">
        <v>0</v>
      </c>
      <c r="BN411" s="110">
        <v>0</v>
      </c>
      <c r="BO411" s="110">
        <v>0</v>
      </c>
      <c r="BP411" s="110">
        <v>0</v>
      </c>
      <c r="BQ411" s="6">
        <f>SUM(BM411:BP411)/Variables!$E$3</f>
        <v>0</v>
      </c>
      <c r="BS411" s="4">
        <v>409</v>
      </c>
      <c r="BT411" s="125">
        <f t="shared" si="102"/>
        <v>0</v>
      </c>
      <c r="BU411" s="125">
        <f t="shared" si="88"/>
        <v>0</v>
      </c>
      <c r="BV411" s="125">
        <f t="shared" si="89"/>
        <v>0</v>
      </c>
      <c r="BW411" s="125">
        <f t="shared" si="90"/>
        <v>0</v>
      </c>
      <c r="BX411" s="125">
        <f t="shared" si="91"/>
        <v>0</v>
      </c>
      <c r="BY411" s="125">
        <f t="shared" si="92"/>
        <v>0</v>
      </c>
      <c r="BZ411" s="125">
        <f t="shared" si="93"/>
        <v>0</v>
      </c>
      <c r="CA411" s="125">
        <f t="shared" si="94"/>
        <v>0</v>
      </c>
      <c r="CB411" s="125">
        <f t="shared" si="95"/>
        <v>0</v>
      </c>
      <c r="CC411" s="125">
        <f t="shared" si="96"/>
        <v>0</v>
      </c>
      <c r="CD411" s="125">
        <f t="shared" si="97"/>
        <v>0</v>
      </c>
      <c r="CE411" s="125">
        <f t="shared" si="99"/>
        <v>0</v>
      </c>
      <c r="CF411" s="126">
        <f t="shared" si="100"/>
        <v>0</v>
      </c>
      <c r="CH411" s="4">
        <v>409</v>
      </c>
      <c r="CI411" s="129">
        <v>0</v>
      </c>
      <c r="CJ411" s="125">
        <v>0</v>
      </c>
      <c r="CK411" s="125">
        <v>0</v>
      </c>
      <c r="CL411" s="125">
        <v>0</v>
      </c>
      <c r="CM411" s="125">
        <v>0</v>
      </c>
      <c r="CN411" s="125">
        <v>0</v>
      </c>
      <c r="CO411" s="125">
        <v>0</v>
      </c>
      <c r="CP411" s="125">
        <v>0</v>
      </c>
      <c r="CQ411" s="125">
        <v>0</v>
      </c>
      <c r="CR411" s="125">
        <v>0</v>
      </c>
      <c r="CS411" s="125">
        <v>0</v>
      </c>
      <c r="CT411" s="125">
        <v>0</v>
      </c>
      <c r="CU411" s="126">
        <v>0</v>
      </c>
    </row>
    <row r="412" spans="1:99" x14ac:dyDescent="0.25">
      <c r="A412" t="s">
        <v>286</v>
      </c>
      <c r="B412" s="2" t="s">
        <v>1</v>
      </c>
      <c r="C412" s="1">
        <v>38960</v>
      </c>
      <c r="D412" s="19">
        <v>74.531428571428606</v>
      </c>
      <c r="E412" s="18">
        <v>0</v>
      </c>
      <c r="F412" s="19">
        <v>0</v>
      </c>
      <c r="G412" s="19">
        <v>0</v>
      </c>
      <c r="H412" s="19">
        <v>0</v>
      </c>
      <c r="I412" s="19">
        <f>SUM(E412:H412)/Variables!$E$3</f>
        <v>0</v>
      </c>
      <c r="J412" s="4">
        <v>0</v>
      </c>
      <c r="K412">
        <v>0</v>
      </c>
      <c r="L412">
        <v>0</v>
      </c>
      <c r="M412">
        <v>0</v>
      </c>
      <c r="N412" s="6">
        <f>SUM(J412:M412)/Variables!$E$3</f>
        <v>0</v>
      </c>
      <c r="O412" s="4">
        <v>0</v>
      </c>
      <c r="P412">
        <v>0</v>
      </c>
      <c r="Q412">
        <v>0</v>
      </c>
      <c r="R412">
        <v>0</v>
      </c>
      <c r="S412" s="6">
        <f>SUM(O412:R412)/Variables!$E$3</f>
        <v>0</v>
      </c>
      <c r="T412" s="4">
        <v>0</v>
      </c>
      <c r="U412">
        <v>0</v>
      </c>
      <c r="V412">
        <v>0</v>
      </c>
      <c r="W412">
        <v>0</v>
      </c>
      <c r="X412" s="6">
        <f>SUM(T412:W412)/Variables!$E$3</f>
        <v>0</v>
      </c>
      <c r="Y412" s="4">
        <v>0</v>
      </c>
      <c r="Z412">
        <v>0</v>
      </c>
      <c r="AA412">
        <v>0</v>
      </c>
      <c r="AB412">
        <v>0</v>
      </c>
      <c r="AC412" s="6">
        <f>SUM(Y412:AB412)/Variables!$E$3</f>
        <v>0</v>
      </c>
      <c r="AD412" s="4">
        <v>0</v>
      </c>
      <c r="AE412" s="2">
        <v>0</v>
      </c>
      <c r="AF412" s="2">
        <v>0</v>
      </c>
      <c r="AG412" s="2">
        <v>0</v>
      </c>
      <c r="AH412" s="6">
        <f>SUM(AD412:AG412)/Variables!$E$3</f>
        <v>0</v>
      </c>
      <c r="AI412" s="4">
        <v>0</v>
      </c>
      <c r="AJ412" s="2">
        <v>0</v>
      </c>
      <c r="AK412" s="2">
        <v>0</v>
      </c>
      <c r="AL412" s="2">
        <v>0</v>
      </c>
      <c r="AM412" s="6">
        <f>SUM(AI412:AL412)/Variables!$E$3</f>
        <v>0</v>
      </c>
      <c r="AN412" s="4">
        <v>0</v>
      </c>
      <c r="AO412" s="2">
        <v>0</v>
      </c>
      <c r="AP412" s="2">
        <v>0</v>
      </c>
      <c r="AQ412" s="2">
        <v>0</v>
      </c>
      <c r="AR412" s="6">
        <f>SUM(AN412:AQ412)/Variables!$E$3</f>
        <v>0</v>
      </c>
      <c r="AS412" s="4">
        <v>0</v>
      </c>
      <c r="AT412" s="2">
        <v>0</v>
      </c>
      <c r="AU412" s="2">
        <v>0</v>
      </c>
      <c r="AV412" s="2">
        <v>0</v>
      </c>
      <c r="AW412" s="6">
        <f>SUM(AS412:AV412)/Variables!$E$3</f>
        <v>0</v>
      </c>
      <c r="AX412" s="4">
        <v>0</v>
      </c>
      <c r="AY412" s="2">
        <v>0</v>
      </c>
      <c r="AZ412" s="2">
        <v>0</v>
      </c>
      <c r="BA412" s="2">
        <v>0</v>
      </c>
      <c r="BB412" s="6">
        <f>SUM(AX412:BA412)/Variables!$E$3</f>
        <v>0</v>
      </c>
      <c r="BC412" s="12">
        <f t="shared" si="101"/>
        <v>0</v>
      </c>
      <c r="BD412" s="110">
        <f t="shared" si="101"/>
        <v>0</v>
      </c>
      <c r="BE412" s="110">
        <f t="shared" si="101"/>
        <v>0</v>
      </c>
      <c r="BF412" s="110">
        <f t="shared" si="98"/>
        <v>0</v>
      </c>
      <c r="BG412" s="6">
        <f>SUM(BC412:BF412)/Variables!$E$3</f>
        <v>0</v>
      </c>
      <c r="BH412" s="4">
        <v>0</v>
      </c>
      <c r="BI412">
        <v>0</v>
      </c>
      <c r="BJ412">
        <v>0</v>
      </c>
      <c r="BK412">
        <v>0</v>
      </c>
      <c r="BL412" s="6">
        <f>SUM(BH412:BK412)/Variables!$E$3</f>
        <v>0</v>
      </c>
      <c r="BM412" s="110">
        <v>0</v>
      </c>
      <c r="BN412" s="110">
        <v>0</v>
      </c>
      <c r="BO412" s="110">
        <v>0</v>
      </c>
      <c r="BP412" s="110">
        <v>0</v>
      </c>
      <c r="BQ412" s="6">
        <f>SUM(BM412:BP412)/Variables!$E$3</f>
        <v>0</v>
      </c>
      <c r="BS412" s="4">
        <v>410</v>
      </c>
      <c r="BT412" s="125">
        <f t="shared" si="102"/>
        <v>0</v>
      </c>
      <c r="BU412" s="125">
        <f t="shared" si="88"/>
        <v>0</v>
      </c>
      <c r="BV412" s="125">
        <f t="shared" si="89"/>
        <v>0</v>
      </c>
      <c r="BW412" s="125">
        <f t="shared" si="90"/>
        <v>0</v>
      </c>
      <c r="BX412" s="125">
        <f t="shared" si="91"/>
        <v>0</v>
      </c>
      <c r="BY412" s="125">
        <f t="shared" si="92"/>
        <v>0</v>
      </c>
      <c r="BZ412" s="125">
        <f t="shared" si="93"/>
        <v>0</v>
      </c>
      <c r="CA412" s="125">
        <f t="shared" si="94"/>
        <v>0</v>
      </c>
      <c r="CB412" s="125">
        <f t="shared" si="95"/>
        <v>0</v>
      </c>
      <c r="CC412" s="125">
        <f t="shared" si="96"/>
        <v>0</v>
      </c>
      <c r="CD412" s="125">
        <f t="shared" si="97"/>
        <v>0</v>
      </c>
      <c r="CE412" s="125">
        <f t="shared" si="99"/>
        <v>0</v>
      </c>
      <c r="CF412" s="126">
        <f t="shared" si="100"/>
        <v>0</v>
      </c>
      <c r="CH412" s="4">
        <v>410</v>
      </c>
      <c r="CI412" s="129">
        <v>0</v>
      </c>
      <c r="CJ412" s="125">
        <v>0</v>
      </c>
      <c r="CK412" s="125">
        <v>0</v>
      </c>
      <c r="CL412" s="125">
        <v>0</v>
      </c>
      <c r="CM412" s="125">
        <v>0</v>
      </c>
      <c r="CN412" s="125">
        <v>0</v>
      </c>
      <c r="CO412" s="125">
        <v>0</v>
      </c>
      <c r="CP412" s="125">
        <v>0</v>
      </c>
      <c r="CQ412" s="125">
        <v>0</v>
      </c>
      <c r="CR412" s="125">
        <v>0</v>
      </c>
      <c r="CS412" s="125">
        <v>0</v>
      </c>
      <c r="CT412" s="125">
        <v>0</v>
      </c>
      <c r="CU412" s="126">
        <v>0</v>
      </c>
    </row>
    <row r="413" spans="1:99" x14ac:dyDescent="0.25">
      <c r="A413" t="s">
        <v>286</v>
      </c>
      <c r="B413" s="2" t="s">
        <v>2</v>
      </c>
      <c r="C413" s="1">
        <v>39051</v>
      </c>
      <c r="D413" s="19">
        <v>30.138571428571399</v>
      </c>
      <c r="E413" s="18">
        <v>0</v>
      </c>
      <c r="F413" s="19">
        <v>0</v>
      </c>
      <c r="G413" s="19">
        <v>0</v>
      </c>
      <c r="H413" s="19">
        <v>0</v>
      </c>
      <c r="I413" s="19">
        <f>SUM(E413:H413)/Variables!$E$3</f>
        <v>0</v>
      </c>
      <c r="J413" s="4">
        <v>0</v>
      </c>
      <c r="K413">
        <v>0</v>
      </c>
      <c r="L413">
        <v>0</v>
      </c>
      <c r="M413">
        <v>0</v>
      </c>
      <c r="N413" s="6">
        <f>SUM(J413:M413)/Variables!$E$3</f>
        <v>0</v>
      </c>
      <c r="O413" s="4">
        <v>0</v>
      </c>
      <c r="P413">
        <v>0</v>
      </c>
      <c r="Q413">
        <v>0</v>
      </c>
      <c r="R413">
        <v>0</v>
      </c>
      <c r="S413" s="6">
        <f>SUM(O413:R413)/Variables!$E$3</f>
        <v>0</v>
      </c>
      <c r="T413" s="4">
        <v>0</v>
      </c>
      <c r="U413">
        <v>0</v>
      </c>
      <c r="V413">
        <v>0</v>
      </c>
      <c r="W413">
        <v>0</v>
      </c>
      <c r="X413" s="6">
        <f>SUM(T413:W413)/Variables!$E$3</f>
        <v>0</v>
      </c>
      <c r="Y413" s="4">
        <v>0</v>
      </c>
      <c r="Z413">
        <v>0</v>
      </c>
      <c r="AA413">
        <v>0</v>
      </c>
      <c r="AB413">
        <v>0</v>
      </c>
      <c r="AC413" s="6">
        <f>SUM(Y413:AB413)/Variables!$E$3</f>
        <v>0</v>
      </c>
      <c r="AD413" s="4">
        <v>0</v>
      </c>
      <c r="AE413" s="2">
        <v>0</v>
      </c>
      <c r="AF413" s="2">
        <v>0</v>
      </c>
      <c r="AG413" s="2">
        <v>0</v>
      </c>
      <c r="AH413" s="6">
        <f>SUM(AD413:AG413)/Variables!$E$3</f>
        <v>0</v>
      </c>
      <c r="AI413" s="4">
        <v>0</v>
      </c>
      <c r="AJ413" s="2">
        <v>0</v>
      </c>
      <c r="AK413" s="2">
        <v>0</v>
      </c>
      <c r="AL413" s="2">
        <v>0</v>
      </c>
      <c r="AM413" s="6">
        <f>SUM(AI413:AL413)/Variables!$E$3</f>
        <v>0</v>
      </c>
      <c r="AN413" s="4">
        <v>0</v>
      </c>
      <c r="AO413" s="2">
        <v>0</v>
      </c>
      <c r="AP413" s="2">
        <v>0</v>
      </c>
      <c r="AQ413" s="2">
        <v>0</v>
      </c>
      <c r="AR413" s="6">
        <f>SUM(AN413:AQ413)/Variables!$E$3</f>
        <v>0</v>
      </c>
      <c r="AS413" s="4">
        <v>0</v>
      </c>
      <c r="AT413" s="2">
        <v>0</v>
      </c>
      <c r="AU413" s="2">
        <v>0</v>
      </c>
      <c r="AV413" s="2">
        <v>0</v>
      </c>
      <c r="AW413" s="6">
        <f>SUM(AS413:AV413)/Variables!$E$3</f>
        <v>0</v>
      </c>
      <c r="AX413" s="4">
        <v>0</v>
      </c>
      <c r="AY413" s="2">
        <v>0</v>
      </c>
      <c r="AZ413" s="2">
        <v>0</v>
      </c>
      <c r="BA413" s="2">
        <v>0</v>
      </c>
      <c r="BB413" s="6">
        <f>SUM(AX413:BA413)/Variables!$E$3</f>
        <v>0</v>
      </c>
      <c r="BC413" s="12">
        <f t="shared" si="101"/>
        <v>0</v>
      </c>
      <c r="BD413" s="110">
        <f t="shared" si="101"/>
        <v>0</v>
      </c>
      <c r="BE413" s="110">
        <f t="shared" si="101"/>
        <v>0</v>
      </c>
      <c r="BF413" s="110">
        <f t="shared" si="98"/>
        <v>0</v>
      </c>
      <c r="BG413" s="6">
        <f>SUM(BC413:BF413)/Variables!$E$3</f>
        <v>0</v>
      </c>
      <c r="BH413" s="4">
        <v>0</v>
      </c>
      <c r="BI413">
        <v>0</v>
      </c>
      <c r="BJ413">
        <v>0</v>
      </c>
      <c r="BK413">
        <v>0</v>
      </c>
      <c r="BL413" s="6">
        <f>SUM(BH413:BK413)/Variables!$E$3</f>
        <v>0</v>
      </c>
      <c r="BM413" s="110">
        <v>0</v>
      </c>
      <c r="BN413" s="110">
        <v>0</v>
      </c>
      <c r="BO413" s="110">
        <v>0</v>
      </c>
      <c r="BP413" s="110">
        <v>0</v>
      </c>
      <c r="BQ413" s="6">
        <f>SUM(BM413:BP413)/Variables!$E$3</f>
        <v>0</v>
      </c>
      <c r="BS413" s="4">
        <v>411</v>
      </c>
      <c r="BT413" s="125">
        <f t="shared" si="102"/>
        <v>0</v>
      </c>
      <c r="BU413" s="125">
        <f t="shared" si="88"/>
        <v>0</v>
      </c>
      <c r="BV413" s="125">
        <f t="shared" si="89"/>
        <v>0</v>
      </c>
      <c r="BW413" s="125">
        <f t="shared" si="90"/>
        <v>0</v>
      </c>
      <c r="BX413" s="125">
        <f t="shared" si="91"/>
        <v>0</v>
      </c>
      <c r="BY413" s="125">
        <f t="shared" si="92"/>
        <v>0</v>
      </c>
      <c r="BZ413" s="125">
        <f t="shared" si="93"/>
        <v>0</v>
      </c>
      <c r="CA413" s="125">
        <f t="shared" si="94"/>
        <v>0</v>
      </c>
      <c r="CB413" s="125">
        <f t="shared" si="95"/>
        <v>0</v>
      </c>
      <c r="CC413" s="125">
        <f t="shared" si="96"/>
        <v>0</v>
      </c>
      <c r="CD413" s="125">
        <f t="shared" si="97"/>
        <v>0</v>
      </c>
      <c r="CE413" s="125">
        <f t="shared" si="99"/>
        <v>0</v>
      </c>
      <c r="CF413" s="126">
        <f t="shared" si="100"/>
        <v>0</v>
      </c>
      <c r="CH413" s="4">
        <v>411</v>
      </c>
      <c r="CI413" s="129">
        <v>0</v>
      </c>
      <c r="CJ413" s="125">
        <v>0</v>
      </c>
      <c r="CK413" s="125">
        <v>0</v>
      </c>
      <c r="CL413" s="125">
        <v>0</v>
      </c>
      <c r="CM413" s="125">
        <v>0</v>
      </c>
      <c r="CN413" s="125">
        <v>0</v>
      </c>
      <c r="CO413" s="125">
        <v>0</v>
      </c>
      <c r="CP413" s="125">
        <v>0</v>
      </c>
      <c r="CQ413" s="125">
        <v>0</v>
      </c>
      <c r="CR413" s="125">
        <v>0</v>
      </c>
      <c r="CS413" s="125">
        <v>0</v>
      </c>
      <c r="CT413" s="125">
        <v>0</v>
      </c>
      <c r="CU413" s="126">
        <v>0</v>
      </c>
    </row>
    <row r="414" spans="1:99" x14ac:dyDescent="0.25">
      <c r="A414" t="s">
        <v>287</v>
      </c>
      <c r="B414" s="2" t="s">
        <v>3</v>
      </c>
      <c r="C414" s="1">
        <v>39141</v>
      </c>
      <c r="D414" s="19">
        <v>73.742857142857105</v>
      </c>
      <c r="E414" s="18">
        <v>0</v>
      </c>
      <c r="F414" s="19">
        <v>0</v>
      </c>
      <c r="G414" s="19">
        <v>0</v>
      </c>
      <c r="H414" s="19">
        <v>0</v>
      </c>
      <c r="I414" s="19">
        <f>SUM(E414:H414)/Variables!$E$3</f>
        <v>0</v>
      </c>
      <c r="J414" s="4">
        <v>0</v>
      </c>
      <c r="K414">
        <v>0</v>
      </c>
      <c r="L414">
        <v>0</v>
      </c>
      <c r="M414">
        <v>0</v>
      </c>
      <c r="N414" s="6">
        <f>SUM(J414:M414)/Variables!$E$3</f>
        <v>0</v>
      </c>
      <c r="O414" s="4">
        <v>0</v>
      </c>
      <c r="P414">
        <v>0</v>
      </c>
      <c r="Q414">
        <v>0</v>
      </c>
      <c r="R414">
        <v>0</v>
      </c>
      <c r="S414" s="6">
        <f>SUM(O414:R414)/Variables!$E$3</f>
        <v>0</v>
      </c>
      <c r="T414" s="4">
        <v>0</v>
      </c>
      <c r="U414">
        <v>0</v>
      </c>
      <c r="V414">
        <v>0</v>
      </c>
      <c r="W414">
        <v>0</v>
      </c>
      <c r="X414" s="6">
        <f>SUM(T414:W414)/Variables!$E$3</f>
        <v>0</v>
      </c>
      <c r="Y414" s="4">
        <v>0</v>
      </c>
      <c r="Z414">
        <v>0</v>
      </c>
      <c r="AA414">
        <v>0</v>
      </c>
      <c r="AB414">
        <v>0</v>
      </c>
      <c r="AC414" s="6">
        <f>SUM(Y414:AB414)/Variables!$E$3</f>
        <v>0</v>
      </c>
      <c r="AD414" s="4">
        <v>0</v>
      </c>
      <c r="AE414" s="2">
        <v>0</v>
      </c>
      <c r="AF414" s="2">
        <v>0</v>
      </c>
      <c r="AG414" s="2">
        <v>0</v>
      </c>
      <c r="AH414" s="6">
        <f>SUM(AD414:AG414)/Variables!$E$3</f>
        <v>0</v>
      </c>
      <c r="AI414" s="4">
        <v>0</v>
      </c>
      <c r="AJ414" s="2">
        <v>0</v>
      </c>
      <c r="AK414" s="2">
        <v>0</v>
      </c>
      <c r="AL414" s="2">
        <v>0</v>
      </c>
      <c r="AM414" s="6">
        <f>SUM(AI414:AL414)/Variables!$E$3</f>
        <v>0</v>
      </c>
      <c r="AN414" s="4">
        <v>0</v>
      </c>
      <c r="AO414" s="2">
        <v>0</v>
      </c>
      <c r="AP414" s="2">
        <v>0</v>
      </c>
      <c r="AQ414" s="2">
        <v>0</v>
      </c>
      <c r="AR414" s="6">
        <f>SUM(AN414:AQ414)/Variables!$E$3</f>
        <v>0</v>
      </c>
      <c r="AS414" s="4">
        <v>0</v>
      </c>
      <c r="AT414" s="2">
        <v>0</v>
      </c>
      <c r="AU414" s="2">
        <v>0</v>
      </c>
      <c r="AV414" s="2">
        <v>0</v>
      </c>
      <c r="AW414" s="6">
        <f>SUM(AS414:AV414)/Variables!$E$3</f>
        <v>0</v>
      </c>
      <c r="AX414" s="4">
        <v>0</v>
      </c>
      <c r="AY414" s="2">
        <v>0</v>
      </c>
      <c r="AZ414" s="2">
        <v>0</v>
      </c>
      <c r="BA414" s="2">
        <v>0</v>
      </c>
      <c r="BB414" s="6">
        <f>SUM(AX414:BA414)/Variables!$E$3</f>
        <v>0</v>
      </c>
      <c r="BC414" s="12">
        <f t="shared" si="101"/>
        <v>0</v>
      </c>
      <c r="BD414" s="110">
        <f t="shared" si="101"/>
        <v>0</v>
      </c>
      <c r="BE414" s="110">
        <f t="shared" si="101"/>
        <v>0</v>
      </c>
      <c r="BF414" s="110">
        <f t="shared" si="98"/>
        <v>0</v>
      </c>
      <c r="BG414" s="6">
        <f>SUM(BC414:BF414)/Variables!$E$3</f>
        <v>0</v>
      </c>
      <c r="BH414" s="4">
        <v>0</v>
      </c>
      <c r="BI414">
        <v>0</v>
      </c>
      <c r="BJ414">
        <v>0</v>
      </c>
      <c r="BK414">
        <v>0</v>
      </c>
      <c r="BL414" s="6">
        <f>SUM(BH414:BK414)/Variables!$E$3</f>
        <v>0</v>
      </c>
      <c r="BM414" s="110">
        <v>0</v>
      </c>
      <c r="BN414" s="110">
        <v>0</v>
      </c>
      <c r="BO414" s="110">
        <v>0</v>
      </c>
      <c r="BP414" s="110">
        <v>0</v>
      </c>
      <c r="BQ414" s="6">
        <f>SUM(BM414:BP414)/Variables!$E$3</f>
        <v>0</v>
      </c>
      <c r="BS414" s="4">
        <v>412</v>
      </c>
      <c r="BT414" s="125">
        <f t="shared" si="102"/>
        <v>0</v>
      </c>
      <c r="BU414" s="125">
        <f t="shared" si="88"/>
        <v>0</v>
      </c>
      <c r="BV414" s="125">
        <f t="shared" si="89"/>
        <v>0</v>
      </c>
      <c r="BW414" s="125">
        <f t="shared" si="90"/>
        <v>0</v>
      </c>
      <c r="BX414" s="125">
        <f t="shared" si="91"/>
        <v>0</v>
      </c>
      <c r="BY414" s="125">
        <f t="shared" si="92"/>
        <v>0</v>
      </c>
      <c r="BZ414" s="125">
        <f t="shared" si="93"/>
        <v>0</v>
      </c>
      <c r="CA414" s="125">
        <f t="shared" si="94"/>
        <v>0</v>
      </c>
      <c r="CB414" s="125">
        <f t="shared" si="95"/>
        <v>0</v>
      </c>
      <c r="CC414" s="125">
        <f t="shared" si="96"/>
        <v>0</v>
      </c>
      <c r="CD414" s="125">
        <f t="shared" si="97"/>
        <v>0</v>
      </c>
      <c r="CE414" s="125">
        <f t="shared" si="99"/>
        <v>0</v>
      </c>
      <c r="CF414" s="126">
        <f t="shared" si="100"/>
        <v>0</v>
      </c>
      <c r="CH414" s="4">
        <v>412</v>
      </c>
      <c r="CI414" s="129">
        <v>0</v>
      </c>
      <c r="CJ414" s="125">
        <v>0</v>
      </c>
      <c r="CK414" s="125">
        <v>0</v>
      </c>
      <c r="CL414" s="125">
        <v>0</v>
      </c>
      <c r="CM414" s="125">
        <v>0</v>
      </c>
      <c r="CN414" s="125">
        <v>0</v>
      </c>
      <c r="CO414" s="125">
        <v>0</v>
      </c>
      <c r="CP414" s="125">
        <v>0</v>
      </c>
      <c r="CQ414" s="125">
        <v>0</v>
      </c>
      <c r="CR414" s="125">
        <v>0</v>
      </c>
      <c r="CS414" s="125">
        <v>0</v>
      </c>
      <c r="CT414" s="125">
        <v>0</v>
      </c>
      <c r="CU414" s="126">
        <v>0</v>
      </c>
    </row>
    <row r="415" spans="1:99" x14ac:dyDescent="0.25">
      <c r="A415" t="s">
        <v>287</v>
      </c>
      <c r="B415" s="2" t="s">
        <v>4</v>
      </c>
      <c r="C415" s="1">
        <v>39233</v>
      </c>
      <c r="D415" s="19">
        <v>119.05714285714301</v>
      </c>
      <c r="E415" s="18">
        <v>0</v>
      </c>
      <c r="F415" s="19">
        <v>0</v>
      </c>
      <c r="G415" s="19">
        <v>0</v>
      </c>
      <c r="H415" s="19">
        <v>0</v>
      </c>
      <c r="I415" s="19">
        <f>SUM(E415:H415)/Variables!$E$3</f>
        <v>0</v>
      </c>
      <c r="J415" s="4">
        <v>0</v>
      </c>
      <c r="K415">
        <v>0</v>
      </c>
      <c r="L415">
        <v>0</v>
      </c>
      <c r="M415">
        <v>0</v>
      </c>
      <c r="N415" s="6">
        <f>SUM(J415:M415)/Variables!$E$3</f>
        <v>0</v>
      </c>
      <c r="O415" s="4">
        <v>0</v>
      </c>
      <c r="P415">
        <v>0</v>
      </c>
      <c r="Q415">
        <v>0</v>
      </c>
      <c r="R415">
        <v>0</v>
      </c>
      <c r="S415" s="6">
        <f>SUM(O415:R415)/Variables!$E$3</f>
        <v>0</v>
      </c>
      <c r="T415" s="4">
        <v>0</v>
      </c>
      <c r="U415">
        <v>0</v>
      </c>
      <c r="V415">
        <v>0</v>
      </c>
      <c r="W415">
        <v>0</v>
      </c>
      <c r="X415" s="6">
        <f>SUM(T415:W415)/Variables!$E$3</f>
        <v>0</v>
      </c>
      <c r="Y415" s="4">
        <v>0</v>
      </c>
      <c r="Z415">
        <v>0</v>
      </c>
      <c r="AA415">
        <v>0</v>
      </c>
      <c r="AB415">
        <v>0</v>
      </c>
      <c r="AC415" s="6">
        <f>SUM(Y415:AB415)/Variables!$E$3</f>
        <v>0</v>
      </c>
      <c r="AD415" s="4">
        <v>0</v>
      </c>
      <c r="AE415" s="2">
        <v>0</v>
      </c>
      <c r="AF415" s="2">
        <v>0</v>
      </c>
      <c r="AG415" s="2">
        <v>0</v>
      </c>
      <c r="AH415" s="6">
        <f>SUM(AD415:AG415)/Variables!$E$3</f>
        <v>0</v>
      </c>
      <c r="AI415" s="4">
        <v>0</v>
      </c>
      <c r="AJ415" s="2">
        <v>0</v>
      </c>
      <c r="AK415" s="2">
        <v>0</v>
      </c>
      <c r="AL415" s="2">
        <v>0</v>
      </c>
      <c r="AM415" s="6">
        <f>SUM(AI415:AL415)/Variables!$E$3</f>
        <v>0</v>
      </c>
      <c r="AN415" s="4">
        <v>0</v>
      </c>
      <c r="AO415" s="2">
        <v>0</v>
      </c>
      <c r="AP415" s="2">
        <v>0</v>
      </c>
      <c r="AQ415" s="2">
        <v>0</v>
      </c>
      <c r="AR415" s="6">
        <f>SUM(AN415:AQ415)/Variables!$E$3</f>
        <v>0</v>
      </c>
      <c r="AS415" s="4">
        <v>0</v>
      </c>
      <c r="AT415" s="2">
        <v>0</v>
      </c>
      <c r="AU415" s="2">
        <v>0</v>
      </c>
      <c r="AV415" s="2">
        <v>0</v>
      </c>
      <c r="AW415" s="6">
        <f>SUM(AS415:AV415)/Variables!$E$3</f>
        <v>0</v>
      </c>
      <c r="AX415" s="4">
        <v>0</v>
      </c>
      <c r="AY415" s="2">
        <v>0</v>
      </c>
      <c r="AZ415" s="2">
        <v>0</v>
      </c>
      <c r="BA415" s="2">
        <v>0</v>
      </c>
      <c r="BB415" s="6">
        <f>SUM(AX415:BA415)/Variables!$E$3</f>
        <v>0</v>
      </c>
      <c r="BC415" s="12">
        <f t="shared" si="101"/>
        <v>0</v>
      </c>
      <c r="BD415" s="110">
        <f t="shared" si="101"/>
        <v>0</v>
      </c>
      <c r="BE415" s="110">
        <f t="shared" si="101"/>
        <v>0</v>
      </c>
      <c r="BF415" s="110">
        <f t="shared" si="98"/>
        <v>0</v>
      </c>
      <c r="BG415" s="6">
        <f>SUM(BC415:BF415)/Variables!$E$3</f>
        <v>0</v>
      </c>
      <c r="BH415" s="4">
        <v>0</v>
      </c>
      <c r="BI415">
        <v>0</v>
      </c>
      <c r="BJ415">
        <v>0</v>
      </c>
      <c r="BK415">
        <v>0</v>
      </c>
      <c r="BL415" s="6">
        <f>SUM(BH415:BK415)/Variables!$E$3</f>
        <v>0</v>
      </c>
      <c r="BM415" s="110">
        <v>0</v>
      </c>
      <c r="BN415" s="110">
        <v>0</v>
      </c>
      <c r="BO415" s="110">
        <v>0</v>
      </c>
      <c r="BP415" s="110">
        <v>0</v>
      </c>
      <c r="BQ415" s="6">
        <f>SUM(BM415:BP415)/Variables!$E$3</f>
        <v>0</v>
      </c>
      <c r="BS415" s="4">
        <v>413</v>
      </c>
      <c r="BT415" s="125">
        <f t="shared" si="102"/>
        <v>0</v>
      </c>
      <c r="BU415" s="125">
        <f t="shared" si="88"/>
        <v>0</v>
      </c>
      <c r="BV415" s="125">
        <f t="shared" si="89"/>
        <v>0</v>
      </c>
      <c r="BW415" s="125">
        <f t="shared" si="90"/>
        <v>0</v>
      </c>
      <c r="BX415" s="125">
        <f t="shared" si="91"/>
        <v>0</v>
      </c>
      <c r="BY415" s="125">
        <f t="shared" si="92"/>
        <v>0</v>
      </c>
      <c r="BZ415" s="125">
        <f t="shared" si="93"/>
        <v>0</v>
      </c>
      <c r="CA415" s="125">
        <f t="shared" si="94"/>
        <v>0</v>
      </c>
      <c r="CB415" s="125">
        <f t="shared" si="95"/>
        <v>0</v>
      </c>
      <c r="CC415" s="125">
        <f t="shared" si="96"/>
        <v>0</v>
      </c>
      <c r="CD415" s="125">
        <f t="shared" si="97"/>
        <v>0</v>
      </c>
      <c r="CE415" s="125">
        <f t="shared" si="99"/>
        <v>0</v>
      </c>
      <c r="CF415" s="126">
        <f t="shared" si="100"/>
        <v>0</v>
      </c>
      <c r="CH415" s="4">
        <v>413</v>
      </c>
      <c r="CI415" s="129">
        <v>0</v>
      </c>
      <c r="CJ415" s="125">
        <v>0</v>
      </c>
      <c r="CK415" s="125">
        <v>0</v>
      </c>
      <c r="CL415" s="125">
        <v>0</v>
      </c>
      <c r="CM415" s="125">
        <v>0</v>
      </c>
      <c r="CN415" s="125">
        <v>0</v>
      </c>
      <c r="CO415" s="125">
        <v>0</v>
      </c>
      <c r="CP415" s="125">
        <v>0</v>
      </c>
      <c r="CQ415" s="125">
        <v>0</v>
      </c>
      <c r="CR415" s="125">
        <v>0</v>
      </c>
      <c r="CS415" s="125">
        <v>0</v>
      </c>
      <c r="CT415" s="125">
        <v>0</v>
      </c>
      <c r="CU415" s="126">
        <v>0</v>
      </c>
    </row>
    <row r="416" spans="1:99" x14ac:dyDescent="0.25">
      <c r="A416" t="s">
        <v>287</v>
      </c>
      <c r="B416" s="2" t="s">
        <v>1</v>
      </c>
      <c r="C416" s="1">
        <v>39325</v>
      </c>
      <c r="D416" s="19">
        <v>14.285714285714301</v>
      </c>
      <c r="E416" s="18">
        <v>0</v>
      </c>
      <c r="F416" s="19">
        <v>0</v>
      </c>
      <c r="G416" s="19">
        <v>0</v>
      </c>
      <c r="H416" s="19">
        <v>0</v>
      </c>
      <c r="I416" s="19">
        <f>SUM(E416:H416)/Variables!$E$3</f>
        <v>0</v>
      </c>
      <c r="J416" s="4">
        <v>0</v>
      </c>
      <c r="K416">
        <v>0</v>
      </c>
      <c r="L416">
        <v>0</v>
      </c>
      <c r="M416">
        <v>0</v>
      </c>
      <c r="N416" s="6">
        <f>SUM(J416:M416)/Variables!$E$3</f>
        <v>0</v>
      </c>
      <c r="O416" s="4">
        <v>0</v>
      </c>
      <c r="P416">
        <v>0</v>
      </c>
      <c r="Q416">
        <v>0</v>
      </c>
      <c r="R416">
        <v>0</v>
      </c>
      <c r="S416" s="6">
        <f>SUM(O416:R416)/Variables!$E$3</f>
        <v>0</v>
      </c>
      <c r="T416" s="4">
        <v>0</v>
      </c>
      <c r="U416">
        <v>0</v>
      </c>
      <c r="V416">
        <v>0</v>
      </c>
      <c r="W416">
        <v>0</v>
      </c>
      <c r="X416" s="6">
        <f>SUM(T416:W416)/Variables!$E$3</f>
        <v>0</v>
      </c>
      <c r="Y416" s="4">
        <v>0</v>
      </c>
      <c r="Z416">
        <v>0</v>
      </c>
      <c r="AA416">
        <v>0</v>
      </c>
      <c r="AB416">
        <v>0</v>
      </c>
      <c r="AC416" s="6">
        <f>SUM(Y416:AB416)/Variables!$E$3</f>
        <v>0</v>
      </c>
      <c r="AD416" s="4">
        <v>0</v>
      </c>
      <c r="AE416" s="2">
        <v>0</v>
      </c>
      <c r="AF416" s="2">
        <v>0</v>
      </c>
      <c r="AG416" s="2">
        <v>0</v>
      </c>
      <c r="AH416" s="6">
        <f>SUM(AD416:AG416)/Variables!$E$3</f>
        <v>0</v>
      </c>
      <c r="AI416" s="4">
        <v>0</v>
      </c>
      <c r="AJ416" s="2">
        <v>0</v>
      </c>
      <c r="AK416" s="2">
        <v>0</v>
      </c>
      <c r="AL416" s="2">
        <v>0</v>
      </c>
      <c r="AM416" s="6">
        <f>SUM(AI416:AL416)/Variables!$E$3</f>
        <v>0</v>
      </c>
      <c r="AN416" s="4">
        <v>0</v>
      </c>
      <c r="AO416" s="2">
        <v>0</v>
      </c>
      <c r="AP416" s="2">
        <v>0</v>
      </c>
      <c r="AQ416" s="2">
        <v>0</v>
      </c>
      <c r="AR416" s="6">
        <f>SUM(AN416:AQ416)/Variables!$E$3</f>
        <v>0</v>
      </c>
      <c r="AS416" s="4">
        <v>0</v>
      </c>
      <c r="AT416" s="2">
        <v>0</v>
      </c>
      <c r="AU416" s="2">
        <v>0</v>
      </c>
      <c r="AV416" s="2">
        <v>0</v>
      </c>
      <c r="AW416" s="6">
        <f>SUM(AS416:AV416)/Variables!$E$3</f>
        <v>0</v>
      </c>
      <c r="AX416" s="4">
        <v>0</v>
      </c>
      <c r="AY416" s="2">
        <v>0</v>
      </c>
      <c r="AZ416" s="2">
        <v>0</v>
      </c>
      <c r="BA416" s="2">
        <v>0</v>
      </c>
      <c r="BB416" s="6">
        <f>SUM(AX416:BA416)/Variables!$E$3</f>
        <v>0</v>
      </c>
      <c r="BC416" s="12">
        <f t="shared" si="101"/>
        <v>0</v>
      </c>
      <c r="BD416" s="110">
        <f t="shared" si="101"/>
        <v>0</v>
      </c>
      <c r="BE416" s="110">
        <f t="shared" si="101"/>
        <v>0</v>
      </c>
      <c r="BF416" s="110">
        <f t="shared" si="98"/>
        <v>0</v>
      </c>
      <c r="BG416" s="6">
        <f>SUM(BC416:BF416)/Variables!$E$3</f>
        <v>0</v>
      </c>
      <c r="BH416" s="4">
        <v>0</v>
      </c>
      <c r="BI416">
        <v>0</v>
      </c>
      <c r="BJ416">
        <v>0</v>
      </c>
      <c r="BK416">
        <v>0</v>
      </c>
      <c r="BL416" s="6">
        <f>SUM(BH416:BK416)/Variables!$E$3</f>
        <v>0</v>
      </c>
      <c r="BM416" s="110">
        <v>0</v>
      </c>
      <c r="BN416" s="110">
        <v>0</v>
      </c>
      <c r="BO416" s="110">
        <v>0</v>
      </c>
      <c r="BP416" s="110">
        <v>0</v>
      </c>
      <c r="BQ416" s="6">
        <f>SUM(BM416:BP416)/Variables!$E$3</f>
        <v>0</v>
      </c>
      <c r="BS416" s="4">
        <v>414</v>
      </c>
      <c r="BT416" s="125">
        <f t="shared" si="102"/>
        <v>0</v>
      </c>
      <c r="BU416" s="125">
        <f t="shared" si="88"/>
        <v>0</v>
      </c>
      <c r="BV416" s="125">
        <f t="shared" si="89"/>
        <v>0</v>
      </c>
      <c r="BW416" s="125">
        <f t="shared" si="90"/>
        <v>0</v>
      </c>
      <c r="BX416" s="125">
        <f t="shared" si="91"/>
        <v>0</v>
      </c>
      <c r="BY416" s="125">
        <f t="shared" si="92"/>
        <v>0</v>
      </c>
      <c r="BZ416" s="125">
        <f t="shared" si="93"/>
        <v>0</v>
      </c>
      <c r="CA416" s="125">
        <f t="shared" si="94"/>
        <v>0</v>
      </c>
      <c r="CB416" s="125">
        <f t="shared" si="95"/>
        <v>0</v>
      </c>
      <c r="CC416" s="125">
        <f t="shared" si="96"/>
        <v>0</v>
      </c>
      <c r="CD416" s="125">
        <f t="shared" si="97"/>
        <v>0</v>
      </c>
      <c r="CE416" s="125">
        <f t="shared" si="99"/>
        <v>0</v>
      </c>
      <c r="CF416" s="126">
        <f t="shared" si="100"/>
        <v>0</v>
      </c>
      <c r="CH416" s="4">
        <v>414</v>
      </c>
      <c r="CI416" s="129">
        <v>0</v>
      </c>
      <c r="CJ416" s="125">
        <v>0</v>
      </c>
      <c r="CK416" s="125">
        <v>0</v>
      </c>
      <c r="CL416" s="125">
        <v>0</v>
      </c>
      <c r="CM416" s="125">
        <v>0</v>
      </c>
      <c r="CN416" s="125">
        <v>0</v>
      </c>
      <c r="CO416" s="125">
        <v>0</v>
      </c>
      <c r="CP416" s="125">
        <v>0</v>
      </c>
      <c r="CQ416" s="125">
        <v>0</v>
      </c>
      <c r="CR416" s="125">
        <v>0</v>
      </c>
      <c r="CS416" s="125">
        <v>0</v>
      </c>
      <c r="CT416" s="125">
        <v>0</v>
      </c>
      <c r="CU416" s="126">
        <v>0</v>
      </c>
    </row>
    <row r="417" spans="1:99" x14ac:dyDescent="0.25">
      <c r="A417" t="s">
        <v>287</v>
      </c>
      <c r="B417" s="2" t="s">
        <v>2</v>
      </c>
      <c r="C417" s="1">
        <v>39416</v>
      </c>
      <c r="D417" s="19">
        <v>82.057142857142793</v>
      </c>
      <c r="E417" s="18">
        <v>0</v>
      </c>
      <c r="F417" s="19">
        <v>0</v>
      </c>
      <c r="G417" s="19">
        <v>0</v>
      </c>
      <c r="H417" s="19">
        <v>0</v>
      </c>
      <c r="I417" s="19">
        <f>SUM(E417:H417)/Variables!$E$3</f>
        <v>0</v>
      </c>
      <c r="J417" s="4">
        <v>0</v>
      </c>
      <c r="K417">
        <v>0</v>
      </c>
      <c r="L417">
        <v>0</v>
      </c>
      <c r="M417">
        <v>0</v>
      </c>
      <c r="N417" s="6">
        <f>SUM(J417:M417)/Variables!$E$3</f>
        <v>0</v>
      </c>
      <c r="O417" s="4">
        <v>0</v>
      </c>
      <c r="P417">
        <v>0</v>
      </c>
      <c r="Q417">
        <v>0</v>
      </c>
      <c r="R417">
        <v>0</v>
      </c>
      <c r="S417" s="6">
        <f>SUM(O417:R417)/Variables!$E$3</f>
        <v>0</v>
      </c>
      <c r="T417" s="4">
        <v>0</v>
      </c>
      <c r="U417">
        <v>0</v>
      </c>
      <c r="V417">
        <v>0</v>
      </c>
      <c r="W417">
        <v>0</v>
      </c>
      <c r="X417" s="6">
        <f>SUM(T417:W417)/Variables!$E$3</f>
        <v>0</v>
      </c>
      <c r="Y417" s="4">
        <v>0</v>
      </c>
      <c r="Z417">
        <v>0</v>
      </c>
      <c r="AA417">
        <v>0</v>
      </c>
      <c r="AB417">
        <v>0</v>
      </c>
      <c r="AC417" s="6">
        <f>SUM(Y417:AB417)/Variables!$E$3</f>
        <v>0</v>
      </c>
      <c r="AD417" s="4">
        <v>0</v>
      </c>
      <c r="AE417" s="2">
        <v>0</v>
      </c>
      <c r="AF417" s="2">
        <v>0</v>
      </c>
      <c r="AG417" s="2">
        <v>0</v>
      </c>
      <c r="AH417" s="6">
        <f>SUM(AD417:AG417)/Variables!$E$3</f>
        <v>0</v>
      </c>
      <c r="AI417" s="4">
        <v>0</v>
      </c>
      <c r="AJ417" s="2">
        <v>0</v>
      </c>
      <c r="AK417" s="2">
        <v>0</v>
      </c>
      <c r="AL417" s="2">
        <v>0</v>
      </c>
      <c r="AM417" s="6">
        <f>SUM(AI417:AL417)/Variables!$E$3</f>
        <v>0</v>
      </c>
      <c r="AN417" s="4">
        <v>0</v>
      </c>
      <c r="AO417" s="2">
        <v>0</v>
      </c>
      <c r="AP417" s="2">
        <v>0</v>
      </c>
      <c r="AQ417" s="2">
        <v>0</v>
      </c>
      <c r="AR417" s="6">
        <f>SUM(AN417:AQ417)/Variables!$E$3</f>
        <v>0</v>
      </c>
      <c r="AS417" s="4">
        <v>0</v>
      </c>
      <c r="AT417" s="2">
        <v>0</v>
      </c>
      <c r="AU417" s="2">
        <v>0</v>
      </c>
      <c r="AV417" s="2">
        <v>0</v>
      </c>
      <c r="AW417" s="6">
        <f>SUM(AS417:AV417)/Variables!$E$3</f>
        <v>0</v>
      </c>
      <c r="AX417" s="4">
        <v>0</v>
      </c>
      <c r="AY417" s="2">
        <v>0</v>
      </c>
      <c r="AZ417" s="2">
        <v>0</v>
      </c>
      <c r="BA417" s="2">
        <v>0</v>
      </c>
      <c r="BB417" s="6">
        <f>SUM(AX417:BA417)/Variables!$E$3</f>
        <v>0</v>
      </c>
      <c r="BC417" s="12">
        <f t="shared" si="101"/>
        <v>0</v>
      </c>
      <c r="BD417" s="110">
        <f t="shared" si="101"/>
        <v>0</v>
      </c>
      <c r="BE417" s="110">
        <f t="shared" si="101"/>
        <v>0</v>
      </c>
      <c r="BF417" s="110">
        <f t="shared" si="98"/>
        <v>0</v>
      </c>
      <c r="BG417" s="6">
        <f>SUM(BC417:BF417)/Variables!$E$3</f>
        <v>0</v>
      </c>
      <c r="BH417" s="4">
        <v>0</v>
      </c>
      <c r="BI417">
        <v>0</v>
      </c>
      <c r="BJ417">
        <v>0</v>
      </c>
      <c r="BK417">
        <v>0</v>
      </c>
      <c r="BL417" s="6">
        <f>SUM(BH417:BK417)/Variables!$E$3</f>
        <v>0</v>
      </c>
      <c r="BM417" s="110">
        <v>0</v>
      </c>
      <c r="BN417" s="110">
        <v>0</v>
      </c>
      <c r="BO417" s="110">
        <v>0</v>
      </c>
      <c r="BP417" s="110">
        <v>0</v>
      </c>
      <c r="BQ417" s="6">
        <f>SUM(BM417:BP417)/Variables!$E$3</f>
        <v>0</v>
      </c>
      <c r="BS417" s="4">
        <v>415</v>
      </c>
      <c r="BT417" s="125">
        <f t="shared" si="102"/>
        <v>0</v>
      </c>
      <c r="BU417" s="125">
        <f t="shared" si="88"/>
        <v>0.2568943538745358</v>
      </c>
      <c r="BV417" s="125">
        <f t="shared" si="89"/>
        <v>5.9469987885889834E-3</v>
      </c>
      <c r="BW417" s="125">
        <f t="shared" si="90"/>
        <v>4.5668532609125956E-2</v>
      </c>
      <c r="BX417" s="125">
        <f t="shared" si="91"/>
        <v>4.3716973214356407E-2</v>
      </c>
      <c r="BY417" s="125">
        <f t="shared" si="92"/>
        <v>2.2488539101655599E-2</v>
      </c>
      <c r="BZ417" s="125">
        <f t="shared" si="93"/>
        <v>1.88253271997403E-2</v>
      </c>
      <c r="CA417" s="125">
        <f t="shared" si="94"/>
        <v>2.253897497209004E-2</v>
      </c>
      <c r="CB417" s="125">
        <f t="shared" si="95"/>
        <v>4.9416622459401892E-2</v>
      </c>
      <c r="CC417" s="125">
        <f t="shared" si="96"/>
        <v>3.0466670361602229E-2</v>
      </c>
      <c r="CD417" s="125">
        <f t="shared" si="97"/>
        <v>4.3716973214356407E-2</v>
      </c>
      <c r="CE417" s="125">
        <f t="shared" si="99"/>
        <v>2.5439710528191037E-2</v>
      </c>
      <c r="CF417" s="126">
        <f t="shared" si="100"/>
        <v>3.1206106144941764E-2</v>
      </c>
      <c r="CH417" s="4">
        <v>415</v>
      </c>
      <c r="CI417" s="129">
        <v>0</v>
      </c>
      <c r="CJ417" s="125">
        <v>0.10169439187958733</v>
      </c>
      <c r="CK417" s="125">
        <v>0</v>
      </c>
      <c r="CL417" s="125">
        <v>0</v>
      </c>
      <c r="CM417" s="125">
        <v>0</v>
      </c>
      <c r="CN417" s="125">
        <v>0</v>
      </c>
      <c r="CO417" s="125">
        <v>0</v>
      </c>
      <c r="CP417" s="125">
        <v>0</v>
      </c>
      <c r="CQ417" s="125">
        <v>0</v>
      </c>
      <c r="CR417" s="125">
        <v>0</v>
      </c>
      <c r="CS417" s="125">
        <v>0</v>
      </c>
      <c r="CT417" s="125">
        <v>0</v>
      </c>
      <c r="CU417" s="126">
        <v>0</v>
      </c>
    </row>
    <row r="418" spans="1:99" x14ac:dyDescent="0.25">
      <c r="A418" t="s">
        <v>288</v>
      </c>
      <c r="B418" s="2" t="s">
        <v>3</v>
      </c>
      <c r="C418" s="1">
        <v>39506</v>
      </c>
      <c r="D418" s="19">
        <v>384.322857142857</v>
      </c>
      <c r="E418" s="18">
        <v>0</v>
      </c>
      <c r="F418" s="19">
        <v>0</v>
      </c>
      <c r="G418" s="19">
        <v>0</v>
      </c>
      <c r="H418" s="19">
        <v>0</v>
      </c>
      <c r="I418" s="19">
        <f>SUM(E418:H418)/Variables!$E$3</f>
        <v>0</v>
      </c>
      <c r="J418" s="4">
        <v>390</v>
      </c>
      <c r="K418">
        <v>6625</v>
      </c>
      <c r="L418">
        <v>301617</v>
      </c>
      <c r="M418">
        <v>15823</v>
      </c>
      <c r="N418" s="6">
        <f>SUM(J418:M418)/Variables!$E$3</f>
        <v>0.2568943538745358</v>
      </c>
      <c r="O418" s="4">
        <v>0</v>
      </c>
      <c r="P418">
        <v>0</v>
      </c>
      <c r="Q418">
        <v>6466</v>
      </c>
      <c r="R418">
        <v>1045</v>
      </c>
      <c r="S418" s="6">
        <f>SUM(O418:R418)/Variables!$E$3</f>
        <v>5.9469987885889834E-3</v>
      </c>
      <c r="T418" s="4">
        <v>0</v>
      </c>
      <c r="U418">
        <v>0</v>
      </c>
      <c r="V418">
        <v>53501.2</v>
      </c>
      <c r="W418">
        <v>4177.7</v>
      </c>
      <c r="X418" s="6">
        <f>SUM(T418:W418)/Variables!$E$3</f>
        <v>4.5668532609125956E-2</v>
      </c>
      <c r="Y418" s="4">
        <v>0</v>
      </c>
      <c r="Z418">
        <v>0</v>
      </c>
      <c r="AA418">
        <v>50958.5</v>
      </c>
      <c r="AB418">
        <v>4255.6000000000004</v>
      </c>
      <c r="AC418" s="6">
        <f>SUM(Y418:AB418)/Variables!$E$3</f>
        <v>4.3716973214356407E-2</v>
      </c>
      <c r="AD418" s="4">
        <v>0</v>
      </c>
      <c r="AE418" s="2">
        <v>0</v>
      </c>
      <c r="AF418" s="2">
        <v>23926.7</v>
      </c>
      <c r="AG418" s="2">
        <v>4476.1000000000004</v>
      </c>
      <c r="AH418" s="6">
        <f>SUM(AD418:AG418)/Variables!$E$3</f>
        <v>2.2488539101655599E-2</v>
      </c>
      <c r="AI418" s="4">
        <v>0</v>
      </c>
      <c r="AJ418" s="2">
        <v>0</v>
      </c>
      <c r="AK418" s="2">
        <v>21721</v>
      </c>
      <c r="AL418" s="2">
        <v>2055.1999999999998</v>
      </c>
      <c r="AM418" s="6">
        <f>SUM(AI418:AL418)/Variables!$E$3</f>
        <v>1.88253271997403E-2</v>
      </c>
      <c r="AN418" s="4">
        <v>0</v>
      </c>
      <c r="AO418" s="2">
        <v>0</v>
      </c>
      <c r="AP418" s="2">
        <v>23895.4</v>
      </c>
      <c r="AQ418" s="2">
        <v>4571.1000000000004</v>
      </c>
      <c r="AR418" s="6">
        <f>SUM(AN418:AQ418)/Variables!$E$3</f>
        <v>2.253897497209004E-2</v>
      </c>
      <c r="AS418" s="4">
        <v>0</v>
      </c>
      <c r="AT418" s="2">
        <v>0</v>
      </c>
      <c r="AU418" s="2">
        <v>55008.7</v>
      </c>
      <c r="AV418" s="2">
        <v>7404</v>
      </c>
      <c r="AW418" s="6">
        <f>SUM(AS418:AV418)/Variables!$E$3</f>
        <v>4.9416622459401892E-2</v>
      </c>
      <c r="AX418" s="4">
        <v>0</v>
      </c>
      <c r="AY418" s="2">
        <v>0</v>
      </c>
      <c r="AZ418" s="2">
        <v>33124.5</v>
      </c>
      <c r="BA418" s="2">
        <v>5354.6</v>
      </c>
      <c r="BB418" s="6">
        <f>SUM(AX418:BA418)/Variables!$E$3</f>
        <v>3.0466670361602229E-2</v>
      </c>
      <c r="BC418" s="12">
        <f t="shared" si="101"/>
        <v>0</v>
      </c>
      <c r="BD418" s="110">
        <f t="shared" si="101"/>
        <v>0</v>
      </c>
      <c r="BE418" s="110">
        <f t="shared" si="101"/>
        <v>50958.5</v>
      </c>
      <c r="BF418" s="110">
        <f t="shared" si="98"/>
        <v>4255.6000000000004</v>
      </c>
      <c r="BG418" s="6">
        <f>SUM(BC418:BF418)/Variables!$E$3</f>
        <v>4.3716973214356407E-2</v>
      </c>
      <c r="BH418" s="4">
        <v>0</v>
      </c>
      <c r="BI418">
        <v>0</v>
      </c>
      <c r="BJ418">
        <v>28696.799999999999</v>
      </c>
      <c r="BK418">
        <v>3433.3</v>
      </c>
      <c r="BL418" s="6">
        <f>SUM(BH418:BK418)/Variables!$E$3</f>
        <v>2.5439710528191037E-2</v>
      </c>
      <c r="BM418" s="110">
        <v>0</v>
      </c>
      <c r="BN418" s="110">
        <v>0</v>
      </c>
      <c r="BO418" s="110">
        <v>34198.6</v>
      </c>
      <c r="BP418" s="110">
        <v>5214.3999999999996</v>
      </c>
      <c r="BQ418" s="6">
        <f>SUM(BM418:BP418)/Variables!$E$3</f>
        <v>3.1206106144941764E-2</v>
      </c>
      <c r="BS418" s="4">
        <v>416</v>
      </c>
      <c r="BT418" s="125">
        <f t="shared" si="102"/>
        <v>0</v>
      </c>
      <c r="BU418" s="125">
        <f t="shared" si="88"/>
        <v>5.0111243952842069E-3</v>
      </c>
      <c r="BV418" s="125">
        <f t="shared" si="89"/>
        <v>0</v>
      </c>
      <c r="BW418" s="125">
        <f t="shared" si="90"/>
        <v>0</v>
      </c>
      <c r="BX418" s="125">
        <f t="shared" si="91"/>
        <v>0</v>
      </c>
      <c r="BY418" s="125">
        <f t="shared" si="92"/>
        <v>0</v>
      </c>
      <c r="BZ418" s="125">
        <f t="shared" si="93"/>
        <v>0</v>
      </c>
      <c r="CA418" s="125">
        <f t="shared" si="94"/>
        <v>0</v>
      </c>
      <c r="CB418" s="125">
        <f t="shared" si="95"/>
        <v>0</v>
      </c>
      <c r="CC418" s="125">
        <f t="shared" si="96"/>
        <v>0</v>
      </c>
      <c r="CD418" s="125">
        <f t="shared" si="97"/>
        <v>0</v>
      </c>
      <c r="CE418" s="125">
        <f t="shared" si="99"/>
        <v>0</v>
      </c>
      <c r="CF418" s="126">
        <f t="shared" si="100"/>
        <v>0</v>
      </c>
      <c r="CH418" s="4">
        <v>416</v>
      </c>
      <c r="CI418" s="129">
        <v>0</v>
      </c>
      <c r="CJ418" s="125">
        <v>0</v>
      </c>
      <c r="CK418" s="125">
        <v>0</v>
      </c>
      <c r="CL418" s="125">
        <v>0</v>
      </c>
      <c r="CM418" s="125">
        <v>0</v>
      </c>
      <c r="CN418" s="125">
        <v>0</v>
      </c>
      <c r="CO418" s="125">
        <v>0</v>
      </c>
      <c r="CP418" s="125">
        <v>0</v>
      </c>
      <c r="CQ418" s="125">
        <v>0</v>
      </c>
      <c r="CR418" s="125">
        <v>0</v>
      </c>
      <c r="CS418" s="125">
        <v>0</v>
      </c>
      <c r="CT418" s="125">
        <v>0</v>
      </c>
      <c r="CU418" s="126">
        <v>0</v>
      </c>
    </row>
    <row r="419" spans="1:99" x14ac:dyDescent="0.25">
      <c r="A419" t="s">
        <v>288</v>
      </c>
      <c r="B419" s="2" t="s">
        <v>4</v>
      </c>
      <c r="C419" s="1">
        <v>39599</v>
      </c>
      <c r="D419" s="19">
        <v>70.373333333333306</v>
      </c>
      <c r="E419" s="18">
        <v>0</v>
      </c>
      <c r="F419" s="19">
        <v>0</v>
      </c>
      <c r="G419" s="19">
        <v>0</v>
      </c>
      <c r="H419" s="19">
        <v>0</v>
      </c>
      <c r="I419" s="19">
        <f>SUM(E419:H419)/Variables!$E$3</f>
        <v>0</v>
      </c>
      <c r="J419" s="4">
        <v>0</v>
      </c>
      <c r="K419">
        <v>0</v>
      </c>
      <c r="L419">
        <v>6329</v>
      </c>
      <c r="M419">
        <v>0</v>
      </c>
      <c r="N419" s="6">
        <f>SUM(J419:M419)/Variables!$E$3</f>
        <v>5.0111243952842069E-3</v>
      </c>
      <c r="O419" s="4">
        <v>0</v>
      </c>
      <c r="P419">
        <v>0</v>
      </c>
      <c r="Q419">
        <v>0</v>
      </c>
      <c r="R419">
        <v>0</v>
      </c>
      <c r="S419" s="6">
        <f>SUM(O419:R419)/Variables!$E$3</f>
        <v>0</v>
      </c>
      <c r="T419" s="4">
        <v>0</v>
      </c>
      <c r="U419">
        <v>0</v>
      </c>
      <c r="V419">
        <v>0</v>
      </c>
      <c r="W419">
        <v>0</v>
      </c>
      <c r="X419" s="6">
        <f>SUM(T419:W419)/Variables!$E$3</f>
        <v>0</v>
      </c>
      <c r="Y419" s="4">
        <v>0</v>
      </c>
      <c r="Z419">
        <v>0</v>
      </c>
      <c r="AA419">
        <v>0</v>
      </c>
      <c r="AB419">
        <v>0</v>
      </c>
      <c r="AC419" s="6">
        <f>SUM(Y419:AB419)/Variables!$E$3</f>
        <v>0</v>
      </c>
      <c r="AD419" s="4">
        <v>0</v>
      </c>
      <c r="AE419" s="2">
        <v>0</v>
      </c>
      <c r="AF419" s="2">
        <v>0</v>
      </c>
      <c r="AG419" s="2">
        <v>0</v>
      </c>
      <c r="AH419" s="6">
        <f>SUM(AD419:AG419)/Variables!$E$3</f>
        <v>0</v>
      </c>
      <c r="AI419" s="4">
        <v>0</v>
      </c>
      <c r="AJ419" s="2">
        <v>0</v>
      </c>
      <c r="AK419" s="2">
        <v>0</v>
      </c>
      <c r="AL419" s="2">
        <v>0</v>
      </c>
      <c r="AM419" s="6">
        <f>SUM(AI419:AL419)/Variables!$E$3</f>
        <v>0</v>
      </c>
      <c r="AN419" s="4">
        <v>0</v>
      </c>
      <c r="AO419" s="2">
        <v>0</v>
      </c>
      <c r="AP419" s="2">
        <v>0</v>
      </c>
      <c r="AQ419" s="2">
        <v>0</v>
      </c>
      <c r="AR419" s="6">
        <f>SUM(AN419:AQ419)/Variables!$E$3</f>
        <v>0</v>
      </c>
      <c r="AS419" s="4">
        <v>0</v>
      </c>
      <c r="AT419" s="2">
        <v>0</v>
      </c>
      <c r="AU419" s="2">
        <v>0</v>
      </c>
      <c r="AV419" s="2">
        <v>0</v>
      </c>
      <c r="AW419" s="6">
        <f>SUM(AS419:AV419)/Variables!$E$3</f>
        <v>0</v>
      </c>
      <c r="AX419" s="4">
        <v>0</v>
      </c>
      <c r="AY419" s="2">
        <v>0</v>
      </c>
      <c r="AZ419" s="2">
        <v>0</v>
      </c>
      <c r="BA419" s="2">
        <v>0</v>
      </c>
      <c r="BB419" s="6">
        <f>SUM(AX419:BA419)/Variables!$E$3</f>
        <v>0</v>
      </c>
      <c r="BC419" s="12">
        <f t="shared" si="101"/>
        <v>0</v>
      </c>
      <c r="BD419" s="110">
        <f t="shared" si="101"/>
        <v>0</v>
      </c>
      <c r="BE419" s="110">
        <f t="shared" si="101"/>
        <v>0</v>
      </c>
      <c r="BF419" s="110">
        <f t="shared" si="98"/>
        <v>0</v>
      </c>
      <c r="BG419" s="6">
        <f>SUM(BC419:BF419)/Variables!$E$3</f>
        <v>0</v>
      </c>
      <c r="BH419" s="4">
        <v>0</v>
      </c>
      <c r="BI419">
        <v>0</v>
      </c>
      <c r="BJ419">
        <v>0</v>
      </c>
      <c r="BK419">
        <v>0</v>
      </c>
      <c r="BL419" s="6">
        <f>SUM(BH419:BK419)/Variables!$E$3</f>
        <v>0</v>
      </c>
      <c r="BM419" s="110">
        <v>0</v>
      </c>
      <c r="BN419" s="110">
        <v>0</v>
      </c>
      <c r="BO419" s="110">
        <v>0</v>
      </c>
      <c r="BP419" s="110">
        <v>0</v>
      </c>
      <c r="BQ419" s="6">
        <f>SUM(BM419:BP419)/Variables!$E$3</f>
        <v>0</v>
      </c>
      <c r="BS419" s="4">
        <v>417</v>
      </c>
      <c r="BT419" s="125">
        <f t="shared" si="102"/>
        <v>0</v>
      </c>
      <c r="BU419" s="125">
        <f t="shared" si="88"/>
        <v>0</v>
      </c>
      <c r="BV419" s="125">
        <f t="shared" si="89"/>
        <v>0</v>
      </c>
      <c r="BW419" s="125">
        <f t="shared" si="90"/>
        <v>0</v>
      </c>
      <c r="BX419" s="125">
        <f t="shared" si="91"/>
        <v>0</v>
      </c>
      <c r="BY419" s="125">
        <f t="shared" si="92"/>
        <v>0</v>
      </c>
      <c r="BZ419" s="125">
        <f t="shared" si="93"/>
        <v>0</v>
      </c>
      <c r="CA419" s="125">
        <f t="shared" si="94"/>
        <v>0</v>
      </c>
      <c r="CB419" s="125">
        <f t="shared" si="95"/>
        <v>0</v>
      </c>
      <c r="CC419" s="125">
        <f t="shared" si="96"/>
        <v>0</v>
      </c>
      <c r="CD419" s="125">
        <f t="shared" si="97"/>
        <v>0</v>
      </c>
      <c r="CE419" s="125">
        <f t="shared" si="99"/>
        <v>0</v>
      </c>
      <c r="CF419" s="126">
        <f t="shared" si="100"/>
        <v>0</v>
      </c>
      <c r="CH419" s="4">
        <v>417</v>
      </c>
      <c r="CI419" s="129">
        <v>0</v>
      </c>
      <c r="CJ419" s="125">
        <v>0</v>
      </c>
      <c r="CK419" s="125">
        <v>0</v>
      </c>
      <c r="CL419" s="125">
        <v>0</v>
      </c>
      <c r="CM419" s="125">
        <v>0</v>
      </c>
      <c r="CN419" s="125">
        <v>0</v>
      </c>
      <c r="CO419" s="125">
        <v>0</v>
      </c>
      <c r="CP419" s="125">
        <v>0</v>
      </c>
      <c r="CQ419" s="125">
        <v>0</v>
      </c>
      <c r="CR419" s="125">
        <v>0</v>
      </c>
      <c r="CS419" s="125">
        <v>0</v>
      </c>
      <c r="CT419" s="125">
        <v>0</v>
      </c>
      <c r="CU419" s="126">
        <v>0</v>
      </c>
    </row>
    <row r="420" spans="1:99" x14ac:dyDescent="0.25">
      <c r="A420" t="s">
        <v>288</v>
      </c>
      <c r="B420" s="2" t="s">
        <v>1</v>
      </c>
      <c r="C420" s="1">
        <v>39691</v>
      </c>
      <c r="D420" s="19">
        <v>52.597142857142899</v>
      </c>
      <c r="E420" s="18">
        <v>0</v>
      </c>
      <c r="F420" s="19">
        <v>0</v>
      </c>
      <c r="G420" s="19">
        <v>0</v>
      </c>
      <c r="H420" s="19">
        <v>0</v>
      </c>
      <c r="I420" s="19">
        <f>SUM(E420:H420)/Variables!$E$3</f>
        <v>0</v>
      </c>
      <c r="J420" s="4">
        <v>0</v>
      </c>
      <c r="K420">
        <v>0</v>
      </c>
      <c r="L420">
        <v>0</v>
      </c>
      <c r="M420">
        <v>0</v>
      </c>
      <c r="N420" s="6">
        <f>SUM(J420:M420)/Variables!$E$3</f>
        <v>0</v>
      </c>
      <c r="O420" s="4">
        <v>0</v>
      </c>
      <c r="P420">
        <v>0</v>
      </c>
      <c r="Q420">
        <v>0</v>
      </c>
      <c r="R420">
        <v>0</v>
      </c>
      <c r="S420" s="6">
        <f>SUM(O420:R420)/Variables!$E$3</f>
        <v>0</v>
      </c>
      <c r="T420" s="4">
        <v>0</v>
      </c>
      <c r="U420">
        <v>0</v>
      </c>
      <c r="V420">
        <v>0</v>
      </c>
      <c r="W420">
        <v>0</v>
      </c>
      <c r="X420" s="6">
        <f>SUM(T420:W420)/Variables!$E$3</f>
        <v>0</v>
      </c>
      <c r="Y420" s="4">
        <v>0</v>
      </c>
      <c r="Z420">
        <v>0</v>
      </c>
      <c r="AA420">
        <v>0</v>
      </c>
      <c r="AB420">
        <v>0</v>
      </c>
      <c r="AC420" s="6">
        <f>SUM(Y420:AB420)/Variables!$E$3</f>
        <v>0</v>
      </c>
      <c r="AD420" s="4">
        <v>0</v>
      </c>
      <c r="AE420" s="2">
        <v>0</v>
      </c>
      <c r="AF420" s="2">
        <v>0</v>
      </c>
      <c r="AG420" s="2">
        <v>0</v>
      </c>
      <c r="AH420" s="6">
        <f>SUM(AD420:AG420)/Variables!$E$3</f>
        <v>0</v>
      </c>
      <c r="AI420" s="4">
        <v>0</v>
      </c>
      <c r="AJ420" s="2">
        <v>0</v>
      </c>
      <c r="AK420" s="2">
        <v>0</v>
      </c>
      <c r="AL420" s="2">
        <v>0</v>
      </c>
      <c r="AM420" s="6">
        <f>SUM(AI420:AL420)/Variables!$E$3</f>
        <v>0</v>
      </c>
      <c r="AN420" s="4">
        <v>0</v>
      </c>
      <c r="AO420" s="2">
        <v>0</v>
      </c>
      <c r="AP420" s="2">
        <v>0</v>
      </c>
      <c r="AQ420" s="2">
        <v>0</v>
      </c>
      <c r="AR420" s="6">
        <f>SUM(AN420:AQ420)/Variables!$E$3</f>
        <v>0</v>
      </c>
      <c r="AS420" s="4">
        <v>0</v>
      </c>
      <c r="AT420" s="2">
        <v>0</v>
      </c>
      <c r="AU420" s="2">
        <v>0</v>
      </c>
      <c r="AV420" s="2">
        <v>0</v>
      </c>
      <c r="AW420" s="6">
        <f>SUM(AS420:AV420)/Variables!$E$3</f>
        <v>0</v>
      </c>
      <c r="AX420" s="4">
        <v>0</v>
      </c>
      <c r="AY420" s="2">
        <v>0</v>
      </c>
      <c r="AZ420" s="2">
        <v>0</v>
      </c>
      <c r="BA420" s="2">
        <v>0</v>
      </c>
      <c r="BB420" s="6">
        <f>SUM(AX420:BA420)/Variables!$E$3</f>
        <v>0</v>
      </c>
      <c r="BC420" s="12">
        <f t="shared" si="101"/>
        <v>0</v>
      </c>
      <c r="BD420" s="110">
        <f t="shared" si="101"/>
        <v>0</v>
      </c>
      <c r="BE420" s="110">
        <f t="shared" si="101"/>
        <v>0</v>
      </c>
      <c r="BF420" s="110">
        <f t="shared" si="98"/>
        <v>0</v>
      </c>
      <c r="BG420" s="6">
        <f>SUM(BC420:BF420)/Variables!$E$3</f>
        <v>0</v>
      </c>
      <c r="BH420" s="4">
        <v>0</v>
      </c>
      <c r="BI420">
        <v>0</v>
      </c>
      <c r="BJ420">
        <v>0</v>
      </c>
      <c r="BK420">
        <v>0</v>
      </c>
      <c r="BL420" s="6">
        <f>SUM(BH420:BK420)/Variables!$E$3</f>
        <v>0</v>
      </c>
      <c r="BM420" s="110">
        <v>0</v>
      </c>
      <c r="BN420" s="110">
        <v>0</v>
      </c>
      <c r="BO420" s="110">
        <v>0</v>
      </c>
      <c r="BP420" s="110">
        <v>0</v>
      </c>
      <c r="BQ420" s="6">
        <f>SUM(BM420:BP420)/Variables!$E$3</f>
        <v>0</v>
      </c>
      <c r="BS420" s="4">
        <v>418</v>
      </c>
      <c r="BT420" s="125">
        <f t="shared" si="102"/>
        <v>0</v>
      </c>
      <c r="BU420" s="125">
        <f t="shared" si="88"/>
        <v>0</v>
      </c>
      <c r="BV420" s="125">
        <f t="shared" si="89"/>
        <v>0</v>
      </c>
      <c r="BW420" s="125">
        <f t="shared" si="90"/>
        <v>0</v>
      </c>
      <c r="BX420" s="125">
        <f t="shared" si="91"/>
        <v>0</v>
      </c>
      <c r="BY420" s="125">
        <f t="shared" si="92"/>
        <v>0</v>
      </c>
      <c r="BZ420" s="125">
        <f t="shared" si="93"/>
        <v>0</v>
      </c>
      <c r="CA420" s="125">
        <f t="shared" si="94"/>
        <v>0</v>
      </c>
      <c r="CB420" s="125">
        <f t="shared" si="95"/>
        <v>0</v>
      </c>
      <c r="CC420" s="125">
        <f t="shared" si="96"/>
        <v>0</v>
      </c>
      <c r="CD420" s="125">
        <f t="shared" si="97"/>
        <v>0</v>
      </c>
      <c r="CE420" s="125">
        <f t="shared" si="99"/>
        <v>0</v>
      </c>
      <c r="CF420" s="126">
        <f t="shared" si="100"/>
        <v>0</v>
      </c>
      <c r="CH420" s="4">
        <v>418</v>
      </c>
      <c r="CI420" s="129">
        <v>0</v>
      </c>
      <c r="CJ420" s="125">
        <v>0</v>
      </c>
      <c r="CK420" s="125">
        <v>0</v>
      </c>
      <c r="CL420" s="125">
        <v>0</v>
      </c>
      <c r="CM420" s="125">
        <v>0</v>
      </c>
      <c r="CN420" s="125">
        <v>0</v>
      </c>
      <c r="CO420" s="125">
        <v>0</v>
      </c>
      <c r="CP420" s="125">
        <v>0</v>
      </c>
      <c r="CQ420" s="125">
        <v>0</v>
      </c>
      <c r="CR420" s="125">
        <v>0</v>
      </c>
      <c r="CS420" s="125">
        <v>0</v>
      </c>
      <c r="CT420" s="125">
        <v>0</v>
      </c>
      <c r="CU420" s="126">
        <v>0</v>
      </c>
    </row>
    <row r="421" spans="1:99" x14ac:dyDescent="0.25">
      <c r="A421" t="s">
        <v>288</v>
      </c>
      <c r="B421" s="2" t="s">
        <v>2</v>
      </c>
      <c r="C421" s="1">
        <v>39782</v>
      </c>
      <c r="D421" s="19">
        <v>119.833333333333</v>
      </c>
      <c r="E421" s="18">
        <v>0</v>
      </c>
      <c r="F421" s="19">
        <v>0</v>
      </c>
      <c r="G421" s="19">
        <v>0</v>
      </c>
      <c r="H421" s="19">
        <v>0</v>
      </c>
      <c r="I421" s="19">
        <f>SUM(E421:H421)/Variables!$E$3</f>
        <v>0</v>
      </c>
      <c r="J421" s="4">
        <v>0</v>
      </c>
      <c r="K421">
        <v>0</v>
      </c>
      <c r="L421">
        <v>0</v>
      </c>
      <c r="M421">
        <v>0</v>
      </c>
      <c r="N421" s="6">
        <f>SUM(J421:M421)/Variables!$E$3</f>
        <v>0</v>
      </c>
      <c r="O421" s="4">
        <v>0</v>
      </c>
      <c r="P421">
        <v>0</v>
      </c>
      <c r="Q421">
        <v>0</v>
      </c>
      <c r="R421">
        <v>0</v>
      </c>
      <c r="S421" s="6">
        <f>SUM(O421:R421)/Variables!$E$3</f>
        <v>0</v>
      </c>
      <c r="T421" s="4">
        <v>0</v>
      </c>
      <c r="U421">
        <v>0</v>
      </c>
      <c r="V421">
        <v>0</v>
      </c>
      <c r="W421">
        <v>0</v>
      </c>
      <c r="X421" s="6">
        <f>SUM(T421:W421)/Variables!$E$3</f>
        <v>0</v>
      </c>
      <c r="Y421" s="4">
        <v>0</v>
      </c>
      <c r="Z421">
        <v>0</v>
      </c>
      <c r="AA421">
        <v>0</v>
      </c>
      <c r="AB421">
        <v>0</v>
      </c>
      <c r="AC421" s="6">
        <f>SUM(Y421:AB421)/Variables!$E$3</f>
        <v>0</v>
      </c>
      <c r="AD421" s="4">
        <v>0</v>
      </c>
      <c r="AE421" s="2">
        <v>0</v>
      </c>
      <c r="AF421" s="2">
        <v>0</v>
      </c>
      <c r="AG421" s="2">
        <v>0</v>
      </c>
      <c r="AH421" s="6">
        <f>SUM(AD421:AG421)/Variables!$E$3</f>
        <v>0</v>
      </c>
      <c r="AI421" s="4">
        <v>0</v>
      </c>
      <c r="AJ421" s="2">
        <v>0</v>
      </c>
      <c r="AK421" s="2">
        <v>0</v>
      </c>
      <c r="AL421" s="2">
        <v>0</v>
      </c>
      <c r="AM421" s="6">
        <f>SUM(AI421:AL421)/Variables!$E$3</f>
        <v>0</v>
      </c>
      <c r="AN421" s="4">
        <v>0</v>
      </c>
      <c r="AO421" s="2">
        <v>0</v>
      </c>
      <c r="AP421" s="2">
        <v>0</v>
      </c>
      <c r="AQ421" s="2">
        <v>0</v>
      </c>
      <c r="AR421" s="6">
        <f>SUM(AN421:AQ421)/Variables!$E$3</f>
        <v>0</v>
      </c>
      <c r="AS421" s="4">
        <v>0</v>
      </c>
      <c r="AT421" s="2">
        <v>0</v>
      </c>
      <c r="AU421" s="2">
        <v>0</v>
      </c>
      <c r="AV421" s="2">
        <v>0</v>
      </c>
      <c r="AW421" s="6">
        <f>SUM(AS421:AV421)/Variables!$E$3</f>
        <v>0</v>
      </c>
      <c r="AX421" s="4">
        <v>0</v>
      </c>
      <c r="AY421" s="2">
        <v>0</v>
      </c>
      <c r="AZ421" s="2">
        <v>0</v>
      </c>
      <c r="BA421" s="2">
        <v>0</v>
      </c>
      <c r="BB421" s="6">
        <f>SUM(AX421:BA421)/Variables!$E$3</f>
        <v>0</v>
      </c>
      <c r="BC421" s="12">
        <f t="shared" si="101"/>
        <v>0</v>
      </c>
      <c r="BD421" s="110">
        <f t="shared" si="101"/>
        <v>0</v>
      </c>
      <c r="BE421" s="110">
        <f t="shared" si="101"/>
        <v>0</v>
      </c>
      <c r="BF421" s="110">
        <f t="shared" si="98"/>
        <v>0</v>
      </c>
      <c r="BG421" s="6">
        <f>SUM(BC421:BF421)/Variables!$E$3</f>
        <v>0</v>
      </c>
      <c r="BH421" s="4">
        <v>0</v>
      </c>
      <c r="BI421">
        <v>0</v>
      </c>
      <c r="BJ421">
        <v>0</v>
      </c>
      <c r="BK421">
        <v>0</v>
      </c>
      <c r="BL421" s="6">
        <f>SUM(BH421:BK421)/Variables!$E$3</f>
        <v>0</v>
      </c>
      <c r="BM421" s="110">
        <v>0</v>
      </c>
      <c r="BN421" s="110">
        <v>0</v>
      </c>
      <c r="BO421" s="110">
        <v>0</v>
      </c>
      <c r="BP421" s="110">
        <v>0</v>
      </c>
      <c r="BQ421" s="6">
        <f>SUM(BM421:BP421)/Variables!$E$3</f>
        <v>0</v>
      </c>
      <c r="BS421" s="4">
        <v>419</v>
      </c>
      <c r="BT421" s="125">
        <f t="shared" si="102"/>
        <v>0</v>
      </c>
      <c r="BU421" s="125">
        <f t="shared" si="88"/>
        <v>1.5431634454746277E-2</v>
      </c>
      <c r="BV421" s="125">
        <f t="shared" si="89"/>
        <v>0</v>
      </c>
      <c r="BW421" s="125">
        <f t="shared" si="90"/>
        <v>0</v>
      </c>
      <c r="BX421" s="125">
        <f t="shared" si="91"/>
        <v>0</v>
      </c>
      <c r="BY421" s="125">
        <f t="shared" si="92"/>
        <v>0</v>
      </c>
      <c r="BZ421" s="125">
        <f t="shared" si="93"/>
        <v>0</v>
      </c>
      <c r="CA421" s="125">
        <f t="shared" si="94"/>
        <v>0</v>
      </c>
      <c r="CB421" s="125">
        <f t="shared" si="95"/>
        <v>0</v>
      </c>
      <c r="CC421" s="125">
        <f t="shared" si="96"/>
        <v>0</v>
      </c>
      <c r="CD421" s="125">
        <f t="shared" si="97"/>
        <v>0</v>
      </c>
      <c r="CE421" s="125">
        <f t="shared" si="99"/>
        <v>0</v>
      </c>
      <c r="CF421" s="126">
        <f t="shared" si="100"/>
        <v>0</v>
      </c>
      <c r="CH421" s="4">
        <v>419</v>
      </c>
      <c r="CI421" s="129">
        <v>0</v>
      </c>
      <c r="CJ421" s="125">
        <v>0</v>
      </c>
      <c r="CK421" s="125">
        <v>0</v>
      </c>
      <c r="CL421" s="125">
        <v>0</v>
      </c>
      <c r="CM421" s="125">
        <v>0</v>
      </c>
      <c r="CN421" s="125">
        <v>0</v>
      </c>
      <c r="CO421" s="125">
        <v>0</v>
      </c>
      <c r="CP421" s="125">
        <v>0</v>
      </c>
      <c r="CQ421" s="125">
        <v>0</v>
      </c>
      <c r="CR421" s="125">
        <v>0</v>
      </c>
      <c r="CS421" s="125">
        <v>0</v>
      </c>
      <c r="CT421" s="125">
        <v>0</v>
      </c>
      <c r="CU421" s="126">
        <v>0</v>
      </c>
    </row>
    <row r="422" spans="1:99" x14ac:dyDescent="0.25">
      <c r="A422" t="s">
        <v>289</v>
      </c>
      <c r="B422" s="2" t="s">
        <v>3</v>
      </c>
      <c r="C422" s="1">
        <v>39872</v>
      </c>
      <c r="D422" s="19">
        <v>137.37142857142899</v>
      </c>
      <c r="E422" s="18">
        <v>0</v>
      </c>
      <c r="F422" s="19">
        <v>0</v>
      </c>
      <c r="G422" s="19">
        <v>0</v>
      </c>
      <c r="H422" s="19">
        <v>0</v>
      </c>
      <c r="I422" s="19">
        <f>SUM(E422:H422)/Variables!$E$3</f>
        <v>0</v>
      </c>
      <c r="J422" s="4">
        <v>0</v>
      </c>
      <c r="K422">
        <v>0</v>
      </c>
      <c r="L422">
        <v>19490</v>
      </c>
      <c r="M422">
        <v>0</v>
      </c>
      <c r="N422" s="6">
        <f>SUM(J422:M422)/Variables!$E$3</f>
        <v>1.5431634454746277E-2</v>
      </c>
      <c r="O422" s="4">
        <v>0</v>
      </c>
      <c r="P422">
        <v>0</v>
      </c>
      <c r="Q422">
        <v>0</v>
      </c>
      <c r="R422">
        <v>0</v>
      </c>
      <c r="S422" s="6">
        <f>SUM(O422:R422)/Variables!$E$3</f>
        <v>0</v>
      </c>
      <c r="T422" s="4">
        <v>0</v>
      </c>
      <c r="U422">
        <v>0</v>
      </c>
      <c r="V422">
        <v>0</v>
      </c>
      <c r="W422">
        <v>0</v>
      </c>
      <c r="X422" s="6">
        <f>SUM(T422:W422)/Variables!$E$3</f>
        <v>0</v>
      </c>
      <c r="Y422" s="4">
        <v>0</v>
      </c>
      <c r="Z422">
        <v>0</v>
      </c>
      <c r="AA422">
        <v>0</v>
      </c>
      <c r="AB422">
        <v>0</v>
      </c>
      <c r="AC422" s="6">
        <f>SUM(Y422:AB422)/Variables!$E$3</f>
        <v>0</v>
      </c>
      <c r="AD422" s="4">
        <v>0</v>
      </c>
      <c r="AE422" s="2">
        <v>0</v>
      </c>
      <c r="AF422" s="2">
        <v>0</v>
      </c>
      <c r="AG422" s="2">
        <v>0</v>
      </c>
      <c r="AH422" s="6">
        <f>SUM(AD422:AG422)/Variables!$E$3</f>
        <v>0</v>
      </c>
      <c r="AI422" s="4">
        <v>0</v>
      </c>
      <c r="AJ422" s="2">
        <v>0</v>
      </c>
      <c r="AK422" s="2">
        <v>0</v>
      </c>
      <c r="AL422" s="2">
        <v>0</v>
      </c>
      <c r="AM422" s="6">
        <f>SUM(AI422:AL422)/Variables!$E$3</f>
        <v>0</v>
      </c>
      <c r="AN422" s="4">
        <v>0</v>
      </c>
      <c r="AO422" s="2">
        <v>0</v>
      </c>
      <c r="AP422" s="2">
        <v>0</v>
      </c>
      <c r="AQ422" s="2">
        <v>0</v>
      </c>
      <c r="AR422" s="6">
        <f>SUM(AN422:AQ422)/Variables!$E$3</f>
        <v>0</v>
      </c>
      <c r="AS422" s="4">
        <v>0</v>
      </c>
      <c r="AT422" s="2">
        <v>0</v>
      </c>
      <c r="AU422" s="2">
        <v>0</v>
      </c>
      <c r="AV422" s="2">
        <v>0</v>
      </c>
      <c r="AW422" s="6">
        <f>SUM(AS422:AV422)/Variables!$E$3</f>
        <v>0</v>
      </c>
      <c r="AX422" s="4">
        <v>0</v>
      </c>
      <c r="AY422" s="2">
        <v>0</v>
      </c>
      <c r="AZ422" s="2">
        <v>0</v>
      </c>
      <c r="BA422" s="2">
        <v>0</v>
      </c>
      <c r="BB422" s="6">
        <f>SUM(AX422:BA422)/Variables!$E$3</f>
        <v>0</v>
      </c>
      <c r="BC422" s="12">
        <f t="shared" si="101"/>
        <v>0</v>
      </c>
      <c r="BD422" s="110">
        <f t="shared" si="101"/>
        <v>0</v>
      </c>
      <c r="BE422" s="110">
        <f t="shared" si="101"/>
        <v>0</v>
      </c>
      <c r="BF422" s="110">
        <f t="shared" si="98"/>
        <v>0</v>
      </c>
      <c r="BG422" s="6">
        <f>SUM(BC422:BF422)/Variables!$E$3</f>
        <v>0</v>
      </c>
      <c r="BH422" s="4">
        <v>0</v>
      </c>
      <c r="BI422">
        <v>0</v>
      </c>
      <c r="BJ422">
        <v>0</v>
      </c>
      <c r="BK422">
        <v>0</v>
      </c>
      <c r="BL422" s="6">
        <f>SUM(BH422:BK422)/Variables!$E$3</f>
        <v>0</v>
      </c>
      <c r="BM422" s="110">
        <v>0</v>
      </c>
      <c r="BN422" s="110">
        <v>0</v>
      </c>
      <c r="BO422" s="110">
        <v>0</v>
      </c>
      <c r="BP422" s="110">
        <v>0</v>
      </c>
      <c r="BQ422" s="6">
        <f>SUM(BM422:BP422)/Variables!$E$3</f>
        <v>0</v>
      </c>
      <c r="BS422" s="4">
        <v>420</v>
      </c>
      <c r="BT422" s="125">
        <f t="shared" si="102"/>
        <v>0</v>
      </c>
      <c r="BU422" s="125">
        <f t="shared" si="88"/>
        <v>0</v>
      </c>
      <c r="BV422" s="125">
        <f t="shared" si="89"/>
        <v>0</v>
      </c>
      <c r="BW422" s="125">
        <f t="shared" si="90"/>
        <v>0</v>
      </c>
      <c r="BX422" s="125">
        <f t="shared" si="91"/>
        <v>0</v>
      </c>
      <c r="BY422" s="125">
        <f t="shared" si="92"/>
        <v>0</v>
      </c>
      <c r="BZ422" s="125">
        <f t="shared" si="93"/>
        <v>0</v>
      </c>
      <c r="CA422" s="125">
        <f t="shared" si="94"/>
        <v>0</v>
      </c>
      <c r="CB422" s="125">
        <f t="shared" si="95"/>
        <v>0</v>
      </c>
      <c r="CC422" s="125">
        <f t="shared" si="96"/>
        <v>0</v>
      </c>
      <c r="CD422" s="125">
        <f t="shared" si="97"/>
        <v>0</v>
      </c>
      <c r="CE422" s="125">
        <f t="shared" si="99"/>
        <v>0</v>
      </c>
      <c r="CF422" s="126">
        <f t="shared" si="100"/>
        <v>0</v>
      </c>
      <c r="CH422" s="4">
        <v>420</v>
      </c>
      <c r="CI422" s="129">
        <v>0</v>
      </c>
      <c r="CJ422" s="125">
        <v>0</v>
      </c>
      <c r="CK422" s="125">
        <v>0</v>
      </c>
      <c r="CL422" s="125">
        <v>0</v>
      </c>
      <c r="CM422" s="125">
        <v>0</v>
      </c>
      <c r="CN422" s="125">
        <v>0</v>
      </c>
      <c r="CO422" s="125">
        <v>0</v>
      </c>
      <c r="CP422" s="125">
        <v>0</v>
      </c>
      <c r="CQ422" s="125">
        <v>0</v>
      </c>
      <c r="CR422" s="125">
        <v>0</v>
      </c>
      <c r="CS422" s="125">
        <v>0</v>
      </c>
      <c r="CT422" s="125">
        <v>0</v>
      </c>
      <c r="CU422" s="126">
        <v>0</v>
      </c>
    </row>
    <row r="423" spans="1:99" x14ac:dyDescent="0.25">
      <c r="A423" t="s">
        <v>289</v>
      </c>
      <c r="B423" s="2" t="s">
        <v>4</v>
      </c>
      <c r="C423" s="1">
        <v>39964</v>
      </c>
      <c r="D423" s="19">
        <v>72.128571428571405</v>
      </c>
      <c r="E423" s="18">
        <v>0</v>
      </c>
      <c r="F423" s="19">
        <v>0</v>
      </c>
      <c r="G423" s="19">
        <v>0</v>
      </c>
      <c r="H423" s="19">
        <v>0</v>
      </c>
      <c r="I423" s="19">
        <f>SUM(E423:H423)/Variables!$E$3</f>
        <v>0</v>
      </c>
      <c r="J423" s="4">
        <v>0</v>
      </c>
      <c r="K423">
        <v>0</v>
      </c>
      <c r="L423">
        <v>0</v>
      </c>
      <c r="M423">
        <v>0</v>
      </c>
      <c r="N423" s="6">
        <f>SUM(J423:M423)/Variables!$E$3</f>
        <v>0</v>
      </c>
      <c r="O423" s="4">
        <v>0</v>
      </c>
      <c r="P423">
        <v>0</v>
      </c>
      <c r="Q423">
        <v>0</v>
      </c>
      <c r="R423">
        <v>0</v>
      </c>
      <c r="S423" s="6">
        <f>SUM(O423:R423)/Variables!$E$3</f>
        <v>0</v>
      </c>
      <c r="T423" s="4">
        <v>0</v>
      </c>
      <c r="U423">
        <v>0</v>
      </c>
      <c r="V423">
        <v>0</v>
      </c>
      <c r="W423">
        <v>0</v>
      </c>
      <c r="X423" s="6">
        <f>SUM(T423:W423)/Variables!$E$3</f>
        <v>0</v>
      </c>
      <c r="Y423" s="4">
        <v>0</v>
      </c>
      <c r="Z423">
        <v>0</v>
      </c>
      <c r="AA423">
        <v>0</v>
      </c>
      <c r="AB423">
        <v>0</v>
      </c>
      <c r="AC423" s="6">
        <f>SUM(Y423:AB423)/Variables!$E$3</f>
        <v>0</v>
      </c>
      <c r="AD423" s="4">
        <v>0</v>
      </c>
      <c r="AE423" s="2">
        <v>0</v>
      </c>
      <c r="AF423" s="2">
        <v>0</v>
      </c>
      <c r="AG423" s="2">
        <v>0</v>
      </c>
      <c r="AH423" s="6">
        <f>SUM(AD423:AG423)/Variables!$E$3</f>
        <v>0</v>
      </c>
      <c r="AI423" s="4">
        <v>0</v>
      </c>
      <c r="AJ423" s="2">
        <v>0</v>
      </c>
      <c r="AK423" s="2">
        <v>0</v>
      </c>
      <c r="AL423" s="2">
        <v>0</v>
      </c>
      <c r="AM423" s="6">
        <f>SUM(AI423:AL423)/Variables!$E$3</f>
        <v>0</v>
      </c>
      <c r="AN423" s="4">
        <v>0</v>
      </c>
      <c r="AO423" s="2">
        <v>0</v>
      </c>
      <c r="AP423" s="2">
        <v>0</v>
      </c>
      <c r="AQ423" s="2">
        <v>0</v>
      </c>
      <c r="AR423" s="6">
        <f>SUM(AN423:AQ423)/Variables!$E$3</f>
        <v>0</v>
      </c>
      <c r="AS423" s="4">
        <v>0</v>
      </c>
      <c r="AT423" s="2">
        <v>0</v>
      </c>
      <c r="AU423" s="2">
        <v>0</v>
      </c>
      <c r="AV423" s="2">
        <v>0</v>
      </c>
      <c r="AW423" s="6">
        <f>SUM(AS423:AV423)/Variables!$E$3</f>
        <v>0</v>
      </c>
      <c r="AX423" s="4">
        <v>0</v>
      </c>
      <c r="AY423" s="2">
        <v>0</v>
      </c>
      <c r="AZ423" s="2">
        <v>0</v>
      </c>
      <c r="BA423" s="2">
        <v>0</v>
      </c>
      <c r="BB423" s="6">
        <f>SUM(AX423:BA423)/Variables!$E$3</f>
        <v>0</v>
      </c>
      <c r="BC423" s="12">
        <f t="shared" si="101"/>
        <v>0</v>
      </c>
      <c r="BD423" s="110">
        <f t="shared" si="101"/>
        <v>0</v>
      </c>
      <c r="BE423" s="110">
        <f t="shared" si="101"/>
        <v>0</v>
      </c>
      <c r="BF423" s="110">
        <f t="shared" si="98"/>
        <v>0</v>
      </c>
      <c r="BG423" s="6">
        <f>SUM(BC423:BF423)/Variables!$E$3</f>
        <v>0</v>
      </c>
      <c r="BH423" s="4">
        <v>0</v>
      </c>
      <c r="BI423">
        <v>0</v>
      </c>
      <c r="BJ423">
        <v>0</v>
      </c>
      <c r="BK423">
        <v>0</v>
      </c>
      <c r="BL423" s="6">
        <f>SUM(BH423:BK423)/Variables!$E$3</f>
        <v>0</v>
      </c>
      <c r="BM423" s="110">
        <v>0</v>
      </c>
      <c r="BN423" s="110">
        <v>0</v>
      </c>
      <c r="BO423" s="110">
        <v>0</v>
      </c>
      <c r="BP423" s="110">
        <v>0</v>
      </c>
      <c r="BQ423" s="6">
        <f>SUM(BM423:BP423)/Variables!$E$3</f>
        <v>0</v>
      </c>
      <c r="BS423" s="24">
        <v>421</v>
      </c>
      <c r="BT423" s="130">
        <f t="shared" si="102"/>
        <v>0</v>
      </c>
      <c r="BU423" s="130">
        <f t="shared" si="88"/>
        <v>0</v>
      </c>
      <c r="BV423" s="130">
        <f t="shared" si="89"/>
        <v>0</v>
      </c>
      <c r="BW423" s="130">
        <f t="shared" si="90"/>
        <v>0</v>
      </c>
      <c r="BX423" s="130">
        <f t="shared" si="91"/>
        <v>0</v>
      </c>
      <c r="BY423" s="130">
        <f t="shared" si="92"/>
        <v>0</v>
      </c>
      <c r="BZ423" s="130">
        <f t="shared" si="93"/>
        <v>0</v>
      </c>
      <c r="CA423" s="130">
        <f t="shared" si="94"/>
        <v>0</v>
      </c>
      <c r="CB423" s="130">
        <f t="shared" si="95"/>
        <v>0</v>
      </c>
      <c r="CC423" s="130">
        <f t="shared" si="96"/>
        <v>0</v>
      </c>
      <c r="CD423" s="130">
        <f t="shared" si="97"/>
        <v>0</v>
      </c>
      <c r="CE423" s="130">
        <f t="shared" si="99"/>
        <v>0</v>
      </c>
      <c r="CF423" s="131">
        <f t="shared" si="100"/>
        <v>0</v>
      </c>
      <c r="CH423" s="24">
        <v>421</v>
      </c>
      <c r="CI423" s="132">
        <v>0</v>
      </c>
      <c r="CJ423" s="130">
        <v>0</v>
      </c>
      <c r="CK423" s="130">
        <v>0</v>
      </c>
      <c r="CL423" s="130">
        <v>0</v>
      </c>
      <c r="CM423" s="130">
        <v>0</v>
      </c>
      <c r="CN423" s="130">
        <v>0</v>
      </c>
      <c r="CO423" s="130">
        <v>0</v>
      </c>
      <c r="CP423" s="130">
        <v>0</v>
      </c>
      <c r="CQ423" s="130">
        <v>0</v>
      </c>
      <c r="CR423" s="130">
        <v>0</v>
      </c>
      <c r="CS423" s="130">
        <v>0</v>
      </c>
      <c r="CT423" s="130">
        <v>0</v>
      </c>
      <c r="CU423" s="131">
        <v>0</v>
      </c>
    </row>
    <row r="424" spans="1:99" x14ac:dyDescent="0.25">
      <c r="A424" t="s">
        <v>289</v>
      </c>
      <c r="B424" s="2" t="s">
        <v>1</v>
      </c>
      <c r="C424" s="1">
        <v>40056</v>
      </c>
      <c r="D424" s="19">
        <v>44.285714285714299</v>
      </c>
      <c r="E424" s="18">
        <v>0</v>
      </c>
      <c r="F424" s="19">
        <v>0</v>
      </c>
      <c r="G424" s="19">
        <v>0</v>
      </c>
      <c r="H424" s="19">
        <v>0</v>
      </c>
      <c r="I424" s="19">
        <f>SUM(E424:H424)/Variables!$E$3</f>
        <v>0</v>
      </c>
      <c r="J424" s="4">
        <v>0</v>
      </c>
      <c r="K424">
        <v>0</v>
      </c>
      <c r="L424">
        <v>0</v>
      </c>
      <c r="M424">
        <v>0</v>
      </c>
      <c r="N424" s="6">
        <f>SUM(J424:M424)/Variables!$E$3</f>
        <v>0</v>
      </c>
      <c r="O424" s="4">
        <v>0</v>
      </c>
      <c r="P424">
        <v>0</v>
      </c>
      <c r="Q424">
        <v>0</v>
      </c>
      <c r="R424">
        <v>0</v>
      </c>
      <c r="S424" s="6">
        <f>SUM(O424:R424)/Variables!$E$3</f>
        <v>0</v>
      </c>
      <c r="T424" s="4">
        <v>0</v>
      </c>
      <c r="U424">
        <v>0</v>
      </c>
      <c r="V424">
        <v>0</v>
      </c>
      <c r="W424">
        <v>0</v>
      </c>
      <c r="X424" s="6">
        <f>SUM(T424:W424)/Variables!$E$3</f>
        <v>0</v>
      </c>
      <c r="Y424" s="4">
        <v>0</v>
      </c>
      <c r="Z424">
        <v>0</v>
      </c>
      <c r="AA424">
        <v>0</v>
      </c>
      <c r="AB424">
        <v>0</v>
      </c>
      <c r="AC424" s="6">
        <f>SUM(Y424:AB424)/Variables!$E$3</f>
        <v>0</v>
      </c>
      <c r="AD424" s="4">
        <v>0</v>
      </c>
      <c r="AE424" s="2">
        <v>0</v>
      </c>
      <c r="AF424" s="2">
        <v>0</v>
      </c>
      <c r="AG424" s="2">
        <v>0</v>
      </c>
      <c r="AH424" s="6">
        <f>SUM(AD424:AG424)/Variables!$E$3</f>
        <v>0</v>
      </c>
      <c r="AI424" s="4">
        <v>0</v>
      </c>
      <c r="AJ424" s="2">
        <v>0</v>
      </c>
      <c r="AK424" s="2">
        <v>0</v>
      </c>
      <c r="AL424" s="2">
        <v>0</v>
      </c>
      <c r="AM424" s="6">
        <f>SUM(AI424:AL424)/Variables!$E$3</f>
        <v>0</v>
      </c>
      <c r="AN424" s="4">
        <v>0</v>
      </c>
      <c r="AO424" s="2">
        <v>0</v>
      </c>
      <c r="AP424" s="2">
        <v>0</v>
      </c>
      <c r="AQ424" s="2">
        <v>0</v>
      </c>
      <c r="AR424" s="6">
        <f>SUM(AN424:AQ424)/Variables!$E$3</f>
        <v>0</v>
      </c>
      <c r="AS424" s="4">
        <v>0</v>
      </c>
      <c r="AT424" s="2">
        <v>0</v>
      </c>
      <c r="AU424" s="2">
        <v>0</v>
      </c>
      <c r="AV424" s="2">
        <v>0</v>
      </c>
      <c r="AW424" s="6">
        <f>SUM(AS424:AV424)/Variables!$E$3</f>
        <v>0</v>
      </c>
      <c r="AX424" s="4">
        <v>0</v>
      </c>
      <c r="AY424" s="2">
        <v>0</v>
      </c>
      <c r="AZ424" s="2">
        <v>0</v>
      </c>
      <c r="BA424" s="2">
        <v>0</v>
      </c>
      <c r="BB424" s="6">
        <f>SUM(AX424:BA424)/Variables!$E$3</f>
        <v>0</v>
      </c>
      <c r="BC424" s="12">
        <f t="shared" si="101"/>
        <v>0</v>
      </c>
      <c r="BD424" s="110">
        <f t="shared" si="101"/>
        <v>0</v>
      </c>
      <c r="BE424" s="110">
        <f t="shared" si="101"/>
        <v>0</v>
      </c>
      <c r="BF424" s="110">
        <f t="shared" si="98"/>
        <v>0</v>
      </c>
      <c r="BG424" s="6">
        <f>SUM(BC424:BF424)/Variables!$E$3</f>
        <v>0</v>
      </c>
      <c r="BH424" s="4">
        <v>0</v>
      </c>
      <c r="BI424">
        <v>0</v>
      </c>
      <c r="BJ424">
        <v>0</v>
      </c>
      <c r="BK424">
        <v>0</v>
      </c>
      <c r="BL424" s="6">
        <f>SUM(BH424:BK424)/Variables!$E$3</f>
        <v>0</v>
      </c>
      <c r="BM424" s="110">
        <v>0</v>
      </c>
      <c r="BN424" s="110">
        <v>0</v>
      </c>
      <c r="BO424" s="110">
        <v>0</v>
      </c>
      <c r="BP424" s="110">
        <v>0</v>
      </c>
      <c r="BQ424" s="6">
        <f>SUM(BM424:BP424)/Variables!$E$3</f>
        <v>0</v>
      </c>
    </row>
    <row r="425" spans="1:99" x14ac:dyDescent="0.25">
      <c r="BC425" s="12"/>
      <c r="BD425" s="110"/>
      <c r="BE425" s="110"/>
      <c r="BF425" s="110"/>
    </row>
  </sheetData>
  <mergeCells count="26">
    <mergeCell ref="Y1:AC1"/>
    <mergeCell ref="D1:D3"/>
    <mergeCell ref="E1:I2"/>
    <mergeCell ref="J1:N1"/>
    <mergeCell ref="O1:S1"/>
    <mergeCell ref="T1:X1"/>
    <mergeCell ref="J2:N2"/>
    <mergeCell ref="O2:S2"/>
    <mergeCell ref="T2:X2"/>
    <mergeCell ref="Y2:AC2"/>
    <mergeCell ref="AI2:AM2"/>
    <mergeCell ref="AN2:AR2"/>
    <mergeCell ref="AS2:AW2"/>
    <mergeCell ref="AD1:AH1"/>
    <mergeCell ref="AI1:AM1"/>
    <mergeCell ref="AN1:AR1"/>
    <mergeCell ref="AS1:AW1"/>
    <mergeCell ref="AD2:AH2"/>
    <mergeCell ref="AX2:BB2"/>
    <mergeCell ref="BC2:BG2"/>
    <mergeCell ref="BH2:BL2"/>
    <mergeCell ref="BM2:BQ2"/>
    <mergeCell ref="BH1:BL1"/>
    <mergeCell ref="BM1:BQ1"/>
    <mergeCell ref="AX1:BB1"/>
    <mergeCell ref="BC1:BG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theme="0" tint="-0.499984740745262"/>
  </sheetPr>
  <dimension ref="A2:U23"/>
  <sheetViews>
    <sheetView workbookViewId="0">
      <selection activeCell="Q23" sqref="Q23"/>
    </sheetView>
  </sheetViews>
  <sheetFormatPr defaultRowHeight="15" x14ac:dyDescent="0.25"/>
  <sheetData>
    <row r="2" spans="1:21" x14ac:dyDescent="0.25">
      <c r="A2" t="s">
        <v>105</v>
      </c>
      <c r="D2" t="b">
        <v>1</v>
      </c>
    </row>
    <row r="3" spans="1:21" x14ac:dyDescent="0.25">
      <c r="A3" t="s">
        <v>100</v>
      </c>
      <c r="D3" t="b">
        <v>0</v>
      </c>
    </row>
    <row r="4" spans="1:21" x14ac:dyDescent="0.25">
      <c r="A4" t="s">
        <v>99</v>
      </c>
    </row>
    <row r="5" spans="1:21" x14ac:dyDescent="0.25">
      <c r="A5" t="s">
        <v>101</v>
      </c>
      <c r="I5" t="s">
        <v>105</v>
      </c>
      <c r="J5" t="s">
        <v>40</v>
      </c>
      <c r="K5" t="s">
        <v>41</v>
      </c>
      <c r="L5" t="s">
        <v>306</v>
      </c>
      <c r="M5" t="s">
        <v>307</v>
      </c>
      <c r="N5" t="s">
        <v>308</v>
      </c>
      <c r="O5" t="s">
        <v>309</v>
      </c>
      <c r="P5" t="s">
        <v>310</v>
      </c>
      <c r="Q5" t="s">
        <v>311</v>
      </c>
      <c r="R5" t="s">
        <v>315</v>
      </c>
      <c r="S5" t="s">
        <v>312</v>
      </c>
      <c r="T5" t="s">
        <v>313</v>
      </c>
      <c r="U5" t="s">
        <v>314</v>
      </c>
    </row>
    <row r="6" spans="1:21" x14ac:dyDescent="0.25">
      <c r="A6" t="s">
        <v>102</v>
      </c>
    </row>
    <row r="7" spans="1:21" x14ac:dyDescent="0.25">
      <c r="A7" t="s">
        <v>103</v>
      </c>
    </row>
    <row r="8" spans="1:21" x14ac:dyDescent="0.25">
      <c r="A8" t="s">
        <v>104</v>
      </c>
    </row>
    <row r="10" spans="1:21" x14ac:dyDescent="0.25">
      <c r="B10" t="s">
        <v>106</v>
      </c>
    </row>
    <row r="11" spans="1:21" x14ac:dyDescent="0.25">
      <c r="A11">
        <v>0</v>
      </c>
      <c r="B11" t="s">
        <v>105</v>
      </c>
    </row>
    <row r="12" spans="1:21" x14ac:dyDescent="0.25">
      <c r="A12">
        <v>1</v>
      </c>
      <c r="B12" t="s">
        <v>40</v>
      </c>
    </row>
    <row r="13" spans="1:21" x14ac:dyDescent="0.25">
      <c r="A13">
        <v>2</v>
      </c>
      <c r="B13" t="s">
        <v>41</v>
      </c>
    </row>
    <row r="14" spans="1:21" x14ac:dyDescent="0.25">
      <c r="A14">
        <v>3</v>
      </c>
      <c r="B14" t="s">
        <v>306</v>
      </c>
    </row>
    <row r="15" spans="1:21" x14ac:dyDescent="0.25">
      <c r="A15">
        <v>4</v>
      </c>
      <c r="B15" t="s">
        <v>307</v>
      </c>
    </row>
    <row r="16" spans="1:21" x14ac:dyDescent="0.25">
      <c r="A16">
        <v>5</v>
      </c>
      <c r="B16" t="s">
        <v>308</v>
      </c>
    </row>
    <row r="17" spans="1:2" x14ac:dyDescent="0.25">
      <c r="A17">
        <v>6</v>
      </c>
      <c r="B17" t="s">
        <v>309</v>
      </c>
    </row>
    <row r="18" spans="1:2" x14ac:dyDescent="0.25">
      <c r="A18">
        <v>7</v>
      </c>
      <c r="B18" t="s">
        <v>310</v>
      </c>
    </row>
    <row r="19" spans="1:2" x14ac:dyDescent="0.25">
      <c r="A19">
        <v>8</v>
      </c>
      <c r="B19" t="s">
        <v>311</v>
      </c>
    </row>
    <row r="20" spans="1:2" x14ac:dyDescent="0.25">
      <c r="A20">
        <v>9</v>
      </c>
      <c r="B20" t="s">
        <v>315</v>
      </c>
    </row>
    <row r="21" spans="1:2" x14ac:dyDescent="0.25">
      <c r="A21">
        <v>10</v>
      </c>
      <c r="B21" t="s">
        <v>312</v>
      </c>
    </row>
    <row r="22" spans="1:2" x14ac:dyDescent="0.25">
      <c r="A22">
        <v>11</v>
      </c>
      <c r="B22" t="s">
        <v>313</v>
      </c>
    </row>
    <row r="23" spans="1:2" x14ac:dyDescent="0.25">
      <c r="A23">
        <v>12</v>
      </c>
      <c r="B23" t="s">
        <v>314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theme="0" tint="-0.499984740745262"/>
  </sheetPr>
  <dimension ref="A1:R461"/>
  <sheetViews>
    <sheetView workbookViewId="0"/>
  </sheetViews>
  <sheetFormatPr defaultRowHeight="15" x14ac:dyDescent="0.25"/>
  <cols>
    <col min="1" max="1" width="10.7109375" bestFit="1" customWidth="1"/>
    <col min="2" max="2" width="23.42578125" bestFit="1" customWidth="1"/>
    <col min="3" max="3" width="22.85546875" bestFit="1" customWidth="1"/>
    <col min="4" max="4" width="22.85546875" customWidth="1"/>
    <col min="6" max="6" width="10.7109375" bestFit="1" customWidth="1"/>
    <col min="7" max="9" width="10.7109375" hidden="1" customWidth="1"/>
    <col min="10" max="10" width="10.7109375" style="19" customWidth="1"/>
    <col min="11" max="11" width="22.5703125" customWidth="1"/>
    <col min="12" max="12" width="22.85546875" bestFit="1" customWidth="1"/>
    <col min="13" max="13" width="22.85546875" customWidth="1"/>
    <col min="14" max="15" width="0" hidden="1" customWidth="1"/>
    <col min="16" max="16" width="9.140625" style="19"/>
  </cols>
  <sheetData>
    <row r="1" spans="1:18" x14ac:dyDescent="0.25">
      <c r="B1" s="185" t="s">
        <v>107</v>
      </c>
      <c r="C1" s="185"/>
      <c r="D1" s="111"/>
      <c r="K1" s="185" t="s">
        <v>109</v>
      </c>
      <c r="L1" s="185"/>
      <c r="M1" s="26"/>
      <c r="Q1" s="185" t="str">
        <f>K1</f>
        <v>$/ha</v>
      </c>
      <c r="R1" s="185"/>
    </row>
    <row r="2" spans="1:18" x14ac:dyDescent="0.25">
      <c r="B2" t="str">
        <f>'Model comparison'!B3</f>
        <v>390GL</v>
      </c>
      <c r="C2" t="str">
        <f>'Model comparison'!E3</f>
        <v>Without development</v>
      </c>
      <c r="K2" t="str">
        <f>'Model comparison'!B3</f>
        <v>390GL</v>
      </c>
      <c r="L2" t="str">
        <f>'Model comparison'!E3</f>
        <v>Without development</v>
      </c>
      <c r="Q2" t="str">
        <f>K2</f>
        <v>390GL</v>
      </c>
      <c r="R2" t="str">
        <f>L2</f>
        <v>Without development</v>
      </c>
    </row>
    <row r="3" spans="1:18" x14ac:dyDescent="0.25">
      <c r="A3" s="1">
        <f>'Guts (option 1)'!A16</f>
        <v>3439</v>
      </c>
      <c r="B3" s="20">
        <f>'Guts (option 1)'!G16</f>
        <v>0.5</v>
      </c>
      <c r="C3" s="20">
        <f>'Guts (option 2)'!G16</f>
        <v>0.5</v>
      </c>
      <c r="D3" s="20"/>
      <c r="F3" s="1">
        <f t="shared" ref="F3:F34" si="0">A3</f>
        <v>3439</v>
      </c>
      <c r="G3" s="6">
        <f>IF(YEAR(F3)&gt;DATE(YEAR(F3),7,1),YEAR(F3),YEAR(F3)-1)</f>
        <v>1908</v>
      </c>
      <c r="H3" s="112">
        <f>G3+1-1900</f>
        <v>9</v>
      </c>
      <c r="I3" s="112" t="str">
        <f>TEXT(H3,"#00")</f>
        <v>09</v>
      </c>
      <c r="J3" s="19" t="str">
        <f>CONCATENATE(G3,"/",I3)</f>
        <v>1908/09</v>
      </c>
      <c r="K3" s="98">
        <f>'Guts (option 1)'!AB16</f>
        <v>22.97045</v>
      </c>
      <c r="L3" s="98">
        <f>'Guts (option 2)'!AB16</f>
        <v>7.6568166666666659</v>
      </c>
      <c r="M3" s="14"/>
      <c r="N3">
        <v>1908</v>
      </c>
      <c r="O3">
        <v>9</v>
      </c>
      <c r="P3" s="19" t="str">
        <f>CONCATENATE(N3,"/",TEXT(O3,"#00"))</f>
        <v>1908/09</v>
      </c>
      <c r="Q3" s="113">
        <f ca="1">SUMIF(J3:K404,P3,K3:K404)</f>
        <v>46.319098491946292</v>
      </c>
      <c r="R3" s="113">
        <f>SUMIF(J3:J404,P3,L3:L404)</f>
        <v>15.445504290682234</v>
      </c>
    </row>
    <row r="4" spans="1:18" x14ac:dyDescent="0.25">
      <c r="A4" s="1">
        <f>'Guts (option 1)'!A17</f>
        <v>3531</v>
      </c>
      <c r="B4" s="20">
        <f>'Guts (option 1)'!G17</f>
        <v>0.25102737683241766</v>
      </c>
      <c r="C4" s="20">
        <f>'Guts (option 2)'!G17</f>
        <v>0.25102737683241766</v>
      </c>
      <c r="D4" s="20"/>
      <c r="F4" s="1">
        <f t="shared" si="0"/>
        <v>3531</v>
      </c>
      <c r="G4" s="6">
        <f t="shared" ref="G4:G65" si="1">IF(YEAR(F4)&gt;DATE(YEAR(F4),7,1),YEAR(F4),YEAR(F4)-1)</f>
        <v>1908</v>
      </c>
      <c r="H4" s="112">
        <f t="shared" ref="H4:H67" si="2">G4+1-1900</f>
        <v>9</v>
      </c>
      <c r="I4" s="112" t="str">
        <f t="shared" ref="I4:I67" si="3">TEXT(H4,"#00")</f>
        <v>09</v>
      </c>
      <c r="J4" s="19" t="str">
        <f t="shared" ref="J4:J67" si="4">CONCATENATE(G4,"/",I4)</f>
        <v>1908/09</v>
      </c>
      <c r="K4" s="98">
        <f>'Guts (option 1)'!AB17</f>
        <v>11.532423616320413</v>
      </c>
      <c r="L4" s="98">
        <f>'Guts (option 2)'!AB17</f>
        <v>3.8441412054401378</v>
      </c>
      <c r="M4" s="14"/>
      <c r="N4">
        <v>1909</v>
      </c>
      <c r="O4">
        <v>10</v>
      </c>
      <c r="P4" s="19" t="str">
        <f t="shared" ref="P4:P67" si="5">CONCATENATE(N4,"/",TEXT(O4,"#00"))</f>
        <v>1909/10</v>
      </c>
      <c r="Q4" s="113">
        <f t="shared" ref="Q4:Q67" ca="1" si="6">SUMIF(J4:K405,P4,K4:K405)</f>
        <v>-6.5644694835644763</v>
      </c>
      <c r="R4" s="113">
        <f t="shared" ref="R4:R67" si="7">SUMIF(J4:J405,P4,L4:L405)</f>
        <v>-4.0907839054156643</v>
      </c>
    </row>
    <row r="5" spans="1:18" x14ac:dyDescent="0.25">
      <c r="A5" s="1">
        <f>'Guts (option 1)'!A18</f>
        <v>3622</v>
      </c>
      <c r="B5" s="20">
        <f>'Guts (option 1)'!G18</f>
        <v>0.25720490620832148</v>
      </c>
      <c r="C5" s="20">
        <f>'Guts (option 2)'!G18</f>
        <v>0.25758396669909145</v>
      </c>
      <c r="D5" s="20"/>
      <c r="F5" s="1">
        <f t="shared" si="0"/>
        <v>3622</v>
      </c>
      <c r="G5" s="6">
        <f t="shared" si="1"/>
        <v>1908</v>
      </c>
      <c r="H5" s="112">
        <f t="shared" si="2"/>
        <v>9</v>
      </c>
      <c r="I5" s="112" t="str">
        <f t="shared" si="3"/>
        <v>09</v>
      </c>
      <c r="J5" s="19" t="str">
        <f t="shared" si="4"/>
        <v>1908/09</v>
      </c>
      <c r="K5" s="98">
        <f>'Guts (option 1)'!AB18</f>
        <v>11.816224875625874</v>
      </c>
      <c r="L5" s="98">
        <f>'Guts (option 2)'!AB18</f>
        <v>3.9445464185754302</v>
      </c>
      <c r="M5" s="14"/>
      <c r="N5">
        <v>1910</v>
      </c>
      <c r="O5">
        <v>11</v>
      </c>
      <c r="P5" s="19" t="str">
        <f t="shared" si="5"/>
        <v>1910/11</v>
      </c>
      <c r="Q5" s="113">
        <f t="shared" ca="1" si="6"/>
        <v>80.536060022392093</v>
      </c>
      <c r="R5" s="113">
        <f t="shared" si="7"/>
        <v>47.285121461896537</v>
      </c>
    </row>
    <row r="6" spans="1:18" x14ac:dyDescent="0.25">
      <c r="A6" s="1">
        <f>'Guts (option 1)'!A19</f>
        <v>3712</v>
      </c>
      <c r="B6" s="20">
        <f>'Guts (option 1)'!G19</f>
        <v>0.25720490620832148</v>
      </c>
      <c r="C6" s="20">
        <f>'Guts (option 2)'!G19</f>
        <v>0.25758396669909145</v>
      </c>
      <c r="D6" s="20"/>
      <c r="F6" s="1">
        <f t="shared" si="0"/>
        <v>3712</v>
      </c>
      <c r="G6" s="6">
        <f t="shared" si="1"/>
        <v>1909</v>
      </c>
      <c r="H6" s="112">
        <f t="shared" si="2"/>
        <v>10</v>
      </c>
      <c r="I6" s="112" t="str">
        <f t="shared" si="3"/>
        <v>10</v>
      </c>
      <c r="J6" s="19" t="str">
        <f t="shared" si="4"/>
        <v>1909/10</v>
      </c>
      <c r="K6" s="98">
        <f>'Guts (option 1)'!AB19</f>
        <v>11.816224875625874</v>
      </c>
      <c r="L6" s="98">
        <f>'Guts (option 2)'!AB19</f>
        <v>3.9445464185754302</v>
      </c>
      <c r="M6" s="14"/>
      <c r="N6">
        <v>1911</v>
      </c>
      <c r="O6">
        <v>12</v>
      </c>
      <c r="P6" s="19" t="str">
        <f t="shared" si="5"/>
        <v>1911/12</v>
      </c>
      <c r="Q6" s="113">
        <f t="shared" ca="1" si="6"/>
        <v>26.274451050795427</v>
      </c>
      <c r="R6" s="113">
        <f t="shared" si="7"/>
        <v>17.266259152095756</v>
      </c>
    </row>
    <row r="7" spans="1:18" x14ac:dyDescent="0.25">
      <c r="A7" s="1">
        <f>'Guts (option 1)'!A20</f>
        <v>3804</v>
      </c>
      <c r="B7" s="20">
        <f>'Guts (option 1)'!G20</f>
        <v>0.25795324742667314</v>
      </c>
      <c r="C7" s="20">
        <f>'Guts (option 2)'!G20</f>
        <v>0.27165544082683929</v>
      </c>
      <c r="D7" s="20"/>
      <c r="F7" s="1">
        <f t="shared" si="0"/>
        <v>3804</v>
      </c>
      <c r="G7" s="6">
        <f t="shared" si="1"/>
        <v>1909</v>
      </c>
      <c r="H7" s="112">
        <f t="shared" si="2"/>
        <v>10</v>
      </c>
      <c r="I7" s="112" t="str">
        <f t="shared" si="3"/>
        <v>10</v>
      </c>
      <c r="J7" s="19" t="str">
        <f t="shared" si="4"/>
        <v>1909/10</v>
      </c>
      <c r="K7" s="98">
        <f>'Guts (option 1)'!AB20</f>
        <v>11.850604344704049</v>
      </c>
      <c r="L7" s="98">
        <f>'Guts (option 2)'!AB20</f>
        <v>4.1600318138272465</v>
      </c>
      <c r="M7" s="14"/>
      <c r="N7">
        <v>1912</v>
      </c>
      <c r="O7">
        <v>13</v>
      </c>
      <c r="P7" s="19" t="str">
        <f t="shared" si="5"/>
        <v>1912/13</v>
      </c>
      <c r="Q7" s="113">
        <f t="shared" ca="1" si="6"/>
        <v>37.60489354967752</v>
      </c>
      <c r="R7" s="113">
        <f t="shared" si="7"/>
        <v>16.457900623973988</v>
      </c>
    </row>
    <row r="8" spans="1:18" x14ac:dyDescent="0.25">
      <c r="A8" s="1">
        <f>'Guts (option 1)'!A21</f>
        <v>3896</v>
      </c>
      <c r="B8" s="20">
        <f>'Guts (option 1)'!G21</f>
        <v>0.161</v>
      </c>
      <c r="C8" s="20">
        <f>'Guts (option 2)'!G21</f>
        <v>0.161</v>
      </c>
      <c r="D8" s="20"/>
      <c r="F8" s="1">
        <f t="shared" si="0"/>
        <v>3896</v>
      </c>
      <c r="G8" s="6">
        <f t="shared" si="1"/>
        <v>1909</v>
      </c>
      <c r="H8" s="112">
        <f t="shared" si="2"/>
        <v>10</v>
      </c>
      <c r="I8" s="112" t="str">
        <f t="shared" si="3"/>
        <v>10</v>
      </c>
      <c r="J8" s="19" t="str">
        <f t="shared" si="4"/>
        <v>1909/10</v>
      </c>
      <c r="K8" s="98">
        <f>'Guts (option 1)'!AB21</f>
        <v>0</v>
      </c>
      <c r="L8" s="98">
        <f>'Guts (option 2)'!AB21</f>
        <v>-1.1270000000000002</v>
      </c>
      <c r="M8" s="14"/>
      <c r="N8">
        <v>1913</v>
      </c>
      <c r="O8">
        <v>14</v>
      </c>
      <c r="P8" s="19" t="str">
        <f t="shared" si="5"/>
        <v>1913/14</v>
      </c>
      <c r="Q8" s="113">
        <f t="shared" ca="1" si="6"/>
        <v>-54.900562748859301</v>
      </c>
      <c r="R8" s="113">
        <f t="shared" si="7"/>
        <v>-18.107174178581342</v>
      </c>
    </row>
    <row r="9" spans="1:18" x14ac:dyDescent="0.25">
      <c r="A9" s="1">
        <f>'Guts (option 1)'!A22</f>
        <v>3987</v>
      </c>
      <c r="B9" s="20">
        <f>'Guts (option 1)'!G22</f>
        <v>0.28945091870182504</v>
      </c>
      <c r="C9" s="20">
        <f>'Guts (option 2)'!G22</f>
        <v>0.30166359923390151</v>
      </c>
      <c r="D9" s="20"/>
      <c r="F9" s="1">
        <f t="shared" si="0"/>
        <v>3987</v>
      </c>
      <c r="G9" s="6">
        <f t="shared" si="1"/>
        <v>1909</v>
      </c>
      <c r="H9" s="112">
        <f t="shared" si="2"/>
        <v>10</v>
      </c>
      <c r="I9" s="112" t="str">
        <f t="shared" si="3"/>
        <v>10</v>
      </c>
      <c r="J9" s="19" t="str">
        <f t="shared" si="4"/>
        <v>1909/10</v>
      </c>
      <c r="K9" s="98">
        <f>'Guts (option 1)'!AB22</f>
        <v>-30.231298703894399</v>
      </c>
      <c r="L9" s="98">
        <f>'Guts (option 2)'!AB22</f>
        <v>-11.06836213781834</v>
      </c>
      <c r="M9" s="14"/>
      <c r="N9">
        <v>1914</v>
      </c>
      <c r="O9">
        <v>15</v>
      </c>
      <c r="P9" s="19" t="str">
        <f t="shared" si="5"/>
        <v>1914/15</v>
      </c>
      <c r="Q9" s="113">
        <f t="shared" ca="1" si="6"/>
        <v>36.937636898116182</v>
      </c>
      <c r="R9" s="113">
        <f t="shared" si="7"/>
        <v>11.416367583468066</v>
      </c>
    </row>
    <row r="10" spans="1:18" x14ac:dyDescent="0.25">
      <c r="A10" s="1">
        <f>'Guts (option 1)'!A23</f>
        <v>4077</v>
      </c>
      <c r="B10" s="20">
        <f>'Guts (option 1)'!G23</f>
        <v>0.28945091870182504</v>
      </c>
      <c r="C10" s="20">
        <f>'Guts (option 2)'!G23</f>
        <v>0.67745204464186126</v>
      </c>
      <c r="D10" s="20"/>
      <c r="F10" s="1">
        <f t="shared" si="0"/>
        <v>4077</v>
      </c>
      <c r="G10" s="6">
        <f t="shared" si="1"/>
        <v>1910</v>
      </c>
      <c r="H10" s="112">
        <f t="shared" si="2"/>
        <v>11</v>
      </c>
      <c r="I10" s="112" t="str">
        <f t="shared" si="3"/>
        <v>11</v>
      </c>
      <c r="J10" s="19" t="str">
        <f t="shared" si="4"/>
        <v>1910/11</v>
      </c>
      <c r="K10" s="98">
        <f>'Guts (option 1)'!AB23</f>
        <v>13.297635710988676</v>
      </c>
      <c r="L10" s="98">
        <f>'Guts (option 2)'!AB23</f>
        <v>10.374252212562427</v>
      </c>
      <c r="M10" s="14"/>
      <c r="N10">
        <v>1915</v>
      </c>
      <c r="O10">
        <v>16</v>
      </c>
      <c r="P10" s="19" t="str">
        <f t="shared" si="5"/>
        <v>1915/16</v>
      </c>
      <c r="Q10" s="113">
        <f t="shared" ca="1" si="6"/>
        <v>-51.092922853008524</v>
      </c>
      <c r="R10" s="113">
        <f t="shared" si="7"/>
        <v>-20.990293035854553</v>
      </c>
    </row>
    <row r="11" spans="1:18" x14ac:dyDescent="0.25">
      <c r="A11" s="1">
        <f>'Guts (option 1)'!A24</f>
        <v>4169</v>
      </c>
      <c r="B11" s="20">
        <f>'Guts (option 1)'!G24</f>
        <v>0.73029206232352439</v>
      </c>
      <c r="C11" s="20">
        <f>'Guts (option 2)'!G24</f>
        <v>1.2026924382437634</v>
      </c>
      <c r="D11" s="20"/>
      <c r="F11" s="1">
        <f t="shared" si="0"/>
        <v>4169</v>
      </c>
      <c r="G11" s="6">
        <f t="shared" si="1"/>
        <v>1910</v>
      </c>
      <c r="H11" s="112">
        <f t="shared" si="2"/>
        <v>11</v>
      </c>
      <c r="I11" s="112" t="str">
        <f t="shared" si="3"/>
        <v>11</v>
      </c>
      <c r="J11" s="19" t="str">
        <f t="shared" si="4"/>
        <v>1910/11</v>
      </c>
      <c r="K11" s="98">
        <f>'Guts (option 1)'!AB24</f>
        <v>33.550274605998801</v>
      </c>
      <c r="L11" s="98">
        <f>'Guts (option 2)'!AB24</f>
        <v>18.417591012037633</v>
      </c>
      <c r="M11" s="14"/>
      <c r="N11">
        <v>1916</v>
      </c>
      <c r="O11">
        <v>17</v>
      </c>
      <c r="P11" s="19" t="str">
        <f t="shared" si="5"/>
        <v>1916/17</v>
      </c>
      <c r="Q11" s="113">
        <f t="shared" ca="1" si="6"/>
        <v>70.415109577465373</v>
      </c>
      <c r="R11" s="113">
        <f t="shared" si="7"/>
        <v>35.69644202553242</v>
      </c>
    </row>
    <row r="12" spans="1:18" x14ac:dyDescent="0.25">
      <c r="A12" s="1">
        <f>'Guts (option 1)'!A25</f>
        <v>4261</v>
      </c>
      <c r="B12" s="20">
        <f>'Guts (option 1)'!G25</f>
        <v>0.36664660145322153</v>
      </c>
      <c r="C12" s="20">
        <f>'Guts (option 2)'!G25</f>
        <v>0.60381745581703272</v>
      </c>
      <c r="D12" s="20"/>
      <c r="F12" s="1">
        <f t="shared" si="0"/>
        <v>4261</v>
      </c>
      <c r="G12" s="6">
        <f t="shared" si="1"/>
        <v>1910</v>
      </c>
      <c r="H12" s="112">
        <f t="shared" si="2"/>
        <v>11</v>
      </c>
      <c r="I12" s="112" t="str">
        <f t="shared" si="3"/>
        <v>11</v>
      </c>
      <c r="J12" s="19" t="str">
        <f t="shared" si="4"/>
        <v>1910/11</v>
      </c>
      <c r="K12" s="98">
        <f>'Guts (option 1)'!AB25</f>
        <v>16.844074852702306</v>
      </c>
      <c r="L12" s="98">
        <f>'Guts (option 2)'!AB25</f>
        <v>9.246639118648238</v>
      </c>
      <c r="M12" s="14"/>
      <c r="N12">
        <v>1917</v>
      </c>
      <c r="O12">
        <v>18</v>
      </c>
      <c r="P12" s="19" t="str">
        <f t="shared" si="5"/>
        <v>1917/18</v>
      </c>
      <c r="Q12" s="113">
        <f t="shared" ca="1" si="6"/>
        <v>38.854159524099728</v>
      </c>
      <c r="R12" s="113">
        <f t="shared" si="7"/>
        <v>25.437821910121293</v>
      </c>
    </row>
    <row r="13" spans="1:18" x14ac:dyDescent="0.25">
      <c r="A13" s="1">
        <f>'Guts (option 1)'!A26</f>
        <v>4352</v>
      </c>
      <c r="B13" s="20">
        <f>'Guts (option 1)'!G26</f>
        <v>0.36664660145322153</v>
      </c>
      <c r="C13" s="20">
        <f>'Guts (option 2)'!G26</f>
        <v>0.60381745581703272</v>
      </c>
      <c r="D13" s="20"/>
      <c r="F13" s="1">
        <f t="shared" si="0"/>
        <v>4352</v>
      </c>
      <c r="G13" s="6">
        <f t="shared" si="1"/>
        <v>1910</v>
      </c>
      <c r="H13" s="112">
        <f t="shared" si="2"/>
        <v>11</v>
      </c>
      <c r="I13" s="112" t="str">
        <f t="shared" si="3"/>
        <v>11</v>
      </c>
      <c r="J13" s="19" t="str">
        <f t="shared" si="4"/>
        <v>1910/11</v>
      </c>
      <c r="K13" s="98">
        <f>'Guts (option 1)'!AB26</f>
        <v>16.844074852702306</v>
      </c>
      <c r="L13" s="98">
        <f>'Guts (option 2)'!AB26</f>
        <v>9.246639118648238</v>
      </c>
      <c r="M13" s="14"/>
      <c r="N13">
        <v>1918</v>
      </c>
      <c r="O13">
        <v>19</v>
      </c>
      <c r="P13" s="19" t="str">
        <f t="shared" si="5"/>
        <v>1918/19</v>
      </c>
      <c r="Q13" s="113">
        <f t="shared" ca="1" si="6"/>
        <v>14.792969800000002</v>
      </c>
      <c r="R13" s="113">
        <f t="shared" si="7"/>
        <v>3.6416392880557429</v>
      </c>
    </row>
    <row r="14" spans="1:18" x14ac:dyDescent="0.25">
      <c r="A14" s="1">
        <f>'Guts (option 1)'!A27</f>
        <v>4442</v>
      </c>
      <c r="B14" s="20">
        <f>'Guts (option 1)'!G27</f>
        <v>0.36664660145322153</v>
      </c>
      <c r="C14" s="20">
        <f>'Guts (option 2)'!G27</f>
        <v>0.60381745581703272</v>
      </c>
      <c r="D14" s="20"/>
      <c r="F14" s="1">
        <f t="shared" si="0"/>
        <v>4442</v>
      </c>
      <c r="G14" s="6">
        <f t="shared" si="1"/>
        <v>1911</v>
      </c>
      <c r="H14" s="112">
        <f t="shared" si="2"/>
        <v>12</v>
      </c>
      <c r="I14" s="112" t="str">
        <f t="shared" si="3"/>
        <v>12</v>
      </c>
      <c r="J14" s="19" t="str">
        <f t="shared" si="4"/>
        <v>1911/12</v>
      </c>
      <c r="K14" s="98">
        <f>'Guts (option 1)'!AB27</f>
        <v>16.844074852702306</v>
      </c>
      <c r="L14" s="98">
        <f>'Guts (option 2)'!AB27</f>
        <v>9.246639118648238</v>
      </c>
      <c r="M14" s="14"/>
      <c r="N14">
        <v>1919</v>
      </c>
      <c r="O14">
        <v>20</v>
      </c>
      <c r="P14" s="19" t="str">
        <f t="shared" si="5"/>
        <v>1919/20</v>
      </c>
      <c r="Q14" s="113">
        <f t="shared" ca="1" si="6"/>
        <v>-49.875461532406561</v>
      </c>
      <c r="R14" s="113">
        <f t="shared" si="7"/>
        <v>-19.775099041471044</v>
      </c>
    </row>
    <row r="15" spans="1:18" x14ac:dyDescent="0.25">
      <c r="A15" s="1">
        <f>'Guts (option 1)'!A28</f>
        <v>4535</v>
      </c>
      <c r="B15" s="20">
        <f>'Guts (option 1)'!G28</f>
        <v>0.16100000000000003</v>
      </c>
      <c r="C15" s="20">
        <f>'Guts (option 2)'!G28</f>
        <v>0.16100000000000003</v>
      </c>
      <c r="D15" s="20"/>
      <c r="F15" s="1">
        <f t="shared" si="0"/>
        <v>4535</v>
      </c>
      <c r="G15" s="6">
        <f t="shared" si="1"/>
        <v>1911</v>
      </c>
      <c r="H15" s="112">
        <f t="shared" si="2"/>
        <v>12</v>
      </c>
      <c r="I15" s="112" t="str">
        <f t="shared" si="3"/>
        <v>12</v>
      </c>
      <c r="J15" s="19" t="str">
        <f t="shared" si="4"/>
        <v>1911/12</v>
      </c>
      <c r="K15" s="98">
        <f>'Guts (option 1)'!AB28</f>
        <v>25.705825181652692</v>
      </c>
      <c r="L15" s="98">
        <f>'Guts (option 2)'!AB28</f>
        <v>17.32372732570969</v>
      </c>
      <c r="M15" s="14"/>
      <c r="N15">
        <v>1920</v>
      </c>
      <c r="O15">
        <v>21</v>
      </c>
      <c r="P15" s="19" t="str">
        <f t="shared" si="5"/>
        <v>1920/21</v>
      </c>
      <c r="Q15" s="113">
        <f t="shared" ca="1" si="6"/>
        <v>90.096352450238513</v>
      </c>
      <c r="R15" s="113">
        <f t="shared" si="7"/>
        <v>31.032659060550493</v>
      </c>
    </row>
    <row r="16" spans="1:18" x14ac:dyDescent="0.25">
      <c r="A16" s="1">
        <f>'Guts (option 1)'!A29</f>
        <v>4627</v>
      </c>
      <c r="B16" s="20">
        <f>'Guts (option 1)'!G29</f>
        <v>0.161</v>
      </c>
      <c r="C16" s="20">
        <f>'Guts (option 2)'!G29</f>
        <v>0.161</v>
      </c>
      <c r="D16" s="20"/>
      <c r="F16" s="1">
        <f t="shared" si="0"/>
        <v>4627</v>
      </c>
      <c r="G16" s="6">
        <f t="shared" si="1"/>
        <v>1911</v>
      </c>
      <c r="H16" s="112">
        <f t="shared" si="2"/>
        <v>12</v>
      </c>
      <c r="I16" s="112" t="str">
        <f t="shared" si="3"/>
        <v>12</v>
      </c>
      <c r="J16" s="19" t="str">
        <f t="shared" si="4"/>
        <v>1911/12</v>
      </c>
      <c r="K16" s="98">
        <f>'Guts (option 1)'!AB29</f>
        <v>2.2383528722281381E-15</v>
      </c>
      <c r="L16" s="98">
        <f>'Guts (option 2)'!AB29</f>
        <v>-1.1269999999999996</v>
      </c>
      <c r="M16" s="14"/>
      <c r="N16">
        <v>1921</v>
      </c>
      <c r="O16">
        <v>22</v>
      </c>
      <c r="P16" s="19" t="str">
        <f t="shared" si="5"/>
        <v>1921/22</v>
      </c>
      <c r="Q16" s="113">
        <f t="shared" ca="1" si="6"/>
        <v>162.02198927768706</v>
      </c>
      <c r="R16" s="113">
        <f t="shared" si="7"/>
        <v>46.488614323727568</v>
      </c>
    </row>
    <row r="17" spans="1:18" x14ac:dyDescent="0.25">
      <c r="A17" s="1">
        <f>'Guts (option 1)'!A30</f>
        <v>4718</v>
      </c>
      <c r="B17" s="20">
        <f>'Guts (option 1)'!G30</f>
        <v>0.23213736748895103</v>
      </c>
      <c r="C17" s="20">
        <f>'Guts (option 2)'!G30</f>
        <v>0.26604238963772697</v>
      </c>
      <c r="D17" s="20"/>
      <c r="F17" s="1">
        <f t="shared" si="0"/>
        <v>4718</v>
      </c>
      <c r="G17" s="6">
        <f t="shared" si="1"/>
        <v>1911</v>
      </c>
      <c r="H17" s="112">
        <f t="shared" si="2"/>
        <v>12</v>
      </c>
      <c r="I17" s="112" t="str">
        <f t="shared" si="3"/>
        <v>12</v>
      </c>
      <c r="J17" s="19" t="str">
        <f t="shared" si="4"/>
        <v>1911/12</v>
      </c>
      <c r="K17" s="98">
        <f>'Guts (option 1)'!AB30</f>
        <v>-16.275448983559571</v>
      </c>
      <c r="L17" s="98">
        <f>'Guts (option 2)'!AB30</f>
        <v>-8.177107292262173</v>
      </c>
      <c r="M17" s="14"/>
      <c r="N17">
        <v>1922</v>
      </c>
      <c r="O17">
        <v>23</v>
      </c>
      <c r="P17" s="19" t="str">
        <f t="shared" si="5"/>
        <v>1922/23</v>
      </c>
      <c r="Q17" s="113">
        <f t="shared" ca="1" si="6"/>
        <v>92.317860464788794</v>
      </c>
      <c r="R17" s="113">
        <f t="shared" si="7"/>
        <v>33.298535936297199</v>
      </c>
    </row>
    <row r="18" spans="1:18" x14ac:dyDescent="0.25">
      <c r="A18" s="1">
        <f>'Guts (option 1)'!A31</f>
        <v>4808</v>
      </c>
      <c r="B18" s="20">
        <f>'Guts (option 1)'!G31</f>
        <v>0.23213736748895103</v>
      </c>
      <c r="C18" s="20">
        <f>'Guts (option 2)'!G31</f>
        <v>0.26604238963772697</v>
      </c>
      <c r="D18" s="20"/>
      <c r="F18" s="1">
        <f t="shared" si="0"/>
        <v>4808</v>
      </c>
      <c r="G18" s="6">
        <f t="shared" si="1"/>
        <v>1912</v>
      </c>
      <c r="H18" s="112">
        <f t="shared" si="2"/>
        <v>13</v>
      </c>
      <c r="I18" s="112" t="str">
        <f t="shared" si="3"/>
        <v>13</v>
      </c>
      <c r="J18" s="19" t="str">
        <f t="shared" si="4"/>
        <v>1912/13</v>
      </c>
      <c r="K18" s="98">
        <f>'Guts (option 1)'!AB31</f>
        <v>10.66459958607315</v>
      </c>
      <c r="L18" s="98">
        <f>'Guts (option 2)'!AB31</f>
        <v>4.07407560603595</v>
      </c>
      <c r="M18" s="14"/>
      <c r="N18">
        <v>1923</v>
      </c>
      <c r="O18">
        <v>24</v>
      </c>
      <c r="P18" s="19" t="str">
        <f t="shared" si="5"/>
        <v>1923/24</v>
      </c>
      <c r="Q18" s="113">
        <f t="shared" ca="1" si="6"/>
        <v>-98.366566218826478</v>
      </c>
      <c r="R18" s="113">
        <f t="shared" si="7"/>
        <v>-10.777043999393646</v>
      </c>
    </row>
    <row r="19" spans="1:18" x14ac:dyDescent="0.25">
      <c r="A19" s="1">
        <f>'Guts (option 1)'!A32</f>
        <v>4900</v>
      </c>
      <c r="B19" s="20">
        <f>'Guts (option 1)'!G32</f>
        <v>0.39040652473162674</v>
      </c>
      <c r="C19" s="20">
        <f>'Guts (option 2)'!G32</f>
        <v>0.42431154688040268</v>
      </c>
      <c r="D19" s="20"/>
      <c r="F19" s="1">
        <f t="shared" si="0"/>
        <v>4900</v>
      </c>
      <c r="G19" s="6">
        <f t="shared" si="1"/>
        <v>1912</v>
      </c>
      <c r="H19" s="112">
        <f t="shared" si="2"/>
        <v>13</v>
      </c>
      <c r="I19" s="112" t="str">
        <f t="shared" si="3"/>
        <v>13</v>
      </c>
      <c r="J19" s="19" t="str">
        <f t="shared" si="4"/>
        <v>1912/13</v>
      </c>
      <c r="K19" s="98">
        <f>'Guts (option 1)'!AB32</f>
        <v>17.935627112043189</v>
      </c>
      <c r="L19" s="98">
        <f>'Guts (option 2)'!AB32</f>
        <v>6.4977514480259631</v>
      </c>
      <c r="M19" s="14"/>
      <c r="N19">
        <v>1924</v>
      </c>
      <c r="O19">
        <v>25</v>
      </c>
      <c r="P19" s="19" t="str">
        <f t="shared" si="5"/>
        <v>1924/25</v>
      </c>
      <c r="Q19" s="113">
        <f t="shared" ca="1" si="6"/>
        <v>53.462404059546103</v>
      </c>
      <c r="R19" s="113">
        <f t="shared" si="7"/>
        <v>11.472644349058216</v>
      </c>
    </row>
    <row r="20" spans="1:18" x14ac:dyDescent="0.25">
      <c r="A20" s="1">
        <f>'Guts (option 1)'!A33</f>
        <v>4992</v>
      </c>
      <c r="B20" s="20">
        <f>'Guts (option 1)'!G33</f>
        <v>0.19600545160328128</v>
      </c>
      <c r="C20" s="20">
        <f>'Guts (option 2)'!G33</f>
        <v>0.21302762914618575</v>
      </c>
      <c r="D20" s="20"/>
      <c r="F20" s="1">
        <f t="shared" si="0"/>
        <v>4992</v>
      </c>
      <c r="G20" s="6">
        <f t="shared" si="1"/>
        <v>1912</v>
      </c>
      <c r="H20" s="112">
        <f t="shared" si="2"/>
        <v>13</v>
      </c>
      <c r="I20" s="112" t="str">
        <f t="shared" si="3"/>
        <v>13</v>
      </c>
      <c r="J20" s="19" t="str">
        <f t="shared" si="4"/>
        <v>1912/13</v>
      </c>
      <c r="K20" s="98">
        <f>'Guts (option 1)'!AB33</f>
        <v>9.0046668515611845</v>
      </c>
      <c r="L20" s="98">
        <f>'Guts (option 2)'!AB33</f>
        <v>3.2622270026140021</v>
      </c>
      <c r="M20" s="14"/>
      <c r="N20">
        <v>1925</v>
      </c>
      <c r="O20">
        <v>26</v>
      </c>
      <c r="P20" s="19" t="str">
        <f t="shared" si="5"/>
        <v>1925/26</v>
      </c>
      <c r="Q20" s="113">
        <f t="shared" ca="1" si="6"/>
        <v>47.603133223402523</v>
      </c>
      <c r="R20" s="113">
        <f t="shared" si="7"/>
        <v>16.279129206285688</v>
      </c>
    </row>
    <row r="21" spans="1:18" x14ac:dyDescent="0.25">
      <c r="A21" s="1">
        <f>'Guts (option 1)'!A34</f>
        <v>5083</v>
      </c>
      <c r="B21" s="20">
        <f>'Guts (option 1)'!G34</f>
        <v>0.161</v>
      </c>
      <c r="C21" s="20">
        <f>'Guts (option 2)'!G34</f>
        <v>0.17134056367842634</v>
      </c>
      <c r="D21" s="20"/>
      <c r="F21" s="1">
        <f t="shared" si="0"/>
        <v>5083</v>
      </c>
      <c r="G21" s="6">
        <f t="shared" si="1"/>
        <v>1912</v>
      </c>
      <c r="H21" s="112">
        <f t="shared" si="2"/>
        <v>13</v>
      </c>
      <c r="I21" s="112" t="str">
        <f t="shared" si="3"/>
        <v>13</v>
      </c>
      <c r="J21" s="19" t="str">
        <f t="shared" si="4"/>
        <v>1912/13</v>
      </c>
      <c r="K21" s="98">
        <f>'Guts (option 1)'!AB34</f>
        <v>0</v>
      </c>
      <c r="L21" s="98">
        <f>'Guts (option 2)'!AB34</f>
        <v>2.623846567298072</v>
      </c>
      <c r="M21" s="14"/>
      <c r="N21">
        <v>1926</v>
      </c>
      <c r="O21">
        <v>27</v>
      </c>
      <c r="P21" s="19" t="str">
        <f t="shared" si="5"/>
        <v>1926/27</v>
      </c>
      <c r="Q21" s="113">
        <f t="shared" ca="1" si="6"/>
        <v>87.927365667840931</v>
      </c>
      <c r="R21" s="113">
        <f t="shared" si="7"/>
        <v>27.791837628997811</v>
      </c>
    </row>
    <row r="22" spans="1:18" x14ac:dyDescent="0.25">
      <c r="A22" s="1">
        <f>'Guts (option 1)'!A35</f>
        <v>5173</v>
      </c>
      <c r="B22" s="20">
        <f>'Guts (option 1)'!G35</f>
        <v>0.34509258467185389</v>
      </c>
      <c r="C22" s="20">
        <f>'Guts (option 2)'!G35</f>
        <v>0.35610101197967969</v>
      </c>
      <c r="D22" s="20"/>
      <c r="F22" s="1">
        <f t="shared" si="0"/>
        <v>5173</v>
      </c>
      <c r="G22" s="6">
        <f t="shared" si="1"/>
        <v>1913</v>
      </c>
      <c r="H22" s="112">
        <f t="shared" si="2"/>
        <v>14</v>
      </c>
      <c r="I22" s="112" t="str">
        <f t="shared" si="3"/>
        <v>14</v>
      </c>
      <c r="J22" s="19" t="str">
        <f t="shared" si="4"/>
        <v>1913/14</v>
      </c>
      <c r="K22" s="98">
        <f>'Guts (option 1)'!AB35</f>
        <v>-43.780044367596417</v>
      </c>
      <c r="L22" s="98">
        <f>'Guts (option 2)'!AB35</f>
        <v>-14.625151832481805</v>
      </c>
      <c r="M22" s="14"/>
      <c r="N22">
        <v>1927</v>
      </c>
      <c r="O22">
        <v>28</v>
      </c>
      <c r="P22" s="19" t="str">
        <f t="shared" si="5"/>
        <v>1927/28</v>
      </c>
      <c r="Q22" s="113">
        <f t="shared" ca="1" si="6"/>
        <v>43.944766697373204</v>
      </c>
      <c r="R22" s="113">
        <f t="shared" si="7"/>
        <v>16.25158505230262</v>
      </c>
    </row>
    <row r="23" spans="1:18" x14ac:dyDescent="0.25">
      <c r="A23" s="1">
        <f>'Guts (option 1)'!A36</f>
        <v>5265</v>
      </c>
      <c r="B23" s="20">
        <f>'Guts (option 1)'!G36</f>
        <v>0.34509258467185389</v>
      </c>
      <c r="C23" s="20">
        <f>'Guts (option 2)'!G36</f>
        <v>0.35610101197967969</v>
      </c>
      <c r="D23" s="20"/>
      <c r="F23" s="1">
        <f t="shared" si="0"/>
        <v>5265</v>
      </c>
      <c r="G23" s="6">
        <f t="shared" si="1"/>
        <v>1913</v>
      </c>
      <c r="H23" s="112">
        <f t="shared" si="2"/>
        <v>14</v>
      </c>
      <c r="I23" s="112" t="str">
        <f t="shared" si="3"/>
        <v>14</v>
      </c>
      <c r="J23" s="19" t="str">
        <f t="shared" si="4"/>
        <v>1913/14</v>
      </c>
      <c r="K23" s="98">
        <f>'Guts (option 1)'!AB36</f>
        <v>15.85386392315117</v>
      </c>
      <c r="L23" s="98">
        <f>'Guts (option 2)'!AB36</f>
        <v>5.4532003270857548</v>
      </c>
      <c r="M23" s="14"/>
      <c r="N23">
        <v>1928</v>
      </c>
      <c r="O23">
        <v>29</v>
      </c>
      <c r="P23" s="19" t="str">
        <f t="shared" si="5"/>
        <v>1928/29</v>
      </c>
      <c r="Q23" s="113">
        <f t="shared" ca="1" si="6"/>
        <v>23.539875227855973</v>
      </c>
      <c r="R23" s="113">
        <f t="shared" si="7"/>
        <v>5.9273133444496633</v>
      </c>
    </row>
    <row r="24" spans="1:18" x14ac:dyDescent="0.25">
      <c r="A24" s="1">
        <f>'Guts (option 1)'!A37</f>
        <v>5357</v>
      </c>
      <c r="B24" s="20">
        <f>'Guts (option 1)'!G37</f>
        <v>0.1732553725889889</v>
      </c>
      <c r="C24" s="20">
        <f>'Guts (option 2)'!G37</f>
        <v>0.17878220584925661</v>
      </c>
      <c r="D24" s="20"/>
      <c r="F24" s="1">
        <f t="shared" si="0"/>
        <v>5357</v>
      </c>
      <c r="G24" s="6">
        <f t="shared" si="1"/>
        <v>1913</v>
      </c>
      <c r="H24" s="112">
        <f t="shared" si="2"/>
        <v>14</v>
      </c>
      <c r="I24" s="112" t="str">
        <f t="shared" si="3"/>
        <v>14</v>
      </c>
      <c r="J24" s="19" t="str">
        <f t="shared" si="4"/>
        <v>1913/14</v>
      </c>
      <c r="K24" s="98">
        <f>'Guts (option 1)'!AB37</f>
        <v>7.9595077465734816</v>
      </c>
      <c r="L24" s="98">
        <f>'Guts (option 2)'!AB37</f>
        <v>2.7378051469000377</v>
      </c>
      <c r="M24" s="14"/>
      <c r="N24">
        <v>1929</v>
      </c>
      <c r="O24">
        <v>30</v>
      </c>
      <c r="P24" s="19" t="str">
        <f t="shared" si="5"/>
        <v>1929/30</v>
      </c>
      <c r="Q24" s="113">
        <f t="shared" ca="1" si="6"/>
        <v>7.3964849000000008</v>
      </c>
      <c r="R24" s="113">
        <f t="shared" si="7"/>
        <v>-1.1094058285156072</v>
      </c>
    </row>
    <row r="25" spans="1:18" x14ac:dyDescent="0.25">
      <c r="A25" s="1">
        <f>'Guts (option 1)'!A38</f>
        <v>5448</v>
      </c>
      <c r="B25" s="20">
        <f>'Guts (option 1)'!G38</f>
        <v>0.32134592689213454</v>
      </c>
      <c r="C25" s="20">
        <f>'Guts (option 2)'!G38</f>
        <v>0.32737016395306018</v>
      </c>
      <c r="D25" s="20"/>
      <c r="F25" s="1">
        <f t="shared" si="0"/>
        <v>5448</v>
      </c>
      <c r="G25" s="6">
        <f t="shared" si="1"/>
        <v>1913</v>
      </c>
      <c r="H25" s="112">
        <f t="shared" si="2"/>
        <v>14</v>
      </c>
      <c r="I25" s="112" t="str">
        <f t="shared" si="3"/>
        <v>14</v>
      </c>
      <c r="J25" s="19" t="str">
        <f t="shared" si="4"/>
        <v>1913/14</v>
      </c>
      <c r="K25" s="98">
        <f>'Guts (option 1)'!AB38</f>
        <v>-34.933890050987536</v>
      </c>
      <c r="L25" s="98">
        <f>'Guts (option 2)'!AB38</f>
        <v>-11.673027820085331</v>
      </c>
      <c r="M25" s="14"/>
      <c r="N25">
        <v>1930</v>
      </c>
      <c r="O25">
        <v>31</v>
      </c>
      <c r="P25" s="19" t="str">
        <f t="shared" si="5"/>
        <v>1930/31</v>
      </c>
      <c r="Q25" s="113">
        <f t="shared" ca="1" si="6"/>
        <v>-74.148488773486392</v>
      </c>
      <c r="R25" s="113">
        <f t="shared" si="7"/>
        <v>-24.748639008952331</v>
      </c>
    </row>
    <row r="26" spans="1:18" x14ac:dyDescent="0.25">
      <c r="A26" s="1">
        <f>'Guts (option 1)'!A39</f>
        <v>5538</v>
      </c>
      <c r="B26" s="20">
        <f>'Guts (option 1)'!G39</f>
        <v>0.32134592689213454</v>
      </c>
      <c r="C26" s="20">
        <f>'Guts (option 2)'!G39</f>
        <v>0.32737016395306018</v>
      </c>
      <c r="D26" s="20"/>
      <c r="F26" s="1">
        <f t="shared" si="0"/>
        <v>5538</v>
      </c>
      <c r="G26" s="6">
        <f t="shared" si="1"/>
        <v>1914</v>
      </c>
      <c r="H26" s="112">
        <f t="shared" si="2"/>
        <v>15</v>
      </c>
      <c r="I26" s="112" t="str">
        <f t="shared" si="3"/>
        <v>15</v>
      </c>
      <c r="J26" s="19" t="str">
        <f t="shared" si="4"/>
        <v>1914/15</v>
      </c>
      <c r="K26" s="98">
        <f>'Guts (option 1)'!AB39</f>
        <v>14.762921092758864</v>
      </c>
      <c r="L26" s="98">
        <f>'Guts (option 2)'!AB39</f>
        <v>5.0132266550503806</v>
      </c>
      <c r="M26" s="14"/>
      <c r="N26">
        <v>1931</v>
      </c>
      <c r="O26">
        <v>32</v>
      </c>
      <c r="P26" s="19" t="str">
        <f t="shared" si="5"/>
        <v>1931/32</v>
      </c>
      <c r="Q26" s="113">
        <f t="shared" ca="1" si="6"/>
        <v>56.612874784734693</v>
      </c>
      <c r="R26" s="113">
        <f t="shared" si="7"/>
        <v>20.742810985210106</v>
      </c>
    </row>
    <row r="27" spans="1:18" x14ac:dyDescent="0.25">
      <c r="A27" s="1">
        <f>'Guts (option 1)'!A40</f>
        <v>5630</v>
      </c>
      <c r="B27" s="20">
        <f>'Guts (option 1)'!G40</f>
        <v>0.32134592689213454</v>
      </c>
      <c r="C27" s="20">
        <f>'Guts (option 2)'!G40</f>
        <v>0.32737016395306018</v>
      </c>
      <c r="D27" s="20"/>
      <c r="F27" s="1">
        <f t="shared" si="0"/>
        <v>5630</v>
      </c>
      <c r="G27" s="6">
        <f t="shared" si="1"/>
        <v>1914</v>
      </c>
      <c r="H27" s="112">
        <f t="shared" si="2"/>
        <v>15</v>
      </c>
      <c r="I27" s="112" t="str">
        <f t="shared" si="3"/>
        <v>15</v>
      </c>
      <c r="J27" s="19" t="str">
        <f t="shared" si="4"/>
        <v>1914/15</v>
      </c>
      <c r="K27" s="98">
        <f>'Guts (option 1)'!AB40</f>
        <v>14.762921092758864</v>
      </c>
      <c r="L27" s="98">
        <f>'Guts (option 2)'!AB40</f>
        <v>5.0132266550503806</v>
      </c>
      <c r="M27" s="14"/>
      <c r="N27">
        <v>1932</v>
      </c>
      <c r="O27">
        <v>33</v>
      </c>
      <c r="P27" s="19" t="str">
        <f t="shared" si="5"/>
        <v>1932/33</v>
      </c>
      <c r="Q27" s="113">
        <f t="shared" ca="1" si="6"/>
        <v>-14.056256046566595</v>
      </c>
      <c r="R27" s="113">
        <f t="shared" si="7"/>
        <v>-4.2991644239976488</v>
      </c>
    </row>
    <row r="28" spans="1:18" x14ac:dyDescent="0.25">
      <c r="A28" s="1">
        <f>'Guts (option 1)'!A41</f>
        <v>5722</v>
      </c>
      <c r="B28" s="20">
        <f>'Guts (option 1)'!G41</f>
        <v>0.16133325016702879</v>
      </c>
      <c r="C28" s="20">
        <f>'Guts (option 2)'!G41</f>
        <v>0.16435774702067035</v>
      </c>
      <c r="D28" s="20"/>
      <c r="F28" s="1">
        <f t="shared" si="0"/>
        <v>5722</v>
      </c>
      <c r="G28" s="6">
        <f t="shared" si="1"/>
        <v>1914</v>
      </c>
      <c r="H28" s="112">
        <f t="shared" si="2"/>
        <v>15</v>
      </c>
      <c r="I28" s="112" t="str">
        <f t="shared" si="3"/>
        <v>15</v>
      </c>
      <c r="J28" s="19" t="str">
        <f t="shared" si="4"/>
        <v>1914/15</v>
      </c>
      <c r="K28" s="98">
        <f>'Guts (option 1)'!AB41</f>
        <v>7.4117947125984527</v>
      </c>
      <c r="L28" s="98">
        <f>'Guts (option 2)'!AB41</f>
        <v>2.5169142733673051</v>
      </c>
      <c r="M28" s="14"/>
      <c r="N28">
        <v>1933</v>
      </c>
      <c r="O28">
        <v>34</v>
      </c>
      <c r="P28" s="19" t="str">
        <f t="shared" si="5"/>
        <v>1933/34</v>
      </c>
      <c r="Q28" s="113">
        <f t="shared" ca="1" si="6"/>
        <v>-23.968662831544872</v>
      </c>
      <c r="R28" s="113">
        <f t="shared" si="7"/>
        <v>-5.2249410173044559</v>
      </c>
    </row>
    <row r="29" spans="1:18" x14ac:dyDescent="0.25">
      <c r="A29" s="1">
        <f>'Guts (option 1)'!A42</f>
        <v>5813</v>
      </c>
      <c r="B29" s="20">
        <f>'Guts (option 1)'!G42</f>
        <v>0.161</v>
      </c>
      <c r="C29" s="20">
        <f>'Guts (option 2)'!G42</f>
        <v>0.16100000000000003</v>
      </c>
      <c r="D29" s="20"/>
      <c r="F29" s="1">
        <f t="shared" si="0"/>
        <v>5813</v>
      </c>
      <c r="G29" s="6">
        <f t="shared" si="1"/>
        <v>1914</v>
      </c>
      <c r="H29" s="112">
        <f t="shared" si="2"/>
        <v>15</v>
      </c>
      <c r="I29" s="112" t="str">
        <f t="shared" si="3"/>
        <v>15</v>
      </c>
      <c r="J29" s="19" t="str">
        <f t="shared" si="4"/>
        <v>1914/15</v>
      </c>
      <c r="K29" s="98">
        <f>'Guts (option 1)'!AB42</f>
        <v>0</v>
      </c>
      <c r="L29" s="98">
        <f>'Guts (option 2)'!AB42</f>
        <v>-1.1270000000000002</v>
      </c>
      <c r="M29" s="14"/>
      <c r="N29">
        <v>1934</v>
      </c>
      <c r="O29">
        <v>35</v>
      </c>
      <c r="P29" s="19" t="str">
        <f t="shared" si="5"/>
        <v>1934/35</v>
      </c>
      <c r="Q29" s="113">
        <f t="shared" ca="1" si="6"/>
        <v>43.735223404761427</v>
      </c>
      <c r="R29" s="113">
        <f t="shared" si="7"/>
        <v>13.479058262414632</v>
      </c>
    </row>
    <row r="30" spans="1:18" x14ac:dyDescent="0.25">
      <c r="A30" s="1">
        <f>'Guts (option 1)'!A43</f>
        <v>5903</v>
      </c>
      <c r="B30" s="20">
        <f>'Guts (option 1)'!G43</f>
        <v>0.161</v>
      </c>
      <c r="C30" s="20">
        <f>'Guts (option 2)'!G43</f>
        <v>0.161</v>
      </c>
      <c r="D30" s="20"/>
      <c r="F30" s="1">
        <f t="shared" si="0"/>
        <v>5903</v>
      </c>
      <c r="G30" s="6">
        <f t="shared" si="1"/>
        <v>1915</v>
      </c>
      <c r="H30" s="112">
        <f t="shared" si="2"/>
        <v>16</v>
      </c>
      <c r="I30" s="112" t="str">
        <f t="shared" si="3"/>
        <v>16</v>
      </c>
      <c r="J30" s="19" t="str">
        <f t="shared" si="4"/>
        <v>1915/16</v>
      </c>
      <c r="K30" s="98">
        <f>'Guts (option 1)'!AB43</f>
        <v>0</v>
      </c>
      <c r="L30" s="98">
        <f>'Guts (option 2)'!AB43</f>
        <v>-1.1269999999999996</v>
      </c>
      <c r="M30" s="14"/>
      <c r="N30">
        <v>1935</v>
      </c>
      <c r="O30">
        <v>36</v>
      </c>
      <c r="P30" s="19" t="str">
        <f t="shared" si="5"/>
        <v>1935/36</v>
      </c>
      <c r="Q30" s="113">
        <f t="shared" ca="1" si="6"/>
        <v>-16.839818635299359</v>
      </c>
      <c r="R30" s="113">
        <f t="shared" si="7"/>
        <v>-7.8672728784331234</v>
      </c>
    </row>
    <row r="31" spans="1:18" x14ac:dyDescent="0.25">
      <c r="A31" s="1">
        <f>'Guts (option 1)'!A44</f>
        <v>5996</v>
      </c>
      <c r="B31" s="20">
        <f>'Guts (option 1)'!G44</f>
        <v>0.161</v>
      </c>
      <c r="C31" s="20">
        <f>'Guts (option 2)'!G44</f>
        <v>0.161</v>
      </c>
      <c r="D31" s="20"/>
      <c r="F31" s="1">
        <f t="shared" si="0"/>
        <v>5996</v>
      </c>
      <c r="G31" s="6">
        <f t="shared" si="1"/>
        <v>1915</v>
      </c>
      <c r="H31" s="112">
        <f t="shared" si="2"/>
        <v>16</v>
      </c>
      <c r="I31" s="112" t="str">
        <f t="shared" si="3"/>
        <v>16</v>
      </c>
      <c r="J31" s="19" t="str">
        <f t="shared" si="4"/>
        <v>1915/16</v>
      </c>
      <c r="K31" s="98">
        <f>'Guts (option 1)'!AB44</f>
        <v>0</v>
      </c>
      <c r="L31" s="98">
        <f>'Guts (option 2)'!AB44</f>
        <v>-1.1270000000000002</v>
      </c>
      <c r="M31" s="14"/>
      <c r="N31">
        <v>1936</v>
      </c>
      <c r="O31">
        <v>37</v>
      </c>
      <c r="P31" s="19" t="str">
        <f t="shared" si="5"/>
        <v>1936/37</v>
      </c>
      <c r="Q31" s="113">
        <f t="shared" ca="1" si="6"/>
        <v>18.802699087116764</v>
      </c>
      <c r="R31" s="113">
        <f t="shared" si="7"/>
        <v>-17.856777086594384</v>
      </c>
    </row>
    <row r="32" spans="1:18" x14ac:dyDescent="0.25">
      <c r="A32" s="1">
        <f>'Guts (option 1)'!A45</f>
        <v>6088</v>
      </c>
      <c r="B32" s="20">
        <f>'Guts (option 1)'!G45</f>
        <v>0.161</v>
      </c>
      <c r="C32" s="20">
        <f>'Guts (option 2)'!G45</f>
        <v>0.161</v>
      </c>
      <c r="D32" s="20"/>
      <c r="F32" s="1">
        <f t="shared" si="0"/>
        <v>6088</v>
      </c>
      <c r="G32" s="6">
        <f t="shared" si="1"/>
        <v>1915</v>
      </c>
      <c r="H32" s="112">
        <f t="shared" si="2"/>
        <v>16</v>
      </c>
      <c r="I32" s="112" t="str">
        <f t="shared" si="3"/>
        <v>16</v>
      </c>
      <c r="J32" s="19" t="str">
        <f t="shared" si="4"/>
        <v>1915/16</v>
      </c>
      <c r="K32" s="98">
        <f>'Guts (option 1)'!AB45</f>
        <v>0</v>
      </c>
      <c r="L32" s="98">
        <f>'Guts (option 2)'!AB45</f>
        <v>-1.1270000000000002</v>
      </c>
      <c r="M32" s="14"/>
      <c r="N32">
        <v>1937</v>
      </c>
      <c r="O32">
        <v>38</v>
      </c>
      <c r="P32" s="19" t="str">
        <f t="shared" si="5"/>
        <v>1937/38</v>
      </c>
      <c r="Q32" s="113">
        <f t="shared" ca="1" si="6"/>
        <v>7.3964849000000008</v>
      </c>
      <c r="R32" s="113">
        <f t="shared" si="7"/>
        <v>-10.3436029739966</v>
      </c>
    </row>
    <row r="33" spans="1:18" x14ac:dyDescent="0.25">
      <c r="A33" s="1">
        <f>'Guts (option 1)'!A46</f>
        <v>6179</v>
      </c>
      <c r="B33" s="20">
        <f>'Guts (option 1)'!G46</f>
        <v>0.37512493984808432</v>
      </c>
      <c r="C33" s="20">
        <f>'Guts (option 2)'!G46</f>
        <v>0.38225001686884463</v>
      </c>
      <c r="D33" s="20"/>
      <c r="F33" s="1">
        <f t="shared" si="0"/>
        <v>6179</v>
      </c>
      <c r="G33" s="6">
        <f t="shared" si="1"/>
        <v>1915</v>
      </c>
      <c r="H33" s="112">
        <f t="shared" si="2"/>
        <v>16</v>
      </c>
      <c r="I33" s="112" t="str">
        <f t="shared" si="3"/>
        <v>16</v>
      </c>
      <c r="J33" s="19" t="str">
        <f t="shared" si="4"/>
        <v>1915/16</v>
      </c>
      <c r="K33" s="98">
        <f>'Guts (option 1)'!AB46</f>
        <v>-51.092922853008524</v>
      </c>
      <c r="L33" s="98">
        <f>'Guts (option 2)'!AB46</f>
        <v>-17.609293035854552</v>
      </c>
      <c r="M33" s="14"/>
      <c r="N33">
        <v>1938</v>
      </c>
      <c r="O33">
        <v>39</v>
      </c>
      <c r="P33" s="19" t="str">
        <f t="shared" si="5"/>
        <v>1938/39</v>
      </c>
      <c r="Q33" s="113">
        <f t="shared" ca="1" si="6"/>
        <v>-4.8976602862426795</v>
      </c>
      <c r="R33" s="113">
        <f t="shared" si="7"/>
        <v>-14.227519962295457</v>
      </c>
    </row>
    <row r="34" spans="1:18" x14ac:dyDescent="0.25">
      <c r="A34" s="1">
        <f>'Guts (option 1)'!A47</f>
        <v>6269</v>
      </c>
      <c r="B34" s="20">
        <f>'Guts (option 1)'!G47</f>
        <v>0.37512493984808432</v>
      </c>
      <c r="C34" s="20">
        <f>'Guts (option 2)'!G47</f>
        <v>0.79727770949007182</v>
      </c>
      <c r="D34" s="20"/>
      <c r="F34" s="1">
        <f t="shared" si="0"/>
        <v>6269</v>
      </c>
      <c r="G34" s="6">
        <f t="shared" si="1"/>
        <v>1916</v>
      </c>
      <c r="H34" s="112">
        <f t="shared" si="2"/>
        <v>17</v>
      </c>
      <c r="I34" s="112" t="str">
        <f t="shared" si="3"/>
        <v>17</v>
      </c>
      <c r="J34" s="19" t="str">
        <f t="shared" si="4"/>
        <v>1916/17</v>
      </c>
      <c r="K34" s="98">
        <f>'Guts (option 1)'!AB47</f>
        <v>17.233577349066856</v>
      </c>
      <c r="L34" s="98">
        <f>'Guts (option 2)'!AB47</f>
        <v>12.209218507970812</v>
      </c>
      <c r="M34" s="14"/>
      <c r="N34">
        <v>1939</v>
      </c>
      <c r="O34">
        <v>40</v>
      </c>
      <c r="P34" s="19" t="str">
        <f t="shared" si="5"/>
        <v>1939/40</v>
      </c>
      <c r="Q34" s="113">
        <f t="shared" ca="1" si="6"/>
        <v>23.9395808481922</v>
      </c>
      <c r="R34" s="113">
        <f t="shared" si="7"/>
        <v>12.409898283949735</v>
      </c>
    </row>
    <row r="35" spans="1:18" x14ac:dyDescent="0.25">
      <c r="A35" s="1">
        <f>'Guts (option 1)'!A48</f>
        <v>6361</v>
      </c>
      <c r="B35" s="20">
        <f>'Guts (option 1)'!G48</f>
        <v>0.54564486517294353</v>
      </c>
      <c r="C35" s="20">
        <f>'Guts (option 2)'!G48</f>
        <v>1.1610468602947994</v>
      </c>
      <c r="D35" s="20"/>
      <c r="F35" s="1">
        <f t="shared" ref="F35:F66" si="8">A35</f>
        <v>6361</v>
      </c>
      <c r="G35" s="6">
        <f t="shared" si="1"/>
        <v>1916</v>
      </c>
      <c r="H35" s="112">
        <f t="shared" si="2"/>
        <v>17</v>
      </c>
      <c r="I35" s="112" t="str">
        <f t="shared" si="3"/>
        <v>17</v>
      </c>
      <c r="J35" s="19" t="str">
        <f t="shared" si="4"/>
        <v>1916/17</v>
      </c>
      <c r="K35" s="98">
        <f>'Guts (option 1)'!AB48</f>
        <v>25.067416186423685</v>
      </c>
      <c r="L35" s="98">
        <f>'Guts (option 2)'!AB48</f>
        <v>9.6525178793088529</v>
      </c>
      <c r="M35" s="14"/>
      <c r="N35">
        <v>1940</v>
      </c>
      <c r="O35">
        <v>41</v>
      </c>
      <c r="P35" s="19" t="str">
        <f t="shared" si="5"/>
        <v>1940/41</v>
      </c>
      <c r="Q35" s="113">
        <f t="shared" ca="1" si="6"/>
        <v>21.314190569346017</v>
      </c>
      <c r="R35" s="113">
        <f t="shared" si="7"/>
        <v>8.5649284016401257</v>
      </c>
    </row>
    <row r="36" spans="1:18" x14ac:dyDescent="0.25">
      <c r="A36" s="1">
        <f>'Guts (option 1)'!A49</f>
        <v>6453</v>
      </c>
      <c r="B36" s="20">
        <f>'Guts (option 1)'!G49</f>
        <v>0.27394359837288446</v>
      </c>
      <c r="C36" s="20">
        <f>'Guts (option 2)'!G49</f>
        <v>0.582909095438636</v>
      </c>
      <c r="D36" s="20"/>
      <c r="F36" s="1">
        <f t="shared" si="8"/>
        <v>6453</v>
      </c>
      <c r="G36" s="6">
        <f t="shared" si="1"/>
        <v>1916</v>
      </c>
      <c r="H36" s="112">
        <f t="shared" si="2"/>
        <v>17</v>
      </c>
      <c r="I36" s="112" t="str">
        <f t="shared" si="3"/>
        <v>17</v>
      </c>
      <c r="J36" s="19" t="str">
        <f t="shared" si="4"/>
        <v>1916/17</v>
      </c>
      <c r="K36" s="98">
        <f>'Guts (option 1)'!AB49</f>
        <v>12.585215458488845</v>
      </c>
      <c r="L36" s="98">
        <f>'Guts (option 2)'!AB49</f>
        <v>4.8460924861418233</v>
      </c>
      <c r="M36" s="14"/>
      <c r="N36">
        <v>1941</v>
      </c>
      <c r="O36">
        <v>42</v>
      </c>
      <c r="P36" s="19" t="str">
        <f t="shared" si="5"/>
        <v>1941/42</v>
      </c>
      <c r="Q36" s="113">
        <f t="shared" ca="1" si="6"/>
        <v>-34.791179727623472</v>
      </c>
      <c r="R36" s="113">
        <f t="shared" si="7"/>
        <v>-12.946407593036497</v>
      </c>
    </row>
    <row r="37" spans="1:18" x14ac:dyDescent="0.25">
      <c r="A37" s="1">
        <f>'Guts (option 1)'!A50</f>
        <v>6544</v>
      </c>
      <c r="B37" s="20">
        <f>'Guts (option 1)'!G50</f>
        <v>0.33801907632384165</v>
      </c>
      <c r="C37" s="20">
        <f>'Guts (option 2)'!G50</f>
        <v>0.5869680275382676</v>
      </c>
      <c r="D37" s="20"/>
      <c r="F37" s="1">
        <f t="shared" si="8"/>
        <v>6544</v>
      </c>
      <c r="G37" s="6">
        <f t="shared" si="1"/>
        <v>1916</v>
      </c>
      <c r="H37" s="112">
        <f t="shared" si="2"/>
        <v>17</v>
      </c>
      <c r="I37" s="112" t="str">
        <f t="shared" si="3"/>
        <v>17</v>
      </c>
      <c r="J37" s="19" t="str">
        <f t="shared" si="4"/>
        <v>1916/17</v>
      </c>
      <c r="K37" s="98">
        <f>'Guts (option 1)'!AB50</f>
        <v>15.52890058348598</v>
      </c>
      <c r="L37" s="98">
        <f>'Guts (option 2)'!AB50</f>
        <v>8.9886131521109327</v>
      </c>
      <c r="M37" s="14"/>
      <c r="N37">
        <v>1942</v>
      </c>
      <c r="O37">
        <v>43</v>
      </c>
      <c r="P37" s="19" t="str">
        <f t="shared" si="5"/>
        <v>1942/43</v>
      </c>
      <c r="Q37" s="113">
        <f t="shared" ca="1" si="6"/>
        <v>21.598459541186422</v>
      </c>
      <c r="R37" s="113">
        <f t="shared" si="7"/>
        <v>-3.0912342198717777</v>
      </c>
    </row>
    <row r="38" spans="1:18" x14ac:dyDescent="0.25">
      <c r="A38" s="1">
        <f>'Guts (option 1)'!A51</f>
        <v>6634</v>
      </c>
      <c r="B38" s="20">
        <f>'Guts (option 1)'!G51</f>
        <v>0.33801907632384165</v>
      </c>
      <c r="C38" s="20">
        <f>'Guts (option 2)'!G51</f>
        <v>0.5869680275382676</v>
      </c>
      <c r="D38" s="20"/>
      <c r="F38" s="1">
        <f t="shared" si="8"/>
        <v>6634</v>
      </c>
      <c r="G38" s="6">
        <f t="shared" si="1"/>
        <v>1917</v>
      </c>
      <c r="H38" s="112">
        <f t="shared" si="2"/>
        <v>18</v>
      </c>
      <c r="I38" s="112" t="str">
        <f t="shared" si="3"/>
        <v>18</v>
      </c>
      <c r="J38" s="19" t="str">
        <f t="shared" si="4"/>
        <v>1917/18</v>
      </c>
      <c r="K38" s="98">
        <f>'Guts (option 1)'!AB51</f>
        <v>15.52890058348598</v>
      </c>
      <c r="L38" s="98">
        <f>'Guts (option 2)'!AB51</f>
        <v>8.9886131521109327</v>
      </c>
      <c r="M38" s="14"/>
      <c r="N38">
        <v>1943</v>
      </c>
      <c r="O38">
        <v>44</v>
      </c>
      <c r="P38" s="19" t="str">
        <f t="shared" si="5"/>
        <v>1943/44</v>
      </c>
      <c r="Q38" s="113">
        <f t="shared" ca="1" si="6"/>
        <v>7.3964849000000008</v>
      </c>
      <c r="R38" s="113">
        <f t="shared" si="7"/>
        <v>5.9194485942079087</v>
      </c>
    </row>
    <row r="39" spans="1:18" x14ac:dyDescent="0.25">
      <c r="A39" s="1">
        <f>'Guts (option 1)'!A52</f>
        <v>6726</v>
      </c>
      <c r="B39" s="20">
        <f>'Guts (option 1)'!G52</f>
        <v>0.33801907632384165</v>
      </c>
      <c r="C39" s="20">
        <f>'Guts (option 2)'!G52</f>
        <v>0.5869680275382676</v>
      </c>
      <c r="D39" s="20"/>
      <c r="F39" s="1">
        <f t="shared" si="8"/>
        <v>6726</v>
      </c>
      <c r="G39" s="6">
        <f t="shared" si="1"/>
        <v>1917</v>
      </c>
      <c r="H39" s="112">
        <f t="shared" si="2"/>
        <v>18</v>
      </c>
      <c r="I39" s="112" t="str">
        <f t="shared" si="3"/>
        <v>18</v>
      </c>
      <c r="J39" s="19" t="str">
        <f t="shared" si="4"/>
        <v>1917/18</v>
      </c>
      <c r="K39" s="98">
        <f>'Guts (option 1)'!AB52</f>
        <v>15.52890058348598</v>
      </c>
      <c r="L39" s="98">
        <f>'Guts (option 2)'!AB52</f>
        <v>8.9886131521109327</v>
      </c>
      <c r="M39" s="14"/>
      <c r="N39">
        <v>1944</v>
      </c>
      <c r="O39">
        <v>45</v>
      </c>
      <c r="P39" s="19" t="str">
        <f t="shared" si="5"/>
        <v>1944/45</v>
      </c>
      <c r="Q39" s="113">
        <f t="shared" ca="1" si="6"/>
        <v>0</v>
      </c>
      <c r="R39" s="113">
        <f t="shared" si="7"/>
        <v>-4.5080000000000009</v>
      </c>
    </row>
    <row r="40" spans="1:18" x14ac:dyDescent="0.25">
      <c r="A40" s="1">
        <f>'Guts (option 1)'!A53</f>
        <v>6818</v>
      </c>
      <c r="B40" s="20">
        <f>'Guts (option 1)'!G53</f>
        <v>0.16970408409778148</v>
      </c>
      <c r="C40" s="20">
        <f>'Guts (option 2)'!G53</f>
        <v>0.29469008847485917</v>
      </c>
      <c r="D40" s="20"/>
      <c r="F40" s="1">
        <f t="shared" si="8"/>
        <v>6818</v>
      </c>
      <c r="G40" s="6">
        <f t="shared" si="1"/>
        <v>1917</v>
      </c>
      <c r="H40" s="112">
        <f t="shared" si="2"/>
        <v>18</v>
      </c>
      <c r="I40" s="112" t="str">
        <f t="shared" si="3"/>
        <v>18</v>
      </c>
      <c r="J40" s="19" t="str">
        <f t="shared" si="4"/>
        <v>1917/18</v>
      </c>
      <c r="K40" s="98">
        <f>'Guts (option 1)'!AB53</f>
        <v>7.7963583571277688</v>
      </c>
      <c r="L40" s="98">
        <f>'Guts (option 2)'!AB53</f>
        <v>4.5127759618715526</v>
      </c>
      <c r="M40" s="14"/>
      <c r="N40">
        <v>1945</v>
      </c>
      <c r="O40">
        <v>46</v>
      </c>
      <c r="P40" s="19" t="str">
        <f t="shared" si="5"/>
        <v>1945/46</v>
      </c>
      <c r="Q40" s="113">
        <f t="shared" ca="1" si="6"/>
        <v>14.792969800000002</v>
      </c>
      <c r="R40" s="113">
        <f t="shared" si="7"/>
        <v>2.6769899333333322</v>
      </c>
    </row>
    <row r="41" spans="1:18" x14ac:dyDescent="0.25">
      <c r="A41" s="1">
        <f>'Guts (option 1)'!A54</f>
        <v>6909</v>
      </c>
      <c r="B41" s="20">
        <f>'Guts (option 1)'!G54</f>
        <v>0.161</v>
      </c>
      <c r="C41" s="20">
        <f>'Guts (option 2)'!G54</f>
        <v>0.19249642327607028</v>
      </c>
      <c r="D41" s="20"/>
      <c r="F41" s="1">
        <f t="shared" si="8"/>
        <v>6909</v>
      </c>
      <c r="G41" s="6">
        <f t="shared" si="1"/>
        <v>1917</v>
      </c>
      <c r="H41" s="112">
        <f t="shared" si="2"/>
        <v>18</v>
      </c>
      <c r="I41" s="112" t="str">
        <f t="shared" si="3"/>
        <v>18</v>
      </c>
      <c r="J41" s="19" t="str">
        <f t="shared" si="4"/>
        <v>1917/18</v>
      </c>
      <c r="K41" s="98">
        <f>'Guts (option 1)'!AB54</f>
        <v>0</v>
      </c>
      <c r="L41" s="98">
        <f>'Guts (option 2)'!AB54</f>
        <v>2.9478196440278719</v>
      </c>
      <c r="M41" s="14"/>
      <c r="N41">
        <v>1946</v>
      </c>
      <c r="O41">
        <v>47</v>
      </c>
      <c r="P41" s="19" t="str">
        <f t="shared" si="5"/>
        <v>1946/47</v>
      </c>
      <c r="Q41" s="113">
        <f t="shared" ca="1" si="6"/>
        <v>-49.635131533977265</v>
      </c>
      <c r="R41" s="113">
        <f t="shared" si="7"/>
        <v>-20.256540560814027</v>
      </c>
    </row>
    <row r="42" spans="1:18" x14ac:dyDescent="0.25">
      <c r="A42" s="1">
        <f>'Guts (option 1)'!A55</f>
        <v>6999</v>
      </c>
      <c r="B42" s="20">
        <f>'Guts (option 1)'!G55</f>
        <v>0.161</v>
      </c>
      <c r="C42" s="20">
        <f>'Guts (option 2)'!G55</f>
        <v>0.19249642327607028</v>
      </c>
      <c r="D42" s="20"/>
      <c r="F42" s="1">
        <f t="shared" si="8"/>
        <v>6999</v>
      </c>
      <c r="G42" s="6">
        <f t="shared" si="1"/>
        <v>1918</v>
      </c>
      <c r="H42" s="112">
        <f t="shared" si="2"/>
        <v>19</v>
      </c>
      <c r="I42" s="112" t="str">
        <f t="shared" si="3"/>
        <v>19</v>
      </c>
      <c r="J42" s="19" t="str">
        <f t="shared" si="4"/>
        <v>1918/19</v>
      </c>
      <c r="K42" s="98">
        <f>'Guts (option 1)'!AB55</f>
        <v>7.3964849000000008</v>
      </c>
      <c r="L42" s="98">
        <f>'Guts (option 2)'!AB55</f>
        <v>2.9478196440278719</v>
      </c>
      <c r="M42" s="14"/>
      <c r="N42">
        <v>1947</v>
      </c>
      <c r="O42">
        <v>48</v>
      </c>
      <c r="P42" s="19" t="str">
        <f t="shared" si="5"/>
        <v>1947/48</v>
      </c>
      <c r="Q42" s="113">
        <f t="shared" ca="1" si="6"/>
        <v>68.690354260393008</v>
      </c>
      <c r="R42" s="113">
        <f t="shared" si="7"/>
        <v>25.461783356093413</v>
      </c>
    </row>
    <row r="43" spans="1:18" x14ac:dyDescent="0.25">
      <c r="A43" s="1">
        <f>'Guts (option 1)'!A56</f>
        <v>7091</v>
      </c>
      <c r="B43" s="20">
        <f>'Guts (option 1)'!G56</f>
        <v>0.161</v>
      </c>
      <c r="C43" s="20">
        <f>'Guts (option 2)'!G56</f>
        <v>0.19249642327607028</v>
      </c>
      <c r="D43" s="20"/>
      <c r="F43" s="1">
        <f t="shared" si="8"/>
        <v>7091</v>
      </c>
      <c r="G43" s="6">
        <f t="shared" si="1"/>
        <v>1918</v>
      </c>
      <c r="H43" s="112">
        <f t="shared" si="2"/>
        <v>19</v>
      </c>
      <c r="I43" s="112" t="str">
        <f t="shared" si="3"/>
        <v>19</v>
      </c>
      <c r="J43" s="19" t="str">
        <f t="shared" si="4"/>
        <v>1918/19</v>
      </c>
      <c r="K43" s="98">
        <f>'Guts (option 1)'!AB56</f>
        <v>7.3964849000000008</v>
      </c>
      <c r="L43" s="98">
        <f>'Guts (option 2)'!AB56</f>
        <v>2.9478196440278719</v>
      </c>
      <c r="M43" s="14"/>
      <c r="N43">
        <v>1948</v>
      </c>
      <c r="O43">
        <v>49</v>
      </c>
      <c r="P43" s="19" t="str">
        <f t="shared" si="5"/>
        <v>1948/49</v>
      </c>
      <c r="Q43" s="113">
        <f t="shared" ca="1" si="6"/>
        <v>66.033930928046615</v>
      </c>
      <c r="R43" s="113">
        <f t="shared" si="7"/>
        <v>24.077840094528597</v>
      </c>
    </row>
    <row r="44" spans="1:18" x14ac:dyDescent="0.25">
      <c r="A44" s="1">
        <f>'Guts (option 1)'!A57</f>
        <v>7183</v>
      </c>
      <c r="B44" s="20">
        <f>'Guts (option 1)'!G57</f>
        <v>0.161</v>
      </c>
      <c r="C44" s="20">
        <f>'Guts (option 2)'!G57</f>
        <v>0.161</v>
      </c>
      <c r="D44" s="20"/>
      <c r="F44" s="1">
        <f t="shared" si="8"/>
        <v>7183</v>
      </c>
      <c r="G44" s="6">
        <f t="shared" si="1"/>
        <v>1918</v>
      </c>
      <c r="H44" s="112">
        <f t="shared" si="2"/>
        <v>19</v>
      </c>
      <c r="I44" s="112" t="str">
        <f t="shared" si="3"/>
        <v>19</v>
      </c>
      <c r="J44" s="19" t="str">
        <f t="shared" si="4"/>
        <v>1918/19</v>
      </c>
      <c r="K44" s="98">
        <f>'Guts (option 1)'!AB57</f>
        <v>0</v>
      </c>
      <c r="L44" s="98">
        <f>'Guts (option 2)'!AB57</f>
        <v>-1.1270000000000002</v>
      </c>
      <c r="M44" s="14"/>
      <c r="N44">
        <v>1949</v>
      </c>
      <c r="O44">
        <v>50</v>
      </c>
      <c r="P44" s="19" t="str">
        <f t="shared" si="5"/>
        <v>1949/50</v>
      </c>
      <c r="Q44" s="113">
        <f t="shared" ca="1" si="6"/>
        <v>109.41778110604534</v>
      </c>
      <c r="R44" s="113">
        <f t="shared" si="7"/>
        <v>40.285118787449711</v>
      </c>
    </row>
    <row r="45" spans="1:18" x14ac:dyDescent="0.25">
      <c r="A45" s="1">
        <f>'Guts (option 1)'!A58</f>
        <v>7274</v>
      </c>
      <c r="B45" s="20">
        <f>'Guts (option 1)'!G58</f>
        <v>0.161</v>
      </c>
      <c r="C45" s="20">
        <f>'Guts (option 2)'!G58</f>
        <v>0.161</v>
      </c>
      <c r="D45" s="20"/>
      <c r="F45" s="1">
        <f t="shared" si="8"/>
        <v>7274</v>
      </c>
      <c r="G45" s="6">
        <f t="shared" si="1"/>
        <v>1918</v>
      </c>
      <c r="H45" s="112">
        <f t="shared" si="2"/>
        <v>19</v>
      </c>
      <c r="I45" s="112" t="str">
        <f t="shared" si="3"/>
        <v>19</v>
      </c>
      <c r="J45" s="19" t="str">
        <f t="shared" si="4"/>
        <v>1918/19</v>
      </c>
      <c r="K45" s="98">
        <f>'Guts (option 1)'!AB58</f>
        <v>0</v>
      </c>
      <c r="L45" s="98">
        <f>'Guts (option 2)'!AB58</f>
        <v>-1.1270000000000002</v>
      </c>
      <c r="M45" s="14"/>
      <c r="N45">
        <v>1950</v>
      </c>
      <c r="O45">
        <v>51</v>
      </c>
      <c r="P45" s="19" t="str">
        <f t="shared" si="5"/>
        <v>1950/51</v>
      </c>
      <c r="Q45" s="113">
        <f t="shared" ca="1" si="6"/>
        <v>212.54194049027353</v>
      </c>
      <c r="R45" s="113">
        <f t="shared" si="7"/>
        <v>61.417020498530839</v>
      </c>
    </row>
    <row r="46" spans="1:18" x14ac:dyDescent="0.25">
      <c r="A46" s="1">
        <f>'Guts (option 1)'!A59</f>
        <v>7364</v>
      </c>
      <c r="B46" s="20">
        <f>'Guts (option 1)'!G59</f>
        <v>0.161</v>
      </c>
      <c r="C46" s="20">
        <f>'Guts (option 2)'!G59</f>
        <v>0.161</v>
      </c>
      <c r="D46" s="20"/>
      <c r="F46" s="1">
        <f t="shared" si="8"/>
        <v>7364</v>
      </c>
      <c r="G46" s="6">
        <f t="shared" si="1"/>
        <v>1919</v>
      </c>
      <c r="H46" s="112">
        <f t="shared" si="2"/>
        <v>20</v>
      </c>
      <c r="I46" s="112" t="str">
        <f t="shared" si="3"/>
        <v>20</v>
      </c>
      <c r="J46" s="19" t="str">
        <f t="shared" si="4"/>
        <v>1919/20</v>
      </c>
      <c r="K46" s="98">
        <f>'Guts (option 1)'!AB59</f>
        <v>0</v>
      </c>
      <c r="L46" s="98">
        <f>'Guts (option 2)'!AB59</f>
        <v>-1.1270000000000002</v>
      </c>
      <c r="M46" s="14"/>
      <c r="N46">
        <v>1951</v>
      </c>
      <c r="O46">
        <v>52</v>
      </c>
      <c r="P46" s="19" t="str">
        <f t="shared" si="5"/>
        <v>1951/52</v>
      </c>
      <c r="Q46" s="113">
        <f t="shared" ca="1" si="6"/>
        <v>61.424184620252824</v>
      </c>
      <c r="R46" s="113">
        <f t="shared" si="7"/>
        <v>24.143495423806435</v>
      </c>
    </row>
    <row r="47" spans="1:18" x14ac:dyDescent="0.25">
      <c r="A47" s="1">
        <f>'Guts (option 1)'!A60</f>
        <v>7457</v>
      </c>
      <c r="B47" s="20">
        <f>'Guts (option 1)'!G60</f>
        <v>0.161</v>
      </c>
      <c r="C47" s="20">
        <f>'Guts (option 2)'!G60</f>
        <v>0.161</v>
      </c>
      <c r="D47" s="20"/>
      <c r="F47" s="1">
        <f t="shared" si="8"/>
        <v>7457</v>
      </c>
      <c r="G47" s="6">
        <f t="shared" si="1"/>
        <v>1919</v>
      </c>
      <c r="H47" s="112">
        <f t="shared" si="2"/>
        <v>20</v>
      </c>
      <c r="I47" s="112" t="str">
        <f t="shared" si="3"/>
        <v>20</v>
      </c>
      <c r="J47" s="19" t="str">
        <f t="shared" si="4"/>
        <v>1919/20</v>
      </c>
      <c r="K47" s="98">
        <f>'Guts (option 1)'!AB60</f>
        <v>7.3964849000000008</v>
      </c>
      <c r="L47" s="98">
        <f>'Guts (option 2)'!AB60</f>
        <v>2.4654949666666663</v>
      </c>
      <c r="M47" s="14"/>
      <c r="N47">
        <v>1952</v>
      </c>
      <c r="O47">
        <v>53</v>
      </c>
      <c r="P47" s="19" t="str">
        <f t="shared" si="5"/>
        <v>1952/53</v>
      </c>
      <c r="Q47" s="113">
        <f t="shared" ca="1" si="6"/>
        <v>59.070960639501344</v>
      </c>
      <c r="R47" s="113">
        <f t="shared" si="7"/>
        <v>21.244489164637127</v>
      </c>
    </row>
    <row r="48" spans="1:18" x14ac:dyDescent="0.25">
      <c r="A48" s="1">
        <f>'Guts (option 1)'!A61</f>
        <v>7549</v>
      </c>
      <c r="B48" s="20">
        <f>'Guts (option 1)'!G61</f>
        <v>0.161</v>
      </c>
      <c r="C48" s="20">
        <f>'Guts (option 2)'!G61</f>
        <v>0.161</v>
      </c>
      <c r="D48" s="20"/>
      <c r="F48" s="1">
        <f t="shared" si="8"/>
        <v>7549</v>
      </c>
      <c r="G48" s="6">
        <f t="shared" si="1"/>
        <v>1919</v>
      </c>
      <c r="H48" s="112">
        <f t="shared" si="2"/>
        <v>20</v>
      </c>
      <c r="I48" s="112" t="str">
        <f t="shared" si="3"/>
        <v>20</v>
      </c>
      <c r="J48" s="19" t="str">
        <f t="shared" si="4"/>
        <v>1919/20</v>
      </c>
      <c r="K48" s="98">
        <f>'Guts (option 1)'!AB61</f>
        <v>0</v>
      </c>
      <c r="L48" s="98">
        <f>'Guts (option 2)'!AB61</f>
        <v>-1.1270000000000002</v>
      </c>
      <c r="M48" s="14"/>
      <c r="N48">
        <v>1953</v>
      </c>
      <c r="O48">
        <v>54</v>
      </c>
      <c r="P48" s="19" t="str">
        <f t="shared" si="5"/>
        <v>1953/54</v>
      </c>
      <c r="Q48" s="113">
        <f t="shared" ca="1" si="6"/>
        <v>-29.877264385616467</v>
      </c>
      <c r="R48" s="113">
        <f t="shared" si="7"/>
        <v>-12.858831310704337</v>
      </c>
    </row>
    <row r="49" spans="1:18" x14ac:dyDescent="0.25">
      <c r="A49" s="1">
        <f>'Guts (option 1)'!A62</f>
        <v>7640</v>
      </c>
      <c r="B49" s="20">
        <f>'Guts (option 1)'!G62</f>
        <v>0.4005008067039284</v>
      </c>
      <c r="C49" s="20">
        <f>'Guts (option 2)'!G62</f>
        <v>0.41153914589081375</v>
      </c>
      <c r="D49" s="20"/>
      <c r="F49" s="1">
        <f t="shared" si="8"/>
        <v>7640</v>
      </c>
      <c r="G49" s="6">
        <f t="shared" si="1"/>
        <v>1919</v>
      </c>
      <c r="H49" s="112">
        <f t="shared" si="2"/>
        <v>20</v>
      </c>
      <c r="I49" s="112" t="str">
        <f t="shared" si="3"/>
        <v>20</v>
      </c>
      <c r="J49" s="19" t="str">
        <f t="shared" si="4"/>
        <v>1919/20</v>
      </c>
      <c r="K49" s="98">
        <f>'Guts (option 1)'!AB62</f>
        <v>-57.271946432406565</v>
      </c>
      <c r="L49" s="98">
        <f>'Guts (option 2)'!AB62</f>
        <v>-19.986594008137711</v>
      </c>
      <c r="M49" s="14"/>
      <c r="N49">
        <v>1954</v>
      </c>
      <c r="O49">
        <v>55</v>
      </c>
      <c r="P49" s="19" t="str">
        <f t="shared" si="5"/>
        <v>1954/55</v>
      </c>
      <c r="Q49" s="113">
        <f t="shared" ca="1" si="6"/>
        <v>145.90523599168176</v>
      </c>
      <c r="R49" s="113">
        <f t="shared" si="7"/>
        <v>52.109863392151212</v>
      </c>
    </row>
    <row r="50" spans="1:18" x14ac:dyDescent="0.25">
      <c r="A50" s="1">
        <f>'Guts (option 1)'!A63</f>
        <v>7730</v>
      </c>
      <c r="B50" s="20">
        <f>'Guts (option 1)'!G63</f>
        <v>0.4005008067039284</v>
      </c>
      <c r="C50" s="20">
        <f>'Guts (option 2)'!G63</f>
        <v>0.41153914589081375</v>
      </c>
      <c r="D50" s="20"/>
      <c r="F50" s="1">
        <f t="shared" si="8"/>
        <v>7730</v>
      </c>
      <c r="G50" s="6">
        <f t="shared" si="1"/>
        <v>1920</v>
      </c>
      <c r="H50" s="112">
        <f t="shared" si="2"/>
        <v>21</v>
      </c>
      <c r="I50" s="112" t="str">
        <f t="shared" si="3"/>
        <v>21</v>
      </c>
      <c r="J50" s="19" t="str">
        <f t="shared" si="4"/>
        <v>1920/21</v>
      </c>
      <c r="K50" s="98">
        <f>'Guts (option 1)'!AB63</f>
        <v>18.399367510704504</v>
      </c>
      <c r="L50" s="98">
        <f>'Guts (option 2)'!AB63</f>
        <v>6.3021595824850936</v>
      </c>
      <c r="M50" s="14"/>
      <c r="N50">
        <v>1955</v>
      </c>
      <c r="O50">
        <v>56</v>
      </c>
      <c r="P50" s="19" t="str">
        <f t="shared" si="5"/>
        <v>1955/56</v>
      </c>
      <c r="Q50" s="113">
        <f t="shared" ca="1" si="6"/>
        <v>286.3440585438932</v>
      </c>
      <c r="R50" s="113">
        <f t="shared" si="7"/>
        <v>96.497740388863804</v>
      </c>
    </row>
    <row r="51" spans="1:18" x14ac:dyDescent="0.25">
      <c r="A51" s="1">
        <f>'Guts (option 1)'!A64</f>
        <v>7822</v>
      </c>
      <c r="B51" s="20">
        <f>'Guts (option 1)'!G64</f>
        <v>0.77871751948522261</v>
      </c>
      <c r="C51" s="20">
        <f>'Guts (option 2)'!G64</f>
        <v>0.78975585867210796</v>
      </c>
      <c r="D51" s="20"/>
      <c r="F51" s="1">
        <f t="shared" si="8"/>
        <v>7822</v>
      </c>
      <c r="G51" s="6">
        <f t="shared" si="1"/>
        <v>1920</v>
      </c>
      <c r="H51" s="112">
        <f t="shared" si="2"/>
        <v>21</v>
      </c>
      <c r="I51" s="112" t="str">
        <f t="shared" si="3"/>
        <v>21</v>
      </c>
      <c r="J51" s="19" t="str">
        <f t="shared" si="4"/>
        <v>1920/21</v>
      </c>
      <c r="K51" s="98">
        <f>'Guts (option 1)'!AB64</f>
        <v>35.774983690918667</v>
      </c>
      <c r="L51" s="98">
        <f>'Guts (option 2)'!AB64</f>
        <v>12.09403164255648</v>
      </c>
      <c r="M51" s="14"/>
      <c r="N51">
        <v>1956</v>
      </c>
      <c r="O51">
        <v>57</v>
      </c>
      <c r="P51" s="19" t="str">
        <f t="shared" si="5"/>
        <v>1956/57</v>
      </c>
      <c r="Q51" s="113">
        <f t="shared" ca="1" si="6"/>
        <v>254.9297886593954</v>
      </c>
      <c r="R51" s="113">
        <f t="shared" si="7"/>
        <v>87.777507033652682</v>
      </c>
    </row>
    <row r="52" spans="1:18" x14ac:dyDescent="0.25">
      <c r="A52" s="1">
        <f>'Guts (option 1)'!A65</f>
        <v>7914</v>
      </c>
      <c r="B52" s="20">
        <f>'Guts (option 1)'!G65</f>
        <v>0.39095883241964496</v>
      </c>
      <c r="C52" s="20">
        <f>'Guts (option 2)'!G65</f>
        <v>0.39650068308098557</v>
      </c>
      <c r="D52" s="20"/>
      <c r="F52" s="1">
        <f t="shared" si="8"/>
        <v>7914</v>
      </c>
      <c r="G52" s="6">
        <f t="shared" si="1"/>
        <v>1920</v>
      </c>
      <c r="H52" s="112">
        <f t="shared" si="2"/>
        <v>21</v>
      </c>
      <c r="I52" s="112" t="str">
        <f t="shared" si="3"/>
        <v>21</v>
      </c>
      <c r="J52" s="19" t="str">
        <f t="shared" si="4"/>
        <v>1920/21</v>
      </c>
      <c r="K52" s="98">
        <f>'Guts (option 1)'!AB65</f>
        <v>17.961000624307669</v>
      </c>
      <c r="L52" s="98">
        <f>'Guts (option 2)'!AB65</f>
        <v>6.0718660771184174</v>
      </c>
      <c r="M52" s="14"/>
      <c r="N52">
        <v>1957</v>
      </c>
      <c r="O52">
        <v>58</v>
      </c>
      <c r="P52" s="19" t="str">
        <f t="shared" si="5"/>
        <v>1957/58</v>
      </c>
      <c r="Q52" s="113">
        <f t="shared" ca="1" si="6"/>
        <v>138.40169189728115</v>
      </c>
      <c r="R52" s="113">
        <f t="shared" si="7"/>
        <v>44.502997324739688</v>
      </c>
    </row>
    <row r="53" spans="1:18" x14ac:dyDescent="0.25">
      <c r="A53" s="1">
        <f>'Guts (option 1)'!A66</f>
        <v>8005</v>
      </c>
      <c r="B53" s="20">
        <f>'Guts (option 1)'!G66</f>
        <v>0.39095883241964496</v>
      </c>
      <c r="C53" s="20">
        <f>'Guts (option 2)'!G66</f>
        <v>0.42867695833498054</v>
      </c>
      <c r="D53" s="20"/>
      <c r="F53" s="1">
        <f t="shared" si="8"/>
        <v>8005</v>
      </c>
      <c r="G53" s="6">
        <f t="shared" si="1"/>
        <v>1920</v>
      </c>
      <c r="H53" s="112">
        <f t="shared" si="2"/>
        <v>21</v>
      </c>
      <c r="I53" s="112" t="str">
        <f t="shared" si="3"/>
        <v>21</v>
      </c>
      <c r="J53" s="19" t="str">
        <f t="shared" si="4"/>
        <v>1920/21</v>
      </c>
      <c r="K53" s="98">
        <f>'Guts (option 1)'!AB66</f>
        <v>17.961000624307669</v>
      </c>
      <c r="L53" s="98">
        <f>'Guts (option 2)'!AB66</f>
        <v>6.5646017583905021</v>
      </c>
      <c r="M53" s="14"/>
      <c r="N53">
        <v>1958</v>
      </c>
      <c r="O53">
        <v>59</v>
      </c>
      <c r="P53" s="19" t="str">
        <f t="shared" si="5"/>
        <v>1958/59</v>
      </c>
      <c r="Q53" s="113">
        <f t="shared" ca="1" si="6"/>
        <v>73.252708553607306</v>
      </c>
      <c r="R53" s="113">
        <f t="shared" si="7"/>
        <v>26.790374782698684</v>
      </c>
    </row>
    <row r="54" spans="1:18" x14ac:dyDescent="0.25">
      <c r="A54" s="1">
        <f>'Guts (option 1)'!A67</f>
        <v>8095</v>
      </c>
      <c r="B54" s="20">
        <f>'Guts (option 1)'!G67</f>
        <v>0.90098079207310589</v>
      </c>
      <c r="C54" s="20">
        <f>'Guts (option 2)'!G67</f>
        <v>1.0375370344546584</v>
      </c>
      <c r="D54" s="20"/>
      <c r="F54" s="1">
        <f t="shared" si="8"/>
        <v>8095</v>
      </c>
      <c r="G54" s="6">
        <f t="shared" si="1"/>
        <v>1921</v>
      </c>
      <c r="H54" s="112">
        <f t="shared" si="2"/>
        <v>22</v>
      </c>
      <c r="I54" s="112" t="str">
        <f t="shared" si="3"/>
        <v>22</v>
      </c>
      <c r="J54" s="19" t="str">
        <f t="shared" si="4"/>
        <v>1921/22</v>
      </c>
      <c r="K54" s="98">
        <f>'Guts (option 1)'!AB67</f>
        <v>41.391868470551351</v>
      </c>
      <c r="L54" s="98">
        <f>'Guts (option 2)'!AB67</f>
        <v>15.888461715392673</v>
      </c>
      <c r="M54" s="14"/>
      <c r="N54">
        <v>1959</v>
      </c>
      <c r="O54">
        <v>60</v>
      </c>
      <c r="P54" s="19" t="str">
        <f t="shared" si="5"/>
        <v>1959/60</v>
      </c>
      <c r="Q54" s="113">
        <f t="shared" ca="1" si="6"/>
        <v>118.35328710971832</v>
      </c>
      <c r="R54" s="113">
        <f t="shared" si="7"/>
        <v>67.22163360849558</v>
      </c>
    </row>
    <row r="55" spans="1:18" x14ac:dyDescent="0.25">
      <c r="A55" s="1">
        <f>'Guts (option 1)'!A68</f>
        <v>8187</v>
      </c>
      <c r="B55" s="20">
        <f>'Guts (option 1)'!G68</f>
        <v>1.3101916144640879</v>
      </c>
      <c r="C55" s="20">
        <f>'Guts (option 2)'!G68</f>
        <v>1.5166749294234294</v>
      </c>
      <c r="D55" s="20"/>
      <c r="F55" s="1">
        <f t="shared" si="8"/>
        <v>8187</v>
      </c>
      <c r="G55" s="6">
        <f t="shared" si="1"/>
        <v>1921</v>
      </c>
      <c r="H55" s="112">
        <f t="shared" si="2"/>
        <v>22</v>
      </c>
      <c r="I55" s="112" t="str">
        <f t="shared" si="3"/>
        <v>22</v>
      </c>
      <c r="J55" s="19" t="str">
        <f t="shared" si="4"/>
        <v>1921/22</v>
      </c>
      <c r="K55" s="98">
        <f>'Guts (option 1)'!AB68</f>
        <v>60.191381940933219</v>
      </c>
      <c r="L55" s="98">
        <f>'Guts (option 2)'!AB68</f>
        <v>12.6090792490856</v>
      </c>
      <c r="M55" s="14"/>
      <c r="N55">
        <v>1960</v>
      </c>
      <c r="O55">
        <v>61</v>
      </c>
      <c r="P55" s="19" t="str">
        <f t="shared" si="5"/>
        <v>1960/61</v>
      </c>
      <c r="Q55" s="113">
        <f t="shared" ca="1" si="6"/>
        <v>-50.227692578051403</v>
      </c>
      <c r="R55" s="113">
        <f t="shared" si="7"/>
        <v>-17.600501978634405</v>
      </c>
    </row>
    <row r="56" spans="1:18" x14ac:dyDescent="0.25">
      <c r="A56" s="1">
        <f>'Guts (option 1)'!A69</f>
        <v>8279</v>
      </c>
      <c r="B56" s="20">
        <f>'Guts (option 1)'!G69</f>
        <v>0.65778792825350052</v>
      </c>
      <c r="C56" s="20">
        <f>'Guts (option 2)'!G69</f>
        <v>0.76145385808131127</v>
      </c>
      <c r="D56" s="20"/>
      <c r="F56" s="1">
        <f t="shared" si="8"/>
        <v>8279</v>
      </c>
      <c r="G56" s="6">
        <f t="shared" si="1"/>
        <v>1921</v>
      </c>
      <c r="H56" s="112">
        <f t="shared" si="2"/>
        <v>22</v>
      </c>
      <c r="I56" s="112" t="str">
        <f t="shared" si="3"/>
        <v>22</v>
      </c>
      <c r="J56" s="19" t="str">
        <f t="shared" si="4"/>
        <v>1921/22</v>
      </c>
      <c r="K56" s="98">
        <f>'Guts (option 1)'!AB69</f>
        <v>30.219369433101242</v>
      </c>
      <c r="L56" s="98">
        <f>'Guts (option 2)'!AB69</f>
        <v>6.3304481763400577</v>
      </c>
      <c r="M56" s="14"/>
      <c r="N56">
        <v>1961</v>
      </c>
      <c r="O56">
        <v>62</v>
      </c>
      <c r="P56" s="19" t="str">
        <f t="shared" si="5"/>
        <v>1961/62</v>
      </c>
      <c r="Q56" s="113">
        <f t="shared" ca="1" si="6"/>
        <v>64.770541578966075</v>
      </c>
      <c r="R56" s="113">
        <f t="shared" si="7"/>
        <v>25.497390029157771</v>
      </c>
    </row>
    <row r="57" spans="1:18" x14ac:dyDescent="0.25">
      <c r="A57" s="1">
        <f>'Guts (option 1)'!A70</f>
        <v>8370</v>
      </c>
      <c r="B57" s="20">
        <f>'Guts (option 1)'!G70</f>
        <v>0.65778792825350052</v>
      </c>
      <c r="C57" s="20">
        <f>'Guts (option 2)'!G70</f>
        <v>0.76145385808131127</v>
      </c>
      <c r="D57" s="20"/>
      <c r="F57" s="1">
        <f t="shared" si="8"/>
        <v>8370</v>
      </c>
      <c r="G57" s="6">
        <f t="shared" si="1"/>
        <v>1921</v>
      </c>
      <c r="H57" s="112">
        <f t="shared" si="2"/>
        <v>22</v>
      </c>
      <c r="I57" s="112" t="str">
        <f t="shared" si="3"/>
        <v>22</v>
      </c>
      <c r="J57" s="19" t="str">
        <f t="shared" si="4"/>
        <v>1921/22</v>
      </c>
      <c r="K57" s="98">
        <f>'Guts (option 1)'!AB70</f>
        <v>30.219369433101242</v>
      </c>
      <c r="L57" s="98">
        <f>'Guts (option 2)'!AB70</f>
        <v>11.660625182909238</v>
      </c>
      <c r="M57" s="14"/>
      <c r="N57">
        <v>1962</v>
      </c>
      <c r="O57">
        <v>63</v>
      </c>
      <c r="P57" s="19" t="str">
        <f t="shared" si="5"/>
        <v>1962/63</v>
      </c>
      <c r="Q57" s="113">
        <f t="shared" ca="1" si="6"/>
        <v>183.39002331325483</v>
      </c>
      <c r="R57" s="113">
        <f t="shared" si="7"/>
        <v>68.498825095953649</v>
      </c>
    </row>
    <row r="58" spans="1:18" x14ac:dyDescent="0.25">
      <c r="A58" s="1">
        <f>'Guts (option 1)'!A71</f>
        <v>8460</v>
      </c>
      <c r="B58" s="20">
        <f>'Guts (option 1)'!G71</f>
        <v>0.65778792825350052</v>
      </c>
      <c r="C58" s="20">
        <f>'Guts (option 2)'!G71</f>
        <v>0.76145385808131127</v>
      </c>
      <c r="D58" s="20"/>
      <c r="F58" s="1">
        <f t="shared" si="8"/>
        <v>8460</v>
      </c>
      <c r="G58" s="6">
        <f t="shared" si="1"/>
        <v>1922</v>
      </c>
      <c r="H58" s="112">
        <f t="shared" si="2"/>
        <v>23</v>
      </c>
      <c r="I58" s="112" t="str">
        <f t="shared" si="3"/>
        <v>23</v>
      </c>
      <c r="J58" s="19" t="str">
        <f t="shared" si="4"/>
        <v>1922/23</v>
      </c>
      <c r="K58" s="98">
        <f>'Guts (option 1)'!AB71</f>
        <v>30.219369433101242</v>
      </c>
      <c r="L58" s="98">
        <f>'Guts (option 2)'!AB71</f>
        <v>11.660625182909238</v>
      </c>
      <c r="M58" s="14"/>
      <c r="N58">
        <v>1963</v>
      </c>
      <c r="O58">
        <v>64</v>
      </c>
      <c r="P58" s="19" t="str">
        <f t="shared" si="5"/>
        <v>1963/64</v>
      </c>
      <c r="Q58" s="113">
        <f t="shared" ca="1" si="6"/>
        <v>171.23850685839531</v>
      </c>
      <c r="R58" s="113">
        <f t="shared" si="7"/>
        <v>62.00946383886054</v>
      </c>
    </row>
    <row r="59" spans="1:18" x14ac:dyDescent="0.25">
      <c r="A59" s="1">
        <f>'Guts (option 1)'!A72</f>
        <v>8552</v>
      </c>
      <c r="B59" s="20">
        <f>'Guts (option 1)'!G72</f>
        <v>0.16100000000000003</v>
      </c>
      <c r="C59" s="20">
        <f>'Guts (option 2)'!G72</f>
        <v>0.16100000000000003</v>
      </c>
      <c r="D59" s="20"/>
      <c r="F59" s="1">
        <f t="shared" si="8"/>
        <v>8552</v>
      </c>
      <c r="G59" s="6">
        <f t="shared" si="1"/>
        <v>1922</v>
      </c>
      <c r="H59" s="112">
        <f t="shared" si="2"/>
        <v>23</v>
      </c>
      <c r="I59" s="112" t="str">
        <f t="shared" si="3"/>
        <v>23</v>
      </c>
      <c r="J59" s="19" t="str">
        <f t="shared" si="4"/>
        <v>1922/23</v>
      </c>
      <c r="K59" s="98">
        <f>'Guts (option 1)'!AB72</f>
        <v>62.098491031687551</v>
      </c>
      <c r="L59" s="98">
        <f>'Guts (option 2)'!AB72</f>
        <v>23.891910753387965</v>
      </c>
      <c r="M59" s="14"/>
      <c r="N59">
        <v>1964</v>
      </c>
      <c r="O59">
        <v>65</v>
      </c>
      <c r="P59" s="19" t="str">
        <f t="shared" si="5"/>
        <v>1964/65</v>
      </c>
      <c r="Q59" s="113">
        <f t="shared" ca="1" si="6"/>
        <v>71.603386916451299</v>
      </c>
      <c r="R59" s="113">
        <f t="shared" si="7"/>
        <v>24.802259213918113</v>
      </c>
    </row>
    <row r="60" spans="1:18" x14ac:dyDescent="0.25">
      <c r="A60" s="1">
        <f>'Guts (option 1)'!A73</f>
        <v>8644</v>
      </c>
      <c r="B60" s="20">
        <f>'Guts (option 1)'!G73</f>
        <v>0.16100000000000003</v>
      </c>
      <c r="C60" s="20">
        <f>'Guts (option 2)'!G73</f>
        <v>0.16100000000000003</v>
      </c>
      <c r="D60" s="20"/>
      <c r="F60" s="1">
        <f t="shared" si="8"/>
        <v>8644</v>
      </c>
      <c r="G60" s="6">
        <f t="shared" si="1"/>
        <v>1922</v>
      </c>
      <c r="H60" s="112">
        <f t="shared" si="2"/>
        <v>23</v>
      </c>
      <c r="I60" s="112" t="str">
        <f t="shared" si="3"/>
        <v>23</v>
      </c>
      <c r="J60" s="19" t="str">
        <f t="shared" si="4"/>
        <v>1922/23</v>
      </c>
      <c r="K60" s="98">
        <f>'Guts (option 1)'!AB73</f>
        <v>0</v>
      </c>
      <c r="L60" s="98">
        <f>'Guts (option 2)'!AB73</f>
        <v>-1.1270000000000002</v>
      </c>
      <c r="M60" s="14"/>
      <c r="N60">
        <v>1965</v>
      </c>
      <c r="O60">
        <v>66</v>
      </c>
      <c r="P60" s="19" t="str">
        <f t="shared" si="5"/>
        <v>1965/66</v>
      </c>
      <c r="Q60" s="113">
        <f t="shared" ca="1" si="6"/>
        <v>-44.199257356172559</v>
      </c>
      <c r="R60" s="113">
        <f t="shared" si="7"/>
        <v>-18.162522614154014</v>
      </c>
    </row>
    <row r="61" spans="1:18" x14ac:dyDescent="0.25">
      <c r="A61" s="1">
        <f>'Guts (option 1)'!A74</f>
        <v>8735</v>
      </c>
      <c r="B61" s="20">
        <f>'Guts (option 1)'!G74</f>
        <v>0.16100000000000003</v>
      </c>
      <c r="C61" s="20">
        <f>'Guts (option 2)'!G74</f>
        <v>0.16100000000000003</v>
      </c>
      <c r="D61" s="20"/>
      <c r="F61" s="1">
        <f t="shared" si="8"/>
        <v>8735</v>
      </c>
      <c r="G61" s="6">
        <f t="shared" si="1"/>
        <v>1922</v>
      </c>
      <c r="H61" s="112">
        <f t="shared" si="2"/>
        <v>23</v>
      </c>
      <c r="I61" s="112" t="str">
        <f t="shared" si="3"/>
        <v>23</v>
      </c>
      <c r="J61" s="19" t="str">
        <f t="shared" si="4"/>
        <v>1922/23</v>
      </c>
      <c r="K61" s="98">
        <f>'Guts (option 1)'!AB74</f>
        <v>0</v>
      </c>
      <c r="L61" s="98">
        <f>'Guts (option 2)'!AB74</f>
        <v>-1.1270000000000002</v>
      </c>
      <c r="M61" s="14"/>
      <c r="N61">
        <v>1966</v>
      </c>
      <c r="O61">
        <v>67</v>
      </c>
      <c r="P61" s="19" t="str">
        <f t="shared" si="5"/>
        <v>1966/67</v>
      </c>
      <c r="Q61" s="113">
        <f t="shared" ca="1" si="6"/>
        <v>47.301301588066472</v>
      </c>
      <c r="R61" s="113">
        <f t="shared" si="7"/>
        <v>14.663217558950819</v>
      </c>
    </row>
    <row r="62" spans="1:18" x14ac:dyDescent="0.25">
      <c r="A62" s="1">
        <f>'Guts (option 1)'!A75</f>
        <v>8825</v>
      </c>
      <c r="B62" s="20">
        <f>'Guts (option 1)'!G75</f>
        <v>0.16100000000000003</v>
      </c>
      <c r="C62" s="20">
        <f>'Guts (option 2)'!G75</f>
        <v>0.16100000000000003</v>
      </c>
      <c r="D62" s="20"/>
      <c r="F62" s="1">
        <f t="shared" si="8"/>
        <v>8825</v>
      </c>
      <c r="G62" s="6">
        <f t="shared" si="1"/>
        <v>1923</v>
      </c>
      <c r="H62" s="112">
        <f t="shared" si="2"/>
        <v>24</v>
      </c>
      <c r="I62" s="112" t="str">
        <f t="shared" si="3"/>
        <v>24</v>
      </c>
      <c r="J62" s="19" t="str">
        <f t="shared" si="4"/>
        <v>1923/24</v>
      </c>
      <c r="K62" s="98">
        <f>'Guts (option 1)'!AB75</f>
        <v>7.3964849000000008</v>
      </c>
      <c r="L62" s="98">
        <f>'Guts (option 2)'!AB75</f>
        <v>2.4654949666666668</v>
      </c>
      <c r="M62" s="14"/>
      <c r="N62">
        <v>1967</v>
      </c>
      <c r="O62">
        <v>68</v>
      </c>
      <c r="P62" s="19" t="str">
        <f t="shared" si="5"/>
        <v>1967/68</v>
      </c>
      <c r="Q62" s="113">
        <f t="shared" ca="1" si="6"/>
        <v>14.004999824107347</v>
      </c>
      <c r="R62" s="113">
        <f t="shared" si="7"/>
        <v>4.9174872636528644</v>
      </c>
    </row>
    <row r="63" spans="1:18" x14ac:dyDescent="0.25">
      <c r="A63" s="1">
        <f>'Guts (option 1)'!A76</f>
        <v>8918</v>
      </c>
      <c r="B63" s="20">
        <f>'Guts (option 1)'!G76</f>
        <v>0.34512403949700332</v>
      </c>
      <c r="C63" s="20">
        <f>'Guts (option 2)'!G76</f>
        <v>0.43106311135257153</v>
      </c>
      <c r="D63" s="20"/>
      <c r="F63" s="1">
        <f t="shared" si="8"/>
        <v>8918</v>
      </c>
      <c r="G63" s="6">
        <f t="shared" si="1"/>
        <v>1923</v>
      </c>
      <c r="H63" s="112">
        <f t="shared" si="2"/>
        <v>24</v>
      </c>
      <c r="I63" s="112" t="str">
        <f t="shared" si="3"/>
        <v>24</v>
      </c>
      <c r="J63" s="19" t="str">
        <f t="shared" si="4"/>
        <v>1923/24</v>
      </c>
      <c r="K63" s="98">
        <f>'Guts (option 1)'!AB76</f>
        <v>-43.7877036175203</v>
      </c>
      <c r="L63" s="98">
        <f>'Guts (option 2)'!AB76</f>
        <v>-21.571289204783717</v>
      </c>
      <c r="M63" s="14"/>
      <c r="N63">
        <v>1968</v>
      </c>
      <c r="O63">
        <v>69</v>
      </c>
      <c r="P63" s="19" t="str">
        <f t="shared" si="5"/>
        <v>1968/69</v>
      </c>
      <c r="Q63" s="113">
        <f t="shared" ca="1" si="6"/>
        <v>-21.930170634461554</v>
      </c>
      <c r="R63" s="113">
        <f t="shared" si="7"/>
        <v>-8.4182740728538086</v>
      </c>
    </row>
    <row r="64" spans="1:18" x14ac:dyDescent="0.25">
      <c r="A64" s="1">
        <f>'Guts (option 1)'!A77</f>
        <v>9010</v>
      </c>
      <c r="B64" s="20">
        <f>'Guts (option 1)'!G77</f>
        <v>0.17327116463348086</v>
      </c>
      <c r="C64" s="20">
        <f>'Guts (option 2)'!G77</f>
        <v>0.21641728418411271</v>
      </c>
      <c r="D64" s="20"/>
      <c r="F64" s="1">
        <f t="shared" si="8"/>
        <v>9010</v>
      </c>
      <c r="G64" s="6">
        <f t="shared" si="1"/>
        <v>1923</v>
      </c>
      <c r="H64" s="112">
        <f t="shared" si="2"/>
        <v>24</v>
      </c>
      <c r="I64" s="112" t="str">
        <f t="shared" si="3"/>
        <v>24</v>
      </c>
      <c r="J64" s="19" t="str">
        <f t="shared" si="4"/>
        <v>1923/24</v>
      </c>
      <c r="K64" s="98">
        <f>'Guts (option 1)'!AB77</f>
        <v>7.9602332473102813</v>
      </c>
      <c r="L64" s="98">
        <f>'Guts (option 2)'!AB77</f>
        <v>3.3141349369913011</v>
      </c>
      <c r="M64" s="14"/>
      <c r="N64">
        <v>1969</v>
      </c>
      <c r="O64">
        <v>70</v>
      </c>
      <c r="P64" s="19" t="str">
        <f t="shared" si="5"/>
        <v>1969/70</v>
      </c>
      <c r="Q64" s="113">
        <f t="shared" ca="1" si="6"/>
        <v>41.928487289685549</v>
      </c>
      <c r="R64" s="113">
        <f t="shared" si="7"/>
        <v>12.910532784015617</v>
      </c>
    </row>
    <row r="65" spans="1:18" x14ac:dyDescent="0.25">
      <c r="A65" s="1">
        <f>'Guts (option 1)'!A78</f>
        <v>9101</v>
      </c>
      <c r="B65" s="20">
        <f>'Guts (option 1)'!G78</f>
        <v>0.46510625013136214</v>
      </c>
      <c r="C65" s="20">
        <f>'Guts (option 2)'!G78</f>
        <v>0.3274608443717103</v>
      </c>
      <c r="D65" s="20"/>
      <c r="F65" s="1">
        <f t="shared" si="8"/>
        <v>9101</v>
      </c>
      <c r="G65" s="6">
        <f t="shared" si="1"/>
        <v>1923</v>
      </c>
      <c r="H65" s="112">
        <f t="shared" si="2"/>
        <v>24</v>
      </c>
      <c r="I65" s="112" t="str">
        <f t="shared" si="3"/>
        <v>24</v>
      </c>
      <c r="J65" s="19" t="str">
        <f t="shared" si="4"/>
        <v>1923/24</v>
      </c>
      <c r="K65" s="98">
        <f>'Guts (option 1)'!AB78</f>
        <v>-69.935580748616459</v>
      </c>
      <c r="L65" s="98">
        <f>'Guts (option 2)'!AB78</f>
        <v>5.0146153017321016</v>
      </c>
      <c r="M65" s="14"/>
      <c r="N65">
        <v>1970</v>
      </c>
      <c r="O65">
        <v>71</v>
      </c>
      <c r="P65" s="19" t="str">
        <f t="shared" si="5"/>
        <v>1970/71</v>
      </c>
      <c r="Q65" s="113">
        <f t="shared" ca="1" si="6"/>
        <v>36.859050117532313</v>
      </c>
      <c r="R65" s="113">
        <f t="shared" si="7"/>
        <v>-16.490998761197737</v>
      </c>
    </row>
    <row r="66" spans="1:18" x14ac:dyDescent="0.25">
      <c r="A66" s="1">
        <f>'Guts (option 1)'!A79</f>
        <v>9191</v>
      </c>
      <c r="B66" s="20">
        <f>'Guts (option 1)'!G79</f>
        <v>0.46510625013136214</v>
      </c>
      <c r="C66" s="20">
        <f>'Guts (option 2)'!G79</f>
        <v>0.3274608443717103</v>
      </c>
      <c r="D66" s="20"/>
      <c r="F66" s="1">
        <f t="shared" si="8"/>
        <v>9191</v>
      </c>
      <c r="G66" s="6">
        <f t="shared" ref="G66:G109" si="9">IF(YEAR(F66)&gt;DATE(YEAR(F66),7,1),YEAR(F66),YEAR(F66)-1)</f>
        <v>1924</v>
      </c>
      <c r="H66" s="112">
        <f t="shared" si="2"/>
        <v>25</v>
      </c>
      <c r="I66" s="112" t="str">
        <f t="shared" si="3"/>
        <v>25</v>
      </c>
      <c r="J66" s="19" t="str">
        <f t="shared" si="4"/>
        <v>1924/25</v>
      </c>
      <c r="K66" s="98">
        <f>'Guts (option 1)'!AB79</f>
        <v>21.367399726659897</v>
      </c>
      <c r="L66" s="98">
        <f>'Guts (option 2)'!AB79</f>
        <v>5.0146153017321016</v>
      </c>
      <c r="M66" s="14"/>
      <c r="N66">
        <v>1971</v>
      </c>
      <c r="O66">
        <v>72</v>
      </c>
      <c r="P66" s="19" t="str">
        <f t="shared" si="5"/>
        <v>1971/72</v>
      </c>
      <c r="Q66" s="113">
        <f t="shared" ca="1" si="6"/>
        <v>112.43283234403606</v>
      </c>
      <c r="R66" s="113">
        <f t="shared" si="7"/>
        <v>63.025502631262853</v>
      </c>
    </row>
    <row r="67" spans="1:18" x14ac:dyDescent="0.25">
      <c r="A67" s="1">
        <f>'Guts (option 1)'!A80</f>
        <v>9283</v>
      </c>
      <c r="B67" s="20">
        <f>'Guts (option 1)'!G80</f>
        <v>0.46510625013136214</v>
      </c>
      <c r="C67" s="20">
        <f>'Guts (option 2)'!G80</f>
        <v>0.32975640514787186</v>
      </c>
      <c r="D67" s="20"/>
      <c r="F67" s="1">
        <f t="shared" ref="F67:F98" si="10">A67</f>
        <v>9283</v>
      </c>
      <c r="G67" s="6">
        <f t="shared" si="9"/>
        <v>1924</v>
      </c>
      <c r="H67" s="112">
        <f t="shared" si="2"/>
        <v>25</v>
      </c>
      <c r="I67" s="112" t="str">
        <f t="shared" si="3"/>
        <v>25</v>
      </c>
      <c r="J67" s="19" t="str">
        <f t="shared" si="4"/>
        <v>1924/25</v>
      </c>
      <c r="K67" s="98">
        <f>'Guts (option 1)'!AB80</f>
        <v>21.367399726659897</v>
      </c>
      <c r="L67" s="98">
        <f>'Guts (option 2)'!AB80</f>
        <v>5.0497686777526214</v>
      </c>
      <c r="M67" s="14"/>
      <c r="N67">
        <v>1972</v>
      </c>
      <c r="O67">
        <v>73</v>
      </c>
      <c r="P67" s="19" t="str">
        <f t="shared" si="5"/>
        <v>1972/73</v>
      </c>
      <c r="Q67" s="113">
        <f t="shared" ca="1" si="6"/>
        <v>60.469979010169524</v>
      </c>
      <c r="R67" s="113">
        <f t="shared" si="7"/>
        <v>33.146036441127187</v>
      </c>
    </row>
    <row r="68" spans="1:18" x14ac:dyDescent="0.25">
      <c r="A68" s="1">
        <f>'Guts (option 1)'!A81</f>
        <v>9375</v>
      </c>
      <c r="B68" s="20">
        <f>'Guts (option 1)'!G81</f>
        <v>0.23350880383767628</v>
      </c>
      <c r="C68" s="20">
        <f>'Guts (option 2)'!G81</f>
        <v>0.16555577075591643</v>
      </c>
      <c r="D68" s="20"/>
      <c r="F68" s="1">
        <f t="shared" si="10"/>
        <v>9375</v>
      </c>
      <c r="G68" s="6">
        <f t="shared" si="9"/>
        <v>1924</v>
      </c>
      <c r="H68" s="112">
        <f t="shared" ref="H68:H131" si="11">G68+1-1900</f>
        <v>25</v>
      </c>
      <c r="I68" s="112" t="str">
        <f t="shared" ref="I68:I131" si="12">TEXT(H68,"#00")</f>
        <v>25</v>
      </c>
      <c r="J68" s="19" t="str">
        <f t="shared" ref="J68:J131" si="13">CONCATENATE(G68,"/",I68)</f>
        <v>1924/25</v>
      </c>
      <c r="K68" s="98">
        <f>'Guts (option 1)'!AB81</f>
        <v>10.727604606226304</v>
      </c>
      <c r="L68" s="98">
        <f>'Guts (option 2)'!AB81</f>
        <v>2.5352603695734932</v>
      </c>
      <c r="M68" s="14"/>
      <c r="N68">
        <v>1973</v>
      </c>
      <c r="O68">
        <v>74</v>
      </c>
      <c r="P68" s="19" t="str">
        <f t="shared" ref="P68:P104" si="14">CONCATENATE(N68,"/",TEXT(O68,"#00"))</f>
        <v>1973/74</v>
      </c>
      <c r="Q68" s="113">
        <f t="shared" ref="Q68:Q104" ca="1" si="15">SUMIF(J68:K469,P68,K68:K469)</f>
        <v>257.26027438061408</v>
      </c>
      <c r="R68" s="113">
        <f t="shared" ref="R68:R104" si="16">SUMIF(J68:J469,P68,L68:L469)</f>
        <v>94.127031191801919</v>
      </c>
    </row>
    <row r="69" spans="1:18" x14ac:dyDescent="0.25">
      <c r="A69" s="1">
        <f>'Guts (option 1)'!A82</f>
        <v>9466</v>
      </c>
      <c r="B69" s="20">
        <f>'Guts (option 1)'!G82</f>
        <v>0.161</v>
      </c>
      <c r="C69" s="20">
        <f>'Guts (option 2)'!G82</f>
        <v>0.161</v>
      </c>
      <c r="D69" s="20"/>
      <c r="F69" s="1">
        <f t="shared" si="10"/>
        <v>9466</v>
      </c>
      <c r="G69" s="6">
        <f t="shared" si="9"/>
        <v>1924</v>
      </c>
      <c r="H69" s="112">
        <f t="shared" si="11"/>
        <v>25</v>
      </c>
      <c r="I69" s="112" t="str">
        <f t="shared" si="12"/>
        <v>25</v>
      </c>
      <c r="J69" s="19" t="str">
        <f t="shared" si="13"/>
        <v>1924/25</v>
      </c>
      <c r="K69" s="98">
        <f>'Guts (option 1)'!AB82</f>
        <v>0</v>
      </c>
      <c r="L69" s="98">
        <f>'Guts (option 2)'!AB82</f>
        <v>-1.1270000000000002</v>
      </c>
      <c r="M69" s="14"/>
      <c r="N69">
        <v>1974</v>
      </c>
      <c r="O69">
        <v>75</v>
      </c>
      <c r="P69" s="19" t="str">
        <f t="shared" si="14"/>
        <v>1974/75</v>
      </c>
      <c r="Q69" s="113">
        <f t="shared" ca="1" si="15"/>
        <v>245.32967820828355</v>
      </c>
      <c r="R69" s="113">
        <f t="shared" si="16"/>
        <v>86.197439698373927</v>
      </c>
    </row>
    <row r="70" spans="1:18" x14ac:dyDescent="0.25">
      <c r="A70" s="1">
        <f>'Guts (option 1)'!A83</f>
        <v>9556</v>
      </c>
      <c r="B70" s="20">
        <f>'Guts (option 1)'!G83</f>
        <v>0.34501894923947296</v>
      </c>
      <c r="C70" s="20">
        <f>'Guts (option 2)'!G83</f>
        <v>0.34541106388015741</v>
      </c>
      <c r="D70" s="20"/>
      <c r="F70" s="1">
        <f t="shared" si="10"/>
        <v>9556</v>
      </c>
      <c r="G70" s="6">
        <f t="shared" si="9"/>
        <v>1925</v>
      </c>
      <c r="H70" s="112">
        <f t="shared" si="11"/>
        <v>26</v>
      </c>
      <c r="I70" s="112" t="str">
        <f t="shared" si="12"/>
        <v>26</v>
      </c>
      <c r="J70" s="19" t="str">
        <f t="shared" si="13"/>
        <v>1925/26</v>
      </c>
      <c r="K70" s="98">
        <f>'Guts (option 1)'!AB83</f>
        <v>-43.762114139811665</v>
      </c>
      <c r="L70" s="98">
        <f>'Guts (option 2)'!AB83</f>
        <v>-14.619198018272774</v>
      </c>
      <c r="M70" s="14"/>
      <c r="N70">
        <v>1975</v>
      </c>
      <c r="O70">
        <v>76</v>
      </c>
      <c r="P70" s="19" t="str">
        <f t="shared" si="14"/>
        <v>1975/76</v>
      </c>
      <c r="Q70" s="113">
        <f t="shared" ca="1" si="15"/>
        <v>298.00923037032578</v>
      </c>
      <c r="R70" s="113">
        <f t="shared" si="16"/>
        <v>101.48388699827305</v>
      </c>
    </row>
    <row r="71" spans="1:18" x14ac:dyDescent="0.25">
      <c r="A71" s="1">
        <f>'Guts (option 1)'!A84</f>
        <v>9648</v>
      </c>
      <c r="B71" s="20">
        <f>'Guts (option 1)'!G84</f>
        <v>0.9923390621493875</v>
      </c>
      <c r="C71" s="20">
        <f>'Guts (option 2)'!G84</f>
        <v>1.0067816137391095</v>
      </c>
      <c r="D71" s="20"/>
      <c r="F71" s="1">
        <f t="shared" si="10"/>
        <v>9648</v>
      </c>
      <c r="G71" s="6">
        <f t="shared" si="9"/>
        <v>1925</v>
      </c>
      <c r="H71" s="112">
        <f t="shared" si="11"/>
        <v>26</v>
      </c>
      <c r="I71" s="112" t="str">
        <f t="shared" si="12"/>
        <v>26</v>
      </c>
      <c r="J71" s="19" t="str">
        <f t="shared" si="13"/>
        <v>1925/26</v>
      </c>
      <c r="K71" s="98">
        <f>'Guts (option 1)'!AB84</f>
        <v>45.588949620298798</v>
      </c>
      <c r="L71" s="98">
        <f>'Guts (option 2)'!AB84</f>
        <v>15.417484479542349</v>
      </c>
      <c r="M71" s="14"/>
      <c r="N71">
        <v>1976</v>
      </c>
      <c r="O71">
        <v>77</v>
      </c>
      <c r="P71" s="19" t="str">
        <f t="shared" si="14"/>
        <v>1976/77</v>
      </c>
      <c r="Q71" s="113">
        <f t="shared" ca="1" si="15"/>
        <v>315.85361961440697</v>
      </c>
      <c r="R71" s="113">
        <f t="shared" si="16"/>
        <v>79.005118908075559</v>
      </c>
    </row>
    <row r="72" spans="1:18" x14ac:dyDescent="0.25">
      <c r="A72" s="1">
        <f>'Guts (option 1)'!A85</f>
        <v>9740</v>
      </c>
      <c r="B72" s="20">
        <f>'Guts (option 1)'!G85</f>
        <v>0.49820854339940435</v>
      </c>
      <c r="C72" s="20">
        <f>'Guts (option 2)'!G85</f>
        <v>0.50545949508007393</v>
      </c>
      <c r="D72" s="20"/>
      <c r="F72" s="1">
        <f t="shared" si="10"/>
        <v>9740</v>
      </c>
      <c r="G72" s="6">
        <f t="shared" si="9"/>
        <v>1925</v>
      </c>
      <c r="H72" s="112">
        <f t="shared" si="11"/>
        <v>26</v>
      </c>
      <c r="I72" s="112" t="str">
        <f t="shared" si="12"/>
        <v>26</v>
      </c>
      <c r="J72" s="19" t="str">
        <f t="shared" si="13"/>
        <v>1925/26</v>
      </c>
      <c r="K72" s="98">
        <f>'Guts (option 1)'!AB85</f>
        <v>22.888148871457695</v>
      </c>
      <c r="L72" s="98">
        <f>'Guts (option 2)'!AB85</f>
        <v>7.740421372508056</v>
      </c>
      <c r="M72" s="14"/>
      <c r="N72">
        <v>1977</v>
      </c>
      <c r="O72">
        <v>78</v>
      </c>
      <c r="P72" s="19" t="str">
        <f t="shared" si="14"/>
        <v>1977/78</v>
      </c>
      <c r="Q72" s="113">
        <f t="shared" ca="1" si="15"/>
        <v>207.62360285830491</v>
      </c>
      <c r="R72" s="113">
        <f t="shared" si="16"/>
        <v>67.753656581373278</v>
      </c>
    </row>
    <row r="73" spans="1:18" x14ac:dyDescent="0.25">
      <c r="A73" s="1">
        <f>'Guts (option 1)'!A86</f>
        <v>9831</v>
      </c>
      <c r="B73" s="20">
        <f>'Guts (option 1)'!G86</f>
        <v>0.49820854339940435</v>
      </c>
      <c r="C73" s="20">
        <f>'Guts (option 2)'!G86</f>
        <v>0.50545949508007393</v>
      </c>
      <c r="D73" s="20"/>
      <c r="F73" s="1">
        <f t="shared" si="10"/>
        <v>9831</v>
      </c>
      <c r="G73" s="6">
        <f t="shared" si="9"/>
        <v>1925</v>
      </c>
      <c r="H73" s="112">
        <f t="shared" si="11"/>
        <v>26</v>
      </c>
      <c r="I73" s="112" t="str">
        <f t="shared" si="12"/>
        <v>26</v>
      </c>
      <c r="J73" s="19" t="str">
        <f t="shared" si="13"/>
        <v>1925/26</v>
      </c>
      <c r="K73" s="98">
        <f>'Guts (option 1)'!AB86</f>
        <v>22.888148871457695</v>
      </c>
      <c r="L73" s="98">
        <f>'Guts (option 2)'!AB86</f>
        <v>7.740421372508056</v>
      </c>
      <c r="M73" s="14"/>
      <c r="N73">
        <v>1978</v>
      </c>
      <c r="O73">
        <v>79</v>
      </c>
      <c r="P73" s="19" t="str">
        <f t="shared" si="14"/>
        <v>1978/79</v>
      </c>
      <c r="Q73" s="113">
        <f t="shared" ca="1" si="15"/>
        <v>41.533900986834183</v>
      </c>
      <c r="R73" s="113">
        <f t="shared" si="16"/>
        <v>12.872096954938035</v>
      </c>
    </row>
    <row r="74" spans="1:18" x14ac:dyDescent="0.25">
      <c r="A74" s="1">
        <f>'Guts (option 1)'!A87</f>
        <v>9921</v>
      </c>
      <c r="B74" s="20">
        <f>'Guts (option 1)'!G87</f>
        <v>0.49820854339940435</v>
      </c>
      <c r="C74" s="20">
        <f>'Guts (option 2)'!G87</f>
        <v>0.50545949508007393</v>
      </c>
      <c r="D74" s="20"/>
      <c r="F74" s="1">
        <f t="shared" si="10"/>
        <v>9921</v>
      </c>
      <c r="G74" s="6">
        <f t="shared" si="9"/>
        <v>1926</v>
      </c>
      <c r="H74" s="112">
        <f t="shared" si="11"/>
        <v>27</v>
      </c>
      <c r="I74" s="112" t="str">
        <f t="shared" si="12"/>
        <v>27</v>
      </c>
      <c r="J74" s="19" t="str">
        <f t="shared" si="13"/>
        <v>1926/27</v>
      </c>
      <c r="K74" s="98">
        <f>'Guts (option 1)'!AB87</f>
        <v>22.888148871457695</v>
      </c>
      <c r="L74" s="98">
        <f>'Guts (option 2)'!AB87</f>
        <v>7.740421372508056</v>
      </c>
      <c r="M74" s="14"/>
      <c r="N74">
        <v>1979</v>
      </c>
      <c r="O74">
        <v>80</v>
      </c>
      <c r="P74" s="19" t="str">
        <f t="shared" si="14"/>
        <v>1979/80</v>
      </c>
      <c r="Q74" s="113">
        <f t="shared" ca="1" si="15"/>
        <v>13.7464698</v>
      </c>
      <c r="R74" s="113">
        <f t="shared" si="16"/>
        <v>1.2011565999999987</v>
      </c>
    </row>
    <row r="75" spans="1:18" x14ac:dyDescent="0.25">
      <c r="A75" s="1">
        <f>'Guts (option 1)'!A88</f>
        <v>10013</v>
      </c>
      <c r="B75" s="20">
        <f>'Guts (option 1)'!G88</f>
        <v>0.49820854339940435</v>
      </c>
      <c r="C75" s="20">
        <f>'Guts (option 2)'!G88</f>
        <v>0.50918913360974039</v>
      </c>
      <c r="D75" s="20"/>
      <c r="F75" s="1">
        <f t="shared" si="10"/>
        <v>10013</v>
      </c>
      <c r="G75" s="6">
        <f t="shared" si="9"/>
        <v>1926</v>
      </c>
      <c r="H75" s="112">
        <f t="shared" si="11"/>
        <v>27</v>
      </c>
      <c r="I75" s="112" t="str">
        <f t="shared" si="12"/>
        <v>27</v>
      </c>
      <c r="J75" s="19" t="str">
        <f t="shared" si="13"/>
        <v>1926/27</v>
      </c>
      <c r="K75" s="98">
        <f>'Guts (option 1)'!AB88</f>
        <v>22.888148871457695</v>
      </c>
      <c r="L75" s="98">
        <f>'Guts (option 2)'!AB88</f>
        <v>7.7975356894172405</v>
      </c>
      <c r="M75" s="14"/>
      <c r="N75">
        <v>1980</v>
      </c>
      <c r="O75">
        <v>81</v>
      </c>
      <c r="P75" s="19" t="str">
        <f t="shared" si="14"/>
        <v>1980/81</v>
      </c>
      <c r="Q75" s="113">
        <f t="shared" ca="1" si="15"/>
        <v>-10.417297774906535</v>
      </c>
      <c r="R75" s="113">
        <f t="shared" si="16"/>
        <v>-5.3154331397018044</v>
      </c>
    </row>
    <row r="76" spans="1:18" x14ac:dyDescent="0.25">
      <c r="A76" s="1">
        <f>'Guts (option 1)'!A89</f>
        <v>10105</v>
      </c>
      <c r="B76" s="20">
        <f>'Guts (option 1)'!G89</f>
        <v>0.16100000000000003</v>
      </c>
      <c r="C76" s="20">
        <f>'Guts (option 2)'!G89</f>
        <v>0.16100000000000003</v>
      </c>
      <c r="D76" s="20"/>
      <c r="F76" s="1">
        <f t="shared" si="10"/>
        <v>10105</v>
      </c>
      <c r="G76" s="6">
        <f t="shared" si="9"/>
        <v>1926</v>
      </c>
      <c r="H76" s="112">
        <f t="shared" si="11"/>
        <v>27</v>
      </c>
      <c r="I76" s="112" t="str">
        <f t="shared" si="12"/>
        <v>27</v>
      </c>
      <c r="J76" s="19" t="str">
        <f t="shared" si="13"/>
        <v>1926/27</v>
      </c>
      <c r="K76" s="98">
        <f>'Guts (option 1)'!AB89</f>
        <v>42.151067924925542</v>
      </c>
      <c r="L76" s="98">
        <f>'Guts (option 2)'!AB89</f>
        <v>13.380880567072513</v>
      </c>
      <c r="M76" s="14"/>
      <c r="N76">
        <v>1981</v>
      </c>
      <c r="O76">
        <v>82</v>
      </c>
      <c r="P76" s="19" t="str">
        <f t="shared" si="14"/>
        <v>1981/82</v>
      </c>
      <c r="Q76" s="113">
        <f t="shared" ca="1" si="15"/>
        <v>28.159981717220642</v>
      </c>
      <c r="R76" s="113">
        <f t="shared" si="16"/>
        <v>7.5128370627586545</v>
      </c>
    </row>
    <row r="77" spans="1:18" x14ac:dyDescent="0.25">
      <c r="A77" s="1">
        <f>'Guts (option 1)'!A90</f>
        <v>10196</v>
      </c>
      <c r="B77" s="20">
        <f>'Guts (option 1)'!G90</f>
        <v>0.16100000000000003</v>
      </c>
      <c r="C77" s="20">
        <f>'Guts (option 2)'!G90</f>
        <v>0.16100000000000003</v>
      </c>
      <c r="D77" s="20"/>
      <c r="F77" s="1">
        <f t="shared" si="10"/>
        <v>10196</v>
      </c>
      <c r="G77" s="6">
        <f t="shared" si="9"/>
        <v>1926</v>
      </c>
      <c r="H77" s="112">
        <f t="shared" si="11"/>
        <v>27</v>
      </c>
      <c r="I77" s="112" t="str">
        <f t="shared" si="12"/>
        <v>27</v>
      </c>
      <c r="J77" s="19" t="str">
        <f t="shared" si="13"/>
        <v>1926/27</v>
      </c>
      <c r="K77" s="98">
        <f>'Guts (option 1)'!AB90</f>
        <v>0</v>
      </c>
      <c r="L77" s="98">
        <f>'Guts (option 2)'!AB90</f>
        <v>-1.1270000000000002</v>
      </c>
      <c r="M77" s="14"/>
      <c r="N77">
        <v>1982</v>
      </c>
      <c r="O77">
        <v>83</v>
      </c>
      <c r="P77" s="19" t="str">
        <f t="shared" si="14"/>
        <v>1982/83</v>
      </c>
      <c r="Q77" s="113">
        <f t="shared" ca="1" si="15"/>
        <v>-144.84912505560681</v>
      </c>
      <c r="R77" s="113">
        <f t="shared" si="16"/>
        <v>25.828286333079483</v>
      </c>
    </row>
    <row r="78" spans="1:18" x14ac:dyDescent="0.25">
      <c r="A78" s="1">
        <f>'Guts (option 1)'!A91</f>
        <v>10286</v>
      </c>
      <c r="B78" s="20">
        <f>'Guts (option 1)'!G91</f>
        <v>0.18400756601015281</v>
      </c>
      <c r="C78" s="20">
        <f>'Guts (option 2)'!G91</f>
        <v>0.18414862633908424</v>
      </c>
      <c r="D78" s="20"/>
      <c r="F78" s="1">
        <f t="shared" si="10"/>
        <v>10286</v>
      </c>
      <c r="G78" s="6">
        <f t="shared" si="9"/>
        <v>1927</v>
      </c>
      <c r="H78" s="112">
        <f t="shared" si="11"/>
        <v>28</v>
      </c>
      <c r="I78" s="112" t="str">
        <f t="shared" si="12"/>
        <v>28</v>
      </c>
      <c r="J78" s="19" t="str">
        <f t="shared" si="13"/>
        <v>1927/28</v>
      </c>
      <c r="K78" s="98">
        <f>'Guts (option 1)'!AB91</f>
        <v>-4.5558423234722012</v>
      </c>
      <c r="L78" s="98">
        <f>'Guts (option 2)'!AB91</f>
        <v>-1.5300635045223359</v>
      </c>
      <c r="M78" s="14"/>
      <c r="N78">
        <v>1983</v>
      </c>
      <c r="O78">
        <v>84</v>
      </c>
      <c r="P78" s="19" t="str">
        <f t="shared" si="14"/>
        <v>1983/84</v>
      </c>
      <c r="Q78" s="113">
        <f t="shared" ca="1" si="15"/>
        <v>201.31259561377149</v>
      </c>
      <c r="R78" s="113">
        <f t="shared" si="16"/>
        <v>61.61304881754721</v>
      </c>
    </row>
    <row r="79" spans="1:18" x14ac:dyDescent="0.25">
      <c r="A79" s="1">
        <f>'Guts (option 1)'!A92</f>
        <v>10379</v>
      </c>
      <c r="B79" s="20">
        <f>'Guts (option 1)'!G92</f>
        <v>0.53278950083385357</v>
      </c>
      <c r="C79" s="20">
        <f>'Guts (option 2)'!G92</f>
        <v>0.58540496050112212</v>
      </c>
      <c r="D79" s="20"/>
      <c r="F79" s="1">
        <f t="shared" si="10"/>
        <v>10379</v>
      </c>
      <c r="G79" s="6">
        <f t="shared" si="9"/>
        <v>1927</v>
      </c>
      <c r="H79" s="112">
        <f t="shared" si="11"/>
        <v>28</v>
      </c>
      <c r="I79" s="112" t="str">
        <f t="shared" si="12"/>
        <v>28</v>
      </c>
      <c r="J79" s="19" t="str">
        <f t="shared" si="13"/>
        <v>1927/28</v>
      </c>
      <c r="K79" s="98">
        <f>'Guts (option 1)'!AB92</f>
        <v>24.476829178857983</v>
      </c>
      <c r="L79" s="98">
        <f>'Guts (option 2)'!AB92</f>
        <v>8.9646769166286671</v>
      </c>
      <c r="M79" s="14"/>
      <c r="N79">
        <v>1984</v>
      </c>
      <c r="O79">
        <v>85</v>
      </c>
      <c r="P79" s="19" t="str">
        <f t="shared" si="14"/>
        <v>1984/85</v>
      </c>
      <c r="Q79" s="113">
        <f t="shared" ca="1" si="15"/>
        <v>120.13729661297089</v>
      </c>
      <c r="R79" s="113">
        <f t="shared" si="16"/>
        <v>21.470098729444793</v>
      </c>
    </row>
    <row r="80" spans="1:18" x14ac:dyDescent="0.25">
      <c r="A80" s="1">
        <f>'Guts (option 1)'!A93</f>
        <v>10471</v>
      </c>
      <c r="B80" s="20">
        <f>'Guts (option 1)'!G93</f>
        <v>0.26748950159635093</v>
      </c>
      <c r="C80" s="20">
        <f>'Guts (option 2)'!G93</f>
        <v>0.29390534323856349</v>
      </c>
      <c r="D80" s="20"/>
      <c r="F80" s="1">
        <f t="shared" si="10"/>
        <v>10471</v>
      </c>
      <c r="G80" s="6">
        <f t="shared" si="9"/>
        <v>1927</v>
      </c>
      <c r="H80" s="112">
        <f t="shared" si="11"/>
        <v>28</v>
      </c>
      <c r="I80" s="112" t="str">
        <f t="shared" si="12"/>
        <v>28</v>
      </c>
      <c r="J80" s="19" t="str">
        <f t="shared" si="13"/>
        <v>1927/28</v>
      </c>
      <c r="K80" s="98">
        <f>'Guts (option 1)'!AB93</f>
        <v>12.288708443887799</v>
      </c>
      <c r="L80" s="98">
        <f>'Guts (option 2)'!AB93</f>
        <v>4.5007586610628403</v>
      </c>
      <c r="M80" s="14"/>
      <c r="N80">
        <v>1985</v>
      </c>
      <c r="O80">
        <v>86</v>
      </c>
      <c r="P80" s="19" t="str">
        <f t="shared" si="14"/>
        <v>1985/86</v>
      </c>
      <c r="Q80" s="113">
        <f t="shared" ca="1" si="15"/>
        <v>-66.695499317072915</v>
      </c>
      <c r="R80" s="113">
        <f t="shared" si="16"/>
        <v>-22.231833105690974</v>
      </c>
    </row>
    <row r="81" spans="1:18" x14ac:dyDescent="0.25">
      <c r="A81" s="1">
        <f>'Guts (option 1)'!A94</f>
        <v>10562</v>
      </c>
      <c r="B81" s="20">
        <f>'Guts (option 1)'!G94</f>
        <v>0.25543843063805077</v>
      </c>
      <c r="C81" s="20">
        <f>'Guts (option 2)'!G94</f>
        <v>0.28185427228026327</v>
      </c>
      <c r="D81" s="20"/>
      <c r="F81" s="1">
        <f t="shared" si="10"/>
        <v>10562</v>
      </c>
      <c r="G81" s="6">
        <f t="shared" si="9"/>
        <v>1927</v>
      </c>
      <c r="H81" s="112">
        <f t="shared" si="11"/>
        <v>28</v>
      </c>
      <c r="I81" s="112" t="str">
        <f t="shared" si="12"/>
        <v>28</v>
      </c>
      <c r="J81" s="19" t="str">
        <f t="shared" si="13"/>
        <v>1927/28</v>
      </c>
      <c r="K81" s="98">
        <f>'Guts (option 1)'!AB94</f>
        <v>11.735071398099628</v>
      </c>
      <c r="L81" s="98">
        <f>'Guts (option 2)'!AB94</f>
        <v>4.3162129791334491</v>
      </c>
      <c r="M81" s="14"/>
      <c r="N81">
        <v>1986</v>
      </c>
      <c r="O81">
        <v>87</v>
      </c>
      <c r="P81" s="19" t="str">
        <f t="shared" si="14"/>
        <v>1986/87</v>
      </c>
      <c r="Q81" s="113">
        <f t="shared" ca="1" si="15"/>
        <v>38.5173134164923</v>
      </c>
      <c r="R81" s="113">
        <f t="shared" si="16"/>
        <v>11.712104472164098</v>
      </c>
    </row>
    <row r="82" spans="1:18" x14ac:dyDescent="0.25">
      <c r="A82" s="1">
        <f>'Guts (option 1)'!A95</f>
        <v>10652</v>
      </c>
      <c r="B82" s="20">
        <f>'Guts (option 1)'!G95</f>
        <v>0.25543843063805077</v>
      </c>
      <c r="C82" s="20">
        <f>'Guts (option 2)'!G95</f>
        <v>0.28185427228026327</v>
      </c>
      <c r="D82" s="20"/>
      <c r="F82" s="1">
        <f t="shared" si="10"/>
        <v>10652</v>
      </c>
      <c r="G82" s="6">
        <f t="shared" si="9"/>
        <v>1928</v>
      </c>
      <c r="H82" s="112">
        <f t="shared" si="11"/>
        <v>29</v>
      </c>
      <c r="I82" s="112" t="str">
        <f t="shared" si="12"/>
        <v>29</v>
      </c>
      <c r="J82" s="19" t="str">
        <f t="shared" si="13"/>
        <v>1928/29</v>
      </c>
      <c r="K82" s="98">
        <f>'Guts (option 1)'!AB95</f>
        <v>11.735071398099628</v>
      </c>
      <c r="L82" s="98">
        <f>'Guts (option 2)'!AB95</f>
        <v>4.3162129791334491</v>
      </c>
      <c r="M82" s="14"/>
      <c r="N82">
        <v>1987</v>
      </c>
      <c r="O82">
        <v>88</v>
      </c>
      <c r="P82" s="19" t="str">
        <f t="shared" si="14"/>
        <v>1987/88</v>
      </c>
      <c r="Q82" s="113">
        <f t="shared" ca="1" si="15"/>
        <v>-144.23609780917326</v>
      </c>
      <c r="R82" s="113">
        <f t="shared" si="16"/>
        <v>-59.618253223554255</v>
      </c>
    </row>
    <row r="83" spans="1:18" x14ac:dyDescent="0.25">
      <c r="A83" s="1">
        <f>'Guts (option 1)'!A96</f>
        <v>10744</v>
      </c>
      <c r="B83" s="20">
        <f>'Guts (option 1)'!G96</f>
        <v>0.161</v>
      </c>
      <c r="C83" s="20">
        <f>'Guts (option 2)'!G96</f>
        <v>0.16721347328972685</v>
      </c>
      <c r="D83" s="20"/>
      <c r="F83" s="1">
        <f t="shared" si="10"/>
        <v>10744</v>
      </c>
      <c r="G83" s="6">
        <f t="shared" si="9"/>
        <v>1928</v>
      </c>
      <c r="H83" s="112">
        <f t="shared" si="11"/>
        <v>29</v>
      </c>
      <c r="I83" s="112" t="str">
        <f t="shared" si="12"/>
        <v>29</v>
      </c>
      <c r="J83" s="19" t="str">
        <f t="shared" si="13"/>
        <v>1928/29</v>
      </c>
      <c r="K83" s="98">
        <f>'Guts (option 1)'!AB96</f>
        <v>11.804803829756343</v>
      </c>
      <c r="L83" s="98">
        <f>'Guts (option 2)'!AB96</f>
        <v>3.6062056449109292</v>
      </c>
      <c r="M83" s="14"/>
      <c r="N83">
        <v>1988</v>
      </c>
      <c r="O83">
        <v>89</v>
      </c>
      <c r="P83" s="19" t="str">
        <f t="shared" si="14"/>
        <v>1988/89</v>
      </c>
      <c r="Q83" s="113">
        <f t="shared" ca="1" si="15"/>
        <v>95.551284398791211</v>
      </c>
      <c r="R83" s="113">
        <f t="shared" si="16"/>
        <v>43.187840979575157</v>
      </c>
    </row>
    <row r="84" spans="1:18" x14ac:dyDescent="0.25">
      <c r="A84" s="1">
        <f>'Guts (option 1)'!A97</f>
        <v>10836</v>
      </c>
      <c r="B84" s="20">
        <f>'Guts (option 1)'!G97</f>
        <v>0.161</v>
      </c>
      <c r="C84" s="20">
        <f>'Guts (option 2)'!G97</f>
        <v>0.161</v>
      </c>
      <c r="D84" s="20"/>
      <c r="F84" s="1">
        <f t="shared" si="10"/>
        <v>10836</v>
      </c>
      <c r="G84" s="6">
        <f t="shared" si="9"/>
        <v>1928</v>
      </c>
      <c r="H84" s="112">
        <f t="shared" si="11"/>
        <v>29</v>
      </c>
      <c r="I84" s="112" t="str">
        <f t="shared" si="12"/>
        <v>29</v>
      </c>
      <c r="J84" s="19" t="str">
        <f t="shared" si="13"/>
        <v>1928/29</v>
      </c>
      <c r="K84" s="98">
        <f>'Guts (option 1)'!AB97</f>
        <v>0</v>
      </c>
      <c r="L84" s="98">
        <f>'Guts (option 2)'!AB97</f>
        <v>-0.86810527959471451</v>
      </c>
      <c r="M84" s="14"/>
      <c r="N84">
        <v>1989</v>
      </c>
      <c r="O84">
        <v>90</v>
      </c>
      <c r="P84" s="19" t="str">
        <f t="shared" si="14"/>
        <v>1989/90</v>
      </c>
      <c r="Q84" s="113">
        <f t="shared" ca="1" si="15"/>
        <v>121.73461669805971</v>
      </c>
      <c r="R84" s="113">
        <f t="shared" si="16"/>
        <v>56.537925290757528</v>
      </c>
    </row>
    <row r="85" spans="1:18" x14ac:dyDescent="0.25">
      <c r="A85" s="1">
        <f>'Guts (option 1)'!A98</f>
        <v>10927</v>
      </c>
      <c r="B85" s="20">
        <f>'Guts (option 1)'!G98</f>
        <v>0.161</v>
      </c>
      <c r="C85" s="20">
        <f>'Guts (option 2)'!G98</f>
        <v>0.161</v>
      </c>
      <c r="D85" s="20"/>
      <c r="F85" s="1">
        <f t="shared" si="10"/>
        <v>10927</v>
      </c>
      <c r="G85" s="6">
        <f t="shared" si="9"/>
        <v>1928</v>
      </c>
      <c r="H85" s="112">
        <f t="shared" si="11"/>
        <v>29</v>
      </c>
      <c r="I85" s="112" t="str">
        <f t="shared" si="12"/>
        <v>29</v>
      </c>
      <c r="J85" s="19" t="str">
        <f t="shared" si="13"/>
        <v>1928/29</v>
      </c>
      <c r="K85" s="98">
        <f>'Guts (option 1)'!AB98</f>
        <v>0</v>
      </c>
      <c r="L85" s="98">
        <f>'Guts (option 2)'!AB98</f>
        <v>-1.1270000000000002</v>
      </c>
      <c r="M85" s="14"/>
      <c r="N85">
        <v>1990</v>
      </c>
      <c r="O85">
        <v>91</v>
      </c>
      <c r="P85" s="19" t="str">
        <f t="shared" si="14"/>
        <v>1990/91</v>
      </c>
      <c r="Q85" s="113">
        <f t="shared" ca="1" si="15"/>
        <v>64.820264431752321</v>
      </c>
      <c r="R85" s="113">
        <f t="shared" si="16"/>
        <v>51.702582545242869</v>
      </c>
    </row>
    <row r="86" spans="1:18" x14ac:dyDescent="0.25">
      <c r="A86" s="1">
        <f>'Guts (option 1)'!A99</f>
        <v>11017</v>
      </c>
      <c r="B86" s="20">
        <f>'Guts (option 1)'!G99</f>
        <v>0.161</v>
      </c>
      <c r="C86" s="20">
        <f>'Guts (option 2)'!G99</f>
        <v>0.1863554626719135</v>
      </c>
      <c r="D86" s="20"/>
      <c r="F86" s="1">
        <f t="shared" si="10"/>
        <v>11017</v>
      </c>
      <c r="G86" s="6">
        <f t="shared" si="9"/>
        <v>1929</v>
      </c>
      <c r="H86" s="112">
        <f t="shared" si="11"/>
        <v>30</v>
      </c>
      <c r="I86" s="112" t="str">
        <f t="shared" si="12"/>
        <v>30</v>
      </c>
      <c r="J86" s="19" t="str">
        <f t="shared" si="13"/>
        <v>1929/30</v>
      </c>
      <c r="K86" s="98">
        <f>'Guts (option 1)'!AB99</f>
        <v>0</v>
      </c>
      <c r="L86" s="98">
        <f>'Guts (option 2)'!AB99</f>
        <v>-1.7091850535369766</v>
      </c>
      <c r="M86" s="14"/>
      <c r="N86">
        <v>1991</v>
      </c>
      <c r="O86">
        <v>92</v>
      </c>
      <c r="P86" s="19" t="str">
        <f t="shared" si="14"/>
        <v>1991/92</v>
      </c>
      <c r="Q86" s="113">
        <f t="shared" ca="1" si="15"/>
        <v>14.792969800000002</v>
      </c>
      <c r="R86" s="113">
        <f t="shared" si="16"/>
        <v>24.540476885715208</v>
      </c>
    </row>
    <row r="87" spans="1:18" x14ac:dyDescent="0.25">
      <c r="A87" s="1">
        <f>'Guts (option 1)'!A100</f>
        <v>11109</v>
      </c>
      <c r="B87" s="20">
        <f>'Guts (option 1)'!G100</f>
        <v>0.161</v>
      </c>
      <c r="C87" s="20">
        <f>'Guts (option 2)'!G100</f>
        <v>0.1863554626719135</v>
      </c>
      <c r="D87" s="20"/>
      <c r="F87" s="1">
        <f t="shared" si="10"/>
        <v>11109</v>
      </c>
      <c r="G87" s="6">
        <f t="shared" si="9"/>
        <v>1929</v>
      </c>
      <c r="H87" s="112">
        <f t="shared" si="11"/>
        <v>30</v>
      </c>
      <c r="I87" s="112" t="str">
        <f t="shared" si="12"/>
        <v>30</v>
      </c>
      <c r="J87" s="19" t="str">
        <f t="shared" si="13"/>
        <v>1929/30</v>
      </c>
      <c r="K87" s="98">
        <f>'Guts (option 1)'!AB100</f>
        <v>7.3964849000000008</v>
      </c>
      <c r="L87" s="98">
        <f>'Guts (option 2)'!AB100</f>
        <v>2.8537792250213698</v>
      </c>
      <c r="M87" s="14"/>
      <c r="N87">
        <v>1992</v>
      </c>
      <c r="O87">
        <v>93</v>
      </c>
      <c r="P87" s="19" t="str">
        <f t="shared" si="14"/>
        <v>1992/93</v>
      </c>
      <c r="Q87" s="113">
        <f t="shared" ca="1" si="15"/>
        <v>-91.628117215207538</v>
      </c>
      <c r="R87" s="113">
        <f t="shared" si="16"/>
        <v>-16.386196594234285</v>
      </c>
    </row>
    <row r="88" spans="1:18" x14ac:dyDescent="0.25">
      <c r="A88" s="1">
        <f>'Guts (option 1)'!A101</f>
        <v>11201</v>
      </c>
      <c r="B88" s="20">
        <f>'Guts (option 1)'!G101</f>
        <v>0.161</v>
      </c>
      <c r="C88" s="20">
        <f>'Guts (option 2)'!G101</f>
        <v>0.161</v>
      </c>
      <c r="D88" s="20"/>
      <c r="E88" s="16"/>
      <c r="F88" s="1">
        <f t="shared" si="10"/>
        <v>11201</v>
      </c>
      <c r="G88" s="6">
        <f t="shared" si="9"/>
        <v>1929</v>
      </c>
      <c r="H88" s="112">
        <f t="shared" si="11"/>
        <v>30</v>
      </c>
      <c r="I88" s="112" t="str">
        <f t="shared" si="12"/>
        <v>30</v>
      </c>
      <c r="J88" s="19" t="str">
        <f t="shared" si="13"/>
        <v>1929/30</v>
      </c>
      <c r="K88" s="98">
        <f>'Guts (option 1)'!AB101</f>
        <v>0</v>
      </c>
      <c r="L88" s="98">
        <f>'Guts (option 2)'!AB101</f>
        <v>-1.1270000000000002</v>
      </c>
      <c r="M88" s="14"/>
      <c r="N88">
        <v>1993</v>
      </c>
      <c r="O88">
        <v>94</v>
      </c>
      <c r="P88" s="19" t="str">
        <f t="shared" si="14"/>
        <v>1993/94</v>
      </c>
      <c r="Q88" s="113">
        <f t="shared" ca="1" si="15"/>
        <v>50.287008833835664</v>
      </c>
      <c r="R88" s="113">
        <f t="shared" si="16"/>
        <v>15.29932448153396</v>
      </c>
    </row>
    <row r="89" spans="1:18" x14ac:dyDescent="0.25">
      <c r="A89" s="1">
        <f>'Guts (option 1)'!A102</f>
        <v>11292</v>
      </c>
      <c r="B89" s="20">
        <f>'Guts (option 1)'!G102</f>
        <v>0.161</v>
      </c>
      <c r="C89" s="20">
        <f>'Guts (option 2)'!G102</f>
        <v>0.161</v>
      </c>
      <c r="D89" s="20"/>
      <c r="E89" s="16"/>
      <c r="F89" s="1">
        <f t="shared" si="10"/>
        <v>11292</v>
      </c>
      <c r="G89" s="6">
        <f t="shared" si="9"/>
        <v>1929</v>
      </c>
      <c r="H89" s="112">
        <f t="shared" si="11"/>
        <v>30</v>
      </c>
      <c r="I89" s="112" t="str">
        <f t="shared" si="12"/>
        <v>30</v>
      </c>
      <c r="J89" s="19" t="str">
        <f t="shared" si="13"/>
        <v>1929/30</v>
      </c>
      <c r="K89" s="98">
        <f>'Guts (option 1)'!AB102</f>
        <v>0</v>
      </c>
      <c r="L89" s="98">
        <f>'Guts (option 2)'!AB102</f>
        <v>-1.1270000000000002</v>
      </c>
      <c r="M89" s="14"/>
      <c r="N89">
        <v>1994</v>
      </c>
      <c r="O89">
        <v>95</v>
      </c>
      <c r="P89" s="19" t="str">
        <f t="shared" si="14"/>
        <v>1994/95</v>
      </c>
      <c r="Q89" s="113">
        <f t="shared" ca="1" si="15"/>
        <v>21.062901615015946</v>
      </c>
      <c r="R89" s="113">
        <f t="shared" si="16"/>
        <v>6.9797971230532676</v>
      </c>
    </row>
    <row r="90" spans="1:18" x14ac:dyDescent="0.25">
      <c r="A90" s="1">
        <f>'Guts (option 1)'!A103</f>
        <v>11382</v>
      </c>
      <c r="B90" s="20">
        <f>'Guts (option 1)'!G103</f>
        <v>0.161</v>
      </c>
      <c r="C90" s="20">
        <f>'Guts (option 2)'!G103</f>
        <v>0.161</v>
      </c>
      <c r="D90" s="20"/>
      <c r="E90" s="16"/>
      <c r="F90" s="1">
        <f t="shared" si="10"/>
        <v>11382</v>
      </c>
      <c r="G90" s="6">
        <f t="shared" si="9"/>
        <v>1930</v>
      </c>
      <c r="H90" s="112">
        <f t="shared" si="11"/>
        <v>31</v>
      </c>
      <c r="I90" s="112" t="str">
        <f t="shared" si="12"/>
        <v>31</v>
      </c>
      <c r="J90" s="19" t="str">
        <f t="shared" si="13"/>
        <v>1930/31</v>
      </c>
      <c r="K90" s="98">
        <f>'Guts (option 1)'!AB103</f>
        <v>7.3964849000000008</v>
      </c>
      <c r="L90" s="98">
        <f>'Guts (option 2)'!AB103</f>
        <v>2.4654949666666663</v>
      </c>
      <c r="M90" s="14"/>
      <c r="N90">
        <v>1995</v>
      </c>
      <c r="O90">
        <v>96</v>
      </c>
      <c r="P90" s="19" t="str">
        <f t="shared" si="14"/>
        <v>1995/96</v>
      </c>
      <c r="Q90" s="113">
        <f t="shared" ca="1" si="15"/>
        <v>102.24931311872841</v>
      </c>
      <c r="R90" s="113">
        <f t="shared" si="16"/>
        <v>40.320182092801133</v>
      </c>
    </row>
    <row r="91" spans="1:18" x14ac:dyDescent="0.25">
      <c r="A91" s="1">
        <f>'Guts (option 1)'!A104</f>
        <v>11474</v>
      </c>
      <c r="B91" s="20">
        <f>'Guts (option 1)'!G104</f>
        <v>0.34500000000000003</v>
      </c>
      <c r="C91" s="20">
        <f>'Guts (option 2)'!G104</f>
        <v>0.34521149168243614</v>
      </c>
      <c r="D91" s="20"/>
      <c r="E91" s="16"/>
      <c r="F91" s="1">
        <f t="shared" si="10"/>
        <v>11474</v>
      </c>
      <c r="G91" s="6">
        <f t="shared" si="9"/>
        <v>1930</v>
      </c>
      <c r="H91" s="112">
        <f t="shared" si="11"/>
        <v>31</v>
      </c>
      <c r="I91" s="112" t="str">
        <f t="shared" si="12"/>
        <v>31</v>
      </c>
      <c r="J91" s="19" t="str">
        <f t="shared" si="13"/>
        <v>1930/31</v>
      </c>
      <c r="K91" s="98">
        <f>'Guts (option 1)'!AB104</f>
        <v>-43.757499999999993</v>
      </c>
      <c r="L91" s="98">
        <f>'Guts (option 2)'!AB104</f>
        <v>-14.602999408224397</v>
      </c>
      <c r="M91" s="14"/>
      <c r="N91">
        <v>1996</v>
      </c>
      <c r="O91">
        <v>97</v>
      </c>
      <c r="P91" s="19" t="str">
        <f t="shared" si="14"/>
        <v>1996/97</v>
      </c>
      <c r="Q91" s="113">
        <f t="shared" ca="1" si="15"/>
        <v>118.95328717032336</v>
      </c>
      <c r="R91" s="113">
        <f t="shared" si="16"/>
        <v>49.473347120141</v>
      </c>
    </row>
    <row r="92" spans="1:18" x14ac:dyDescent="0.25">
      <c r="A92" s="1">
        <f>'Guts (option 1)'!A105</f>
        <v>11566</v>
      </c>
      <c r="B92" s="20">
        <f>'Guts (option 1)'!G105</f>
        <v>0.17320889001436818</v>
      </c>
      <c r="C92" s="20">
        <f>'Guts (option 2)'!G105</f>
        <v>0.17331507041889582</v>
      </c>
      <c r="D92" s="20"/>
      <c r="E92" s="16"/>
      <c r="F92" s="1">
        <f t="shared" si="10"/>
        <v>11566</v>
      </c>
      <c r="G92" s="6">
        <f t="shared" si="9"/>
        <v>1930</v>
      </c>
      <c r="H92" s="112">
        <f t="shared" si="11"/>
        <v>31</v>
      </c>
      <c r="I92" s="112" t="str">
        <f t="shared" si="12"/>
        <v>31</v>
      </c>
      <c r="J92" s="19" t="str">
        <f t="shared" si="13"/>
        <v>1930/31</v>
      </c>
      <c r="K92" s="98">
        <f>'Guts (option 1)'!AB105</f>
        <v>7.957372295261087</v>
      </c>
      <c r="L92" s="98">
        <f>'Guts (option 2)'!AB105</f>
        <v>2.6540834395358166</v>
      </c>
      <c r="M92" s="14"/>
      <c r="N92">
        <v>1997</v>
      </c>
      <c r="O92">
        <v>98</v>
      </c>
      <c r="P92" s="19" t="str">
        <f t="shared" si="14"/>
        <v>1997/98</v>
      </c>
      <c r="Q92" s="113">
        <f t="shared" ca="1" si="15"/>
        <v>99.181627182746851</v>
      </c>
      <c r="R92" s="113">
        <f t="shared" si="16"/>
        <v>34.844331146661936</v>
      </c>
    </row>
    <row r="93" spans="1:18" x14ac:dyDescent="0.25">
      <c r="A93" s="1">
        <f>'Guts (option 1)'!A106</f>
        <v>11657</v>
      </c>
      <c r="B93" s="20">
        <f>'Guts (option 1)'!G106</f>
        <v>0.36569637976320141</v>
      </c>
      <c r="C93" s="20">
        <f>'Guts (option 2)'!G106</f>
        <v>0.36601405185016511</v>
      </c>
      <c r="D93" s="20"/>
      <c r="E93" s="16"/>
      <c r="F93" s="1">
        <f t="shared" si="10"/>
        <v>11657</v>
      </c>
      <c r="G93" s="6">
        <f t="shared" si="9"/>
        <v>1930</v>
      </c>
      <c r="H93" s="112">
        <f t="shared" si="11"/>
        <v>31</v>
      </c>
      <c r="I93" s="112" t="str">
        <f t="shared" si="12"/>
        <v>31</v>
      </c>
      <c r="J93" s="19" t="str">
        <f t="shared" si="13"/>
        <v>1930/31</v>
      </c>
      <c r="K93" s="98">
        <f>'Guts (option 1)'!AB106</f>
        <v>-45.744845968747491</v>
      </c>
      <c r="L93" s="98">
        <f>'Guts (option 2)'!AB106</f>
        <v>-15.265218006930416</v>
      </c>
      <c r="M93" s="14"/>
      <c r="N93">
        <v>1998</v>
      </c>
      <c r="O93">
        <v>99</v>
      </c>
      <c r="P93" s="19" t="str">
        <f t="shared" si="14"/>
        <v>1998/99</v>
      </c>
      <c r="Q93" s="113">
        <f t="shared" ca="1" si="15"/>
        <v>206.16798257387515</v>
      </c>
      <c r="R93" s="113">
        <f t="shared" si="16"/>
        <v>44.276609579164337</v>
      </c>
    </row>
    <row r="94" spans="1:18" x14ac:dyDescent="0.25">
      <c r="A94" s="1">
        <f>'Guts (option 1)'!A107</f>
        <v>11747</v>
      </c>
      <c r="B94" s="20">
        <f>'Guts (option 1)'!G107</f>
        <v>0.36569637976320141</v>
      </c>
      <c r="C94" s="20">
        <f>'Guts (option 2)'!G107</f>
        <v>0.36601405185016511</v>
      </c>
      <c r="D94" s="20"/>
      <c r="E94" s="16"/>
      <c r="F94" s="1">
        <f t="shared" si="10"/>
        <v>11747</v>
      </c>
      <c r="G94" s="6">
        <f t="shared" si="9"/>
        <v>1931</v>
      </c>
      <c r="H94" s="112">
        <f t="shared" si="11"/>
        <v>32</v>
      </c>
      <c r="I94" s="112" t="str">
        <f t="shared" si="12"/>
        <v>32</v>
      </c>
      <c r="J94" s="19" t="str">
        <f t="shared" si="13"/>
        <v>1931/32</v>
      </c>
      <c r="K94" s="98">
        <f>'Guts (option 1)'!AB107</f>
        <v>16.800420813063258</v>
      </c>
      <c r="L94" s="98">
        <f>'Guts (option 2)'!AB107</f>
        <v>5.6050049848810835</v>
      </c>
      <c r="M94" s="14"/>
      <c r="N94">
        <v>1999</v>
      </c>
      <c r="O94">
        <v>0</v>
      </c>
      <c r="P94" s="19" t="str">
        <f t="shared" si="14"/>
        <v>1999/00</v>
      </c>
      <c r="Q94" s="113">
        <f t="shared" ca="1" si="15"/>
        <v>233.52687082785772</v>
      </c>
      <c r="R94" s="113">
        <f t="shared" si="16"/>
        <v>73.356912941949332</v>
      </c>
    </row>
    <row r="95" spans="1:18" x14ac:dyDescent="0.25">
      <c r="A95" s="1">
        <f>'Guts (option 1)'!A108</f>
        <v>11840</v>
      </c>
      <c r="B95" s="20">
        <f>'Guts (option 1)'!G108</f>
        <v>0.45059833803874449</v>
      </c>
      <c r="C95" s="20">
        <f>'Guts (option 2)'!G108</f>
        <v>0.51143170250048564</v>
      </c>
      <c r="D95" s="20"/>
      <c r="E95" s="16"/>
      <c r="F95" s="1">
        <f t="shared" si="10"/>
        <v>11840</v>
      </c>
      <c r="G95" s="6">
        <f t="shared" si="9"/>
        <v>1931</v>
      </c>
      <c r="H95" s="112">
        <f t="shared" si="11"/>
        <v>32</v>
      </c>
      <c r="I95" s="112" t="str">
        <f t="shared" si="12"/>
        <v>32</v>
      </c>
      <c r="J95" s="19" t="str">
        <f t="shared" si="13"/>
        <v>1931/32</v>
      </c>
      <c r="K95" s="98">
        <f>'Guts (option 1)'!AB108</f>
        <v>20.700893188004159</v>
      </c>
      <c r="L95" s="98">
        <f>'Guts (option 2)'!AB108</f>
        <v>7.8318775671348524</v>
      </c>
      <c r="M95" s="14"/>
      <c r="N95">
        <v>2000</v>
      </c>
      <c r="O95">
        <v>1</v>
      </c>
      <c r="P95" s="19" t="str">
        <f t="shared" si="14"/>
        <v>2000/01</v>
      </c>
      <c r="Q95" s="113">
        <f t="shared" ca="1" si="15"/>
        <v>190.71639053754274</v>
      </c>
      <c r="R95" s="113">
        <f t="shared" si="16"/>
        <v>61.526300134834308</v>
      </c>
    </row>
    <row r="96" spans="1:18" x14ac:dyDescent="0.25">
      <c r="A96" s="1">
        <f>'Guts (option 1)'!A109</f>
        <v>11932</v>
      </c>
      <c r="B96" s="20">
        <f>'Guts (option 1)'!G109</f>
        <v>0.22622503760582602</v>
      </c>
      <c r="C96" s="20">
        <f>'Guts (option 2)'!G109</f>
        <v>0.25676671741526863</v>
      </c>
      <c r="D96" s="20"/>
      <c r="F96" s="1">
        <f t="shared" si="10"/>
        <v>11932</v>
      </c>
      <c r="G96" s="6">
        <f t="shared" si="9"/>
        <v>1931</v>
      </c>
      <c r="H96" s="112">
        <f t="shared" si="11"/>
        <v>32</v>
      </c>
      <c r="I96" s="112" t="str">
        <f t="shared" si="12"/>
        <v>32</v>
      </c>
      <c r="J96" s="19" t="str">
        <f t="shared" si="13"/>
        <v>1931/32</v>
      </c>
      <c r="K96" s="98">
        <f>'Guts (option 1)'!AB109</f>
        <v>10.392981830145493</v>
      </c>
      <c r="L96" s="98">
        <f>'Guts (option 2)'!AB109</f>
        <v>3.9320313627010375</v>
      </c>
      <c r="M96" s="14"/>
      <c r="N96">
        <v>2001</v>
      </c>
      <c r="O96">
        <v>2</v>
      </c>
      <c r="P96" s="19" t="str">
        <f t="shared" si="14"/>
        <v>2001/02</v>
      </c>
      <c r="Q96" s="113">
        <f t="shared" ca="1" si="15"/>
        <v>103.162715232336</v>
      </c>
      <c r="R96" s="113">
        <f t="shared" si="16"/>
        <v>31.938054517300756</v>
      </c>
    </row>
    <row r="97" spans="1:18" x14ac:dyDescent="0.25">
      <c r="A97" s="1">
        <f>'Guts (option 1)'!A110</f>
        <v>12023</v>
      </c>
      <c r="B97" s="20">
        <f>'Guts (option 1)'!G110</f>
        <v>0.18977814874157412</v>
      </c>
      <c r="C97" s="20">
        <f>'Guts (option 2)'!G110</f>
        <v>0.22031982855101673</v>
      </c>
      <c r="D97" s="20"/>
      <c r="F97" s="1">
        <f t="shared" si="10"/>
        <v>12023</v>
      </c>
      <c r="G97" s="6">
        <f t="shared" si="9"/>
        <v>1931</v>
      </c>
      <c r="H97" s="112">
        <f t="shared" si="11"/>
        <v>32</v>
      </c>
      <c r="I97" s="112" t="str">
        <f t="shared" si="12"/>
        <v>32</v>
      </c>
      <c r="J97" s="19" t="str">
        <f t="shared" si="13"/>
        <v>1931/32</v>
      </c>
      <c r="K97" s="98">
        <f>'Guts (option 1)'!AB110</f>
        <v>8.7185789535217832</v>
      </c>
      <c r="L97" s="98">
        <f>'Guts (option 2)'!AB110</f>
        <v>3.3738970704931344</v>
      </c>
      <c r="M97" s="14"/>
      <c r="N97">
        <v>2002</v>
      </c>
      <c r="O97">
        <v>3</v>
      </c>
      <c r="P97" s="19" t="str">
        <f t="shared" si="14"/>
        <v>2002/03</v>
      </c>
      <c r="Q97" s="113">
        <f t="shared" ca="1" si="15"/>
        <v>2.2383528722281381E-15</v>
      </c>
      <c r="R97" s="113">
        <f t="shared" si="16"/>
        <v>-4.508</v>
      </c>
    </row>
    <row r="98" spans="1:18" x14ac:dyDescent="0.25">
      <c r="A98" s="1">
        <f>'Guts (option 1)'!A111</f>
        <v>12113</v>
      </c>
      <c r="B98" s="20">
        <f>'Guts (option 1)'!G111</f>
        <v>0.18977814874157412</v>
      </c>
      <c r="C98" s="20">
        <f>'Guts (option 2)'!G111</f>
        <v>0.22031982855101673</v>
      </c>
      <c r="D98" s="20"/>
      <c r="F98" s="1">
        <f t="shared" si="10"/>
        <v>12113</v>
      </c>
      <c r="G98" s="6">
        <f t="shared" si="9"/>
        <v>1932</v>
      </c>
      <c r="H98" s="112">
        <f t="shared" si="11"/>
        <v>33</v>
      </c>
      <c r="I98" s="112" t="str">
        <f t="shared" si="12"/>
        <v>33</v>
      </c>
      <c r="J98" s="19" t="str">
        <f t="shared" si="13"/>
        <v>1932/33</v>
      </c>
      <c r="K98" s="98">
        <f>'Guts (option 1)'!AB111</f>
        <v>8.7185789535217832</v>
      </c>
      <c r="L98" s="98">
        <f>'Guts (option 2)'!AB111</f>
        <v>3.3738970704931344</v>
      </c>
      <c r="M98" s="14"/>
      <c r="N98">
        <v>2003</v>
      </c>
      <c r="O98">
        <v>4</v>
      </c>
      <c r="P98" s="19" t="str">
        <f t="shared" si="14"/>
        <v>2003/04</v>
      </c>
      <c r="Q98" s="113">
        <f t="shared" ca="1" si="15"/>
        <v>19.70786930609065</v>
      </c>
      <c r="R98" s="113">
        <f t="shared" si="16"/>
        <v>7.9498959608840263</v>
      </c>
    </row>
    <row r="99" spans="1:18" x14ac:dyDescent="0.25">
      <c r="A99" s="1">
        <f>'Guts (option 1)'!A112</f>
        <v>12205</v>
      </c>
      <c r="B99" s="20">
        <f>'Guts (option 1)'!G112</f>
        <v>0.18977814874157412</v>
      </c>
      <c r="C99" s="20">
        <f>'Guts (option 2)'!G112</f>
        <v>0.22031982855101673</v>
      </c>
      <c r="D99" s="20"/>
      <c r="F99" s="1">
        <f t="shared" ref="F99:F111" si="17">A99</f>
        <v>12205</v>
      </c>
      <c r="G99" s="6">
        <f t="shared" si="9"/>
        <v>1932</v>
      </c>
      <c r="H99" s="112">
        <f t="shared" si="11"/>
        <v>33</v>
      </c>
      <c r="I99" s="112" t="str">
        <f t="shared" si="12"/>
        <v>33</v>
      </c>
      <c r="J99" s="19" t="str">
        <f t="shared" si="13"/>
        <v>1932/33</v>
      </c>
      <c r="K99" s="98">
        <f>'Guts (option 1)'!AB112</f>
        <v>8.7185789535217832</v>
      </c>
      <c r="L99" s="98">
        <f>'Guts (option 2)'!AB112</f>
        <v>3.3738970704931344</v>
      </c>
      <c r="M99" s="14"/>
      <c r="N99">
        <v>2004</v>
      </c>
      <c r="O99">
        <v>5</v>
      </c>
      <c r="P99" s="19" t="str">
        <f t="shared" si="14"/>
        <v>2004/05</v>
      </c>
      <c r="Q99" s="113">
        <f t="shared" ca="1" si="15"/>
        <v>58.947514206853313</v>
      </c>
      <c r="R99" s="113">
        <f t="shared" si="16"/>
        <v>17.920056413571618</v>
      </c>
    </row>
    <row r="100" spans="1:18" x14ac:dyDescent="0.25">
      <c r="A100" s="1">
        <f>'Guts (option 1)'!A113</f>
        <v>12297</v>
      </c>
      <c r="B100" s="20">
        <f>'Guts (option 1)'!G113</f>
        <v>0.16100000000000003</v>
      </c>
      <c r="C100" s="20">
        <f>'Guts (option 2)'!G113</f>
        <v>0.161</v>
      </c>
      <c r="D100" s="20"/>
      <c r="F100" s="1">
        <f t="shared" si="17"/>
        <v>12297</v>
      </c>
      <c r="G100" s="6">
        <f t="shared" si="9"/>
        <v>1932</v>
      </c>
      <c r="H100" s="112">
        <f t="shared" si="11"/>
        <v>33</v>
      </c>
      <c r="I100" s="112" t="str">
        <f t="shared" si="12"/>
        <v>33</v>
      </c>
      <c r="J100" s="19" t="str">
        <f t="shared" si="13"/>
        <v>1932/33</v>
      </c>
      <c r="K100" s="98">
        <f>'Guts (option 1)'!AB113</f>
        <v>3.5972685926967616</v>
      </c>
      <c r="L100" s="98">
        <f>'Guts (option 2)'!AB113</f>
        <v>1.3446595229590299</v>
      </c>
      <c r="M100" s="14"/>
      <c r="N100">
        <v>2005</v>
      </c>
      <c r="O100">
        <v>6</v>
      </c>
      <c r="P100" s="19" t="str">
        <f t="shared" si="14"/>
        <v>2005/06</v>
      </c>
      <c r="Q100" s="113">
        <f t="shared" ca="1" si="15"/>
        <v>14.792969800000002</v>
      </c>
      <c r="R100" s="113">
        <f t="shared" si="16"/>
        <v>2.6769899333333322</v>
      </c>
    </row>
    <row r="101" spans="1:18" x14ac:dyDescent="0.25">
      <c r="A101" s="1">
        <f>'Guts (option 1)'!A114</f>
        <v>12388</v>
      </c>
      <c r="B101" s="20">
        <f>'Guts (option 1)'!G114</f>
        <v>0.30940732051871428</v>
      </c>
      <c r="C101" s="20">
        <f>'Guts (option 2)'!G114</f>
        <v>0.31796654728471802</v>
      </c>
      <c r="D101" s="20"/>
      <c r="F101" s="1">
        <f t="shared" si="17"/>
        <v>12388</v>
      </c>
      <c r="G101" s="6">
        <f t="shared" si="9"/>
        <v>1932</v>
      </c>
      <c r="H101" s="112">
        <f t="shared" si="11"/>
        <v>33</v>
      </c>
      <c r="I101" s="112" t="str">
        <f t="shared" si="12"/>
        <v>33</v>
      </c>
      <c r="J101" s="19" t="str">
        <f t="shared" si="13"/>
        <v>1932/33</v>
      </c>
      <c r="K101" s="98">
        <f>'Guts (option 1)'!AB114</f>
        <v>-35.090682546306923</v>
      </c>
      <c r="L101" s="98">
        <f>'Guts (option 2)'!AB114</f>
        <v>-12.391618087942948</v>
      </c>
      <c r="M101" s="14"/>
      <c r="N101">
        <v>2006</v>
      </c>
      <c r="O101">
        <v>7</v>
      </c>
      <c r="P101" s="19" t="str">
        <f t="shared" si="14"/>
        <v>2006/07</v>
      </c>
      <c r="Q101" s="113">
        <f t="shared" ca="1" si="15"/>
        <v>14.792969800000002</v>
      </c>
      <c r="R101" s="113">
        <f t="shared" si="16"/>
        <v>2.6769899333333322</v>
      </c>
    </row>
    <row r="102" spans="1:18" x14ac:dyDescent="0.25">
      <c r="A102" s="1">
        <f>'Guts (option 1)'!A115</f>
        <v>12478</v>
      </c>
      <c r="B102" s="20">
        <f>'Guts (option 1)'!G115</f>
        <v>0.30940732051871428</v>
      </c>
      <c r="C102" s="20">
        <f>'Guts (option 2)'!G115</f>
        <v>0.31796654728471802</v>
      </c>
      <c r="D102" s="20"/>
      <c r="F102" s="1">
        <f t="shared" si="17"/>
        <v>12478</v>
      </c>
      <c r="G102" s="6">
        <f t="shared" si="9"/>
        <v>1933</v>
      </c>
      <c r="H102" s="112">
        <f t="shared" si="11"/>
        <v>34</v>
      </c>
      <c r="I102" s="112" t="str">
        <f t="shared" si="12"/>
        <v>34</v>
      </c>
      <c r="J102" s="19" t="str">
        <f t="shared" si="13"/>
        <v>1933/34</v>
      </c>
      <c r="K102" s="98">
        <f>'Guts (option 1)'!AB115</f>
        <v>14.214450771218202</v>
      </c>
      <c r="L102" s="98">
        <f>'Guts (option 2)'!AB115</f>
        <v>4.869223117384168</v>
      </c>
      <c r="M102" s="14"/>
      <c r="N102">
        <v>2007</v>
      </c>
      <c r="O102">
        <v>8</v>
      </c>
      <c r="P102" s="19" t="str">
        <f t="shared" si="14"/>
        <v>2007/08</v>
      </c>
      <c r="Q102" s="113">
        <f t="shared" ca="1" si="15"/>
        <v>6.7151350995742973</v>
      </c>
      <c r="R102" s="113">
        <f t="shared" si="16"/>
        <v>2.5425326303565363</v>
      </c>
    </row>
    <row r="103" spans="1:18" x14ac:dyDescent="0.25">
      <c r="A103" s="1">
        <f>'Guts (option 1)'!A116</f>
        <v>12570</v>
      </c>
      <c r="B103" s="20">
        <f>'Guts (option 1)'!G116</f>
        <v>0.30940732051871428</v>
      </c>
      <c r="C103" s="20">
        <f>'Guts (option 2)'!G116</f>
        <v>0.32151437115390114</v>
      </c>
      <c r="D103" s="20"/>
      <c r="F103" s="1">
        <f t="shared" si="17"/>
        <v>12570</v>
      </c>
      <c r="G103" s="6">
        <f t="shared" si="9"/>
        <v>1933</v>
      </c>
      <c r="H103" s="112">
        <f t="shared" si="11"/>
        <v>34</v>
      </c>
      <c r="I103" s="112" t="str">
        <f t="shared" si="12"/>
        <v>34</v>
      </c>
      <c r="J103" s="19" t="str">
        <f t="shared" si="13"/>
        <v>1933/34</v>
      </c>
      <c r="K103" s="98">
        <f>'Guts (option 1)'!AB116</f>
        <v>14.214450771218202</v>
      </c>
      <c r="L103" s="98">
        <f>'Guts (option 2)'!AB116</f>
        <v>4.9235531912480859</v>
      </c>
      <c r="M103" s="14"/>
      <c r="N103">
        <v>2008</v>
      </c>
      <c r="O103">
        <v>9</v>
      </c>
      <c r="P103" s="19" t="str">
        <f t="shared" si="14"/>
        <v>2008/09</v>
      </c>
      <c r="Q103" s="113">
        <f t="shared" ca="1" si="15"/>
        <v>118.28616495883198</v>
      </c>
      <c r="R103" s="113">
        <f t="shared" si="16"/>
        <v>41.124247663763214</v>
      </c>
    </row>
    <row r="104" spans="1:18" x14ac:dyDescent="0.25">
      <c r="A104" s="1">
        <f>'Guts (option 1)'!A117</f>
        <v>12662</v>
      </c>
      <c r="B104" s="20">
        <f>'Guts (option 1)'!G117</f>
        <v>0.161</v>
      </c>
      <c r="C104" s="20">
        <f>'Guts (option 2)'!G117</f>
        <v>0.16141781840937625</v>
      </c>
      <c r="D104" s="20"/>
      <c r="F104" s="1">
        <f t="shared" si="17"/>
        <v>12662</v>
      </c>
      <c r="G104" s="6">
        <f t="shared" si="9"/>
        <v>1933</v>
      </c>
      <c r="H104" s="112">
        <f t="shared" si="11"/>
        <v>34</v>
      </c>
      <c r="I104" s="112" t="str">
        <f t="shared" si="12"/>
        <v>34</v>
      </c>
      <c r="J104" s="19" t="str">
        <f t="shared" si="13"/>
        <v>1933/34</v>
      </c>
      <c r="K104" s="98">
        <f>'Guts (option 1)'!AB117</f>
        <v>0</v>
      </c>
      <c r="L104" s="98">
        <f>'Guts (option 2)'!AB117</f>
        <v>2.4718932845877708</v>
      </c>
      <c r="M104" s="14"/>
      <c r="N104">
        <v>2009</v>
      </c>
      <c r="O104">
        <v>10</v>
      </c>
      <c r="P104" s="19" t="str">
        <f t="shared" si="14"/>
        <v>2009/10</v>
      </c>
      <c r="Q104" s="113">
        <f t="shared" ca="1" si="15"/>
        <v>29.693065705182228</v>
      </c>
      <c r="R104" s="113">
        <f t="shared" si="16"/>
        <v>10.323312015241157</v>
      </c>
    </row>
    <row r="105" spans="1:18" x14ac:dyDescent="0.25">
      <c r="A105" s="1">
        <f>'Guts (option 1)'!A118</f>
        <v>12753</v>
      </c>
      <c r="B105" s="20">
        <f>'Guts (option 1)'!G118</f>
        <v>0.38048281057076505</v>
      </c>
      <c r="C105" s="20">
        <f>'Guts (option 2)'!G118</f>
        <v>0.38120446174093431</v>
      </c>
      <c r="D105" s="20"/>
      <c r="F105" s="1">
        <f t="shared" si="17"/>
        <v>12753</v>
      </c>
      <c r="G105" s="6">
        <f t="shared" si="9"/>
        <v>1933</v>
      </c>
      <c r="H105" s="112">
        <f t="shared" si="11"/>
        <v>34</v>
      </c>
      <c r="I105" s="112" t="str">
        <f t="shared" si="12"/>
        <v>34</v>
      </c>
      <c r="J105" s="19" t="str">
        <f t="shared" si="13"/>
        <v>1933/34</v>
      </c>
      <c r="K105" s="98">
        <f>'Guts (option 1)'!AB118</f>
        <v>-52.397564373981275</v>
      </c>
      <c r="L105" s="98">
        <f>'Guts (option 2)'!AB118</f>
        <v>-17.48961061052448</v>
      </c>
      <c r="M105" s="14"/>
    </row>
    <row r="106" spans="1:18" x14ac:dyDescent="0.25">
      <c r="A106" s="1">
        <f>'Guts (option 1)'!A119</f>
        <v>12843</v>
      </c>
      <c r="B106" s="20">
        <f>'Guts (option 1)'!G119</f>
        <v>0.38048281057076505</v>
      </c>
      <c r="C106" s="20">
        <f>'Guts (option 2)'!G119</f>
        <v>0.38120446174093431</v>
      </c>
      <c r="D106" s="20"/>
      <c r="F106" s="1">
        <f t="shared" si="17"/>
        <v>12843</v>
      </c>
      <c r="G106" s="6">
        <f t="shared" si="9"/>
        <v>1934</v>
      </c>
      <c r="H106" s="112">
        <f t="shared" si="11"/>
        <v>35</v>
      </c>
      <c r="I106" s="112" t="str">
        <f t="shared" si="12"/>
        <v>35</v>
      </c>
      <c r="J106" s="19" t="str">
        <f t="shared" si="13"/>
        <v>1934/35</v>
      </c>
      <c r="K106" s="98">
        <f>'Guts (option 1)'!AB119</f>
        <v>17.479722752150458</v>
      </c>
      <c r="L106" s="98">
        <f>'Guts (option 2)'!AB119</f>
        <v>5.8376253521313624</v>
      </c>
      <c r="M106" s="14"/>
    </row>
    <row r="107" spans="1:18" x14ac:dyDescent="0.25">
      <c r="A107" s="1">
        <f>'Guts (option 1)'!A120</f>
        <v>12935</v>
      </c>
      <c r="B107" s="20">
        <f>'Guts (option 1)'!G120</f>
        <v>0.38048281057076505</v>
      </c>
      <c r="C107" s="20">
        <f>'Guts (option 2)'!G120</f>
        <v>0.38120446174093431</v>
      </c>
      <c r="D107" s="20"/>
      <c r="F107" s="1">
        <f t="shared" si="17"/>
        <v>12935</v>
      </c>
      <c r="G107" s="6">
        <f t="shared" si="9"/>
        <v>1934</v>
      </c>
      <c r="H107" s="112">
        <f t="shared" si="11"/>
        <v>35</v>
      </c>
      <c r="I107" s="112" t="str">
        <f t="shared" si="12"/>
        <v>35</v>
      </c>
      <c r="J107" s="19" t="str">
        <f t="shared" si="13"/>
        <v>1934/35</v>
      </c>
      <c r="K107" s="98">
        <f>'Guts (option 1)'!AB120</f>
        <v>17.479722752150458</v>
      </c>
      <c r="L107" s="98">
        <f>'Guts (option 2)'!AB120</f>
        <v>5.8376253521313624</v>
      </c>
      <c r="M107" s="14"/>
    </row>
    <row r="108" spans="1:18" x14ac:dyDescent="0.25">
      <c r="A108" s="1">
        <f>'Guts (option 1)'!A121</f>
        <v>13027</v>
      </c>
      <c r="B108" s="20">
        <f>'Guts (option 1)'!G121</f>
        <v>0.1910232037348096</v>
      </c>
      <c r="C108" s="20">
        <f>'Guts (option 2)'!G121</f>
        <v>0.19138551213528088</v>
      </c>
      <c r="D108" s="20"/>
      <c r="F108" s="1">
        <f t="shared" si="17"/>
        <v>13027</v>
      </c>
      <c r="G108" s="6">
        <f t="shared" si="9"/>
        <v>1934</v>
      </c>
      <c r="H108" s="112">
        <f t="shared" si="11"/>
        <v>35</v>
      </c>
      <c r="I108" s="112" t="str">
        <f t="shared" si="12"/>
        <v>35</v>
      </c>
      <c r="J108" s="19" t="str">
        <f t="shared" si="13"/>
        <v>1934/35</v>
      </c>
      <c r="K108" s="98">
        <f>'Guts (option 1)'!AB121</f>
        <v>8.7757779004605148</v>
      </c>
      <c r="L108" s="98">
        <f>'Guts (option 2)'!AB121</f>
        <v>2.9308075581519084</v>
      </c>
      <c r="M108" s="14"/>
    </row>
    <row r="109" spans="1:18" x14ac:dyDescent="0.25">
      <c r="A109" s="1">
        <f>'Guts (option 1)'!A122</f>
        <v>13118</v>
      </c>
      <c r="B109" s="20">
        <f>'Guts (option 1)'!G122</f>
        <v>0.16100000000000003</v>
      </c>
      <c r="C109" s="20">
        <f>'Guts (option 2)'!G122</f>
        <v>0.161</v>
      </c>
      <c r="D109" s="20"/>
      <c r="F109" s="1">
        <f t="shared" si="17"/>
        <v>13118</v>
      </c>
      <c r="G109" s="6">
        <f t="shared" si="9"/>
        <v>1934</v>
      </c>
      <c r="H109" s="112">
        <f t="shared" si="11"/>
        <v>35</v>
      </c>
      <c r="I109" s="112" t="str">
        <f t="shared" si="12"/>
        <v>35</v>
      </c>
      <c r="J109" s="19" t="str">
        <f t="shared" si="13"/>
        <v>1934/35</v>
      </c>
      <c r="K109" s="98">
        <f>'Guts (option 1)'!AB122</f>
        <v>0</v>
      </c>
      <c r="L109" s="98">
        <f>'Guts (option 2)'!AB122</f>
        <v>-1.1270000000000002</v>
      </c>
      <c r="M109" s="14"/>
    </row>
    <row r="110" spans="1:18" x14ac:dyDescent="0.25">
      <c r="A110" s="1">
        <f>'Guts (option 1)'!A123</f>
        <v>13208</v>
      </c>
      <c r="B110" s="20">
        <f>'Guts (option 1)'!G123</f>
        <v>0.161</v>
      </c>
      <c r="C110" s="20">
        <f>'Guts (option 2)'!G123</f>
        <v>0.161</v>
      </c>
      <c r="D110" s="20"/>
      <c r="F110" s="1">
        <f t="shared" si="17"/>
        <v>13208</v>
      </c>
      <c r="G110" s="6">
        <f t="shared" ref="G110:G173" si="18">IF(YEAR(F110)&gt;DATE(YEAR(F110),7,1),YEAR(F110),YEAR(F110)-1)</f>
        <v>1935</v>
      </c>
      <c r="H110" s="112">
        <f t="shared" si="11"/>
        <v>36</v>
      </c>
      <c r="I110" s="112" t="str">
        <f t="shared" si="12"/>
        <v>36</v>
      </c>
      <c r="J110" s="19" t="str">
        <f t="shared" si="13"/>
        <v>1935/36</v>
      </c>
      <c r="K110" s="98">
        <f>'Guts (option 1)'!AB123</f>
        <v>2.2383528722281381E-15</v>
      </c>
      <c r="L110" s="98">
        <f>'Guts (option 2)'!AB123</f>
        <v>-1.1270000000000002</v>
      </c>
      <c r="M110" s="14"/>
    </row>
    <row r="111" spans="1:18" x14ac:dyDescent="0.25">
      <c r="A111" s="1">
        <f>'Guts (option 1)'!A124</f>
        <v>13301</v>
      </c>
      <c r="B111" s="20">
        <f>'Guts (option 1)'!G124</f>
        <v>0.161</v>
      </c>
      <c r="C111" s="20">
        <f>'Guts (option 2)'!G124</f>
        <v>0.161</v>
      </c>
      <c r="D111" s="20"/>
      <c r="F111" s="1">
        <f t="shared" si="17"/>
        <v>13301</v>
      </c>
      <c r="G111" s="6">
        <f t="shared" si="18"/>
        <v>1935</v>
      </c>
      <c r="H111" s="112">
        <f t="shared" si="11"/>
        <v>36</v>
      </c>
      <c r="I111" s="112" t="str">
        <f t="shared" si="12"/>
        <v>36</v>
      </c>
      <c r="J111" s="19" t="str">
        <f t="shared" si="13"/>
        <v>1935/36</v>
      </c>
      <c r="K111" s="98">
        <f>'Guts (option 1)'!AB124</f>
        <v>7.3964849000000008</v>
      </c>
      <c r="L111" s="98">
        <f>'Guts (option 2)'!AB124</f>
        <v>2.4654949666666663</v>
      </c>
      <c r="M111" s="14"/>
    </row>
    <row r="112" spans="1:18" x14ac:dyDescent="0.25">
      <c r="A112" s="1">
        <f>'Guts (option 1)'!A125</f>
        <v>13393</v>
      </c>
      <c r="B112" s="20">
        <f>'Guts (option 1)'!G125</f>
        <v>0.26483081534003849</v>
      </c>
      <c r="C112" s="20">
        <f>'Guts (option 2)'!G125</f>
        <v>0.26483081534003849</v>
      </c>
      <c r="D112" s="20"/>
      <c r="F112" s="1">
        <f t="shared" ref="F112:F175" si="19">A112</f>
        <v>13393</v>
      </c>
      <c r="G112" s="6">
        <f t="shared" si="18"/>
        <v>1935</v>
      </c>
      <c r="H112" s="112">
        <f t="shared" si="11"/>
        <v>36</v>
      </c>
      <c r="I112" s="112" t="str">
        <f t="shared" si="12"/>
        <v>36</v>
      </c>
      <c r="J112" s="19" t="str">
        <f t="shared" si="13"/>
        <v>1935/36</v>
      </c>
      <c r="K112" s="98">
        <f>'Guts (option 1)'!AB125</f>
        <v>-24.236303535299363</v>
      </c>
      <c r="L112" s="98">
        <f>'Guts (option 2)'!AB125</f>
        <v>-8.0787678450997884</v>
      </c>
      <c r="M112" s="14"/>
    </row>
    <row r="113" spans="1:13" x14ac:dyDescent="0.25">
      <c r="A113" s="1">
        <f>'Guts (option 1)'!A126</f>
        <v>13484</v>
      </c>
      <c r="B113" s="20">
        <f>'Guts (option 1)'!G126</f>
        <v>0.161</v>
      </c>
      <c r="C113" s="20">
        <f>'Guts (option 2)'!G126</f>
        <v>0.161</v>
      </c>
      <c r="D113" s="20"/>
      <c r="F113" s="1">
        <f t="shared" si="19"/>
        <v>13484</v>
      </c>
      <c r="G113" s="6">
        <f t="shared" si="18"/>
        <v>1935</v>
      </c>
      <c r="H113" s="112">
        <f t="shared" si="11"/>
        <v>36</v>
      </c>
      <c r="I113" s="112" t="str">
        <f t="shared" si="12"/>
        <v>36</v>
      </c>
      <c r="J113" s="19" t="str">
        <f t="shared" si="13"/>
        <v>1935/36</v>
      </c>
      <c r="K113" s="98">
        <f>'Guts (option 1)'!AB126</f>
        <v>0</v>
      </c>
      <c r="L113" s="98">
        <f>'Guts (option 2)'!AB126</f>
        <v>-1.1270000000000002</v>
      </c>
      <c r="M113" s="14"/>
    </row>
    <row r="114" spans="1:13" x14ac:dyDescent="0.25">
      <c r="A114" s="1">
        <f>'Guts (option 1)'!A127</f>
        <v>13574</v>
      </c>
      <c r="B114" s="20">
        <f>'Guts (option 1)'!G127</f>
        <v>0.161</v>
      </c>
      <c r="C114" s="20">
        <f>'Guts (option 2)'!G127</f>
        <v>0.161</v>
      </c>
      <c r="D114" s="20"/>
      <c r="F114" s="1">
        <f t="shared" si="19"/>
        <v>13574</v>
      </c>
      <c r="G114" s="6">
        <f t="shared" si="18"/>
        <v>1936</v>
      </c>
      <c r="H114" s="112">
        <f t="shared" si="11"/>
        <v>37</v>
      </c>
      <c r="I114" s="112" t="str">
        <f t="shared" si="12"/>
        <v>37</v>
      </c>
      <c r="J114" s="19" t="str">
        <f t="shared" si="13"/>
        <v>1936/37</v>
      </c>
      <c r="K114" s="98">
        <f>'Guts (option 1)'!AB127</f>
        <v>7.3964849000000008</v>
      </c>
      <c r="L114" s="98">
        <f>'Guts (option 2)'!AB127</f>
        <v>2.4654949666666663</v>
      </c>
      <c r="M114" s="14"/>
    </row>
    <row r="115" spans="1:13" x14ac:dyDescent="0.25">
      <c r="A115" s="1">
        <f>'Guts (option 1)'!A128</f>
        <v>13666</v>
      </c>
      <c r="B115" s="20">
        <f>'Guts (option 1)'!G128</f>
        <v>0.2482801640176131</v>
      </c>
      <c r="C115" s="20">
        <f>'Guts (option 2)'!G128</f>
        <v>0.49293522776792825</v>
      </c>
      <c r="D115" s="20"/>
      <c r="F115" s="1">
        <f t="shared" si="19"/>
        <v>13666</v>
      </c>
      <c r="G115" s="6">
        <f t="shared" si="18"/>
        <v>1936</v>
      </c>
      <c r="H115" s="112">
        <f t="shared" si="11"/>
        <v>37</v>
      </c>
      <c r="I115" s="112" t="str">
        <f t="shared" si="12"/>
        <v>37</v>
      </c>
      <c r="J115" s="19" t="str">
        <f t="shared" si="13"/>
        <v>1936/37</v>
      </c>
      <c r="K115" s="98">
        <f>'Guts (option 1)'!AB128</f>
        <v>11.406214187116761</v>
      </c>
      <c r="L115" s="98">
        <f>'Guts (option 2)'!AB128</f>
        <v>-26.59324265383017</v>
      </c>
      <c r="M115" s="14"/>
    </row>
    <row r="116" spans="1:13" x14ac:dyDescent="0.25">
      <c r="A116" s="1">
        <f>'Guts (option 1)'!A129</f>
        <v>13758</v>
      </c>
      <c r="B116" s="20">
        <f>'Guts (option 1)'!G129</f>
        <v>0.161</v>
      </c>
      <c r="C116" s="20">
        <f>'Guts (option 2)'!G129</f>
        <v>0.24748047434974668</v>
      </c>
      <c r="D116" s="20"/>
      <c r="F116" s="1">
        <f t="shared" si="19"/>
        <v>13758</v>
      </c>
      <c r="G116" s="6">
        <f t="shared" si="18"/>
        <v>1936</v>
      </c>
      <c r="H116" s="112">
        <f t="shared" si="11"/>
        <v>37</v>
      </c>
      <c r="I116" s="112" t="str">
        <f t="shared" si="12"/>
        <v>37</v>
      </c>
      <c r="J116" s="19" t="str">
        <f t="shared" si="13"/>
        <v>1936/37</v>
      </c>
      <c r="K116" s="98">
        <f>'Guts (option 1)'!AB129</f>
        <v>0</v>
      </c>
      <c r="L116" s="98">
        <f>'Guts (option 2)'!AB129</f>
        <v>3.789825241351426</v>
      </c>
      <c r="M116" s="14"/>
    </row>
    <row r="117" spans="1:13" x14ac:dyDescent="0.25">
      <c r="A117" s="1">
        <f>'Guts (option 1)'!A130</f>
        <v>13849</v>
      </c>
      <c r="B117" s="20">
        <f>'Guts (option 1)'!G130</f>
        <v>0.161</v>
      </c>
      <c r="C117" s="20">
        <f>'Guts (option 2)'!G130</f>
        <v>0.16202199081108731</v>
      </c>
      <c r="D117" s="20"/>
      <c r="F117" s="1">
        <f t="shared" si="19"/>
        <v>13849</v>
      </c>
      <c r="G117" s="6">
        <f t="shared" si="18"/>
        <v>1936</v>
      </c>
      <c r="H117" s="112">
        <f t="shared" si="11"/>
        <v>37</v>
      </c>
      <c r="I117" s="112" t="str">
        <f t="shared" si="12"/>
        <v>37</v>
      </c>
      <c r="J117" s="19" t="str">
        <f t="shared" si="13"/>
        <v>1936/37</v>
      </c>
      <c r="K117" s="98">
        <f>'Guts (option 1)'!AB130</f>
        <v>0</v>
      </c>
      <c r="L117" s="98">
        <f>'Guts (option 2)'!AB130</f>
        <v>2.4811453592176935</v>
      </c>
      <c r="M117" s="14"/>
    </row>
    <row r="118" spans="1:13" x14ac:dyDescent="0.25">
      <c r="A118" s="1">
        <f>'Guts (option 1)'!A131</f>
        <v>13939</v>
      </c>
      <c r="B118" s="20">
        <f>'Guts (option 1)'!G131</f>
        <v>0.161</v>
      </c>
      <c r="C118" s="20">
        <f>'Guts (option 2)'!G131</f>
        <v>0.348255752107693</v>
      </c>
      <c r="D118" s="20"/>
      <c r="F118" s="1">
        <f t="shared" si="19"/>
        <v>13939</v>
      </c>
      <c r="G118" s="6">
        <f t="shared" si="18"/>
        <v>1937</v>
      </c>
      <c r="H118" s="112">
        <f t="shared" si="11"/>
        <v>38</v>
      </c>
      <c r="I118" s="112" t="str">
        <f t="shared" si="12"/>
        <v>38</v>
      </c>
      <c r="J118" s="19" t="str">
        <f t="shared" si="13"/>
        <v>1937/38</v>
      </c>
      <c r="K118" s="98">
        <f>'Guts (option 1)'!AB131</f>
        <v>7.3964849000000008</v>
      </c>
      <c r="L118" s="98">
        <f>'Guts (option 2)'!AB131</f>
        <v>-14.764925978483806</v>
      </c>
      <c r="M118" s="14"/>
    </row>
    <row r="119" spans="1:13" x14ac:dyDescent="0.25">
      <c r="A119" s="1">
        <f>'Guts (option 1)'!A132</f>
        <v>14031</v>
      </c>
      <c r="B119" s="20">
        <f>'Guts (option 1)'!G132</f>
        <v>0.161</v>
      </c>
      <c r="C119" s="20">
        <f>'Guts (option 2)'!G132</f>
        <v>0.16100000000000003</v>
      </c>
      <c r="D119" s="20"/>
      <c r="F119" s="1">
        <f t="shared" si="19"/>
        <v>14031</v>
      </c>
      <c r="G119" s="6">
        <f t="shared" si="18"/>
        <v>1937</v>
      </c>
      <c r="H119" s="112">
        <f t="shared" si="11"/>
        <v>38</v>
      </c>
      <c r="I119" s="112" t="str">
        <f t="shared" si="12"/>
        <v>38</v>
      </c>
      <c r="J119" s="19" t="str">
        <f t="shared" si="13"/>
        <v>1937/38</v>
      </c>
      <c r="K119" s="98">
        <f>'Guts (option 1)'!AB132</f>
        <v>0</v>
      </c>
      <c r="L119" s="98">
        <f>'Guts (option 2)'!AB132</f>
        <v>6.6753230044872067</v>
      </c>
      <c r="M119" s="14"/>
    </row>
    <row r="120" spans="1:13" x14ac:dyDescent="0.25">
      <c r="A120" s="1">
        <f>'Guts (option 1)'!A133</f>
        <v>14123</v>
      </c>
      <c r="B120" s="20">
        <f>'Guts (option 1)'!G133</f>
        <v>0.161</v>
      </c>
      <c r="C120" s="20">
        <f>'Guts (option 2)'!G133</f>
        <v>0.16100000000000003</v>
      </c>
      <c r="D120" s="20"/>
      <c r="F120" s="1">
        <f t="shared" si="19"/>
        <v>14123</v>
      </c>
      <c r="G120" s="6">
        <f t="shared" si="18"/>
        <v>1937</v>
      </c>
      <c r="H120" s="112">
        <f t="shared" si="11"/>
        <v>38</v>
      </c>
      <c r="I120" s="112" t="str">
        <f t="shared" si="12"/>
        <v>38</v>
      </c>
      <c r="J120" s="19" t="str">
        <f t="shared" si="13"/>
        <v>1937/38</v>
      </c>
      <c r="K120" s="98">
        <f>'Guts (option 1)'!AB133</f>
        <v>0</v>
      </c>
      <c r="L120" s="98">
        <f>'Guts (option 2)'!AB133</f>
        <v>-1.1270000000000002</v>
      </c>
      <c r="M120" s="14"/>
    </row>
    <row r="121" spans="1:13" x14ac:dyDescent="0.25">
      <c r="A121" s="1">
        <f>'Guts (option 1)'!A134</f>
        <v>14214</v>
      </c>
      <c r="B121" s="20">
        <f>'Guts (option 1)'!G134</f>
        <v>0.161</v>
      </c>
      <c r="C121" s="20">
        <f>'Guts (option 2)'!G134</f>
        <v>0.16100000000000003</v>
      </c>
      <c r="D121" s="20"/>
      <c r="F121" s="1">
        <f t="shared" si="19"/>
        <v>14214</v>
      </c>
      <c r="G121" s="6">
        <f t="shared" si="18"/>
        <v>1937</v>
      </c>
      <c r="H121" s="112">
        <f t="shared" si="11"/>
        <v>38</v>
      </c>
      <c r="I121" s="112" t="str">
        <f t="shared" si="12"/>
        <v>38</v>
      </c>
      <c r="J121" s="19" t="str">
        <f t="shared" si="13"/>
        <v>1937/38</v>
      </c>
      <c r="K121" s="98">
        <f>'Guts (option 1)'!AB134</f>
        <v>0</v>
      </c>
      <c r="L121" s="98">
        <f>'Guts (option 2)'!AB134</f>
        <v>-1.1270000000000002</v>
      </c>
      <c r="M121" s="14"/>
    </row>
    <row r="122" spans="1:13" x14ac:dyDescent="0.25">
      <c r="A122" s="1">
        <f>'Guts (option 1)'!A135</f>
        <v>14304</v>
      </c>
      <c r="B122" s="20">
        <f>'Guts (option 1)'!G135</f>
        <v>0.161</v>
      </c>
      <c r="C122" s="20">
        <f>'Guts (option 2)'!G135</f>
        <v>0.18514896016595542</v>
      </c>
      <c r="D122" s="20"/>
      <c r="F122" s="1">
        <f t="shared" si="19"/>
        <v>14304</v>
      </c>
      <c r="G122" s="6">
        <f t="shared" si="18"/>
        <v>1938</v>
      </c>
      <c r="H122" s="112">
        <f t="shared" si="11"/>
        <v>39</v>
      </c>
      <c r="I122" s="112" t="str">
        <f t="shared" si="12"/>
        <v>39</v>
      </c>
      <c r="J122" s="19" t="str">
        <f t="shared" si="13"/>
        <v>1938/39</v>
      </c>
      <c r="K122" s="98">
        <f>'Guts (option 1)'!AB135</f>
        <v>0</v>
      </c>
      <c r="L122" s="98">
        <f>'Guts (option 2)'!AB135</f>
        <v>-1.6112572668033782</v>
      </c>
      <c r="M122" s="14"/>
    </row>
    <row r="123" spans="1:13" x14ac:dyDescent="0.25">
      <c r="A123" s="1">
        <f>'Guts (option 1)'!A136</f>
        <v>14396</v>
      </c>
      <c r="B123" s="20">
        <f>'Guts (option 1)'!G136</f>
        <v>0.161</v>
      </c>
      <c r="C123" s="20">
        <f>'Guts (option 2)'!G136</f>
        <v>0.18514896016595542</v>
      </c>
      <c r="D123" s="20"/>
      <c r="F123" s="1">
        <f t="shared" si="19"/>
        <v>14396</v>
      </c>
      <c r="G123" s="6">
        <f t="shared" si="18"/>
        <v>1938</v>
      </c>
      <c r="H123" s="112">
        <f t="shared" si="11"/>
        <v>39</v>
      </c>
      <c r="I123" s="112" t="str">
        <f t="shared" si="12"/>
        <v>39</v>
      </c>
      <c r="J123" s="19" t="str">
        <f t="shared" si="13"/>
        <v>1938/39</v>
      </c>
      <c r="K123" s="98">
        <f>'Guts (option 1)'!AB136</f>
        <v>7.3964849000000008</v>
      </c>
      <c r="L123" s="98">
        <f>'Guts (option 2)'!AB136</f>
        <v>2.83530328802938</v>
      </c>
      <c r="M123" s="14"/>
    </row>
    <row r="124" spans="1:13" x14ac:dyDescent="0.25">
      <c r="A124" s="1">
        <f>'Guts (option 1)'!A137</f>
        <v>14488</v>
      </c>
      <c r="B124" s="20">
        <f>'Guts (option 1)'!G137</f>
        <v>0.26494429408763359</v>
      </c>
      <c r="C124" s="20">
        <f>'Guts (option 2)'!G137</f>
        <v>0.161</v>
      </c>
      <c r="D124" s="20"/>
      <c r="F124" s="1">
        <f t="shared" si="19"/>
        <v>14488</v>
      </c>
      <c r="G124" s="6">
        <f t="shared" si="18"/>
        <v>1938</v>
      </c>
      <c r="H124" s="112">
        <f t="shared" si="11"/>
        <v>39</v>
      </c>
      <c r="I124" s="112" t="str">
        <f t="shared" si="12"/>
        <v>39</v>
      </c>
      <c r="J124" s="19" t="str">
        <f t="shared" si="13"/>
        <v>1938/39</v>
      </c>
      <c r="K124" s="98">
        <f>'Guts (option 1)'!AB137</f>
        <v>-24.26393561033878</v>
      </c>
      <c r="L124" s="98">
        <f>'Guts (option 2)'!AB137</f>
        <v>-1.1270000000000002</v>
      </c>
      <c r="M124" s="14"/>
    </row>
    <row r="125" spans="1:13" x14ac:dyDescent="0.25">
      <c r="A125" s="1">
        <f>'Guts (option 1)'!A138</f>
        <v>14579</v>
      </c>
      <c r="B125" s="20">
        <f>'Guts (option 1)'!G138</f>
        <v>0.26054758230892516</v>
      </c>
      <c r="C125" s="20">
        <f>'Guts (option 2)'!G138</f>
        <v>0.34178110041299542</v>
      </c>
      <c r="D125" s="20"/>
      <c r="F125" s="1">
        <f t="shared" si="19"/>
        <v>14579</v>
      </c>
      <c r="G125" s="6">
        <f t="shared" si="18"/>
        <v>1938</v>
      </c>
      <c r="H125" s="112">
        <f t="shared" si="11"/>
        <v>39</v>
      </c>
      <c r="I125" s="112" t="str">
        <f t="shared" si="12"/>
        <v>39</v>
      </c>
      <c r="J125" s="19" t="str">
        <f t="shared" si="13"/>
        <v>1938/39</v>
      </c>
      <c r="K125" s="98">
        <f>'Guts (option 1)'!AB138</f>
        <v>11.9697904240961</v>
      </c>
      <c r="L125" s="98">
        <f>'Guts (option 2)'!AB138</f>
        <v>-14.324565983521458</v>
      </c>
      <c r="M125" s="14"/>
    </row>
    <row r="126" spans="1:13" x14ac:dyDescent="0.25">
      <c r="A126" s="1">
        <f>'Guts (option 1)'!A139</f>
        <v>14669</v>
      </c>
      <c r="B126" s="20">
        <f>'Guts (option 1)'!G139</f>
        <v>0.26054758230892516</v>
      </c>
      <c r="C126" s="20">
        <f>'Guts (option 2)'!G139</f>
        <v>0.34178110041299542</v>
      </c>
      <c r="D126" s="20"/>
      <c r="F126" s="1">
        <f t="shared" si="19"/>
        <v>14669</v>
      </c>
      <c r="G126" s="6">
        <f t="shared" si="18"/>
        <v>1939</v>
      </c>
      <c r="H126" s="112">
        <f t="shared" si="11"/>
        <v>40</v>
      </c>
      <c r="I126" s="112" t="str">
        <f t="shared" si="12"/>
        <v>40</v>
      </c>
      <c r="J126" s="19" t="str">
        <f t="shared" si="13"/>
        <v>1939/40</v>
      </c>
      <c r="K126" s="98">
        <f>'Guts (option 1)'!AB139</f>
        <v>11.9697904240961</v>
      </c>
      <c r="L126" s="98">
        <f>'Guts (option 2)'!AB139</f>
        <v>5.2339104519877919</v>
      </c>
      <c r="M126" s="14"/>
    </row>
    <row r="127" spans="1:13" x14ac:dyDescent="0.25">
      <c r="A127" s="1">
        <f>'Guts (option 1)'!A140</f>
        <v>14762</v>
      </c>
      <c r="B127" s="20">
        <f>'Guts (option 1)'!G140</f>
        <v>0.26054758230892516</v>
      </c>
      <c r="C127" s="20">
        <f>'Guts (option 2)'!G140</f>
        <v>0.34178110041299542</v>
      </c>
      <c r="D127" s="20"/>
      <c r="F127" s="1">
        <f t="shared" si="19"/>
        <v>14762</v>
      </c>
      <c r="G127" s="6">
        <f t="shared" si="18"/>
        <v>1939</v>
      </c>
      <c r="H127" s="112">
        <f t="shared" si="11"/>
        <v>40</v>
      </c>
      <c r="I127" s="112" t="str">
        <f t="shared" si="12"/>
        <v>40</v>
      </c>
      <c r="J127" s="19" t="str">
        <f t="shared" si="13"/>
        <v>1939/40</v>
      </c>
      <c r="K127" s="98">
        <f>'Guts (option 1)'!AB140</f>
        <v>11.9697904240961</v>
      </c>
      <c r="L127" s="98">
        <f>'Guts (option 2)'!AB140</f>
        <v>5.2339104519877919</v>
      </c>
      <c r="M127" s="14"/>
    </row>
    <row r="128" spans="1:13" x14ac:dyDescent="0.25">
      <c r="A128" s="1">
        <f>'Guts (option 1)'!A141</f>
        <v>14854</v>
      </c>
      <c r="B128" s="20">
        <f>'Guts (option 1)'!G141</f>
        <v>0.161</v>
      </c>
      <c r="C128" s="20">
        <f>'Guts (option 2)'!G141</f>
        <v>0.17159282617514271</v>
      </c>
      <c r="D128" s="20"/>
      <c r="F128" s="1">
        <f t="shared" si="19"/>
        <v>14854</v>
      </c>
      <c r="G128" s="6">
        <f t="shared" si="18"/>
        <v>1939</v>
      </c>
      <c r="H128" s="112">
        <f t="shared" si="11"/>
        <v>40</v>
      </c>
      <c r="I128" s="112" t="str">
        <f t="shared" si="12"/>
        <v>40</v>
      </c>
      <c r="J128" s="19" t="str">
        <f t="shared" si="13"/>
        <v>1939/40</v>
      </c>
      <c r="K128" s="98">
        <f>'Guts (option 1)'!AB141</f>
        <v>0</v>
      </c>
      <c r="L128" s="98">
        <f>'Guts (option 2)'!AB141</f>
        <v>2.6277096226765377</v>
      </c>
      <c r="M128" s="14"/>
    </row>
    <row r="129" spans="1:13" x14ac:dyDescent="0.25">
      <c r="A129" s="1">
        <f>'Guts (option 1)'!A142</f>
        <v>14945</v>
      </c>
      <c r="B129" s="20">
        <f>'Guts (option 1)'!G142</f>
        <v>0.161</v>
      </c>
      <c r="C129" s="20">
        <f>'Guts (option 2)'!G142</f>
        <v>0.161</v>
      </c>
      <c r="D129" s="20"/>
      <c r="F129" s="1">
        <f t="shared" si="19"/>
        <v>14945</v>
      </c>
      <c r="G129" s="6">
        <f t="shared" si="18"/>
        <v>1939</v>
      </c>
      <c r="H129" s="112">
        <f t="shared" si="11"/>
        <v>40</v>
      </c>
      <c r="I129" s="112" t="str">
        <f t="shared" si="12"/>
        <v>40</v>
      </c>
      <c r="J129" s="19" t="str">
        <f t="shared" si="13"/>
        <v>1939/40</v>
      </c>
      <c r="K129" s="98">
        <f>'Guts (option 1)'!AB142</f>
        <v>0</v>
      </c>
      <c r="L129" s="98">
        <f>'Guts (option 2)'!AB142</f>
        <v>-0.68563224270238654</v>
      </c>
      <c r="M129" s="14"/>
    </row>
    <row r="130" spans="1:13" x14ac:dyDescent="0.25">
      <c r="A130" s="1">
        <f>'Guts (option 1)'!A143</f>
        <v>15035</v>
      </c>
      <c r="B130" s="20">
        <f>'Guts (option 1)'!G143</f>
        <v>0.18478206502019009</v>
      </c>
      <c r="C130" s="20">
        <f>'Guts (option 2)'!G143</f>
        <v>0.18737292444120698</v>
      </c>
      <c r="D130" s="20"/>
      <c r="F130" s="1">
        <f t="shared" si="19"/>
        <v>15035</v>
      </c>
      <c r="G130" s="6">
        <f t="shared" si="18"/>
        <v>1940</v>
      </c>
      <c r="H130" s="112">
        <f t="shared" si="11"/>
        <v>41</v>
      </c>
      <c r="I130" s="112" t="str">
        <f t="shared" si="12"/>
        <v>41</v>
      </c>
      <c r="J130" s="19" t="str">
        <f t="shared" si="13"/>
        <v>1940/41</v>
      </c>
      <c r="K130" s="98">
        <f>'Guts (option 1)'!AB143</f>
        <v>-4.7444328324162841</v>
      </c>
      <c r="L130" s="98">
        <f>'Guts (option 2)'!AB143</f>
        <v>-1.7917690338112995</v>
      </c>
      <c r="M130" s="14"/>
    </row>
    <row r="131" spans="1:13" x14ac:dyDescent="0.25">
      <c r="A131" s="1">
        <f>'Guts (option 1)'!A144</f>
        <v>15127</v>
      </c>
      <c r="B131" s="20">
        <f>'Guts (option 1)'!G144</f>
        <v>0.3776297547204322</v>
      </c>
      <c r="C131" s="20">
        <f>'Guts (option 2)'!G144</f>
        <v>0.49924960873488461</v>
      </c>
      <c r="D131" s="20"/>
      <c r="F131" s="1">
        <f t="shared" si="19"/>
        <v>15127</v>
      </c>
      <c r="G131" s="6">
        <f t="shared" si="18"/>
        <v>1940</v>
      </c>
      <c r="H131" s="112">
        <f t="shared" si="11"/>
        <v>41</v>
      </c>
      <c r="I131" s="112" t="str">
        <f t="shared" si="12"/>
        <v>41</v>
      </c>
      <c r="J131" s="19" t="str">
        <f t="shared" si="13"/>
        <v>1940/41</v>
      </c>
      <c r="K131" s="98">
        <f>'Guts (option 1)'!AB144</f>
        <v>17.348650798635905</v>
      </c>
      <c r="L131" s="98">
        <f>'Guts (option 2)'!AB144</f>
        <v>7.6453254499761529</v>
      </c>
      <c r="M131" s="14"/>
    </row>
    <row r="132" spans="1:13" x14ac:dyDescent="0.25">
      <c r="A132" s="1">
        <f>'Guts (option 1)'!A145</f>
        <v>15219</v>
      </c>
      <c r="B132" s="20">
        <f>'Guts (option 1)'!G145</f>
        <v>0.18959081348267875</v>
      </c>
      <c r="C132" s="20">
        <f>'Guts (option 2)'!G145</f>
        <v>0.2506506393306579</v>
      </c>
      <c r="D132" s="20"/>
      <c r="F132" s="1">
        <f t="shared" si="19"/>
        <v>15219</v>
      </c>
      <c r="G132" s="6">
        <f t="shared" si="18"/>
        <v>1940</v>
      </c>
      <c r="H132" s="112">
        <f t="shared" ref="H132:H195" si="20">G132+1-1900</f>
        <v>41</v>
      </c>
      <c r="I132" s="112" t="str">
        <f t="shared" ref="I132:I195" si="21">TEXT(H132,"#00")</f>
        <v>41</v>
      </c>
      <c r="J132" s="19" t="str">
        <f t="shared" ref="J132:J195" si="22">CONCATENATE(G132,"/",I132)</f>
        <v>1940/41</v>
      </c>
      <c r="K132" s="98">
        <f>'Guts (option 1)'!AB145</f>
        <v>8.7099726031263955</v>
      </c>
      <c r="L132" s="98">
        <f>'Guts (option 2)'!AB145</f>
        <v>3.8383719854752738</v>
      </c>
      <c r="M132" s="14"/>
    </row>
    <row r="133" spans="1:13" x14ac:dyDescent="0.25">
      <c r="A133" s="1">
        <f>'Guts (option 1)'!A146</f>
        <v>15310</v>
      </c>
      <c r="B133" s="20">
        <f>'Guts (option 1)'!G146</f>
        <v>0.161</v>
      </c>
      <c r="C133" s="20">
        <f>'Guts (option 2)'!G146</f>
        <v>0.161</v>
      </c>
      <c r="D133" s="20"/>
      <c r="F133" s="1">
        <f t="shared" si="19"/>
        <v>15310</v>
      </c>
      <c r="G133" s="6">
        <f t="shared" si="18"/>
        <v>1940</v>
      </c>
      <c r="H133" s="112">
        <f t="shared" si="20"/>
        <v>41</v>
      </c>
      <c r="I133" s="112" t="str">
        <f t="shared" si="21"/>
        <v>41</v>
      </c>
      <c r="J133" s="19" t="str">
        <f t="shared" si="22"/>
        <v>1940/41</v>
      </c>
      <c r="K133" s="98">
        <f>'Guts (option 1)'!AB146</f>
        <v>0</v>
      </c>
      <c r="L133" s="98">
        <f>'Guts (option 2)'!AB146</f>
        <v>-1.1270000000000002</v>
      </c>
      <c r="M133" s="14"/>
    </row>
    <row r="134" spans="1:13" x14ac:dyDescent="0.25">
      <c r="A134" s="1">
        <f>'Guts (option 1)'!A147</f>
        <v>15400</v>
      </c>
      <c r="B134" s="20">
        <f>'Guts (option 1)'!G147</f>
        <v>0.34635660883231073</v>
      </c>
      <c r="C134" s="20">
        <f>'Guts (option 2)'!G147</f>
        <v>0.34840191122653386</v>
      </c>
      <c r="D134" s="20"/>
      <c r="F134" s="1">
        <f t="shared" si="19"/>
        <v>15400</v>
      </c>
      <c r="G134" s="6">
        <f t="shared" si="18"/>
        <v>1941</v>
      </c>
      <c r="H134" s="112">
        <f t="shared" si="20"/>
        <v>42</v>
      </c>
      <c r="I134" s="112" t="str">
        <f t="shared" si="21"/>
        <v>42</v>
      </c>
      <c r="J134" s="19" t="str">
        <f t="shared" si="22"/>
        <v>1941/42</v>
      </c>
      <c r="K134" s="98">
        <f>'Guts (option 1)'!AB147</f>
        <v>-44.087834250667655</v>
      </c>
      <c r="L134" s="98">
        <f>'Guts (option 2)'!AB147</f>
        <v>-14.861955127886995</v>
      </c>
      <c r="M134" s="14"/>
    </row>
    <row r="135" spans="1:13" x14ac:dyDescent="0.25">
      <c r="A135" s="1">
        <f>'Guts (option 1)'!A148</f>
        <v>15492</v>
      </c>
      <c r="B135" s="20">
        <f>'Guts (option 1)'!G148</f>
        <v>0.16391427540913017</v>
      </c>
      <c r="C135" s="20">
        <f>'Guts (option 2)'!G148</f>
        <v>0.17047933599666998</v>
      </c>
      <c r="D135" s="20"/>
      <c r="F135" s="1">
        <f t="shared" si="19"/>
        <v>15492</v>
      </c>
      <c r="G135" s="6">
        <f t="shared" si="18"/>
        <v>1941</v>
      </c>
      <c r="H135" s="112">
        <f t="shared" si="20"/>
        <v>42</v>
      </c>
      <c r="I135" s="112" t="str">
        <f t="shared" si="21"/>
        <v>42</v>
      </c>
      <c r="J135" s="19" t="str">
        <f t="shared" si="22"/>
        <v>1941/42</v>
      </c>
      <c r="K135" s="98">
        <f>'Guts (option 1)'!AB148</f>
        <v>22.805291677897568</v>
      </c>
      <c r="L135" s="98">
        <f>'Guts (option 2)'!AB148</f>
        <v>6.2200852826009703</v>
      </c>
      <c r="M135" s="14"/>
    </row>
    <row r="136" spans="1:13" x14ac:dyDescent="0.25">
      <c r="A136" s="1">
        <f>'Guts (option 1)'!A149</f>
        <v>15584</v>
      </c>
      <c r="B136" s="20">
        <f>'Guts (option 1)'!G149</f>
        <v>0.26811677937465767</v>
      </c>
      <c r="C136" s="20">
        <f>'Guts (option 2)'!G149</f>
        <v>0.27341261862115651</v>
      </c>
      <c r="D136" s="20"/>
      <c r="F136" s="1">
        <f t="shared" si="19"/>
        <v>15584</v>
      </c>
      <c r="G136" s="6">
        <f t="shared" si="18"/>
        <v>1941</v>
      </c>
      <c r="H136" s="112">
        <f t="shared" si="20"/>
        <v>42</v>
      </c>
      <c r="I136" s="112" t="str">
        <f t="shared" si="21"/>
        <v>42</v>
      </c>
      <c r="J136" s="19" t="str">
        <f t="shared" si="22"/>
        <v>1941/42</v>
      </c>
      <c r="K136" s="98">
        <f>'Guts (option 1)'!AB149</f>
        <v>-24.307866925446596</v>
      </c>
      <c r="L136" s="98">
        <f>'Guts (option 2)'!AB149</f>
        <v>-7.9853795450280352</v>
      </c>
      <c r="M136" s="14"/>
    </row>
    <row r="137" spans="1:13" x14ac:dyDescent="0.25">
      <c r="A137" s="1">
        <f>'Guts (option 1)'!A150</f>
        <v>15675</v>
      </c>
      <c r="B137" s="20">
        <f>'Guts (option 1)'!G150</f>
        <v>0.23506787569667142</v>
      </c>
      <c r="C137" s="20">
        <f>'Guts (option 2)'!G150</f>
        <v>0.24036371494317024</v>
      </c>
      <c r="D137" s="20"/>
      <c r="F137" s="1">
        <f t="shared" si="19"/>
        <v>15675</v>
      </c>
      <c r="G137" s="6">
        <f t="shared" si="18"/>
        <v>1941</v>
      </c>
      <c r="H137" s="112">
        <f t="shared" si="20"/>
        <v>42</v>
      </c>
      <c r="I137" s="112" t="str">
        <f t="shared" si="21"/>
        <v>42</v>
      </c>
      <c r="J137" s="19" t="str">
        <f t="shared" si="22"/>
        <v>1941/42</v>
      </c>
      <c r="K137" s="98">
        <f>'Guts (option 1)'!AB150</f>
        <v>10.799229770593211</v>
      </c>
      <c r="L137" s="98">
        <f>'Guts (option 2)'!AB150</f>
        <v>3.6808417972775631</v>
      </c>
      <c r="M137" s="14"/>
    </row>
    <row r="138" spans="1:13" x14ac:dyDescent="0.25">
      <c r="A138" s="1">
        <f>'Guts (option 1)'!A151</f>
        <v>15765</v>
      </c>
      <c r="B138" s="20">
        <f>'Guts (option 1)'!G151</f>
        <v>0.23506787569667142</v>
      </c>
      <c r="C138" s="20">
        <f>'Guts (option 2)'!G151</f>
        <v>0.24036371494317024</v>
      </c>
      <c r="D138" s="20"/>
      <c r="F138" s="1">
        <f t="shared" si="19"/>
        <v>15765</v>
      </c>
      <c r="G138" s="6">
        <f t="shared" si="18"/>
        <v>1942</v>
      </c>
      <c r="H138" s="112">
        <f t="shared" si="20"/>
        <v>43</v>
      </c>
      <c r="I138" s="112" t="str">
        <f t="shared" si="21"/>
        <v>43</v>
      </c>
      <c r="J138" s="19" t="str">
        <f t="shared" si="22"/>
        <v>1942/43</v>
      </c>
      <c r="K138" s="98">
        <f>'Guts (option 1)'!AB151</f>
        <v>10.799229770593211</v>
      </c>
      <c r="L138" s="98">
        <f>'Guts (option 2)'!AB151</f>
        <v>3.6808417972775631</v>
      </c>
      <c r="M138" s="14"/>
    </row>
    <row r="139" spans="1:13" x14ac:dyDescent="0.25">
      <c r="A139" s="1">
        <f>'Guts (option 1)'!A152</f>
        <v>15857</v>
      </c>
      <c r="B139" s="20">
        <f>'Guts (option 1)'!G152</f>
        <v>0.23506787569667142</v>
      </c>
      <c r="C139" s="20">
        <f>'Guts (option 2)'!G152</f>
        <v>0.2443750357506396</v>
      </c>
      <c r="D139" s="20"/>
      <c r="F139" s="1">
        <f t="shared" si="19"/>
        <v>15857</v>
      </c>
      <c r="G139" s="6">
        <f t="shared" si="18"/>
        <v>1942</v>
      </c>
      <c r="H139" s="112">
        <f t="shared" si="20"/>
        <v>43</v>
      </c>
      <c r="I139" s="112" t="str">
        <f t="shared" si="21"/>
        <v>43</v>
      </c>
      <c r="J139" s="19" t="str">
        <f t="shared" si="22"/>
        <v>1942/43</v>
      </c>
      <c r="K139" s="98">
        <f>'Guts (option 1)'!AB152</f>
        <v>10.799229770593211</v>
      </c>
      <c r="L139" s="98">
        <f>'Guts (option 2)'!AB152</f>
        <v>3.7422696933055186</v>
      </c>
      <c r="M139" s="14"/>
    </row>
    <row r="140" spans="1:13" x14ac:dyDescent="0.25">
      <c r="A140" s="1">
        <f>'Guts (option 1)'!A153</f>
        <v>15949</v>
      </c>
      <c r="B140" s="20">
        <f>'Guts (option 1)'!G153</f>
        <v>0.161</v>
      </c>
      <c r="C140" s="20">
        <f>'Guts (option 2)'!G153</f>
        <v>0.161</v>
      </c>
      <c r="D140" s="20"/>
      <c r="F140" s="1">
        <f t="shared" si="19"/>
        <v>15949</v>
      </c>
      <c r="G140" s="6">
        <f t="shared" si="18"/>
        <v>1942</v>
      </c>
      <c r="H140" s="112">
        <f t="shared" si="20"/>
        <v>43</v>
      </c>
      <c r="I140" s="112" t="str">
        <f t="shared" si="21"/>
        <v>43</v>
      </c>
      <c r="J140" s="19" t="str">
        <f t="shared" si="22"/>
        <v>1942/43</v>
      </c>
      <c r="K140" s="98">
        <f>'Guts (option 1)'!AB153</f>
        <v>0</v>
      </c>
      <c r="L140" s="98">
        <f>'Guts (option 2)'!AB153</f>
        <v>-1.1270000000000002</v>
      </c>
      <c r="M140" s="14"/>
    </row>
    <row r="141" spans="1:13" x14ac:dyDescent="0.25">
      <c r="A141" s="1">
        <f>'Guts (option 1)'!A154</f>
        <v>16040</v>
      </c>
      <c r="B141" s="20">
        <f>'Guts (option 1)'!G154</f>
        <v>0.161</v>
      </c>
      <c r="C141" s="20">
        <f>'Guts (option 2)'!G154</f>
        <v>0.28095292456412557</v>
      </c>
      <c r="D141" s="20"/>
      <c r="F141" s="1">
        <f t="shared" si="19"/>
        <v>16040</v>
      </c>
      <c r="G141" s="6">
        <f t="shared" si="18"/>
        <v>1942</v>
      </c>
      <c r="H141" s="112">
        <f t="shared" si="20"/>
        <v>43</v>
      </c>
      <c r="I141" s="112" t="str">
        <f t="shared" si="21"/>
        <v>43</v>
      </c>
      <c r="J141" s="19" t="str">
        <f t="shared" si="22"/>
        <v>1942/43</v>
      </c>
      <c r="K141" s="98">
        <f>'Guts (option 1)'!AB154</f>
        <v>0</v>
      </c>
      <c r="L141" s="98">
        <f>'Guts (option 2)'!AB154</f>
        <v>-9.3873457104548592</v>
      </c>
      <c r="M141" s="14"/>
    </row>
    <row r="142" spans="1:13" x14ac:dyDescent="0.25">
      <c r="A142" s="1">
        <f>'Guts (option 1)'!A155</f>
        <v>16130</v>
      </c>
      <c r="B142" s="20">
        <f>'Guts (option 1)'!G155</f>
        <v>0.161</v>
      </c>
      <c r="C142" s="20">
        <f>'Guts (option 2)'!G155</f>
        <v>0.28095292456412557</v>
      </c>
      <c r="D142" s="20"/>
      <c r="F142" s="1">
        <f t="shared" si="19"/>
        <v>16130</v>
      </c>
      <c r="G142" s="6">
        <f t="shared" si="18"/>
        <v>1943</v>
      </c>
      <c r="H142" s="112">
        <f t="shared" si="20"/>
        <v>44</v>
      </c>
      <c r="I142" s="112" t="str">
        <f t="shared" si="21"/>
        <v>44</v>
      </c>
      <c r="J142" s="19" t="str">
        <f t="shared" si="22"/>
        <v>1943/44</v>
      </c>
      <c r="K142" s="98">
        <f>'Guts (option 1)'!AB155</f>
        <v>7.3964849000000008</v>
      </c>
      <c r="L142" s="98">
        <f>'Guts (option 2)'!AB155</f>
        <v>4.3024100707026784</v>
      </c>
      <c r="M142" s="14"/>
    </row>
    <row r="143" spans="1:13" x14ac:dyDescent="0.25">
      <c r="A143" s="1">
        <f>'Guts (option 1)'!A156</f>
        <v>16223</v>
      </c>
      <c r="B143" s="20">
        <f>'Guts (option 1)'!G156</f>
        <v>0.161</v>
      </c>
      <c r="C143" s="20">
        <f>'Guts (option 2)'!G156</f>
        <v>0.161</v>
      </c>
      <c r="D143" s="20"/>
      <c r="F143" s="1">
        <f t="shared" si="19"/>
        <v>16223</v>
      </c>
      <c r="G143" s="6">
        <f t="shared" si="18"/>
        <v>1943</v>
      </c>
      <c r="H143" s="112">
        <f t="shared" si="20"/>
        <v>44</v>
      </c>
      <c r="I143" s="112" t="str">
        <f t="shared" si="21"/>
        <v>44</v>
      </c>
      <c r="J143" s="19" t="str">
        <f t="shared" si="22"/>
        <v>1943/44</v>
      </c>
      <c r="K143" s="98">
        <f>'Guts (option 1)'!AB156</f>
        <v>0</v>
      </c>
      <c r="L143" s="98">
        <f>'Guts (option 2)'!AB156</f>
        <v>3.871038523505232</v>
      </c>
      <c r="M143" s="14"/>
    </row>
    <row r="144" spans="1:13" x14ac:dyDescent="0.25">
      <c r="A144" s="1">
        <f>'Guts (option 1)'!A157</f>
        <v>16315</v>
      </c>
      <c r="B144" s="20">
        <f>'Guts (option 1)'!G157</f>
        <v>0.161</v>
      </c>
      <c r="C144" s="20">
        <f>'Guts (option 2)'!G157</f>
        <v>0.161</v>
      </c>
      <c r="D144" s="20"/>
      <c r="F144" s="1">
        <f t="shared" si="19"/>
        <v>16315</v>
      </c>
      <c r="G144" s="6">
        <f t="shared" si="18"/>
        <v>1943</v>
      </c>
      <c r="H144" s="112">
        <f t="shared" si="20"/>
        <v>44</v>
      </c>
      <c r="I144" s="112" t="str">
        <f t="shared" si="21"/>
        <v>44</v>
      </c>
      <c r="J144" s="19" t="str">
        <f t="shared" si="22"/>
        <v>1943/44</v>
      </c>
      <c r="K144" s="98">
        <f>'Guts (option 1)'!AB157</f>
        <v>0</v>
      </c>
      <c r="L144" s="98">
        <f>'Guts (option 2)'!AB157</f>
        <v>-1.1270000000000002</v>
      </c>
      <c r="M144" s="14"/>
    </row>
    <row r="145" spans="1:13" x14ac:dyDescent="0.25">
      <c r="A145" s="1">
        <f>'Guts (option 1)'!A158</f>
        <v>16406</v>
      </c>
      <c r="B145" s="20">
        <f>'Guts (option 1)'!G158</f>
        <v>0.161</v>
      </c>
      <c r="C145" s="20">
        <f>'Guts (option 2)'!G158</f>
        <v>0.161</v>
      </c>
      <c r="D145" s="20"/>
      <c r="F145" s="1">
        <f t="shared" si="19"/>
        <v>16406</v>
      </c>
      <c r="G145" s="6">
        <f t="shared" si="18"/>
        <v>1943</v>
      </c>
      <c r="H145" s="112">
        <f t="shared" si="20"/>
        <v>44</v>
      </c>
      <c r="I145" s="112" t="str">
        <f t="shared" si="21"/>
        <v>44</v>
      </c>
      <c r="J145" s="19" t="str">
        <f t="shared" si="22"/>
        <v>1943/44</v>
      </c>
      <c r="K145" s="98">
        <f>'Guts (option 1)'!AB158</f>
        <v>0</v>
      </c>
      <c r="L145" s="98">
        <f>'Guts (option 2)'!AB158</f>
        <v>-1.1270000000000002</v>
      </c>
      <c r="M145" s="14"/>
    </row>
    <row r="146" spans="1:13" x14ac:dyDescent="0.25">
      <c r="A146" s="1">
        <f>'Guts (option 1)'!A159</f>
        <v>16496</v>
      </c>
      <c r="B146" s="20">
        <f>'Guts (option 1)'!G159</f>
        <v>0.161</v>
      </c>
      <c r="C146" s="20">
        <f>'Guts (option 2)'!G159</f>
        <v>0.161</v>
      </c>
      <c r="D146" s="20"/>
      <c r="F146" s="1">
        <f t="shared" si="19"/>
        <v>16496</v>
      </c>
      <c r="G146" s="6">
        <f t="shared" si="18"/>
        <v>1944</v>
      </c>
      <c r="H146" s="112">
        <f t="shared" si="20"/>
        <v>45</v>
      </c>
      <c r="I146" s="112" t="str">
        <f t="shared" si="21"/>
        <v>45</v>
      </c>
      <c r="J146" s="19" t="str">
        <f t="shared" si="22"/>
        <v>1944/45</v>
      </c>
      <c r="K146" s="98">
        <f>'Guts (option 1)'!AB159</f>
        <v>0</v>
      </c>
      <c r="L146" s="98">
        <f>'Guts (option 2)'!AB159</f>
        <v>-1.1270000000000002</v>
      </c>
      <c r="M146" s="14"/>
    </row>
    <row r="147" spans="1:13" x14ac:dyDescent="0.25">
      <c r="A147" s="1">
        <f>'Guts (option 1)'!A160</f>
        <v>16588</v>
      </c>
      <c r="B147" s="20">
        <f>'Guts (option 1)'!G160</f>
        <v>0.161</v>
      </c>
      <c r="C147" s="20">
        <f>'Guts (option 2)'!G160</f>
        <v>0.161</v>
      </c>
      <c r="D147" s="20"/>
      <c r="F147" s="1">
        <f t="shared" si="19"/>
        <v>16588</v>
      </c>
      <c r="G147" s="6">
        <f t="shared" si="18"/>
        <v>1944</v>
      </c>
      <c r="H147" s="112">
        <f t="shared" si="20"/>
        <v>45</v>
      </c>
      <c r="I147" s="112" t="str">
        <f t="shared" si="21"/>
        <v>45</v>
      </c>
      <c r="J147" s="19" t="str">
        <f t="shared" si="22"/>
        <v>1944/45</v>
      </c>
      <c r="K147" s="98">
        <f>'Guts (option 1)'!AB160</f>
        <v>0</v>
      </c>
      <c r="L147" s="98">
        <f>'Guts (option 2)'!AB160</f>
        <v>-1.1270000000000002</v>
      </c>
      <c r="M147" s="14"/>
    </row>
    <row r="148" spans="1:13" x14ac:dyDescent="0.25">
      <c r="A148" s="1">
        <f>'Guts (option 1)'!A161</f>
        <v>16680</v>
      </c>
      <c r="B148" s="20">
        <f>'Guts (option 1)'!G161</f>
        <v>0.161</v>
      </c>
      <c r="C148" s="20">
        <f>'Guts (option 2)'!G161</f>
        <v>0.161</v>
      </c>
      <c r="D148" s="20"/>
      <c r="F148" s="1">
        <f t="shared" si="19"/>
        <v>16680</v>
      </c>
      <c r="G148" s="6">
        <f t="shared" si="18"/>
        <v>1944</v>
      </c>
      <c r="H148" s="112">
        <f t="shared" si="20"/>
        <v>45</v>
      </c>
      <c r="I148" s="112" t="str">
        <f t="shared" si="21"/>
        <v>45</v>
      </c>
      <c r="J148" s="19" t="str">
        <f t="shared" si="22"/>
        <v>1944/45</v>
      </c>
      <c r="K148" s="98">
        <f>'Guts (option 1)'!AB161</f>
        <v>0</v>
      </c>
      <c r="L148" s="98">
        <f>'Guts (option 2)'!AB161</f>
        <v>-1.1270000000000002</v>
      </c>
      <c r="M148" s="14"/>
    </row>
    <row r="149" spans="1:13" x14ac:dyDescent="0.25">
      <c r="A149" s="1">
        <f>'Guts (option 1)'!A162</f>
        <v>16771</v>
      </c>
      <c r="B149" s="20">
        <f>'Guts (option 1)'!G162</f>
        <v>0.161</v>
      </c>
      <c r="C149" s="20">
        <f>'Guts (option 2)'!G162</f>
        <v>0.161</v>
      </c>
      <c r="D149" s="20"/>
      <c r="F149" s="1">
        <f t="shared" si="19"/>
        <v>16771</v>
      </c>
      <c r="G149" s="6">
        <f t="shared" si="18"/>
        <v>1944</v>
      </c>
      <c r="H149" s="112">
        <f t="shared" si="20"/>
        <v>45</v>
      </c>
      <c r="I149" s="112" t="str">
        <f t="shared" si="21"/>
        <v>45</v>
      </c>
      <c r="J149" s="19" t="str">
        <f t="shared" si="22"/>
        <v>1944/45</v>
      </c>
      <c r="K149" s="98">
        <f>'Guts (option 1)'!AB162</f>
        <v>0</v>
      </c>
      <c r="L149" s="98">
        <f>'Guts (option 2)'!AB162</f>
        <v>-1.1270000000000002</v>
      </c>
      <c r="M149" s="14"/>
    </row>
    <row r="150" spans="1:13" x14ac:dyDescent="0.25">
      <c r="A150" s="1">
        <f>'Guts (option 1)'!A163</f>
        <v>16861</v>
      </c>
      <c r="B150" s="20">
        <f>'Guts (option 1)'!G163</f>
        <v>0.161</v>
      </c>
      <c r="C150" s="20">
        <f>'Guts (option 2)'!G163</f>
        <v>0.161</v>
      </c>
      <c r="D150" s="20"/>
      <c r="F150" s="1">
        <f t="shared" si="19"/>
        <v>16861</v>
      </c>
      <c r="G150" s="6">
        <f t="shared" si="18"/>
        <v>1945</v>
      </c>
      <c r="H150" s="112">
        <f t="shared" si="20"/>
        <v>46</v>
      </c>
      <c r="I150" s="112" t="str">
        <f t="shared" si="21"/>
        <v>46</v>
      </c>
      <c r="J150" s="19" t="str">
        <f t="shared" si="22"/>
        <v>1945/46</v>
      </c>
      <c r="K150" s="98">
        <f>'Guts (option 1)'!AB163</f>
        <v>7.3964849000000008</v>
      </c>
      <c r="L150" s="98">
        <f>'Guts (option 2)'!AB163</f>
        <v>2.4654949666666663</v>
      </c>
      <c r="M150" s="14"/>
    </row>
    <row r="151" spans="1:13" x14ac:dyDescent="0.25">
      <c r="A151" s="1">
        <f>'Guts (option 1)'!A164</f>
        <v>16953</v>
      </c>
      <c r="B151" s="20">
        <f>'Guts (option 1)'!G164</f>
        <v>0.161</v>
      </c>
      <c r="C151" s="20">
        <f>'Guts (option 2)'!G164</f>
        <v>0.161</v>
      </c>
      <c r="D151" s="20"/>
      <c r="F151" s="1">
        <f t="shared" si="19"/>
        <v>16953</v>
      </c>
      <c r="G151" s="6">
        <f t="shared" si="18"/>
        <v>1945</v>
      </c>
      <c r="H151" s="112">
        <f t="shared" si="20"/>
        <v>46</v>
      </c>
      <c r="I151" s="112" t="str">
        <f t="shared" si="21"/>
        <v>46</v>
      </c>
      <c r="J151" s="19" t="str">
        <f t="shared" si="22"/>
        <v>1945/46</v>
      </c>
      <c r="K151" s="98">
        <f>'Guts (option 1)'!AB164</f>
        <v>7.3964849000000008</v>
      </c>
      <c r="L151" s="98">
        <f>'Guts (option 2)'!AB164</f>
        <v>2.4654949666666663</v>
      </c>
      <c r="M151" s="14"/>
    </row>
    <row r="152" spans="1:13" x14ac:dyDescent="0.25">
      <c r="A152" s="1">
        <f>'Guts (option 1)'!A165</f>
        <v>17045</v>
      </c>
      <c r="B152" s="20">
        <f>'Guts (option 1)'!G165</f>
        <v>0.161</v>
      </c>
      <c r="C152" s="20">
        <f>'Guts (option 2)'!G165</f>
        <v>0.161</v>
      </c>
      <c r="D152" s="20"/>
      <c r="F152" s="1">
        <f t="shared" si="19"/>
        <v>17045</v>
      </c>
      <c r="G152" s="6">
        <f t="shared" si="18"/>
        <v>1945</v>
      </c>
      <c r="H152" s="112">
        <f t="shared" si="20"/>
        <v>46</v>
      </c>
      <c r="I152" s="112" t="str">
        <f t="shared" si="21"/>
        <v>46</v>
      </c>
      <c r="J152" s="19" t="str">
        <f t="shared" si="22"/>
        <v>1945/46</v>
      </c>
      <c r="K152" s="98">
        <f>'Guts (option 1)'!AB165</f>
        <v>0</v>
      </c>
      <c r="L152" s="98">
        <f>'Guts (option 2)'!AB165</f>
        <v>-1.1270000000000002</v>
      </c>
      <c r="M152" s="14"/>
    </row>
    <row r="153" spans="1:13" x14ac:dyDescent="0.25">
      <c r="A153" s="1">
        <f>'Guts (option 1)'!A166</f>
        <v>17136</v>
      </c>
      <c r="B153" s="20">
        <f>'Guts (option 1)'!G166</f>
        <v>0.161</v>
      </c>
      <c r="C153" s="20">
        <f>'Guts (option 2)'!G166</f>
        <v>0.161</v>
      </c>
      <c r="D153" s="20"/>
      <c r="F153" s="1">
        <f t="shared" si="19"/>
        <v>17136</v>
      </c>
      <c r="G153" s="6">
        <f t="shared" si="18"/>
        <v>1945</v>
      </c>
      <c r="H153" s="112">
        <f t="shared" si="20"/>
        <v>46</v>
      </c>
      <c r="I153" s="112" t="str">
        <f t="shared" si="21"/>
        <v>46</v>
      </c>
      <c r="J153" s="19" t="str">
        <f t="shared" si="22"/>
        <v>1945/46</v>
      </c>
      <c r="K153" s="98">
        <f>'Guts (option 1)'!AB166</f>
        <v>0</v>
      </c>
      <c r="L153" s="98">
        <f>'Guts (option 2)'!AB166</f>
        <v>-1.1270000000000002</v>
      </c>
      <c r="M153" s="14"/>
    </row>
    <row r="154" spans="1:13" x14ac:dyDescent="0.25">
      <c r="A154" s="1">
        <f>'Guts (option 1)'!A167</f>
        <v>17226</v>
      </c>
      <c r="B154" s="20">
        <f>'Guts (option 1)'!G167</f>
        <v>0.161</v>
      </c>
      <c r="C154" s="20">
        <f>'Guts (option 2)'!G167</f>
        <v>0.161</v>
      </c>
      <c r="D154" s="20"/>
      <c r="F154" s="1">
        <f t="shared" si="19"/>
        <v>17226</v>
      </c>
      <c r="G154" s="6">
        <f t="shared" si="18"/>
        <v>1946</v>
      </c>
      <c r="H154" s="112">
        <f t="shared" si="20"/>
        <v>47</v>
      </c>
      <c r="I154" s="112" t="str">
        <f t="shared" si="21"/>
        <v>47</v>
      </c>
      <c r="J154" s="19" t="str">
        <f t="shared" si="22"/>
        <v>1946/47</v>
      </c>
      <c r="K154" s="98">
        <f>'Guts (option 1)'!AB167</f>
        <v>7.3964849000000008</v>
      </c>
      <c r="L154" s="98">
        <f>'Guts (option 2)'!AB167</f>
        <v>2.4654949666666663</v>
      </c>
      <c r="M154" s="14"/>
    </row>
    <row r="155" spans="1:13" x14ac:dyDescent="0.25">
      <c r="A155" s="1">
        <f>'Guts (option 1)'!A168</f>
        <v>17318</v>
      </c>
      <c r="B155" s="20">
        <f>'Guts (option 1)'!G168</f>
        <v>0.51204544593174328</v>
      </c>
      <c r="C155" s="20">
        <f>'Guts (option 2)'!G168</f>
        <v>0.56845965737200588</v>
      </c>
      <c r="D155" s="20"/>
      <c r="F155" s="1">
        <f t="shared" si="19"/>
        <v>17318</v>
      </c>
      <c r="G155" s="6">
        <f t="shared" si="18"/>
        <v>1946</v>
      </c>
      <c r="H155" s="112">
        <f t="shared" si="20"/>
        <v>47</v>
      </c>
      <c r="I155" s="112" t="str">
        <f t="shared" si="21"/>
        <v>47</v>
      </c>
      <c r="J155" s="19" t="str">
        <f t="shared" si="22"/>
        <v>1946/47</v>
      </c>
      <c r="K155" s="98">
        <f>'Guts (option 1)'!AB168</f>
        <v>-84.43306608437949</v>
      </c>
      <c r="L155" s="98">
        <f>'Guts (option 2)'!AB168</f>
        <v>-32.723308856694473</v>
      </c>
      <c r="M155" s="14"/>
    </row>
    <row r="156" spans="1:13" x14ac:dyDescent="0.25">
      <c r="A156" s="1">
        <f>'Guts (option 1)'!A169</f>
        <v>17410</v>
      </c>
      <c r="B156" s="20">
        <f>'Guts (option 1)'!G169</f>
        <v>0.25707485022246213</v>
      </c>
      <c r="C156" s="20">
        <f>'Guts (option 2)'!G169</f>
        <v>0.28539787325029903</v>
      </c>
      <c r="D156" s="20"/>
      <c r="F156" s="1">
        <f t="shared" si="19"/>
        <v>17410</v>
      </c>
      <c r="G156" s="6">
        <f t="shared" si="18"/>
        <v>1946</v>
      </c>
      <c r="H156" s="112">
        <f t="shared" si="20"/>
        <v>47</v>
      </c>
      <c r="I156" s="112" t="str">
        <f t="shared" si="21"/>
        <v>47</v>
      </c>
      <c r="J156" s="19" t="str">
        <f t="shared" si="22"/>
        <v>1946/47</v>
      </c>
      <c r="K156" s="98">
        <f>'Guts (option 1)'!AB169</f>
        <v>11.810249986585109</v>
      </c>
      <c r="L156" s="98">
        <f>'Guts (option 2)'!AB169</f>
        <v>4.3704783850682212</v>
      </c>
      <c r="M156" s="14"/>
    </row>
    <row r="157" spans="1:13" x14ac:dyDescent="0.25">
      <c r="A157" s="1">
        <f>'Guts (option 1)'!A170</f>
        <v>17501</v>
      </c>
      <c r="B157" s="20">
        <f>'Guts (option 1)'!G170</f>
        <v>0.33937514641239314</v>
      </c>
      <c r="C157" s="20">
        <f>'Guts (option 2)'!G170</f>
        <v>0.36769816944023004</v>
      </c>
      <c r="D157" s="20"/>
      <c r="F157" s="1">
        <f t="shared" si="19"/>
        <v>17501</v>
      </c>
      <c r="G157" s="6">
        <f t="shared" si="18"/>
        <v>1946</v>
      </c>
      <c r="H157" s="112">
        <f t="shared" si="20"/>
        <v>47</v>
      </c>
      <c r="I157" s="112" t="str">
        <f t="shared" si="21"/>
        <v>47</v>
      </c>
      <c r="J157" s="19" t="str">
        <f t="shared" si="22"/>
        <v>1946/47</v>
      </c>
      <c r="K157" s="98">
        <f>'Guts (option 1)'!AB170</f>
        <v>15.591199663817113</v>
      </c>
      <c r="L157" s="98">
        <f>'Guts (option 2)'!AB170</f>
        <v>5.6307949441455554</v>
      </c>
      <c r="M157" s="14"/>
    </row>
    <row r="158" spans="1:13" x14ac:dyDescent="0.25">
      <c r="A158" s="1">
        <f>'Guts (option 1)'!A171</f>
        <v>17591</v>
      </c>
      <c r="B158" s="20">
        <f>'Guts (option 1)'!G171</f>
        <v>0.33937514641239314</v>
      </c>
      <c r="C158" s="20">
        <f>'Guts (option 2)'!G171</f>
        <v>0.36769816944023004</v>
      </c>
      <c r="D158" s="20"/>
      <c r="F158" s="1">
        <f t="shared" si="19"/>
        <v>17591</v>
      </c>
      <c r="G158" s="6">
        <f t="shared" si="18"/>
        <v>1947</v>
      </c>
      <c r="H158" s="112">
        <f t="shared" si="20"/>
        <v>48</v>
      </c>
      <c r="I158" s="112" t="str">
        <f t="shared" si="21"/>
        <v>48</v>
      </c>
      <c r="J158" s="19" t="str">
        <f t="shared" si="22"/>
        <v>1947/48</v>
      </c>
      <c r="K158" s="98">
        <f>'Guts (option 1)'!AB171</f>
        <v>15.591199663817113</v>
      </c>
      <c r="L158" s="98">
        <f>'Guts (option 2)'!AB171</f>
        <v>5.6307949441455554</v>
      </c>
      <c r="M158" s="14"/>
    </row>
    <row r="159" spans="1:13" x14ac:dyDescent="0.25">
      <c r="A159" s="1">
        <f>'Guts (option 1)'!A172</f>
        <v>17684</v>
      </c>
      <c r="B159" s="20">
        <f>'Guts (option 1)'!G172</f>
        <v>0.53470386979265483</v>
      </c>
      <c r="C159" s="20">
        <f>'Guts (option 2)'!G172</f>
        <v>0.603640970125493</v>
      </c>
      <c r="D159" s="20"/>
      <c r="F159" s="1">
        <f t="shared" si="19"/>
        <v>17684</v>
      </c>
      <c r="G159" s="6">
        <f t="shared" si="18"/>
        <v>1947</v>
      </c>
      <c r="H159" s="112">
        <f t="shared" si="20"/>
        <v>48</v>
      </c>
      <c r="I159" s="112" t="str">
        <f t="shared" si="21"/>
        <v>48</v>
      </c>
      <c r="J159" s="19" t="str">
        <f t="shared" si="22"/>
        <v>1947/48</v>
      </c>
      <c r="K159" s="98">
        <f>'Guts (option 1)'!AB172</f>
        <v>24.564777011757378</v>
      </c>
      <c r="L159" s="98">
        <f>'Guts (option 2)'!AB172</f>
        <v>9.2439364814794196</v>
      </c>
      <c r="M159" s="14"/>
    </row>
    <row r="160" spans="1:13" x14ac:dyDescent="0.25">
      <c r="A160" s="1">
        <f>'Guts (option 1)'!A173</f>
        <v>17776</v>
      </c>
      <c r="B160" s="20">
        <f>'Guts (option 1)'!G173</f>
        <v>0.26845061963238548</v>
      </c>
      <c r="C160" s="20">
        <f>'Guts (option 2)'!G173</f>
        <v>0.30306081855835659</v>
      </c>
      <c r="D160" s="20"/>
      <c r="F160" s="1">
        <f t="shared" si="19"/>
        <v>17776</v>
      </c>
      <c r="G160" s="6">
        <f t="shared" si="18"/>
        <v>1947</v>
      </c>
      <c r="H160" s="112">
        <f t="shared" si="20"/>
        <v>48</v>
      </c>
      <c r="I160" s="112" t="str">
        <f t="shared" si="21"/>
        <v>48</v>
      </c>
      <c r="J160" s="19" t="str">
        <f t="shared" si="22"/>
        <v>1947/48</v>
      </c>
      <c r="K160" s="98">
        <f>'Guts (option 1)'!AB173</f>
        <v>12.332863071469456</v>
      </c>
      <c r="L160" s="98">
        <f>'Guts (option 2)'!AB173</f>
        <v>4.6409622531025336</v>
      </c>
      <c r="M160" s="14"/>
    </row>
    <row r="161" spans="1:13" x14ac:dyDescent="0.25">
      <c r="A161" s="1">
        <f>'Guts (option 1)'!A174</f>
        <v>17867</v>
      </c>
      <c r="B161" s="20">
        <f>'Guts (option 1)'!G174</f>
        <v>0.35265992858975459</v>
      </c>
      <c r="C161" s="20">
        <f>'Guts (option 2)'!G174</f>
        <v>0.38828732201802141</v>
      </c>
      <c r="D161" s="20"/>
      <c r="F161" s="1">
        <f t="shared" si="19"/>
        <v>17867</v>
      </c>
      <c r="G161" s="6">
        <f t="shared" si="18"/>
        <v>1947</v>
      </c>
      <c r="H161" s="112">
        <f t="shared" si="20"/>
        <v>48</v>
      </c>
      <c r="I161" s="112" t="str">
        <f t="shared" si="21"/>
        <v>48</v>
      </c>
      <c r="J161" s="19" t="str">
        <f t="shared" si="22"/>
        <v>1947/48</v>
      </c>
      <c r="K161" s="98">
        <f>'Guts (option 1)'!AB174</f>
        <v>16.201514513349057</v>
      </c>
      <c r="L161" s="98">
        <f>'Guts (option 2)'!AB174</f>
        <v>5.9460896773659062</v>
      </c>
      <c r="M161" s="14"/>
    </row>
    <row r="162" spans="1:13" x14ac:dyDescent="0.25">
      <c r="A162" s="1">
        <f>'Guts (option 1)'!A175</f>
        <v>17957</v>
      </c>
      <c r="B162" s="20">
        <f>'Guts (option 1)'!G175</f>
        <v>0.35265992858975459</v>
      </c>
      <c r="C162" s="20">
        <f>'Guts (option 2)'!G175</f>
        <v>0.38828732201802141</v>
      </c>
      <c r="D162" s="20"/>
      <c r="F162" s="1">
        <f t="shared" si="19"/>
        <v>17957</v>
      </c>
      <c r="G162" s="6">
        <f t="shared" si="18"/>
        <v>1948</v>
      </c>
      <c r="H162" s="112">
        <f t="shared" si="20"/>
        <v>49</v>
      </c>
      <c r="I162" s="112" t="str">
        <f t="shared" si="21"/>
        <v>49</v>
      </c>
      <c r="J162" s="19" t="str">
        <f t="shared" si="22"/>
        <v>1948/49</v>
      </c>
      <c r="K162" s="98">
        <f>'Guts (option 1)'!AB175</f>
        <v>16.201514513349057</v>
      </c>
      <c r="L162" s="98">
        <f>'Guts (option 2)'!AB175</f>
        <v>5.9460896773659062</v>
      </c>
      <c r="M162" s="14"/>
    </row>
    <row r="163" spans="1:13" x14ac:dyDescent="0.25">
      <c r="A163" s="1">
        <f>'Guts (option 1)'!A176</f>
        <v>18049</v>
      </c>
      <c r="B163" s="20">
        <f>'Guts (option 1)'!G176</f>
        <v>0.51376883859896016</v>
      </c>
      <c r="C163" s="20">
        <f>'Guts (option 2)'!G176</f>
        <v>0.55904216982289268</v>
      </c>
      <c r="D163" s="20"/>
      <c r="F163" s="1">
        <f t="shared" si="19"/>
        <v>18049</v>
      </c>
      <c r="G163" s="6">
        <f t="shared" si="18"/>
        <v>1948</v>
      </c>
      <c r="H163" s="112">
        <f t="shared" si="20"/>
        <v>49</v>
      </c>
      <c r="I163" s="112" t="str">
        <f t="shared" si="21"/>
        <v>49</v>
      </c>
      <c r="J163" s="19" t="str">
        <f t="shared" si="22"/>
        <v>1948/49</v>
      </c>
      <c r="K163" s="98">
        <f>'Guts (option 1)'!AB176</f>
        <v>23.603002837190971</v>
      </c>
      <c r="L163" s="98">
        <f>'Guts (option 2)'!AB176</f>
        <v>8.5609668065388416</v>
      </c>
      <c r="M163" s="14"/>
    </row>
    <row r="164" spans="1:13" x14ac:dyDescent="0.25">
      <c r="A164" s="1">
        <f>'Guts (option 1)'!A177</f>
        <v>18141</v>
      </c>
      <c r="B164" s="20">
        <f>'Guts (option 1)'!G177</f>
        <v>0.25794008770346949</v>
      </c>
      <c r="C164" s="20">
        <f>'Guts (option 2)'!G177</f>
        <v>0.28066977885868738</v>
      </c>
      <c r="D164" s="20"/>
      <c r="F164" s="1">
        <f t="shared" si="19"/>
        <v>18141</v>
      </c>
      <c r="G164" s="6">
        <f t="shared" si="18"/>
        <v>1948</v>
      </c>
      <c r="H164" s="112">
        <f t="shared" si="20"/>
        <v>49</v>
      </c>
      <c r="I164" s="112" t="str">
        <f t="shared" si="21"/>
        <v>49</v>
      </c>
      <c r="J164" s="19" t="str">
        <f t="shared" si="22"/>
        <v>1948/49</v>
      </c>
      <c r="K164" s="98">
        <f>'Guts (option 1)'!AB177</f>
        <v>11.84999977517632</v>
      </c>
      <c r="L164" s="98">
        <f>'Guts (option 2)'!AB177</f>
        <v>4.2980740811896903</v>
      </c>
      <c r="M164" s="14"/>
    </row>
    <row r="165" spans="1:13" x14ac:dyDescent="0.25">
      <c r="A165" s="1">
        <f>'Guts (option 1)'!A178</f>
        <v>18232</v>
      </c>
      <c r="B165" s="20">
        <f>'Guts (option 1)'!G178</f>
        <v>0.31299808672294765</v>
      </c>
      <c r="C165" s="20">
        <f>'Guts (option 2)'!G178</f>
        <v>0.34431473019254027</v>
      </c>
      <c r="D165" s="20"/>
      <c r="F165" s="1">
        <f t="shared" si="19"/>
        <v>18232</v>
      </c>
      <c r="G165" s="6">
        <f t="shared" si="18"/>
        <v>1948</v>
      </c>
      <c r="H165" s="112">
        <f t="shared" si="20"/>
        <v>49</v>
      </c>
      <c r="I165" s="112" t="str">
        <f t="shared" si="21"/>
        <v>49</v>
      </c>
      <c r="J165" s="19" t="str">
        <f t="shared" si="22"/>
        <v>1948/49</v>
      </c>
      <c r="K165" s="98">
        <f>'Guts (option 1)'!AB178</f>
        <v>14.379413802330268</v>
      </c>
      <c r="L165" s="98">
        <f>'Guts (option 2)'!AB178</f>
        <v>5.2727095294341577</v>
      </c>
      <c r="M165" s="14"/>
    </row>
    <row r="166" spans="1:13" x14ac:dyDescent="0.25">
      <c r="A166" s="1">
        <f>'Guts (option 1)'!A179</f>
        <v>18322</v>
      </c>
      <c r="B166" s="20">
        <f>'Guts (option 1)'!G179</f>
        <v>0.31299808672294765</v>
      </c>
      <c r="C166" s="20">
        <f>'Guts (option 2)'!G179</f>
        <v>0.34431473019254027</v>
      </c>
      <c r="D166" s="20"/>
      <c r="F166" s="1">
        <f t="shared" si="19"/>
        <v>18322</v>
      </c>
      <c r="G166" s="6">
        <f t="shared" si="18"/>
        <v>1949</v>
      </c>
      <c r="H166" s="112">
        <f t="shared" si="20"/>
        <v>50</v>
      </c>
      <c r="I166" s="112" t="str">
        <f t="shared" si="21"/>
        <v>50</v>
      </c>
      <c r="J166" s="19" t="str">
        <f t="shared" si="22"/>
        <v>1949/50</v>
      </c>
      <c r="K166" s="98">
        <f>'Guts (option 1)'!AB179</f>
        <v>14.379413802330268</v>
      </c>
      <c r="L166" s="98">
        <f>'Guts (option 2)'!AB179</f>
        <v>5.2727095294341577</v>
      </c>
      <c r="M166" s="14"/>
    </row>
    <row r="167" spans="1:13" x14ac:dyDescent="0.25">
      <c r="A167" s="1">
        <f>'Guts (option 1)'!A180</f>
        <v>18414</v>
      </c>
      <c r="B167" s="20">
        <f>'Guts (option 1)'!G180</f>
        <v>1.0169655205321206</v>
      </c>
      <c r="C167" s="20">
        <f>'Guts (option 2)'!G180</f>
        <v>1.1164070297199327</v>
      </c>
      <c r="D167" s="20"/>
      <c r="F167" s="1">
        <f t="shared" si="19"/>
        <v>18414</v>
      </c>
      <c r="G167" s="6">
        <f t="shared" si="18"/>
        <v>1949</v>
      </c>
      <c r="H167" s="112">
        <f t="shared" si="20"/>
        <v>50</v>
      </c>
      <c r="I167" s="112" t="str">
        <f t="shared" si="21"/>
        <v>50</v>
      </c>
      <c r="J167" s="19" t="str">
        <f t="shared" si="22"/>
        <v>1949/50</v>
      </c>
      <c r="K167" s="98">
        <f>'Guts (option 1)'!AB180</f>
        <v>46.720311282214098</v>
      </c>
      <c r="L167" s="98">
        <f>'Guts (option 2)'!AB180</f>
        <v>17.096247903886816</v>
      </c>
      <c r="M167" s="14"/>
    </row>
    <row r="168" spans="1:13" x14ac:dyDescent="0.25">
      <c r="A168" s="1">
        <f>'Guts (option 1)'!A181</f>
        <v>18506</v>
      </c>
      <c r="B168" s="20">
        <f>'Guts (option 1)'!G181</f>
        <v>0.51057237389638477</v>
      </c>
      <c r="C168" s="20">
        <f>'Guts (option 2)'!G181</f>
        <v>0.56049745629573111</v>
      </c>
      <c r="D168" s="20"/>
      <c r="F168" s="1">
        <f t="shared" si="19"/>
        <v>18506</v>
      </c>
      <c r="G168" s="6">
        <f t="shared" si="18"/>
        <v>1949</v>
      </c>
      <c r="H168" s="112">
        <f t="shared" si="20"/>
        <v>50</v>
      </c>
      <c r="I168" s="112" t="str">
        <f t="shared" si="21"/>
        <v>50</v>
      </c>
      <c r="J168" s="19" t="str">
        <f t="shared" si="22"/>
        <v>1949/50</v>
      </c>
      <c r="K168" s="98">
        <f>'Guts (option 1)'!AB181</f>
        <v>23.456154371936421</v>
      </c>
      <c r="L168" s="98">
        <f>'Guts (option 2)'!AB181</f>
        <v>8.58325252997885</v>
      </c>
      <c r="M168" s="14"/>
    </row>
    <row r="169" spans="1:13" x14ac:dyDescent="0.25">
      <c r="A169" s="1">
        <f>'Guts (option 1)'!A182</f>
        <v>18597</v>
      </c>
      <c r="B169" s="20">
        <f>'Guts (option 1)'!G182</f>
        <v>0.54117141043306827</v>
      </c>
      <c r="C169" s="20">
        <f>'Guts (option 2)'!G182</f>
        <v>0.60945097881081289</v>
      </c>
      <c r="D169" s="20"/>
      <c r="F169" s="1">
        <f t="shared" si="19"/>
        <v>18597</v>
      </c>
      <c r="G169" s="6">
        <f t="shared" si="18"/>
        <v>1949</v>
      </c>
      <c r="H169" s="112">
        <f t="shared" si="20"/>
        <v>50</v>
      </c>
      <c r="I169" s="112" t="str">
        <f t="shared" si="21"/>
        <v>50</v>
      </c>
      <c r="J169" s="19" t="str">
        <f t="shared" si="22"/>
        <v>1949/50</v>
      </c>
      <c r="K169" s="98">
        <f>'Guts (option 1)'!AB182</f>
        <v>24.861901649564548</v>
      </c>
      <c r="L169" s="98">
        <f>'Guts (option 2)'!AB182</f>
        <v>9.3329088241498912</v>
      </c>
      <c r="M169" s="14"/>
    </row>
    <row r="170" spans="1:13" x14ac:dyDescent="0.25">
      <c r="A170" s="1">
        <f>'Guts (option 1)'!A183</f>
        <v>18687</v>
      </c>
      <c r="B170" s="20">
        <f>'Guts (option 1)'!G183</f>
        <v>1.1808505573256585</v>
      </c>
      <c r="C170" s="20">
        <f>'Guts (option 2)'!G183</f>
        <v>1.3687707795691331</v>
      </c>
      <c r="D170" s="20"/>
      <c r="F170" s="1">
        <f t="shared" si="19"/>
        <v>18687</v>
      </c>
      <c r="G170" s="6">
        <f t="shared" si="18"/>
        <v>1950</v>
      </c>
      <c r="H170" s="112">
        <f t="shared" si="20"/>
        <v>51</v>
      </c>
      <c r="I170" s="112" t="str">
        <f t="shared" si="21"/>
        <v>51</v>
      </c>
      <c r="J170" s="19" t="str">
        <f t="shared" si="22"/>
        <v>1950/51</v>
      </c>
      <c r="K170" s="98">
        <f>'Guts (option 1)'!AB183</f>
        <v>54.249337369042351</v>
      </c>
      <c r="L170" s="98">
        <f>'Guts (option 2)'!AB183</f>
        <v>20.960853835702526</v>
      </c>
      <c r="M170" s="14"/>
    </row>
    <row r="171" spans="1:13" x14ac:dyDescent="0.25">
      <c r="A171" s="1">
        <f>'Guts (option 1)'!A184</f>
        <v>18779</v>
      </c>
      <c r="B171" s="20">
        <f>'Guts (option 1)'!G184</f>
        <v>1.7192525370401601</v>
      </c>
      <c r="C171" s="20">
        <f>'Guts (option 2)'!G184</f>
        <v>2.0051812977355756</v>
      </c>
      <c r="D171" s="20"/>
      <c r="F171" s="1">
        <f t="shared" si="19"/>
        <v>18779</v>
      </c>
      <c r="G171" s="6">
        <f t="shared" si="18"/>
        <v>1950</v>
      </c>
      <c r="H171" s="112">
        <f t="shared" si="20"/>
        <v>51</v>
      </c>
      <c r="I171" s="112" t="str">
        <f t="shared" si="21"/>
        <v>51</v>
      </c>
      <c r="J171" s="19" t="str">
        <f t="shared" si="22"/>
        <v>1950/51</v>
      </c>
      <c r="K171" s="98">
        <f>'Guts (option 1)'!AB184</f>
        <v>78.984008878908298</v>
      </c>
      <c r="L171" s="98">
        <f>'Guts (option 2)'!AB184</f>
        <v>16.670342076231073</v>
      </c>
      <c r="M171" s="14"/>
    </row>
    <row r="172" spans="1:13" x14ac:dyDescent="0.25">
      <c r="A172" s="1">
        <f>'Guts (option 1)'!A185</f>
        <v>18871</v>
      </c>
      <c r="B172" s="20">
        <f>'Guts (option 1)'!G185</f>
        <v>0.86315890897134062</v>
      </c>
      <c r="C172" s="20">
        <f>'Guts (option 2)'!G185</f>
        <v>1.0067108024879692</v>
      </c>
      <c r="D172" s="20"/>
      <c r="F172" s="1">
        <f t="shared" si="19"/>
        <v>18871</v>
      </c>
      <c r="G172" s="6">
        <f t="shared" si="18"/>
        <v>1950</v>
      </c>
      <c r="H172" s="112">
        <f t="shared" si="20"/>
        <v>51</v>
      </c>
      <c r="I172" s="112" t="str">
        <f t="shared" si="21"/>
        <v>51</v>
      </c>
      <c r="J172" s="19" t="str">
        <f t="shared" si="22"/>
        <v>1950/51</v>
      </c>
      <c r="K172" s="98">
        <f>'Guts (option 1)'!AB185</f>
        <v>39.654297121161463</v>
      </c>
      <c r="L172" s="98">
        <f>'Guts (option 2)'!AB185</f>
        <v>8.3694244845907271</v>
      </c>
      <c r="M172" s="14"/>
    </row>
    <row r="173" spans="1:13" x14ac:dyDescent="0.25">
      <c r="A173" s="1">
        <f>'Guts (option 1)'!A186</f>
        <v>18962</v>
      </c>
      <c r="B173" s="20">
        <f>'Guts (option 1)'!G186</f>
        <v>0.86315890897134062</v>
      </c>
      <c r="C173" s="20">
        <f>'Guts (option 2)'!G186</f>
        <v>1.0067108024879692</v>
      </c>
      <c r="D173" s="20"/>
      <c r="F173" s="1">
        <f t="shared" si="19"/>
        <v>18962</v>
      </c>
      <c r="G173" s="6">
        <f t="shared" si="18"/>
        <v>1950</v>
      </c>
      <c r="H173" s="112">
        <f t="shared" si="20"/>
        <v>51</v>
      </c>
      <c r="I173" s="112" t="str">
        <f t="shared" si="21"/>
        <v>51</v>
      </c>
      <c r="J173" s="19" t="str">
        <f t="shared" si="22"/>
        <v>1950/51</v>
      </c>
      <c r="K173" s="98">
        <f>'Guts (option 1)'!AB186</f>
        <v>39.654297121161463</v>
      </c>
      <c r="L173" s="98">
        <f>'Guts (option 2)'!AB186</f>
        <v>15.416400102006513</v>
      </c>
      <c r="M173" s="14"/>
    </row>
    <row r="174" spans="1:13" x14ac:dyDescent="0.25">
      <c r="A174" s="1">
        <f>'Guts (option 1)'!A187</f>
        <v>19052</v>
      </c>
      <c r="B174" s="20">
        <f>'Guts (option 1)'!G187</f>
        <v>0.16099999999999995</v>
      </c>
      <c r="C174" s="20">
        <f>'Guts (option 2)'!G187</f>
        <v>0.16099999999999995</v>
      </c>
      <c r="D174" s="20"/>
      <c r="F174" s="1">
        <f t="shared" si="19"/>
        <v>19052</v>
      </c>
      <c r="G174" s="6">
        <f t="shared" ref="G174:G237" si="23">IF(YEAR(F174)&gt;DATE(YEAR(F174),7,1),YEAR(F174),YEAR(F174)-1)</f>
        <v>1951</v>
      </c>
      <c r="H174" s="112">
        <f t="shared" si="20"/>
        <v>52</v>
      </c>
      <c r="I174" s="112" t="str">
        <f t="shared" si="21"/>
        <v>52</v>
      </c>
      <c r="J174" s="19" t="str">
        <f t="shared" si="22"/>
        <v>1951/52</v>
      </c>
      <c r="K174" s="98">
        <f>'Guts (option 1)'!AB187</f>
        <v>87.769863621417585</v>
      </c>
      <c r="L174" s="98">
        <f>'Guts (option 2)'!AB187</f>
        <v>34.110950103665381</v>
      </c>
      <c r="M174" s="14"/>
    </row>
    <row r="175" spans="1:13" x14ac:dyDescent="0.25">
      <c r="A175" s="1">
        <f>'Guts (option 1)'!A188</f>
        <v>19145</v>
      </c>
      <c r="B175" s="20">
        <f>'Guts (option 1)'!G188</f>
        <v>0.16099999999999995</v>
      </c>
      <c r="C175" s="20">
        <f>'Guts (option 2)'!G188</f>
        <v>0.16099999999999995</v>
      </c>
      <c r="D175" s="20"/>
      <c r="F175" s="1">
        <f t="shared" si="19"/>
        <v>19145</v>
      </c>
      <c r="G175" s="6">
        <f t="shared" si="23"/>
        <v>1951</v>
      </c>
      <c r="H175" s="112">
        <f t="shared" si="20"/>
        <v>52</v>
      </c>
      <c r="I175" s="112" t="str">
        <f t="shared" si="21"/>
        <v>52</v>
      </c>
      <c r="J175" s="19" t="str">
        <f t="shared" si="22"/>
        <v>1951/52</v>
      </c>
      <c r="K175" s="98">
        <f>'Guts (option 1)'!AB188</f>
        <v>7.3964848999999973</v>
      </c>
      <c r="L175" s="98">
        <f>'Guts (option 2)'!AB188</f>
        <v>2.4654949666666659</v>
      </c>
      <c r="M175" s="14"/>
    </row>
    <row r="176" spans="1:13" x14ac:dyDescent="0.25">
      <c r="A176" s="1">
        <f>'Guts (option 1)'!A189</f>
        <v>19237</v>
      </c>
      <c r="B176" s="20">
        <f>'Guts (option 1)'!G189</f>
        <v>0.161</v>
      </c>
      <c r="C176" s="20">
        <f>'Guts (option 2)'!G189</f>
        <v>0.161</v>
      </c>
      <c r="D176" s="20"/>
      <c r="F176" s="1">
        <f t="shared" ref="F176:F239" si="24">A176</f>
        <v>19237</v>
      </c>
      <c r="G176" s="6">
        <f t="shared" si="23"/>
        <v>1951</v>
      </c>
      <c r="H176" s="112">
        <f t="shared" si="20"/>
        <v>52</v>
      </c>
      <c r="I176" s="112" t="str">
        <f t="shared" si="21"/>
        <v>52</v>
      </c>
      <c r="J176" s="19" t="str">
        <f t="shared" si="22"/>
        <v>1951/52</v>
      </c>
      <c r="K176" s="98">
        <f>'Guts (option 1)'!AB189</f>
        <v>0</v>
      </c>
      <c r="L176" s="98">
        <f>'Guts (option 2)'!AB189</f>
        <v>-1.1270000000000002</v>
      </c>
      <c r="M176" s="14"/>
    </row>
    <row r="177" spans="1:13" x14ac:dyDescent="0.25">
      <c r="A177" s="1">
        <f>'Guts (option 1)'!A190</f>
        <v>19328</v>
      </c>
      <c r="B177" s="20">
        <f>'Guts (option 1)'!G190</f>
        <v>0.30386925626761707</v>
      </c>
      <c r="C177" s="20">
        <f>'Guts (option 2)'!G190</f>
        <v>0.30459075539867286</v>
      </c>
      <c r="D177" s="20"/>
      <c r="F177" s="1">
        <f t="shared" si="24"/>
        <v>19328</v>
      </c>
      <c r="G177" s="6">
        <f t="shared" si="23"/>
        <v>1951</v>
      </c>
      <c r="H177" s="112">
        <f t="shared" si="20"/>
        <v>52</v>
      </c>
      <c r="I177" s="112" t="str">
        <f t="shared" si="21"/>
        <v>52</v>
      </c>
      <c r="J177" s="19" t="str">
        <f t="shared" si="22"/>
        <v>1951/52</v>
      </c>
      <c r="K177" s="98">
        <f>'Guts (option 1)'!AB190</f>
        <v>-33.742163901164751</v>
      </c>
      <c r="L177" s="98">
        <f>'Guts (option 2)'!AB190</f>
        <v>-11.305949646525614</v>
      </c>
      <c r="M177" s="14"/>
    </row>
    <row r="178" spans="1:13" x14ac:dyDescent="0.25">
      <c r="A178" s="1">
        <f>'Guts (option 1)'!A191</f>
        <v>19418</v>
      </c>
      <c r="B178" s="20">
        <f>'Guts (option 1)'!G191</f>
        <v>0.30386925626761707</v>
      </c>
      <c r="C178" s="20">
        <f>'Guts (option 2)'!G191</f>
        <v>0.30459075539867286</v>
      </c>
      <c r="D178" s="20"/>
      <c r="F178" s="1">
        <f t="shared" si="24"/>
        <v>19418</v>
      </c>
      <c r="G178" s="6">
        <f t="shared" si="23"/>
        <v>1952</v>
      </c>
      <c r="H178" s="112">
        <f t="shared" si="20"/>
        <v>53</v>
      </c>
      <c r="I178" s="112" t="str">
        <f t="shared" si="21"/>
        <v>53</v>
      </c>
      <c r="J178" s="19" t="str">
        <f t="shared" si="22"/>
        <v>1952/53</v>
      </c>
      <c r="K178" s="98">
        <f>'Guts (option 1)'!AB191</f>
        <v>13.960027115264969</v>
      </c>
      <c r="L178" s="98">
        <f>'Guts (option 2)'!AB191</f>
        <v>4.6643911448982962</v>
      </c>
      <c r="M178" s="14"/>
    </row>
    <row r="179" spans="1:13" x14ac:dyDescent="0.25">
      <c r="A179" s="1">
        <f>'Guts (option 1)'!A192</f>
        <v>19510</v>
      </c>
      <c r="B179" s="20">
        <f>'Guts (option 1)'!G192</f>
        <v>0.50170571236565453</v>
      </c>
      <c r="C179" s="20">
        <f>'Guts (option 2)'!G192</f>
        <v>0.55198626678008034</v>
      </c>
      <c r="D179" s="20"/>
      <c r="F179" s="1">
        <f t="shared" si="24"/>
        <v>19510</v>
      </c>
      <c r="G179" s="6">
        <f t="shared" si="23"/>
        <v>1952</v>
      </c>
      <c r="H179" s="112">
        <f t="shared" si="20"/>
        <v>53</v>
      </c>
      <c r="I179" s="112" t="str">
        <f t="shared" si="21"/>
        <v>53</v>
      </c>
      <c r="J179" s="19" t="str">
        <f t="shared" si="22"/>
        <v>1952/53</v>
      </c>
      <c r="K179" s="98">
        <f>'Guts (option 1)'!AB192</f>
        <v>23.048811961219297</v>
      </c>
      <c r="L179" s="98">
        <f>'Guts (option 2)'!AB192</f>
        <v>8.4529152945056634</v>
      </c>
      <c r="M179" s="14"/>
    </row>
    <row r="180" spans="1:13" x14ac:dyDescent="0.25">
      <c r="A180" s="1">
        <f>'Guts (option 1)'!A193</f>
        <v>19602</v>
      </c>
      <c r="B180" s="20">
        <f>'Guts (option 1)'!G193</f>
        <v>0.25188373783397938</v>
      </c>
      <c r="C180" s="20">
        <f>'Guts (option 2)'!G193</f>
        <v>0.27712732919464528</v>
      </c>
      <c r="D180" s="20"/>
      <c r="F180" s="1">
        <f t="shared" si="24"/>
        <v>19602</v>
      </c>
      <c r="G180" s="6">
        <f t="shared" si="23"/>
        <v>1952</v>
      </c>
      <c r="H180" s="112">
        <f t="shared" si="20"/>
        <v>53</v>
      </c>
      <c r="I180" s="112" t="str">
        <f t="shared" si="21"/>
        <v>53</v>
      </c>
      <c r="J180" s="19" t="str">
        <f t="shared" si="22"/>
        <v>1952/53</v>
      </c>
      <c r="K180" s="98">
        <f>'Guts (option 1)'!AB193</f>
        <v>11.571765611457064</v>
      </c>
      <c r="L180" s="98">
        <f>'Guts (option 2)'!AB193</f>
        <v>4.2438263059327586</v>
      </c>
      <c r="M180" s="14"/>
    </row>
    <row r="181" spans="1:13" x14ac:dyDescent="0.25">
      <c r="A181" s="1">
        <f>'Guts (option 1)'!A194</f>
        <v>19693</v>
      </c>
      <c r="B181" s="20">
        <f>'Guts (option 1)'!G194</f>
        <v>0.22834458949563491</v>
      </c>
      <c r="C181" s="20">
        <f>'Guts (option 2)'!G194</f>
        <v>0.2535881808563008</v>
      </c>
      <c r="D181" s="20"/>
      <c r="F181" s="1">
        <f t="shared" si="24"/>
        <v>19693</v>
      </c>
      <c r="G181" s="6">
        <f t="shared" si="23"/>
        <v>1952</v>
      </c>
      <c r="H181" s="112">
        <f t="shared" si="20"/>
        <v>53</v>
      </c>
      <c r="I181" s="112" t="str">
        <f t="shared" si="21"/>
        <v>53</v>
      </c>
      <c r="J181" s="19" t="str">
        <f t="shared" si="22"/>
        <v>1952/53</v>
      </c>
      <c r="K181" s="98">
        <f>'Guts (option 1)'!AB194</f>
        <v>10.490355951560014</v>
      </c>
      <c r="L181" s="98">
        <f>'Guts (option 2)'!AB194</f>
        <v>3.88335641930041</v>
      </c>
      <c r="M181" s="14"/>
    </row>
    <row r="182" spans="1:13" x14ac:dyDescent="0.25">
      <c r="A182" s="1">
        <f>'Guts (option 1)'!A195</f>
        <v>19783</v>
      </c>
      <c r="B182" s="20">
        <f>'Guts (option 1)'!G195</f>
        <v>0.22834458949563491</v>
      </c>
      <c r="C182" s="20">
        <f>'Guts (option 2)'!G195</f>
        <v>0.2535881808563008</v>
      </c>
      <c r="D182" s="20"/>
      <c r="F182" s="1">
        <f t="shared" si="24"/>
        <v>19783</v>
      </c>
      <c r="G182" s="6">
        <f t="shared" si="23"/>
        <v>1953</v>
      </c>
      <c r="H182" s="112">
        <f t="shared" si="20"/>
        <v>54</v>
      </c>
      <c r="I182" s="112" t="str">
        <f t="shared" si="21"/>
        <v>54</v>
      </c>
      <c r="J182" s="19" t="str">
        <f t="shared" si="22"/>
        <v>1953/54</v>
      </c>
      <c r="K182" s="98">
        <f>'Guts (option 1)'!AB195</f>
        <v>10.490355951560014</v>
      </c>
      <c r="L182" s="98">
        <f>'Guts (option 2)'!AB195</f>
        <v>3.88335641930041</v>
      </c>
      <c r="M182" s="14"/>
    </row>
    <row r="183" spans="1:13" x14ac:dyDescent="0.25">
      <c r="A183" s="1">
        <f>'Guts (option 1)'!A196</f>
        <v>19875</v>
      </c>
      <c r="B183" s="20">
        <f>'Guts (option 1)'!G196</f>
        <v>0.23543608166654528</v>
      </c>
      <c r="C183" s="20">
        <f>'Guts (option 2)'!G196</f>
        <v>0.29356395651691947</v>
      </c>
      <c r="D183" s="20"/>
      <c r="F183" s="1">
        <f t="shared" si="24"/>
        <v>19875</v>
      </c>
      <c r="G183" s="6">
        <f t="shared" si="23"/>
        <v>1953</v>
      </c>
      <c r="H183" s="112">
        <f t="shared" si="20"/>
        <v>54</v>
      </c>
      <c r="I183" s="112" t="str">
        <f t="shared" si="21"/>
        <v>54</v>
      </c>
      <c r="J183" s="19" t="str">
        <f t="shared" si="22"/>
        <v>1953/54</v>
      </c>
      <c r="K183" s="98">
        <f>'Guts (option 1)'!AB196</f>
        <v>10.816145484234591</v>
      </c>
      <c r="L183" s="98">
        <f>'Guts (option 2)'!AB196</f>
        <v>4.4955307899827144</v>
      </c>
      <c r="M183" s="14"/>
    </row>
    <row r="184" spans="1:13" x14ac:dyDescent="0.25">
      <c r="A184" s="1">
        <f>'Guts (option 1)'!A197</f>
        <v>19967</v>
      </c>
      <c r="B184" s="20">
        <f>'Guts (option 1)'!G197</f>
        <v>0.161</v>
      </c>
      <c r="C184" s="20">
        <f>'Guts (option 2)'!G197</f>
        <v>0.161</v>
      </c>
      <c r="D184" s="20"/>
      <c r="F184" s="1">
        <f t="shared" si="24"/>
        <v>19967</v>
      </c>
      <c r="G184" s="6">
        <f t="shared" si="23"/>
        <v>1953</v>
      </c>
      <c r="H184" s="112">
        <f t="shared" si="20"/>
        <v>54</v>
      </c>
      <c r="I184" s="112" t="str">
        <f t="shared" si="21"/>
        <v>54</v>
      </c>
      <c r="J184" s="19" t="str">
        <f t="shared" si="22"/>
        <v>1953/54</v>
      </c>
      <c r="K184" s="98">
        <f>'Guts (option 1)'!AB197</f>
        <v>0</v>
      </c>
      <c r="L184" s="98">
        <f>'Guts (option 2)'!AB197</f>
        <v>-1.1270000000000002</v>
      </c>
      <c r="M184" s="14"/>
    </row>
    <row r="185" spans="1:13" x14ac:dyDescent="0.25">
      <c r="A185" s="1">
        <f>'Guts (option 1)'!A198</f>
        <v>20058</v>
      </c>
      <c r="B185" s="20">
        <f>'Guts (option 1)'!G198</f>
        <v>0.37549801158690382</v>
      </c>
      <c r="C185" s="20">
        <f>'Guts (option 2)'!G198</f>
        <v>0.41306840065692974</v>
      </c>
      <c r="D185" s="20"/>
      <c r="F185" s="1">
        <f t="shared" si="24"/>
        <v>20058</v>
      </c>
      <c r="G185" s="6">
        <f t="shared" si="23"/>
        <v>1953</v>
      </c>
      <c r="H185" s="112">
        <f t="shared" si="20"/>
        <v>54</v>
      </c>
      <c r="I185" s="112" t="str">
        <f t="shared" si="21"/>
        <v>54</v>
      </c>
      <c r="J185" s="19" t="str">
        <f t="shared" si="22"/>
        <v>1953/54</v>
      </c>
      <c r="K185" s="98">
        <f>'Guts (option 1)'!AB198</f>
        <v>-51.183765821411072</v>
      </c>
      <c r="L185" s="98">
        <f>'Guts (option 2)'!AB198</f>
        <v>-20.110718519987461</v>
      </c>
      <c r="M185" s="14"/>
    </row>
    <row r="186" spans="1:13" x14ac:dyDescent="0.25">
      <c r="A186" s="1">
        <f>'Guts (option 1)'!A199</f>
        <v>20148</v>
      </c>
      <c r="B186" s="20">
        <f>'Guts (option 1)'!G199</f>
        <v>0.76825255673327852</v>
      </c>
      <c r="C186" s="20">
        <f>'Guts (option 2)'!G199</f>
        <v>0.83831364311460321</v>
      </c>
      <c r="D186" s="20"/>
      <c r="F186" s="1">
        <f t="shared" si="24"/>
        <v>20148</v>
      </c>
      <c r="G186" s="6">
        <f t="shared" si="23"/>
        <v>1954</v>
      </c>
      <c r="H186" s="112">
        <f t="shared" si="20"/>
        <v>55</v>
      </c>
      <c r="I186" s="112" t="str">
        <f t="shared" si="21"/>
        <v>55</v>
      </c>
      <c r="J186" s="19" t="str">
        <f t="shared" si="22"/>
        <v>1954/55</v>
      </c>
      <c r="K186" s="98">
        <f>'Guts (option 1)'!AB199</f>
        <v>35.294213883627876</v>
      </c>
      <c r="L186" s="98">
        <f>'Guts (option 2)'!AB199</f>
        <v>12.837627748987892</v>
      </c>
      <c r="M186" s="14"/>
    </row>
    <row r="187" spans="1:13" x14ac:dyDescent="0.25">
      <c r="A187" s="1">
        <f>'Guts (option 1)'!A200</f>
        <v>20240</v>
      </c>
      <c r="B187" s="20">
        <f>'Guts (option 1)'!G200</f>
        <v>1.2002350230824197</v>
      </c>
      <c r="C187" s="20">
        <f>'Guts (option 2)'!G200</f>
        <v>1.2768299230589908</v>
      </c>
      <c r="D187" s="20"/>
      <c r="F187" s="1">
        <f t="shared" si="24"/>
        <v>20240</v>
      </c>
      <c r="G187" s="6">
        <f t="shared" si="23"/>
        <v>1954</v>
      </c>
      <c r="H187" s="112">
        <f t="shared" si="20"/>
        <v>55</v>
      </c>
      <c r="I187" s="112" t="str">
        <f t="shared" si="21"/>
        <v>55</v>
      </c>
      <c r="J187" s="19" t="str">
        <f t="shared" si="22"/>
        <v>1954/55</v>
      </c>
      <c r="K187" s="98">
        <f>'Guts (option 1)'!AB200</f>
        <v>55.139877171927132</v>
      </c>
      <c r="L187" s="98">
        <f>'Guts (option 2)'!AB200</f>
        <v>19.552905270753595</v>
      </c>
      <c r="M187" s="14"/>
    </row>
    <row r="188" spans="1:13" x14ac:dyDescent="0.25">
      <c r="A188" s="1">
        <f>'Guts (option 1)'!A201</f>
        <v>20332</v>
      </c>
      <c r="B188" s="20">
        <f>'Guts (option 1)'!G201</f>
        <v>0.60258369885355201</v>
      </c>
      <c r="C188" s="20">
        <f>'Guts (option 2)'!G201</f>
        <v>0.64103853249327214</v>
      </c>
      <c r="D188" s="20"/>
      <c r="F188" s="1">
        <f t="shared" si="24"/>
        <v>20332</v>
      </c>
      <c r="G188" s="6">
        <f t="shared" si="23"/>
        <v>1954</v>
      </c>
      <c r="H188" s="112">
        <f t="shared" si="20"/>
        <v>55</v>
      </c>
      <c r="I188" s="112" t="str">
        <f t="shared" si="21"/>
        <v>55</v>
      </c>
      <c r="J188" s="19" t="str">
        <f t="shared" si="22"/>
        <v>1954/55</v>
      </c>
      <c r="K188" s="98">
        <f>'Guts (option 1)'!AB201</f>
        <v>27.683237450661146</v>
      </c>
      <c r="L188" s="98">
        <f>'Guts (option 2)'!AB201</f>
        <v>9.8166290391400555</v>
      </c>
      <c r="M188" s="14"/>
    </row>
    <row r="189" spans="1:13" x14ac:dyDescent="0.25">
      <c r="A189" s="1">
        <f>'Guts (option 1)'!A202</f>
        <v>20423</v>
      </c>
      <c r="B189" s="20">
        <f>'Guts (option 1)'!G202</f>
        <v>0.60486206159360412</v>
      </c>
      <c r="C189" s="20">
        <f>'Guts (option 2)'!G202</f>
        <v>0.64665916426994297</v>
      </c>
      <c r="D189" s="20"/>
      <c r="F189" s="1">
        <f t="shared" si="24"/>
        <v>20423</v>
      </c>
      <c r="G189" s="6">
        <f t="shared" si="23"/>
        <v>1954</v>
      </c>
      <c r="H189" s="112">
        <f t="shared" si="20"/>
        <v>55</v>
      </c>
      <c r="I189" s="112" t="str">
        <f t="shared" si="21"/>
        <v>55</v>
      </c>
      <c r="J189" s="19" t="str">
        <f t="shared" si="22"/>
        <v>1954/55</v>
      </c>
      <c r="K189" s="98">
        <f>'Guts (option 1)'!AB202</f>
        <v>27.787907485465606</v>
      </c>
      <c r="L189" s="98">
        <f>'Guts (option 2)'!AB202</f>
        <v>9.9027013332696754</v>
      </c>
      <c r="M189" s="14"/>
    </row>
    <row r="190" spans="1:13" x14ac:dyDescent="0.25">
      <c r="A190" s="1">
        <f>'Guts (option 1)'!A203</f>
        <v>20513</v>
      </c>
      <c r="B190" s="20">
        <f>'Guts (option 1)'!G203</f>
        <v>1.1554803643770972</v>
      </c>
      <c r="C190" s="20">
        <f>'Guts (option 2)'!G203</f>
        <v>1.2186850280596842</v>
      </c>
      <c r="D190" s="20"/>
      <c r="F190" s="1">
        <f t="shared" si="24"/>
        <v>20513</v>
      </c>
      <c r="G190" s="6">
        <f t="shared" si="23"/>
        <v>1955</v>
      </c>
      <c r="H190" s="112">
        <f t="shared" si="20"/>
        <v>56</v>
      </c>
      <c r="I190" s="112" t="str">
        <f t="shared" si="21"/>
        <v>56</v>
      </c>
      <c r="J190" s="19" t="str">
        <f t="shared" si="22"/>
        <v>1955/56</v>
      </c>
      <c r="K190" s="98">
        <f>'Guts (option 1)'!AB203</f>
        <v>53.083807871811786</v>
      </c>
      <c r="L190" s="98">
        <f>'Guts (option 2)'!AB203</f>
        <v>18.662495668529044</v>
      </c>
      <c r="M190" s="14"/>
    </row>
    <row r="191" spans="1:13" x14ac:dyDescent="0.25">
      <c r="A191" s="1">
        <f>'Guts (option 1)'!A204</f>
        <v>20606</v>
      </c>
      <c r="B191" s="20">
        <f>'Guts (option 1)'!G204</f>
        <v>2.5300000000000002</v>
      </c>
      <c r="C191" s="20">
        <f>'Guts (option 2)'!G204</f>
        <v>2.5300000000000002</v>
      </c>
      <c r="D191" s="20"/>
      <c r="F191" s="1">
        <f t="shared" si="24"/>
        <v>20606</v>
      </c>
      <c r="G191" s="6">
        <f t="shared" si="23"/>
        <v>1955</v>
      </c>
      <c r="H191" s="112">
        <f t="shared" si="20"/>
        <v>56</v>
      </c>
      <c r="I191" s="112" t="str">
        <f t="shared" si="21"/>
        <v>56</v>
      </c>
      <c r="J191" s="19" t="str">
        <f t="shared" si="22"/>
        <v>1955/56</v>
      </c>
      <c r="K191" s="98">
        <f>'Guts (option 1)'!AB204</f>
        <v>116.23047700000001</v>
      </c>
      <c r="L191" s="98">
        <f>'Guts (option 2)'!AB204</f>
        <v>38.743492333333336</v>
      </c>
      <c r="M191" s="14"/>
    </row>
    <row r="192" spans="1:13" x14ac:dyDescent="0.25">
      <c r="A192" s="1">
        <f>'Guts (option 1)'!A205</f>
        <v>20698</v>
      </c>
      <c r="B192" s="20">
        <f>'Guts (option 1)'!G205</f>
        <v>1.2701985267720333</v>
      </c>
      <c r="C192" s="20">
        <f>'Guts (option 2)'!G205</f>
        <v>1.2701985267720333</v>
      </c>
      <c r="D192" s="20"/>
      <c r="F192" s="1">
        <f t="shared" si="24"/>
        <v>20698</v>
      </c>
      <c r="G192" s="6">
        <f t="shared" si="23"/>
        <v>1955</v>
      </c>
      <c r="H192" s="112">
        <f t="shared" si="20"/>
        <v>56</v>
      </c>
      <c r="I192" s="112" t="str">
        <f t="shared" si="21"/>
        <v>56</v>
      </c>
      <c r="J192" s="19" t="str">
        <f t="shared" si="22"/>
        <v>1955/56</v>
      </c>
      <c r="K192" s="98">
        <f>'Guts (option 1)'!AB205</f>
        <v>58.354063498581304</v>
      </c>
      <c r="L192" s="98">
        <f>'Guts (option 2)'!AB205</f>
        <v>19.451354499527103</v>
      </c>
      <c r="M192" s="14"/>
    </row>
    <row r="193" spans="1:13" x14ac:dyDescent="0.25">
      <c r="A193" s="1">
        <f>'Guts (option 1)'!A206</f>
        <v>20789</v>
      </c>
      <c r="B193" s="20">
        <f>'Guts (option 1)'!G206</f>
        <v>1.2771998409587118</v>
      </c>
      <c r="C193" s="20">
        <f>'Guts (option 2)'!G206</f>
        <v>1.2825433037320328</v>
      </c>
      <c r="D193" s="20"/>
      <c r="F193" s="1">
        <f t="shared" si="24"/>
        <v>20789</v>
      </c>
      <c r="G193" s="6">
        <f t="shared" si="23"/>
        <v>1955</v>
      </c>
      <c r="H193" s="112">
        <f t="shared" si="20"/>
        <v>56</v>
      </c>
      <c r="I193" s="112" t="str">
        <f t="shared" si="21"/>
        <v>56</v>
      </c>
      <c r="J193" s="19" t="str">
        <f t="shared" si="22"/>
        <v>1955/56</v>
      </c>
      <c r="K193" s="98">
        <f>'Guts (option 1)'!AB206</f>
        <v>58.675710173500079</v>
      </c>
      <c r="L193" s="98">
        <f>'Guts (option 2)'!AB206</f>
        <v>19.640397887474315</v>
      </c>
      <c r="M193" s="14"/>
    </row>
    <row r="194" spans="1:13" x14ac:dyDescent="0.25">
      <c r="A194" s="1">
        <f>'Guts (option 1)'!A207</f>
        <v>20879</v>
      </c>
      <c r="B194" s="20">
        <f>'Guts (option 1)'!G207</f>
        <v>1.8471634529218568</v>
      </c>
      <c r="C194" s="20">
        <f>'Guts (option 2)'!G207</f>
        <v>1.9067453482970982</v>
      </c>
      <c r="D194" s="20"/>
      <c r="F194" s="1">
        <f t="shared" si="24"/>
        <v>20879</v>
      </c>
      <c r="G194" s="6">
        <f t="shared" si="23"/>
        <v>1956</v>
      </c>
      <c r="H194" s="112">
        <f t="shared" si="20"/>
        <v>57</v>
      </c>
      <c r="I194" s="112" t="str">
        <f t="shared" si="21"/>
        <v>57</v>
      </c>
      <c r="J194" s="19" t="str">
        <f t="shared" si="22"/>
        <v>1956/57</v>
      </c>
      <c r="K194" s="98">
        <f>'Guts (option 1)'!AB207</f>
        <v>84.860351474337733</v>
      </c>
      <c r="L194" s="98">
        <f>'Guts (option 2)'!AB207</f>
        <v>29.199199123860719</v>
      </c>
      <c r="M194" s="14"/>
    </row>
    <row r="195" spans="1:13" x14ac:dyDescent="0.25">
      <c r="A195" s="1">
        <f>'Guts (option 1)'!A208</f>
        <v>20971</v>
      </c>
      <c r="B195" s="20">
        <f>'Guts (option 1)'!G208</f>
        <v>1.8471634529218568</v>
      </c>
      <c r="C195" s="20">
        <f>'Guts (option 2)'!G208</f>
        <v>1.9086976113273892</v>
      </c>
      <c r="D195" s="20"/>
      <c r="F195" s="1">
        <f t="shared" si="24"/>
        <v>20971</v>
      </c>
      <c r="G195" s="6">
        <f t="shared" si="23"/>
        <v>1956</v>
      </c>
      <c r="H195" s="112">
        <f t="shared" si="20"/>
        <v>57</v>
      </c>
      <c r="I195" s="112" t="str">
        <f t="shared" si="21"/>
        <v>57</v>
      </c>
      <c r="J195" s="19" t="str">
        <f t="shared" si="22"/>
        <v>1956/57</v>
      </c>
      <c r="K195" s="98">
        <f>'Guts (option 1)'!AB208</f>
        <v>84.860351474337733</v>
      </c>
      <c r="L195" s="98">
        <f>'Guts (option 2)'!AB208</f>
        <v>29.229095364076819</v>
      </c>
      <c r="M195" s="14"/>
    </row>
    <row r="196" spans="1:13" x14ac:dyDescent="0.25">
      <c r="A196" s="1">
        <f>'Guts (option 1)'!A209</f>
        <v>21063</v>
      </c>
      <c r="B196" s="20">
        <f>'Guts (option 1)'!G209</f>
        <v>0.92737719233536942</v>
      </c>
      <c r="C196" s="20">
        <f>'Guts (option 2)'!G209</f>
        <v>0.95827070907563183</v>
      </c>
      <c r="D196" s="20"/>
      <c r="F196" s="1">
        <f t="shared" si="24"/>
        <v>21063</v>
      </c>
      <c r="G196" s="6">
        <f t="shared" si="23"/>
        <v>1956</v>
      </c>
      <c r="H196" s="112">
        <f t="shared" ref="H196:H259" si="25">G196+1-1900</f>
        <v>57</v>
      </c>
      <c r="I196" s="112" t="str">
        <f t="shared" ref="I196:I259" si="26">TEXT(H196,"#00")</f>
        <v>57</v>
      </c>
      <c r="J196" s="19" t="str">
        <f t="shared" ref="J196:J259" si="27">CONCATENATE(G196,"/",I196)</f>
        <v>1956/57</v>
      </c>
      <c r="K196" s="98">
        <f>'Guts (option 1)'!AB209</f>
        <v>42.604542855359973</v>
      </c>
      <c r="L196" s="98">
        <f>'Guts (option 2)'!AB209</f>
        <v>14.674606272857567</v>
      </c>
      <c r="M196" s="14"/>
    </row>
    <row r="197" spans="1:13" x14ac:dyDescent="0.25">
      <c r="A197" s="1">
        <f>'Guts (option 1)'!A210</f>
        <v>21154</v>
      </c>
      <c r="B197" s="20">
        <f>'Guts (option 1)'!G210</f>
        <v>0.92737719233536942</v>
      </c>
      <c r="C197" s="20">
        <f>'Guts (option 2)'!G210</f>
        <v>0.95827070907563183</v>
      </c>
      <c r="D197" s="20"/>
      <c r="F197" s="1">
        <f t="shared" si="24"/>
        <v>21154</v>
      </c>
      <c r="G197" s="6">
        <f t="shared" si="23"/>
        <v>1956</v>
      </c>
      <c r="H197" s="112">
        <f t="shared" si="25"/>
        <v>57</v>
      </c>
      <c r="I197" s="112" t="str">
        <f t="shared" si="26"/>
        <v>57</v>
      </c>
      <c r="J197" s="19" t="str">
        <f t="shared" si="27"/>
        <v>1956/57</v>
      </c>
      <c r="K197" s="98">
        <f>'Guts (option 1)'!AB210</f>
        <v>42.604542855359973</v>
      </c>
      <c r="L197" s="98">
        <f>'Guts (option 2)'!AB210</f>
        <v>14.674606272857567</v>
      </c>
      <c r="M197" s="14"/>
    </row>
    <row r="198" spans="1:13" x14ac:dyDescent="0.25">
      <c r="A198" s="1">
        <f>'Guts (option 1)'!A211</f>
        <v>21244</v>
      </c>
      <c r="B198" s="20">
        <f>'Guts (option 1)'!G211</f>
        <v>0.92737719233536942</v>
      </c>
      <c r="C198" s="20">
        <f>'Guts (option 2)'!G211</f>
        <v>0.95827070907563183</v>
      </c>
      <c r="D198" s="20"/>
      <c r="F198" s="1">
        <f t="shared" si="24"/>
        <v>21244</v>
      </c>
      <c r="G198" s="6">
        <f t="shared" si="23"/>
        <v>1957</v>
      </c>
      <c r="H198" s="112">
        <f t="shared" si="25"/>
        <v>58</v>
      </c>
      <c r="I198" s="112" t="str">
        <f t="shared" si="26"/>
        <v>58</v>
      </c>
      <c r="J198" s="19" t="str">
        <f t="shared" si="27"/>
        <v>1957/58</v>
      </c>
      <c r="K198" s="98">
        <f>'Guts (option 1)'!AB211</f>
        <v>42.604542855359973</v>
      </c>
      <c r="L198" s="98">
        <f>'Guts (option 2)'!AB211</f>
        <v>14.674606272857567</v>
      </c>
      <c r="M198" s="14"/>
    </row>
    <row r="199" spans="1:13" x14ac:dyDescent="0.25">
      <c r="A199" s="1">
        <f>'Guts (option 1)'!A212</f>
        <v>21336</v>
      </c>
      <c r="B199" s="20">
        <f>'Guts (option 1)'!G212</f>
        <v>0.16099999999999995</v>
      </c>
      <c r="C199" s="20">
        <f>'Guts (option 2)'!G212</f>
        <v>0.16099999999999995</v>
      </c>
      <c r="D199" s="20"/>
      <c r="F199" s="1">
        <f t="shared" si="24"/>
        <v>21336</v>
      </c>
      <c r="G199" s="6">
        <f t="shared" si="23"/>
        <v>1957</v>
      </c>
      <c r="H199" s="112">
        <f t="shared" si="25"/>
        <v>58</v>
      </c>
      <c r="I199" s="112" t="str">
        <f t="shared" si="26"/>
        <v>58</v>
      </c>
      <c r="J199" s="19" t="str">
        <f t="shared" si="27"/>
        <v>1957/58</v>
      </c>
      <c r="K199" s="98">
        <f>'Guts (option 1)'!AB212</f>
        <v>95.797149041921188</v>
      </c>
      <c r="L199" s="98">
        <f>'Guts (option 2)'!AB212</f>
        <v>32.092612878151321</v>
      </c>
      <c r="M199" s="14"/>
    </row>
    <row r="200" spans="1:13" x14ac:dyDescent="0.25">
      <c r="A200" s="1">
        <f>'Guts (option 1)'!A213</f>
        <v>21428</v>
      </c>
      <c r="B200" s="20">
        <f>'Guts (option 1)'!G213</f>
        <v>0.161</v>
      </c>
      <c r="C200" s="20">
        <f>'Guts (option 2)'!G213</f>
        <v>0.161</v>
      </c>
      <c r="D200" s="20"/>
      <c r="F200" s="1">
        <f t="shared" si="24"/>
        <v>21428</v>
      </c>
      <c r="G200" s="6">
        <f t="shared" si="23"/>
        <v>1957</v>
      </c>
      <c r="H200" s="112">
        <f t="shared" si="25"/>
        <v>58</v>
      </c>
      <c r="I200" s="112" t="str">
        <f t="shared" si="26"/>
        <v>58</v>
      </c>
      <c r="J200" s="19" t="str">
        <f t="shared" si="27"/>
        <v>1957/58</v>
      </c>
      <c r="K200" s="98">
        <f>'Guts (option 1)'!AB213</f>
        <v>0</v>
      </c>
      <c r="L200" s="98">
        <f>'Guts (option 2)'!AB213</f>
        <v>-1.1270000000000002</v>
      </c>
      <c r="M200" s="14"/>
    </row>
    <row r="201" spans="1:13" x14ac:dyDescent="0.25">
      <c r="A201" s="1">
        <f>'Guts (option 1)'!A214</f>
        <v>21519</v>
      </c>
      <c r="B201" s="20">
        <f>'Guts (option 1)'!G214</f>
        <v>0.161</v>
      </c>
      <c r="C201" s="20">
        <f>'Guts (option 2)'!G214</f>
        <v>0.1624602608955997</v>
      </c>
      <c r="D201" s="20"/>
      <c r="F201" s="1">
        <f t="shared" si="24"/>
        <v>21519</v>
      </c>
      <c r="G201" s="6">
        <f t="shared" si="23"/>
        <v>1957</v>
      </c>
      <c r="H201" s="112">
        <f t="shared" si="25"/>
        <v>58</v>
      </c>
      <c r="I201" s="112" t="str">
        <f t="shared" si="26"/>
        <v>58</v>
      </c>
      <c r="J201" s="19" t="str">
        <f t="shared" si="27"/>
        <v>1957/58</v>
      </c>
      <c r="K201" s="98">
        <f>'Guts (option 1)'!AB214</f>
        <v>0</v>
      </c>
      <c r="L201" s="98">
        <f>'Guts (option 2)'!AB214</f>
        <v>-1.1372218262691982</v>
      </c>
      <c r="M201" s="14"/>
    </row>
    <row r="202" spans="1:13" x14ac:dyDescent="0.25">
      <c r="A202" s="1">
        <f>'Guts (option 1)'!A215</f>
        <v>21609</v>
      </c>
      <c r="B202" s="20">
        <f>'Guts (option 1)'!G215</f>
        <v>0.34533724292762952</v>
      </c>
      <c r="C202" s="20">
        <f>'Guts (option 2)'!G215</f>
        <v>0.34792425526610149</v>
      </c>
      <c r="D202" s="20"/>
      <c r="F202" s="1">
        <f t="shared" si="24"/>
        <v>21609</v>
      </c>
      <c r="G202" s="6">
        <f t="shared" si="23"/>
        <v>1958</v>
      </c>
      <c r="H202" s="112">
        <f t="shared" si="25"/>
        <v>59</v>
      </c>
      <c r="I202" s="112" t="str">
        <f t="shared" si="26"/>
        <v>59</v>
      </c>
      <c r="J202" s="19" t="str">
        <f t="shared" si="27"/>
        <v>1958/59</v>
      </c>
      <c r="K202" s="98">
        <f>'Guts (option 1)'!AB215</f>
        <v>-43.839618652877789</v>
      </c>
      <c r="L202" s="98">
        <f>'Guts (option 2)'!AB215</f>
        <v>-14.701496977798593</v>
      </c>
      <c r="M202" s="14"/>
    </row>
    <row r="203" spans="1:13" x14ac:dyDescent="0.25">
      <c r="A203" s="1">
        <f>'Guts (option 1)'!A216</f>
        <v>21701</v>
      </c>
      <c r="B203" s="20">
        <f>'Guts (option 1)'!G216</f>
        <v>1.2717668207370894</v>
      </c>
      <c r="C203" s="20">
        <f>'Guts (option 2)'!G216</f>
        <v>1.3519584184767004</v>
      </c>
      <c r="D203" s="20"/>
      <c r="F203" s="1">
        <f t="shared" si="24"/>
        <v>21701</v>
      </c>
      <c r="G203" s="6">
        <f t="shared" si="23"/>
        <v>1958</v>
      </c>
      <c r="H203" s="112">
        <f t="shared" si="25"/>
        <v>59</v>
      </c>
      <c r="I203" s="112" t="str">
        <f t="shared" si="26"/>
        <v>59</v>
      </c>
      <c r="J203" s="19" t="str">
        <f t="shared" si="27"/>
        <v>1958/59</v>
      </c>
      <c r="K203" s="98">
        <f>'Guts (option 1)'!AB216</f>
        <v>58.426112334800543</v>
      </c>
      <c r="L203" s="98">
        <f>'Guts (option 2)'!AB216</f>
        <v>20.703395502465412</v>
      </c>
      <c r="M203" s="14"/>
    </row>
    <row r="204" spans="1:13" x14ac:dyDescent="0.25">
      <c r="A204" s="1">
        <f>'Guts (option 1)'!A217</f>
        <v>21793</v>
      </c>
      <c r="B204" s="20">
        <f>'Guts (option 1)'!G217</f>
        <v>0.63849657790427006</v>
      </c>
      <c r="C204" s="20">
        <f>'Guts (option 2)'!G217</f>
        <v>0.67875715075342014</v>
      </c>
      <c r="D204" s="20"/>
      <c r="F204" s="1">
        <f t="shared" si="24"/>
        <v>21793</v>
      </c>
      <c r="G204" s="6">
        <f t="shared" si="23"/>
        <v>1958</v>
      </c>
      <c r="H204" s="112">
        <f t="shared" si="25"/>
        <v>59</v>
      </c>
      <c r="I204" s="112" t="str">
        <f t="shared" si="26"/>
        <v>59</v>
      </c>
      <c r="J204" s="19" t="str">
        <f t="shared" si="27"/>
        <v>1958/59</v>
      </c>
      <c r="K204" s="98">
        <f>'Guts (option 1)'!AB217</f>
        <v>29.33310743584228</v>
      </c>
      <c r="L204" s="98">
        <f>'Guts (option 2)'!AB217</f>
        <v>10.394238129015932</v>
      </c>
      <c r="M204" s="14"/>
    </row>
    <row r="205" spans="1:13" x14ac:dyDescent="0.25">
      <c r="A205" s="1">
        <f>'Guts (option 1)'!A218</f>
        <v>21884</v>
      </c>
      <c r="B205" s="20">
        <f>'Guts (option 1)'!G218</f>
        <v>0.63849657790427006</v>
      </c>
      <c r="C205" s="20">
        <f>'Guts (option 2)'!G218</f>
        <v>0.67875715075342014</v>
      </c>
      <c r="D205" s="20"/>
      <c r="F205" s="1">
        <f t="shared" si="24"/>
        <v>21884</v>
      </c>
      <c r="G205" s="6">
        <f t="shared" si="23"/>
        <v>1958</v>
      </c>
      <c r="H205" s="112">
        <f t="shared" si="25"/>
        <v>59</v>
      </c>
      <c r="I205" s="112" t="str">
        <f t="shared" si="26"/>
        <v>59</v>
      </c>
      <c r="J205" s="19" t="str">
        <f t="shared" si="27"/>
        <v>1958/59</v>
      </c>
      <c r="K205" s="98">
        <f>'Guts (option 1)'!AB218</f>
        <v>29.33310743584228</v>
      </c>
      <c r="L205" s="98">
        <f>'Guts (option 2)'!AB218</f>
        <v>10.394238129015932</v>
      </c>
      <c r="M205" s="14"/>
    </row>
    <row r="206" spans="1:13" x14ac:dyDescent="0.25">
      <c r="A206" s="1">
        <f>'Guts (option 1)'!A219</f>
        <v>21974</v>
      </c>
      <c r="B206" s="20">
        <f>'Guts (option 1)'!G219</f>
        <v>0.63849657790427006</v>
      </c>
      <c r="C206" s="20">
        <f>'Guts (option 2)'!G219</f>
        <v>1.0538085760330593</v>
      </c>
      <c r="D206" s="20"/>
      <c r="F206" s="1">
        <f t="shared" si="24"/>
        <v>21974</v>
      </c>
      <c r="G206" s="6">
        <f t="shared" si="23"/>
        <v>1959</v>
      </c>
      <c r="H206" s="112">
        <f t="shared" si="25"/>
        <v>60</v>
      </c>
      <c r="I206" s="112" t="str">
        <f t="shared" si="26"/>
        <v>60</v>
      </c>
      <c r="J206" s="19" t="str">
        <f t="shared" si="27"/>
        <v>1959/60</v>
      </c>
      <c r="K206" s="98">
        <f>'Guts (option 1)'!AB219</f>
        <v>29.33310743584228</v>
      </c>
      <c r="L206" s="98">
        <f>'Guts (option 2)'!AB219</f>
        <v>16.137638136892388</v>
      </c>
      <c r="M206" s="14"/>
    </row>
    <row r="207" spans="1:13" x14ac:dyDescent="0.25">
      <c r="A207" s="1">
        <f>'Guts (option 1)'!A220</f>
        <v>22067</v>
      </c>
      <c r="B207" s="20">
        <f>'Guts (option 1)'!G220</f>
        <v>0.63849657790427006</v>
      </c>
      <c r="C207" s="20">
        <f>'Guts (option 2)'!G220</f>
        <v>1.0538085760330593</v>
      </c>
      <c r="D207" s="20"/>
      <c r="F207" s="1">
        <f t="shared" si="24"/>
        <v>22067</v>
      </c>
      <c r="G207" s="6">
        <f t="shared" si="23"/>
        <v>1959</v>
      </c>
      <c r="H207" s="112">
        <f t="shared" si="25"/>
        <v>60</v>
      </c>
      <c r="I207" s="112" t="str">
        <f t="shared" si="26"/>
        <v>60</v>
      </c>
      <c r="J207" s="19" t="str">
        <f t="shared" si="27"/>
        <v>1959/60</v>
      </c>
      <c r="K207" s="98">
        <f>'Guts (option 1)'!AB220</f>
        <v>29.33310743584228</v>
      </c>
      <c r="L207" s="98">
        <f>'Guts (option 2)'!AB220</f>
        <v>16.137638136892388</v>
      </c>
      <c r="M207" s="14"/>
    </row>
    <row r="208" spans="1:13" x14ac:dyDescent="0.25">
      <c r="A208" s="1">
        <f>'Guts (option 1)'!A221</f>
        <v>22159</v>
      </c>
      <c r="B208" s="20">
        <f>'Guts (option 1)'!G221</f>
        <v>0.16100000000000003</v>
      </c>
      <c r="C208" s="20">
        <f>'Guts (option 2)'!G221</f>
        <v>0.16099999999999995</v>
      </c>
      <c r="D208" s="20"/>
      <c r="F208" s="1">
        <f t="shared" si="24"/>
        <v>22159</v>
      </c>
      <c r="G208" s="6">
        <f t="shared" si="23"/>
        <v>1959</v>
      </c>
      <c r="H208" s="112">
        <f t="shared" si="25"/>
        <v>60</v>
      </c>
      <c r="I208" s="112" t="str">
        <f t="shared" si="26"/>
        <v>60</v>
      </c>
      <c r="J208" s="19" t="str">
        <f t="shared" si="27"/>
        <v>1959/60</v>
      </c>
      <c r="K208" s="98">
        <f>'Guts (option 1)'!AB221</f>
        <v>59.687072238033764</v>
      </c>
      <c r="L208" s="98">
        <f>'Guts (option 2)'!AB221</f>
        <v>36.073357334710799</v>
      </c>
      <c r="M208" s="14"/>
    </row>
    <row r="209" spans="1:13" x14ac:dyDescent="0.25">
      <c r="A209" s="1">
        <f>'Guts (option 1)'!A222</f>
        <v>22250</v>
      </c>
      <c r="B209" s="20">
        <f>'Guts (option 1)'!G222</f>
        <v>0.16100000000000003</v>
      </c>
      <c r="C209" s="20">
        <f>'Guts (option 2)'!G222</f>
        <v>0.16100000000000003</v>
      </c>
      <c r="D209" s="20"/>
      <c r="F209" s="1">
        <f t="shared" si="24"/>
        <v>22250</v>
      </c>
      <c r="G209" s="6">
        <f t="shared" si="23"/>
        <v>1959</v>
      </c>
      <c r="H209" s="112">
        <f t="shared" si="25"/>
        <v>60</v>
      </c>
      <c r="I209" s="112" t="str">
        <f t="shared" si="26"/>
        <v>60</v>
      </c>
      <c r="J209" s="19" t="str">
        <f t="shared" si="27"/>
        <v>1959/60</v>
      </c>
      <c r="K209" s="98">
        <f>'Guts (option 1)'!AB222</f>
        <v>0</v>
      </c>
      <c r="L209" s="98">
        <f>'Guts (option 2)'!AB222</f>
        <v>-1.1270000000000002</v>
      </c>
      <c r="M209" s="14"/>
    </row>
    <row r="210" spans="1:13" x14ac:dyDescent="0.25">
      <c r="A210" s="1">
        <f>'Guts (option 1)'!A223</f>
        <v>22340</v>
      </c>
      <c r="B210" s="20">
        <f>'Guts (option 1)'!G223</f>
        <v>0.16100000000000003</v>
      </c>
      <c r="C210" s="20">
        <f>'Guts (option 2)'!G223</f>
        <v>0.16100000000000003</v>
      </c>
      <c r="D210" s="20"/>
      <c r="F210" s="1">
        <f t="shared" si="24"/>
        <v>22340</v>
      </c>
      <c r="G210" s="6">
        <f t="shared" si="23"/>
        <v>1960</v>
      </c>
      <c r="H210" s="112">
        <f t="shared" si="25"/>
        <v>61</v>
      </c>
      <c r="I210" s="112" t="str">
        <f t="shared" si="26"/>
        <v>61</v>
      </c>
      <c r="J210" s="19" t="str">
        <f t="shared" si="27"/>
        <v>1960/61</v>
      </c>
      <c r="K210" s="98">
        <f>'Guts (option 1)'!AB223</f>
        <v>7.3964849000000008</v>
      </c>
      <c r="L210" s="98">
        <f>'Guts (option 2)'!AB223</f>
        <v>2.4654949666666668</v>
      </c>
      <c r="M210" s="14"/>
    </row>
    <row r="211" spans="1:13" x14ac:dyDescent="0.25">
      <c r="A211" s="1">
        <f>'Guts (option 1)'!A224</f>
        <v>22432</v>
      </c>
      <c r="B211" s="20">
        <f>'Guts (option 1)'!G224</f>
        <v>0.48747706064677521</v>
      </c>
      <c r="C211" s="20">
        <f>'Guts (option 2)'!G224</f>
        <v>0.50053068553031987</v>
      </c>
      <c r="D211" s="20"/>
      <c r="F211" s="1">
        <f t="shared" si="24"/>
        <v>22432</v>
      </c>
      <c r="G211" s="6">
        <f t="shared" si="23"/>
        <v>1960</v>
      </c>
      <c r="H211" s="112">
        <f t="shared" si="25"/>
        <v>61</v>
      </c>
      <c r="I211" s="112" t="str">
        <f t="shared" si="26"/>
        <v>61</v>
      </c>
      <c r="J211" s="19" t="str">
        <f t="shared" si="27"/>
        <v>1960/61</v>
      </c>
      <c r="K211" s="98">
        <f>'Guts (option 1)'!AB224</f>
        <v>-78.450664267489756</v>
      </c>
      <c r="L211" s="98">
        <f>'Guts (option 2)'!AB224</f>
        <v>-27.20974064221096</v>
      </c>
      <c r="M211" s="14"/>
    </row>
    <row r="212" spans="1:13" x14ac:dyDescent="0.25">
      <c r="A212" s="1">
        <f>'Guts (option 1)'!A225</f>
        <v>22524</v>
      </c>
      <c r="B212" s="20">
        <f>'Guts (option 1)'!G225</f>
        <v>0.2447401756002747</v>
      </c>
      <c r="C212" s="20">
        <f>'Guts (option 2)'!G225</f>
        <v>0.25129381002561585</v>
      </c>
      <c r="D212" s="20"/>
      <c r="F212" s="1">
        <f t="shared" si="24"/>
        <v>22524</v>
      </c>
      <c r="G212" s="6">
        <f t="shared" si="23"/>
        <v>1960</v>
      </c>
      <c r="H212" s="112">
        <f t="shared" si="25"/>
        <v>61</v>
      </c>
      <c r="I212" s="112" t="str">
        <f t="shared" si="26"/>
        <v>61</v>
      </c>
      <c r="J212" s="19" t="str">
        <f t="shared" si="27"/>
        <v>1960/61</v>
      </c>
      <c r="K212" s="98">
        <f>'Guts (option 1)'!AB225</f>
        <v>11.243583933234659</v>
      </c>
      <c r="L212" s="98">
        <f>'Guts (option 2)'!AB225</f>
        <v>3.848221265668605</v>
      </c>
      <c r="M212" s="14"/>
    </row>
    <row r="213" spans="1:13" x14ac:dyDescent="0.25">
      <c r="A213" s="1">
        <f>'Guts (option 1)'!A226</f>
        <v>22615</v>
      </c>
      <c r="B213" s="20">
        <f>'Guts (option 1)'!G226</f>
        <v>0.20859197047083736</v>
      </c>
      <c r="C213" s="20">
        <f>'Guts (option 2)'!G226</f>
        <v>0.21520186356218204</v>
      </c>
      <c r="D213" s="20"/>
      <c r="F213" s="1">
        <f t="shared" si="24"/>
        <v>22615</v>
      </c>
      <c r="G213" s="6">
        <f t="shared" si="23"/>
        <v>1960</v>
      </c>
      <c r="H213" s="112">
        <f t="shared" si="25"/>
        <v>61</v>
      </c>
      <c r="I213" s="112" t="str">
        <f t="shared" si="26"/>
        <v>61</v>
      </c>
      <c r="J213" s="19" t="str">
        <f t="shared" si="27"/>
        <v>1960/61</v>
      </c>
      <c r="K213" s="98">
        <f>'Guts (option 1)'!AB226</f>
        <v>9.5829028562036918</v>
      </c>
      <c r="L213" s="98">
        <f>'Guts (option 2)'!AB226</f>
        <v>3.2955224312412823</v>
      </c>
      <c r="M213" s="14"/>
    </row>
    <row r="214" spans="1:13" x14ac:dyDescent="0.25">
      <c r="A214" s="1">
        <f>'Guts (option 1)'!A227</f>
        <v>22705</v>
      </c>
      <c r="B214" s="20">
        <f>'Guts (option 1)'!G227</f>
        <v>0.20859197047083736</v>
      </c>
      <c r="C214" s="20">
        <f>'Guts (option 2)'!G227</f>
        <v>0.21520186356218204</v>
      </c>
      <c r="D214" s="20"/>
      <c r="F214" s="1">
        <f t="shared" si="24"/>
        <v>22705</v>
      </c>
      <c r="G214" s="6">
        <f t="shared" si="23"/>
        <v>1961</v>
      </c>
      <c r="H214" s="112">
        <f t="shared" si="25"/>
        <v>62</v>
      </c>
      <c r="I214" s="112" t="str">
        <f t="shared" si="26"/>
        <v>62</v>
      </c>
      <c r="J214" s="19" t="str">
        <f t="shared" si="27"/>
        <v>1961/62</v>
      </c>
      <c r="K214" s="98">
        <f>'Guts (option 1)'!AB227</f>
        <v>9.5829028562036918</v>
      </c>
      <c r="L214" s="98">
        <f>'Guts (option 2)'!AB227</f>
        <v>3.2955224312412823</v>
      </c>
      <c r="M214" s="14"/>
    </row>
    <row r="215" spans="1:13" x14ac:dyDescent="0.25">
      <c r="A215" s="1">
        <f>'Guts (option 1)'!A228</f>
        <v>22797</v>
      </c>
      <c r="B215" s="20">
        <f>'Guts (option 1)'!G228</f>
        <v>0.56348061298065166</v>
      </c>
      <c r="C215" s="20">
        <f>'Guts (option 2)'!G228</f>
        <v>0.68749375895086284</v>
      </c>
      <c r="D215" s="20"/>
      <c r="F215" s="1">
        <f t="shared" si="24"/>
        <v>22797</v>
      </c>
      <c r="G215" s="6">
        <f t="shared" si="23"/>
        <v>1961</v>
      </c>
      <c r="H215" s="112">
        <f t="shared" si="25"/>
        <v>62</v>
      </c>
      <c r="I215" s="112" t="str">
        <f t="shared" si="26"/>
        <v>62</v>
      </c>
      <c r="J215" s="19" t="str">
        <f t="shared" si="27"/>
        <v>1961/62</v>
      </c>
      <c r="K215" s="98">
        <f>'Guts (option 1)'!AB228</f>
        <v>25.886806492882819</v>
      </c>
      <c r="L215" s="98">
        <f>'Guts (option 2)'!AB228</f>
        <v>10.528027343528564</v>
      </c>
      <c r="M215" s="14"/>
    </row>
    <row r="216" spans="1:13" x14ac:dyDescent="0.25">
      <c r="A216" s="1">
        <f>'Guts (option 1)'!A229</f>
        <v>22889</v>
      </c>
      <c r="B216" s="20">
        <f>'Guts (option 1)'!G229</f>
        <v>0.28289812034491146</v>
      </c>
      <c r="C216" s="20">
        <f>'Guts (option 2)'!G229</f>
        <v>0.34515950979618709</v>
      </c>
      <c r="D216" s="20"/>
      <c r="F216" s="1">
        <f t="shared" si="24"/>
        <v>22889</v>
      </c>
      <c r="G216" s="6">
        <f t="shared" si="23"/>
        <v>1961</v>
      </c>
      <c r="H216" s="112">
        <f t="shared" si="25"/>
        <v>62</v>
      </c>
      <c r="I216" s="112" t="str">
        <f t="shared" si="26"/>
        <v>62</v>
      </c>
      <c r="J216" s="19" t="str">
        <f t="shared" si="27"/>
        <v>1961/62</v>
      </c>
      <c r="K216" s="98">
        <f>'Guts (option 1)'!AB229</f>
        <v>12.996594256953543</v>
      </c>
      <c r="L216" s="98">
        <f>'Guts (option 2)'!AB229</f>
        <v>5.2856461745318839</v>
      </c>
      <c r="M216" s="14"/>
    </row>
    <row r="217" spans="1:13" x14ac:dyDescent="0.25">
      <c r="A217" s="1">
        <f>'Guts (option 1)'!A230</f>
        <v>22980</v>
      </c>
      <c r="B217" s="20">
        <f>'Guts (option 1)'!G230</f>
        <v>0.35489592003913756</v>
      </c>
      <c r="C217" s="20">
        <f>'Guts (option 2)'!G230</f>
        <v>0.41715730949041324</v>
      </c>
      <c r="D217" s="20"/>
      <c r="F217" s="1">
        <f t="shared" si="24"/>
        <v>22980</v>
      </c>
      <c r="G217" s="6">
        <f t="shared" si="23"/>
        <v>1961</v>
      </c>
      <c r="H217" s="112">
        <f t="shared" si="25"/>
        <v>62</v>
      </c>
      <c r="I217" s="112" t="str">
        <f t="shared" si="26"/>
        <v>62</v>
      </c>
      <c r="J217" s="19" t="str">
        <f t="shared" si="27"/>
        <v>1961/62</v>
      </c>
      <c r="K217" s="98">
        <f>'Guts (option 1)'!AB230</f>
        <v>16.304237972926014</v>
      </c>
      <c r="L217" s="98">
        <f>'Guts (option 2)'!AB230</f>
        <v>6.3881940798560422</v>
      </c>
      <c r="M217" s="14"/>
    </row>
    <row r="218" spans="1:13" x14ac:dyDescent="0.25">
      <c r="A218" s="1">
        <f>'Guts (option 1)'!A231</f>
        <v>23070</v>
      </c>
      <c r="B218" s="20">
        <f>'Guts (option 1)'!G231</f>
        <v>0.77945397978145381</v>
      </c>
      <c r="C218" s="20">
        <f>'Guts (option 2)'!G231</f>
        <v>0.88394684196505924</v>
      </c>
      <c r="D218" s="20"/>
      <c r="F218" s="1">
        <f t="shared" si="24"/>
        <v>23070</v>
      </c>
      <c r="G218" s="6">
        <f t="shared" si="23"/>
        <v>1962</v>
      </c>
      <c r="H218" s="112">
        <f t="shared" si="25"/>
        <v>63</v>
      </c>
      <c r="I218" s="112" t="str">
        <f t="shared" si="26"/>
        <v>63</v>
      </c>
      <c r="J218" s="19" t="str">
        <f t="shared" si="27"/>
        <v>1962/63</v>
      </c>
      <c r="K218" s="98">
        <f>'Guts (option 1)'!AB231</f>
        <v>35.808817339741793</v>
      </c>
      <c r="L218" s="98">
        <f>'Guts (option 2)'!AB231</f>
        <v>13.536437824010861</v>
      </c>
      <c r="M218" s="14"/>
    </row>
    <row r="219" spans="1:13" x14ac:dyDescent="0.25">
      <c r="A219" s="1">
        <f>'Guts (option 1)'!A232</f>
        <v>23162</v>
      </c>
      <c r="B219" s="20">
        <f>'Guts (option 1)'!G232</f>
        <v>1.6029135776804777</v>
      </c>
      <c r="C219" s="20">
        <f>'Guts (option 2)'!G232</f>
        <v>1.7908775627380649</v>
      </c>
      <c r="D219" s="20"/>
      <c r="F219" s="1">
        <f t="shared" si="24"/>
        <v>23162</v>
      </c>
      <c r="G219" s="6">
        <f t="shared" si="23"/>
        <v>1962</v>
      </c>
      <c r="H219" s="112">
        <f t="shared" si="25"/>
        <v>63</v>
      </c>
      <c r="I219" s="112" t="str">
        <f t="shared" si="26"/>
        <v>63</v>
      </c>
      <c r="J219" s="19" t="str">
        <f t="shared" si="27"/>
        <v>1962/63</v>
      </c>
      <c r="K219" s="98">
        <f>'Guts (option 1)'!AB232</f>
        <v>73.639292380861065</v>
      </c>
      <c r="L219" s="98">
        <f>'Guts (option 2)'!AB232</f>
        <v>27.424842340664387</v>
      </c>
      <c r="M219" s="14"/>
    </row>
    <row r="220" spans="1:13" x14ac:dyDescent="0.25">
      <c r="A220" s="1">
        <f>'Guts (option 1)'!A233</f>
        <v>23254</v>
      </c>
      <c r="B220" s="20">
        <f>'Guts (option 1)'!G233</f>
        <v>0.80475038138839206</v>
      </c>
      <c r="C220" s="20">
        <f>'Guts (option 2)'!G233</f>
        <v>0.89911859360433977</v>
      </c>
      <c r="D220" s="20"/>
      <c r="F220" s="1">
        <f t="shared" si="24"/>
        <v>23254</v>
      </c>
      <c r="G220" s="6">
        <f t="shared" si="23"/>
        <v>1962</v>
      </c>
      <c r="H220" s="112">
        <f t="shared" si="25"/>
        <v>63</v>
      </c>
      <c r="I220" s="112" t="str">
        <f t="shared" si="26"/>
        <v>63</v>
      </c>
      <c r="J220" s="19" t="str">
        <f t="shared" si="27"/>
        <v>1962/63</v>
      </c>
      <c r="K220" s="98">
        <f>'Guts (option 1)'!AB233</f>
        <v>36.970956796325986</v>
      </c>
      <c r="L220" s="98">
        <f>'Guts (option 2)'!AB233</f>
        <v>13.768772465639204</v>
      </c>
      <c r="M220" s="14"/>
    </row>
    <row r="221" spans="1:13" x14ac:dyDescent="0.25">
      <c r="A221" s="1">
        <f>'Guts (option 1)'!A234</f>
        <v>23345</v>
      </c>
      <c r="B221" s="20">
        <f>'Guts (option 1)'!G234</f>
        <v>0.80475038138839206</v>
      </c>
      <c r="C221" s="20">
        <f>'Guts (option 2)'!G234</f>
        <v>0.89911859360433977</v>
      </c>
      <c r="D221" s="20"/>
      <c r="F221" s="1">
        <f t="shared" si="24"/>
        <v>23345</v>
      </c>
      <c r="G221" s="6">
        <f t="shared" si="23"/>
        <v>1962</v>
      </c>
      <c r="H221" s="112">
        <f t="shared" si="25"/>
        <v>63</v>
      </c>
      <c r="I221" s="112" t="str">
        <f t="shared" si="26"/>
        <v>63</v>
      </c>
      <c r="J221" s="19" t="str">
        <f t="shared" si="27"/>
        <v>1962/63</v>
      </c>
      <c r="K221" s="98">
        <f>'Guts (option 1)'!AB234</f>
        <v>36.970956796325986</v>
      </c>
      <c r="L221" s="98">
        <f>'Guts (option 2)'!AB234</f>
        <v>13.768772465639204</v>
      </c>
      <c r="M221" s="14"/>
    </row>
    <row r="222" spans="1:13" x14ac:dyDescent="0.25">
      <c r="A222" s="1">
        <f>'Guts (option 1)'!A235</f>
        <v>23435</v>
      </c>
      <c r="B222" s="20">
        <f>'Guts (option 1)'!G235</f>
        <v>1.2407553988300033</v>
      </c>
      <c r="C222" s="20">
        <f>'Guts (option 2)'!G235</f>
        <v>1.3479195500153007</v>
      </c>
      <c r="D222" s="20"/>
      <c r="F222" s="1">
        <f t="shared" si="24"/>
        <v>23435</v>
      </c>
      <c r="G222" s="6">
        <f t="shared" si="23"/>
        <v>1963</v>
      </c>
      <c r="H222" s="112">
        <f t="shared" si="25"/>
        <v>64</v>
      </c>
      <c r="I222" s="112" t="str">
        <f t="shared" si="26"/>
        <v>64</v>
      </c>
      <c r="J222" s="19" t="str">
        <f t="shared" si="27"/>
        <v>1963/64</v>
      </c>
      <c r="K222" s="98">
        <f>'Guts (option 1)'!AB235</f>
        <v>57.001419702109295</v>
      </c>
      <c r="L222" s="98">
        <f>'Guts (option 2)'!AB235</f>
        <v>20.641545751765975</v>
      </c>
      <c r="M222" s="14"/>
    </row>
    <row r="223" spans="1:13" x14ac:dyDescent="0.25">
      <c r="A223" s="1">
        <f>'Guts (option 1)'!A236</f>
        <v>23528</v>
      </c>
      <c r="B223" s="20">
        <f>'Guts (option 1)'!G236</f>
        <v>1.2407553988300033</v>
      </c>
      <c r="C223" s="20">
        <f>'Guts (option 2)'!G236</f>
        <v>1.3479195500153007</v>
      </c>
      <c r="D223" s="20"/>
      <c r="F223" s="1">
        <f t="shared" si="24"/>
        <v>23528</v>
      </c>
      <c r="G223" s="6">
        <f t="shared" si="23"/>
        <v>1963</v>
      </c>
      <c r="H223" s="112">
        <f t="shared" si="25"/>
        <v>64</v>
      </c>
      <c r="I223" s="112" t="str">
        <f t="shared" si="26"/>
        <v>64</v>
      </c>
      <c r="J223" s="19" t="str">
        <f t="shared" si="27"/>
        <v>1963/64</v>
      </c>
      <c r="K223" s="98">
        <f>'Guts (option 1)'!AB236</f>
        <v>57.001419702109295</v>
      </c>
      <c r="L223" s="98">
        <f>'Guts (option 2)'!AB236</f>
        <v>20.641545751765975</v>
      </c>
      <c r="M223" s="14"/>
    </row>
    <row r="224" spans="1:13" x14ac:dyDescent="0.25">
      <c r="A224" s="1">
        <f>'Guts (option 1)'!A237</f>
        <v>23620</v>
      </c>
      <c r="B224" s="20">
        <f>'Guts (option 1)'!G237</f>
        <v>0.62292714611791178</v>
      </c>
      <c r="C224" s="20">
        <f>'Guts (option 2)'!G237</f>
        <v>0.67672941764294725</v>
      </c>
      <c r="D224" s="20"/>
      <c r="F224" s="1">
        <f t="shared" si="24"/>
        <v>23620</v>
      </c>
      <c r="G224" s="6">
        <f t="shared" si="23"/>
        <v>1963</v>
      </c>
      <c r="H224" s="112">
        <f t="shared" si="25"/>
        <v>64</v>
      </c>
      <c r="I224" s="112" t="str">
        <f t="shared" si="26"/>
        <v>64</v>
      </c>
      <c r="J224" s="19" t="str">
        <f t="shared" si="27"/>
        <v>1963/64</v>
      </c>
      <c r="K224" s="98">
        <f>'Guts (option 1)'!AB237</f>
        <v>28.617833727088367</v>
      </c>
      <c r="L224" s="98">
        <f>'Guts (option 2)'!AB237</f>
        <v>10.363186167664294</v>
      </c>
      <c r="M224" s="14"/>
    </row>
    <row r="225" spans="1:13" x14ac:dyDescent="0.25">
      <c r="A225" s="1">
        <f>'Guts (option 1)'!A238</f>
        <v>23711</v>
      </c>
      <c r="B225" s="20">
        <f>'Guts (option 1)'!G238</f>
        <v>0.62292714611791178</v>
      </c>
      <c r="C225" s="20">
        <f>'Guts (option 2)'!G238</f>
        <v>0.67672941764294725</v>
      </c>
      <c r="D225" s="20"/>
      <c r="F225" s="1">
        <f t="shared" si="24"/>
        <v>23711</v>
      </c>
      <c r="G225" s="6">
        <f t="shared" si="23"/>
        <v>1963</v>
      </c>
      <c r="H225" s="112">
        <f t="shared" si="25"/>
        <v>64</v>
      </c>
      <c r="I225" s="112" t="str">
        <f t="shared" si="26"/>
        <v>64</v>
      </c>
      <c r="J225" s="19" t="str">
        <f t="shared" si="27"/>
        <v>1963/64</v>
      </c>
      <c r="K225" s="98">
        <f>'Guts (option 1)'!AB238</f>
        <v>28.617833727088367</v>
      </c>
      <c r="L225" s="98">
        <f>'Guts (option 2)'!AB238</f>
        <v>10.363186167664294</v>
      </c>
      <c r="M225" s="14"/>
    </row>
    <row r="226" spans="1:13" x14ac:dyDescent="0.25">
      <c r="A226" s="1">
        <f>'Guts (option 1)'!A239</f>
        <v>23801</v>
      </c>
      <c r="B226" s="20">
        <f>'Guts (option 1)'!G239</f>
        <v>0.62292714611791178</v>
      </c>
      <c r="C226" s="20">
        <f>'Guts (option 2)'!G239</f>
        <v>0.67672941764294725</v>
      </c>
      <c r="D226" s="20"/>
      <c r="F226" s="1">
        <f t="shared" si="24"/>
        <v>23801</v>
      </c>
      <c r="G226" s="6">
        <f t="shared" si="23"/>
        <v>1964</v>
      </c>
      <c r="H226" s="112">
        <f t="shared" si="25"/>
        <v>65</v>
      </c>
      <c r="I226" s="112" t="str">
        <f t="shared" si="26"/>
        <v>65</v>
      </c>
      <c r="J226" s="19" t="str">
        <f t="shared" si="27"/>
        <v>1964/65</v>
      </c>
      <c r="K226" s="98">
        <f>'Guts (option 1)'!AB239</f>
        <v>28.617833727088367</v>
      </c>
      <c r="L226" s="98">
        <f>'Guts (option 2)'!AB239</f>
        <v>10.363186167664294</v>
      </c>
      <c r="M226" s="14"/>
    </row>
    <row r="227" spans="1:13" x14ac:dyDescent="0.25">
      <c r="A227" s="1">
        <f>'Guts (option 1)'!A240</f>
        <v>23893</v>
      </c>
      <c r="B227" s="20">
        <f>'Guts (option 1)'!G240</f>
        <v>0.62292714611791178</v>
      </c>
      <c r="C227" s="20">
        <f>'Guts (option 2)'!G240</f>
        <v>0.67672941764294725</v>
      </c>
      <c r="D227" s="20"/>
      <c r="F227" s="1">
        <f t="shared" si="24"/>
        <v>23893</v>
      </c>
      <c r="G227" s="6">
        <f t="shared" si="23"/>
        <v>1964</v>
      </c>
      <c r="H227" s="112">
        <f t="shared" si="25"/>
        <v>65</v>
      </c>
      <c r="I227" s="112" t="str">
        <f t="shared" si="26"/>
        <v>65</v>
      </c>
      <c r="J227" s="19" t="str">
        <f t="shared" si="27"/>
        <v>1964/65</v>
      </c>
      <c r="K227" s="98">
        <f>'Guts (option 1)'!AB240</f>
        <v>28.617833727088367</v>
      </c>
      <c r="L227" s="98">
        <f>'Guts (option 2)'!AB240</f>
        <v>10.363186167664294</v>
      </c>
      <c r="M227" s="14"/>
    </row>
    <row r="228" spans="1:13" x14ac:dyDescent="0.25">
      <c r="A228" s="1">
        <f>'Guts (option 1)'!A241</f>
        <v>23985</v>
      </c>
      <c r="B228" s="20">
        <f>'Guts (option 1)'!G241</f>
        <v>0.31274353489536699</v>
      </c>
      <c r="C228" s="20">
        <f>'Guts (option 2)'!G241</f>
        <v>0.3397552210724773</v>
      </c>
      <c r="D228" s="20"/>
      <c r="F228" s="1">
        <f t="shared" si="24"/>
        <v>23985</v>
      </c>
      <c r="G228" s="6">
        <f t="shared" si="23"/>
        <v>1964</v>
      </c>
      <c r="H228" s="112">
        <f t="shared" si="25"/>
        <v>65</v>
      </c>
      <c r="I228" s="112" t="str">
        <f t="shared" si="26"/>
        <v>65</v>
      </c>
      <c r="J228" s="19" t="str">
        <f t="shared" si="27"/>
        <v>1964/65</v>
      </c>
      <c r="K228" s="98">
        <f>'Guts (option 1)'!AB241</f>
        <v>14.367719462274568</v>
      </c>
      <c r="L228" s="98">
        <f>'Guts (option 2)'!AB241</f>
        <v>5.2028868785895233</v>
      </c>
      <c r="M228" s="14"/>
    </row>
    <row r="229" spans="1:13" x14ac:dyDescent="0.25">
      <c r="A229" s="1">
        <f>'Guts (option 1)'!A242</f>
        <v>24076</v>
      </c>
      <c r="B229" s="20">
        <f>'Guts (option 1)'!G242</f>
        <v>0.161</v>
      </c>
      <c r="C229" s="20">
        <f>'Guts (option 2)'!G242</f>
        <v>0.16100000000000003</v>
      </c>
      <c r="D229" s="20"/>
      <c r="F229" s="1">
        <f t="shared" si="24"/>
        <v>24076</v>
      </c>
      <c r="G229" s="6">
        <f t="shared" si="23"/>
        <v>1964</v>
      </c>
      <c r="H229" s="112">
        <f t="shared" si="25"/>
        <v>65</v>
      </c>
      <c r="I229" s="112" t="str">
        <f t="shared" si="26"/>
        <v>65</v>
      </c>
      <c r="J229" s="19" t="str">
        <f t="shared" si="27"/>
        <v>1964/65</v>
      </c>
      <c r="K229" s="98">
        <f>'Guts (option 1)'!AB242</f>
        <v>0</v>
      </c>
      <c r="L229" s="98">
        <f>'Guts (option 2)'!AB242</f>
        <v>-1.1270000000000002</v>
      </c>
      <c r="M229" s="14"/>
    </row>
    <row r="230" spans="1:13" x14ac:dyDescent="0.25">
      <c r="A230" s="1">
        <f>'Guts (option 1)'!A243</f>
        <v>24166</v>
      </c>
      <c r="B230" s="20">
        <f>'Guts (option 1)'!G243</f>
        <v>0.161</v>
      </c>
      <c r="C230" s="20">
        <f>'Guts (option 2)'!G243</f>
        <v>0.161</v>
      </c>
      <c r="D230" s="20"/>
      <c r="F230" s="1">
        <f t="shared" si="24"/>
        <v>24166</v>
      </c>
      <c r="G230" s="6">
        <f t="shared" si="23"/>
        <v>1965</v>
      </c>
      <c r="H230" s="112">
        <f t="shared" si="25"/>
        <v>66</v>
      </c>
      <c r="I230" s="112" t="str">
        <f t="shared" si="26"/>
        <v>66</v>
      </c>
      <c r="J230" s="19" t="str">
        <f t="shared" si="27"/>
        <v>1965/66</v>
      </c>
      <c r="K230" s="98">
        <f>'Guts (option 1)'!AB243</f>
        <v>0</v>
      </c>
      <c r="L230" s="98">
        <f>'Guts (option 2)'!AB243</f>
        <v>-1.1269999999999996</v>
      </c>
      <c r="M230" s="14"/>
    </row>
    <row r="231" spans="1:13" x14ac:dyDescent="0.25">
      <c r="A231" s="1">
        <f>'Guts (option 1)'!A244</f>
        <v>24258</v>
      </c>
      <c r="B231" s="20">
        <f>'Guts (option 1)'!G244</f>
        <v>0.161</v>
      </c>
      <c r="C231" s="20">
        <f>'Guts (option 2)'!G244</f>
        <v>0.161</v>
      </c>
      <c r="D231" s="20"/>
      <c r="F231" s="1">
        <f t="shared" si="24"/>
        <v>24258</v>
      </c>
      <c r="G231" s="6">
        <f t="shared" si="23"/>
        <v>1965</v>
      </c>
      <c r="H231" s="112">
        <f t="shared" si="25"/>
        <v>66</v>
      </c>
      <c r="I231" s="112" t="str">
        <f t="shared" si="26"/>
        <v>66</v>
      </c>
      <c r="J231" s="19" t="str">
        <f t="shared" si="27"/>
        <v>1965/66</v>
      </c>
      <c r="K231" s="98">
        <f>'Guts (option 1)'!AB244</f>
        <v>0</v>
      </c>
      <c r="L231" s="98">
        <f>'Guts (option 2)'!AB244</f>
        <v>-1.1270000000000002</v>
      </c>
      <c r="M231" s="14"/>
    </row>
    <row r="232" spans="1:13" x14ac:dyDescent="0.25">
      <c r="A232" s="1">
        <f>'Guts (option 1)'!A245</f>
        <v>24350</v>
      </c>
      <c r="B232" s="20">
        <f>'Guts (option 1)'!G245</f>
        <v>0.161</v>
      </c>
      <c r="C232" s="20">
        <f>'Guts (option 2)'!G245</f>
        <v>0.161</v>
      </c>
      <c r="D232" s="20"/>
      <c r="F232" s="1">
        <f t="shared" si="24"/>
        <v>24350</v>
      </c>
      <c r="G232" s="6">
        <f t="shared" si="23"/>
        <v>1965</v>
      </c>
      <c r="H232" s="112">
        <f t="shared" si="25"/>
        <v>66</v>
      </c>
      <c r="I232" s="112" t="str">
        <f t="shared" si="26"/>
        <v>66</v>
      </c>
      <c r="J232" s="19" t="str">
        <f t="shared" si="27"/>
        <v>1965/66</v>
      </c>
      <c r="K232" s="98">
        <f>'Guts (option 1)'!AB245</f>
        <v>0</v>
      </c>
      <c r="L232" s="98">
        <f>'Guts (option 2)'!AB245</f>
        <v>-1.1270000000000002</v>
      </c>
      <c r="M232" s="14"/>
    </row>
    <row r="233" spans="1:13" x14ac:dyDescent="0.25">
      <c r="A233" s="1">
        <f>'Guts (option 1)'!A246</f>
        <v>24441</v>
      </c>
      <c r="B233" s="20">
        <f>'Guts (option 1)'!G246</f>
        <v>0.34681419858797768</v>
      </c>
      <c r="C233" s="20">
        <f>'Guts (option 2)'!G246</f>
        <v>0.34741095623187701</v>
      </c>
      <c r="D233" s="20"/>
      <c r="F233" s="1">
        <f t="shared" si="24"/>
        <v>24441</v>
      </c>
      <c r="G233" s="6">
        <f t="shared" si="23"/>
        <v>1965</v>
      </c>
      <c r="H233" s="112">
        <f t="shared" si="25"/>
        <v>66</v>
      </c>
      <c r="I233" s="112" t="str">
        <f t="shared" si="26"/>
        <v>66</v>
      </c>
      <c r="J233" s="19" t="str">
        <f t="shared" si="27"/>
        <v>1965/66</v>
      </c>
      <c r="K233" s="98">
        <f>'Guts (option 1)'!AB246</f>
        <v>-44.199257356172559</v>
      </c>
      <c r="L233" s="98">
        <f>'Guts (option 2)'!AB246</f>
        <v>-14.781522614154014</v>
      </c>
      <c r="M233" s="14"/>
    </row>
    <row r="234" spans="1:13" x14ac:dyDescent="0.25">
      <c r="A234" s="1">
        <f>'Guts (option 1)'!A247</f>
        <v>24531</v>
      </c>
      <c r="B234" s="20">
        <f>'Guts (option 1)'!G247</f>
        <v>0.34681419858797768</v>
      </c>
      <c r="C234" s="20">
        <f>'Guts (option 2)'!G247</f>
        <v>0.34741095623187701</v>
      </c>
      <c r="D234" s="20"/>
      <c r="F234" s="1">
        <f t="shared" si="24"/>
        <v>24531</v>
      </c>
      <c r="G234" s="6">
        <f t="shared" si="23"/>
        <v>1966</v>
      </c>
      <c r="H234" s="112">
        <f t="shared" si="25"/>
        <v>67</v>
      </c>
      <c r="I234" s="112" t="str">
        <f t="shared" si="26"/>
        <v>67</v>
      </c>
      <c r="J234" s="19" t="str">
        <f t="shared" si="27"/>
        <v>1966/67</v>
      </c>
      <c r="K234" s="98">
        <f>'Guts (option 1)'!AB247</f>
        <v>15.932956415910423</v>
      </c>
      <c r="L234" s="98">
        <f>'Guts (option 2)'!AB247</f>
        <v>5.320123999717679</v>
      </c>
      <c r="M234" s="14"/>
    </row>
    <row r="235" spans="1:13" x14ac:dyDescent="0.25">
      <c r="A235" s="1">
        <f>'Guts (option 1)'!A248</f>
        <v>24623</v>
      </c>
      <c r="B235" s="20">
        <f>'Guts (option 1)'!G248</f>
        <v>0.45457583505911681</v>
      </c>
      <c r="C235" s="20">
        <f>'Guts (option 2)'!G248</f>
        <v>0.45518354539086642</v>
      </c>
      <c r="D235" s="20"/>
      <c r="F235" s="1">
        <f t="shared" si="24"/>
        <v>24623</v>
      </c>
      <c r="G235" s="6">
        <f t="shared" si="23"/>
        <v>1966</v>
      </c>
      <c r="H235" s="112">
        <f t="shared" si="25"/>
        <v>67</v>
      </c>
      <c r="I235" s="112" t="str">
        <f t="shared" si="26"/>
        <v>67</v>
      </c>
      <c r="J235" s="19" t="str">
        <f t="shared" si="27"/>
        <v>1966/67</v>
      </c>
      <c r="K235" s="98">
        <f>'Guts (option 1)'!AB248</f>
        <v>20.883622980867379</v>
      </c>
      <c r="L235" s="98">
        <f>'Guts (option 2)'!AB248</f>
        <v>6.9705139134824181</v>
      </c>
      <c r="M235" s="14"/>
    </row>
    <row r="236" spans="1:13" x14ac:dyDescent="0.25">
      <c r="A236" s="1">
        <f>'Guts (option 1)'!A249</f>
        <v>24715</v>
      </c>
      <c r="B236" s="20">
        <f>'Guts (option 1)'!G249</f>
        <v>0.2282219588925917</v>
      </c>
      <c r="C236" s="20">
        <f>'Guts (option 2)'!G249</f>
        <v>0.22852706275349782</v>
      </c>
      <c r="D236" s="20"/>
      <c r="F236" s="1">
        <f t="shared" si="24"/>
        <v>24715</v>
      </c>
      <c r="G236" s="6">
        <f t="shared" si="23"/>
        <v>1966</v>
      </c>
      <c r="H236" s="112">
        <f t="shared" si="25"/>
        <v>67</v>
      </c>
      <c r="I236" s="112" t="str">
        <f t="shared" si="26"/>
        <v>67</v>
      </c>
      <c r="J236" s="19" t="str">
        <f t="shared" si="27"/>
        <v>1966/67</v>
      </c>
      <c r="K236" s="98">
        <f>'Guts (option 1)'!AB249</f>
        <v>10.484722191288666</v>
      </c>
      <c r="L236" s="98">
        <f>'Guts (option 2)'!AB249</f>
        <v>3.4995796457507229</v>
      </c>
      <c r="M236" s="14"/>
    </row>
    <row r="237" spans="1:13" x14ac:dyDescent="0.25">
      <c r="A237" s="1">
        <f>'Guts (option 1)'!A250</f>
        <v>24806</v>
      </c>
      <c r="B237" s="20">
        <f>'Guts (option 1)'!G250</f>
        <v>0.161</v>
      </c>
      <c r="C237" s="20">
        <f>'Guts (option 2)'!G250</f>
        <v>0.161</v>
      </c>
      <c r="D237" s="20"/>
      <c r="F237" s="1">
        <f t="shared" si="24"/>
        <v>24806</v>
      </c>
      <c r="G237" s="6">
        <f t="shared" si="23"/>
        <v>1966</v>
      </c>
      <c r="H237" s="112">
        <f t="shared" si="25"/>
        <v>67</v>
      </c>
      <c r="I237" s="112" t="str">
        <f t="shared" si="26"/>
        <v>67</v>
      </c>
      <c r="J237" s="19" t="str">
        <f t="shared" si="27"/>
        <v>1966/67</v>
      </c>
      <c r="K237" s="98">
        <f>'Guts (option 1)'!AB250</f>
        <v>0</v>
      </c>
      <c r="L237" s="98">
        <f>'Guts (option 2)'!AB250</f>
        <v>-1.1270000000000002</v>
      </c>
      <c r="M237" s="14"/>
    </row>
    <row r="238" spans="1:13" x14ac:dyDescent="0.25">
      <c r="A238" s="1">
        <f>'Guts (option 1)'!A251</f>
        <v>24896</v>
      </c>
      <c r="B238" s="20">
        <f>'Guts (option 1)'!G251</f>
        <v>0.34502552102839451</v>
      </c>
      <c r="C238" s="20">
        <f>'Guts (option 2)'!G251</f>
        <v>0.34561459800948546</v>
      </c>
      <c r="D238" s="20"/>
      <c r="F238" s="1">
        <f t="shared" si="24"/>
        <v>24896</v>
      </c>
      <c r="G238" s="6">
        <f t="shared" ref="G238:G292" si="28">IF(YEAR(F238)&gt;DATE(YEAR(F238),7,1),YEAR(F238),YEAR(F238)-1)</f>
        <v>1967</v>
      </c>
      <c r="H238" s="112">
        <f t="shared" si="25"/>
        <v>68</v>
      </c>
      <c r="I238" s="112" t="str">
        <f t="shared" si="26"/>
        <v>68</v>
      </c>
      <c r="J238" s="19" t="str">
        <f t="shared" si="27"/>
        <v>1967/68</v>
      </c>
      <c r="K238" s="98">
        <f>'Guts (option 1)'!AB251</f>
        <v>-43.763714370414057</v>
      </c>
      <c r="L238" s="98">
        <f>'Guts (option 2)'!AB251</f>
        <v>-14.635718205103233</v>
      </c>
      <c r="M238" s="14"/>
    </row>
    <row r="239" spans="1:13" x14ac:dyDescent="0.25">
      <c r="A239" s="1">
        <f>'Guts (option 1)'!A252</f>
        <v>24989</v>
      </c>
      <c r="B239" s="20">
        <f>'Guts (option 1)'!G252</f>
        <v>0.64413024422131138</v>
      </c>
      <c r="C239" s="20">
        <f>'Guts (option 2)'!G252</f>
        <v>0.6538065389918728</v>
      </c>
      <c r="D239" s="20"/>
      <c r="F239" s="1">
        <f t="shared" si="24"/>
        <v>24989</v>
      </c>
      <c r="G239" s="6">
        <f t="shared" si="28"/>
        <v>1967</v>
      </c>
      <c r="H239" s="112">
        <f t="shared" si="25"/>
        <v>68</v>
      </c>
      <c r="I239" s="112" t="str">
        <f t="shared" si="26"/>
        <v>68</v>
      </c>
      <c r="J239" s="19" t="str">
        <f t="shared" si="27"/>
        <v>1967/68</v>
      </c>
      <c r="K239" s="98">
        <f>'Guts (option 1)'!AB252</f>
        <v>29.591923136746843</v>
      </c>
      <c r="L239" s="98">
        <f>'Guts (option 2)'!AB252</f>
        <v>10.012153609057243</v>
      </c>
      <c r="M239" s="14"/>
    </row>
    <row r="240" spans="1:13" x14ac:dyDescent="0.25">
      <c r="A240" s="1">
        <f>'Guts (option 1)'!A253</f>
        <v>25081</v>
      </c>
      <c r="B240" s="20">
        <f>'Guts (option 1)'!G253</f>
        <v>0.32338865109060067</v>
      </c>
      <c r="C240" s="20">
        <f>'Guts (option 2)'!G253</f>
        <v>0.32824668087802322</v>
      </c>
      <c r="D240" s="20"/>
      <c r="F240" s="1">
        <f t="shared" ref="F240:F294" si="29">A240</f>
        <v>25081</v>
      </c>
      <c r="G240" s="6">
        <f t="shared" si="28"/>
        <v>1967</v>
      </c>
      <c r="H240" s="112">
        <f t="shared" si="25"/>
        <v>68</v>
      </c>
      <c r="I240" s="112" t="str">
        <f t="shared" si="26"/>
        <v>68</v>
      </c>
      <c r="J240" s="19" t="str">
        <f t="shared" si="27"/>
        <v>1967/68</v>
      </c>
      <c r="K240" s="98">
        <f>'Guts (option 1)'!AB253</f>
        <v>14.856765680888177</v>
      </c>
      <c r="L240" s="98">
        <f>'Guts (option 2)'!AB253</f>
        <v>5.0266493138497248</v>
      </c>
      <c r="M240" s="14"/>
    </row>
    <row r="241" spans="1:13" x14ac:dyDescent="0.25">
      <c r="A241" s="1">
        <f>'Guts (option 1)'!A254</f>
        <v>25172</v>
      </c>
      <c r="B241" s="20">
        <f>'Guts (option 1)'!G254</f>
        <v>0.28993827671827033</v>
      </c>
      <c r="C241" s="20">
        <f>'Guts (option 2)'!G254</f>
        <v>0.29479630650569288</v>
      </c>
      <c r="D241" s="20"/>
      <c r="F241" s="1">
        <f t="shared" si="29"/>
        <v>25172</v>
      </c>
      <c r="G241" s="6">
        <f t="shared" si="28"/>
        <v>1967</v>
      </c>
      <c r="H241" s="112">
        <f t="shared" si="25"/>
        <v>68</v>
      </c>
      <c r="I241" s="112" t="str">
        <f t="shared" si="26"/>
        <v>68</v>
      </c>
      <c r="J241" s="19" t="str">
        <f t="shared" si="27"/>
        <v>1967/68</v>
      </c>
      <c r="K241" s="98">
        <f>'Guts (option 1)'!AB254</f>
        <v>13.320025376886385</v>
      </c>
      <c r="L241" s="98">
        <f>'Guts (option 2)'!AB254</f>
        <v>4.514402545849129</v>
      </c>
      <c r="M241" s="14"/>
    </row>
    <row r="242" spans="1:13" x14ac:dyDescent="0.25">
      <c r="A242" s="1">
        <f>'Guts (option 1)'!A255</f>
        <v>25262</v>
      </c>
      <c r="B242" s="20">
        <f>'Guts (option 1)'!G255</f>
        <v>0.28993827671827033</v>
      </c>
      <c r="C242" s="20">
        <f>'Guts (option 2)'!G255</f>
        <v>0.29479630650569288</v>
      </c>
      <c r="D242" s="20"/>
      <c r="F242" s="1">
        <f t="shared" si="29"/>
        <v>25262</v>
      </c>
      <c r="G242" s="6">
        <f t="shared" si="28"/>
        <v>1968</v>
      </c>
      <c r="H242" s="112">
        <f t="shared" si="25"/>
        <v>69</v>
      </c>
      <c r="I242" s="112" t="str">
        <f t="shared" si="26"/>
        <v>69</v>
      </c>
      <c r="J242" s="19" t="str">
        <f t="shared" si="27"/>
        <v>1968/69</v>
      </c>
      <c r="K242" s="98">
        <f>'Guts (option 1)'!AB255</f>
        <v>13.320025376886385</v>
      </c>
      <c r="L242" s="98">
        <f>'Guts (option 2)'!AB255</f>
        <v>4.514402545849129</v>
      </c>
      <c r="M242" s="14"/>
    </row>
    <row r="243" spans="1:13" x14ac:dyDescent="0.25">
      <c r="A243" s="1">
        <f>'Guts (option 1)'!A256</f>
        <v>25354</v>
      </c>
      <c r="B243" s="20">
        <f>'Guts (option 1)'!G256</f>
        <v>0.28993827671827033</v>
      </c>
      <c r="C243" s="20">
        <f>'Guts (option 2)'!G256</f>
        <v>0.29479630650569288</v>
      </c>
      <c r="D243" s="20"/>
      <c r="F243" s="1">
        <f t="shared" si="29"/>
        <v>25354</v>
      </c>
      <c r="G243" s="6">
        <f t="shared" si="28"/>
        <v>1968</v>
      </c>
      <c r="H243" s="112">
        <f t="shared" si="25"/>
        <v>69</v>
      </c>
      <c r="I243" s="112" t="str">
        <f t="shared" si="26"/>
        <v>69</v>
      </c>
      <c r="J243" s="19" t="str">
        <f t="shared" si="27"/>
        <v>1968/69</v>
      </c>
      <c r="K243" s="98">
        <f>'Guts (option 1)'!AB256</f>
        <v>13.320025376886385</v>
      </c>
      <c r="L243" s="98">
        <f>'Guts (option 2)'!AB256</f>
        <v>4.514402545849129</v>
      </c>
      <c r="M243" s="14"/>
    </row>
    <row r="244" spans="1:13" x14ac:dyDescent="0.25">
      <c r="A244" s="1">
        <f>'Guts (option 1)'!A257</f>
        <v>25446</v>
      </c>
      <c r="B244" s="20">
        <f>'Guts (option 1)'!G257</f>
        <v>0.161</v>
      </c>
      <c r="C244" s="20">
        <f>'Guts (option 2)'!G257</f>
        <v>0.161</v>
      </c>
      <c r="D244" s="20"/>
      <c r="F244" s="1">
        <f t="shared" si="29"/>
        <v>25446</v>
      </c>
      <c r="G244" s="6">
        <f t="shared" si="28"/>
        <v>1968</v>
      </c>
      <c r="H244" s="112">
        <f t="shared" si="25"/>
        <v>69</v>
      </c>
      <c r="I244" s="112" t="str">
        <f t="shared" si="26"/>
        <v>69</v>
      </c>
      <c r="J244" s="19" t="str">
        <f t="shared" si="27"/>
        <v>1968/69</v>
      </c>
      <c r="K244" s="98">
        <f>'Guts (option 1)'!AB257</f>
        <v>0</v>
      </c>
      <c r="L244" s="98">
        <f>'Guts (option 2)'!AB257</f>
        <v>-1.1270000000000002</v>
      </c>
      <c r="M244" s="14"/>
    </row>
    <row r="245" spans="1:13" x14ac:dyDescent="0.25">
      <c r="A245" s="1">
        <f>'Guts (option 1)'!A258</f>
        <v>25537</v>
      </c>
      <c r="B245" s="20">
        <f>'Guts (option 1)'!G258</f>
        <v>0.36476476956153731</v>
      </c>
      <c r="C245" s="20">
        <f>'Guts (option 2)'!G258</f>
        <v>0.36636647841337255</v>
      </c>
      <c r="D245" s="20"/>
      <c r="F245" s="1">
        <f t="shared" si="29"/>
        <v>25537</v>
      </c>
      <c r="G245" s="6">
        <f t="shared" si="28"/>
        <v>1968</v>
      </c>
      <c r="H245" s="112">
        <f t="shared" si="25"/>
        <v>69</v>
      </c>
      <c r="I245" s="112" t="str">
        <f t="shared" si="26"/>
        <v>69</v>
      </c>
      <c r="J245" s="19" t="str">
        <f t="shared" si="27"/>
        <v>1968/69</v>
      </c>
      <c r="K245" s="98">
        <f>'Guts (option 1)'!AB258</f>
        <v>-48.570221388234323</v>
      </c>
      <c r="L245" s="98">
        <f>'Guts (option 2)'!AB258</f>
        <v>-16.320079164552066</v>
      </c>
      <c r="M245" s="14"/>
    </row>
    <row r="246" spans="1:13" x14ac:dyDescent="0.25">
      <c r="A246" s="1">
        <f>'Guts (option 1)'!A259</f>
        <v>25627</v>
      </c>
      <c r="B246" s="20">
        <f>'Guts (option 1)'!G259</f>
        <v>0.36476476956153731</v>
      </c>
      <c r="C246" s="20">
        <f>'Guts (option 2)'!G259</f>
        <v>0.36636647841337255</v>
      </c>
      <c r="D246" s="20"/>
      <c r="F246" s="1">
        <f t="shared" si="29"/>
        <v>25627</v>
      </c>
      <c r="G246" s="6">
        <f t="shared" si="28"/>
        <v>1969</v>
      </c>
      <c r="H246" s="112">
        <f t="shared" si="25"/>
        <v>70</v>
      </c>
      <c r="I246" s="112" t="str">
        <f t="shared" si="26"/>
        <v>70</v>
      </c>
      <c r="J246" s="19" t="str">
        <f t="shared" si="27"/>
        <v>1969/70</v>
      </c>
      <c r="K246" s="98">
        <f>'Guts (option 1)'!AB259</f>
        <v>16.757621801949629</v>
      </c>
      <c r="L246" s="98">
        <f>'Guts (option 2)'!AB259</f>
        <v>5.6104019160469685</v>
      </c>
      <c r="M246" s="14"/>
    </row>
    <row r="247" spans="1:13" x14ac:dyDescent="0.25">
      <c r="A247" s="1">
        <f>'Guts (option 1)'!A260</f>
        <v>25719</v>
      </c>
      <c r="B247" s="20">
        <f>'Guts (option 1)'!G260</f>
        <v>0.36476476956153731</v>
      </c>
      <c r="C247" s="20">
        <f>'Guts (option 2)'!G260</f>
        <v>0.36636647841337255</v>
      </c>
      <c r="D247" s="20"/>
      <c r="F247" s="1">
        <f t="shared" si="29"/>
        <v>25719</v>
      </c>
      <c r="G247" s="6">
        <f t="shared" si="28"/>
        <v>1969</v>
      </c>
      <c r="H247" s="112">
        <f t="shared" si="25"/>
        <v>70</v>
      </c>
      <c r="I247" s="112" t="str">
        <f t="shared" si="26"/>
        <v>70</v>
      </c>
      <c r="J247" s="19" t="str">
        <f t="shared" si="27"/>
        <v>1969/70</v>
      </c>
      <c r="K247" s="98">
        <f>'Guts (option 1)'!AB260</f>
        <v>16.757621801949629</v>
      </c>
      <c r="L247" s="98">
        <f>'Guts (option 2)'!AB260</f>
        <v>5.6104019160469685</v>
      </c>
      <c r="M247" s="14"/>
    </row>
    <row r="248" spans="1:13" x14ac:dyDescent="0.25">
      <c r="A248" s="1">
        <f>'Guts (option 1)'!A261</f>
        <v>25811</v>
      </c>
      <c r="B248" s="20">
        <f>'Guts (option 1)'!G261</f>
        <v>0.183131886527828</v>
      </c>
      <c r="C248" s="20">
        <f>'Guts (option 2)'!G261</f>
        <v>0.18393603207087894</v>
      </c>
      <c r="D248" s="20"/>
      <c r="F248" s="1">
        <f t="shared" si="29"/>
        <v>25811</v>
      </c>
      <c r="G248" s="6">
        <f t="shared" si="28"/>
        <v>1969</v>
      </c>
      <c r="H248" s="112">
        <f t="shared" si="25"/>
        <v>70</v>
      </c>
      <c r="I248" s="112" t="str">
        <f t="shared" si="26"/>
        <v>70</v>
      </c>
      <c r="J248" s="19" t="str">
        <f t="shared" si="27"/>
        <v>1969/70</v>
      </c>
      <c r="K248" s="98">
        <f>'Guts (option 1)'!AB261</f>
        <v>8.4132436857862931</v>
      </c>
      <c r="L248" s="98">
        <f>'Guts (option 2)'!AB261</f>
        <v>2.8167289519216809</v>
      </c>
      <c r="M248" s="14"/>
    </row>
    <row r="249" spans="1:13" x14ac:dyDescent="0.25">
      <c r="A249" s="1">
        <f>'Guts (option 1)'!A262</f>
        <v>25902</v>
      </c>
      <c r="B249" s="20">
        <f>'Guts (option 1)'!G262</f>
        <v>0.161</v>
      </c>
      <c r="C249" s="20">
        <f>'Guts (option 2)'!G262</f>
        <v>0.161</v>
      </c>
      <c r="D249" s="20"/>
      <c r="F249" s="1">
        <f t="shared" si="29"/>
        <v>25902</v>
      </c>
      <c r="G249" s="6">
        <f t="shared" si="28"/>
        <v>1969</v>
      </c>
      <c r="H249" s="112">
        <f t="shared" si="25"/>
        <v>70</v>
      </c>
      <c r="I249" s="112" t="str">
        <f t="shared" si="26"/>
        <v>70</v>
      </c>
      <c r="J249" s="19" t="str">
        <f t="shared" si="27"/>
        <v>1969/70</v>
      </c>
      <c r="K249" s="98">
        <f>'Guts (option 1)'!AB262</f>
        <v>0</v>
      </c>
      <c r="L249" s="98">
        <f>'Guts (option 2)'!AB262</f>
        <v>-1.1270000000000002</v>
      </c>
      <c r="M249" s="14"/>
    </row>
    <row r="250" spans="1:13" x14ac:dyDescent="0.25">
      <c r="A250" s="1">
        <f>'Guts (option 1)'!A263</f>
        <v>25992</v>
      </c>
      <c r="B250" s="20">
        <f>'Guts (option 1)'!G263</f>
        <v>0.34971771659882184</v>
      </c>
      <c r="C250" s="20">
        <f>'Guts (option 2)'!G263</f>
        <v>1.0456308970578536</v>
      </c>
      <c r="D250" s="20"/>
      <c r="F250" s="1">
        <f t="shared" si="29"/>
        <v>25992</v>
      </c>
      <c r="G250" s="6">
        <f t="shared" si="28"/>
        <v>1970</v>
      </c>
      <c r="H250" s="112">
        <f t="shared" si="25"/>
        <v>71</v>
      </c>
      <c r="I250" s="112" t="str">
        <f t="shared" si="26"/>
        <v>71</v>
      </c>
      <c r="J250" s="19" t="str">
        <f t="shared" si="27"/>
        <v>1970/71</v>
      </c>
      <c r="K250" s="98">
        <f>'Guts (option 1)'!AB263</f>
        <v>-44.90626399181312</v>
      </c>
      <c r="L250" s="98">
        <f>'Guts (option 2)'!AB263</f>
        <v>-71.453707811195784</v>
      </c>
      <c r="M250" s="14"/>
    </row>
    <row r="251" spans="1:13" x14ac:dyDescent="0.25">
      <c r="A251" s="1">
        <f>'Guts (option 1)'!A264</f>
        <v>26084</v>
      </c>
      <c r="B251" s="20">
        <f>'Guts (option 1)'!G264</f>
        <v>0.88807196895180052</v>
      </c>
      <c r="C251" s="20">
        <f>'Guts (option 2)'!G264</f>
        <v>1.790888047455486</v>
      </c>
      <c r="D251" s="20"/>
      <c r="F251" s="1">
        <f t="shared" si="29"/>
        <v>26084</v>
      </c>
      <c r="G251" s="6">
        <f t="shared" si="28"/>
        <v>1970</v>
      </c>
      <c r="H251" s="112">
        <f t="shared" si="25"/>
        <v>71</v>
      </c>
      <c r="I251" s="112" t="str">
        <f t="shared" si="26"/>
        <v>71</v>
      </c>
      <c r="J251" s="19" t="str">
        <f t="shared" si="27"/>
        <v>1970/71</v>
      </c>
      <c r="K251" s="98">
        <f>'Guts (option 1)'!AB264</f>
        <v>40.798825518417772</v>
      </c>
      <c r="L251" s="98">
        <f>'Guts (option 2)'!AB264</f>
        <v>27.425002899782577</v>
      </c>
      <c r="M251" s="14"/>
    </row>
    <row r="252" spans="1:13" x14ac:dyDescent="0.25">
      <c r="A252" s="1">
        <f>'Guts (option 1)'!A265</f>
        <v>26176</v>
      </c>
      <c r="B252" s="20">
        <f>'Guts (option 1)'!G265</f>
        <v>0.44586075360874144</v>
      </c>
      <c r="C252" s="20">
        <f>'Guts (option 2)'!G265</f>
        <v>0.89912385750656176</v>
      </c>
      <c r="D252" s="20"/>
      <c r="F252" s="1">
        <f t="shared" si="29"/>
        <v>26176</v>
      </c>
      <c r="G252" s="6">
        <f t="shared" si="28"/>
        <v>1970</v>
      </c>
      <c r="H252" s="112">
        <f t="shared" si="25"/>
        <v>71</v>
      </c>
      <c r="I252" s="112" t="str">
        <f t="shared" si="26"/>
        <v>71</v>
      </c>
      <c r="J252" s="19" t="str">
        <f t="shared" si="27"/>
        <v>1970/71</v>
      </c>
      <c r="K252" s="98">
        <f>'Guts (option 1)'!AB265</f>
        <v>20.48324429546383</v>
      </c>
      <c r="L252" s="98">
        <f>'Guts (option 2)'!AB265</f>
        <v>13.768853075107733</v>
      </c>
      <c r="M252" s="14"/>
    </row>
    <row r="253" spans="1:13" x14ac:dyDescent="0.25">
      <c r="A253" s="1">
        <f>'Guts (option 1)'!A266</f>
        <v>26267</v>
      </c>
      <c r="B253" s="20">
        <f>'Guts (option 1)'!G266</f>
        <v>0.44586075360874144</v>
      </c>
      <c r="C253" s="20">
        <f>'Guts (option 2)'!G266</f>
        <v>0.89912385750656176</v>
      </c>
      <c r="D253" s="20"/>
      <c r="F253" s="1">
        <f t="shared" si="29"/>
        <v>26267</v>
      </c>
      <c r="G253" s="6">
        <f t="shared" si="28"/>
        <v>1970</v>
      </c>
      <c r="H253" s="112">
        <f t="shared" si="25"/>
        <v>71</v>
      </c>
      <c r="I253" s="112" t="str">
        <f t="shared" si="26"/>
        <v>71</v>
      </c>
      <c r="J253" s="19" t="str">
        <f t="shared" si="27"/>
        <v>1970/71</v>
      </c>
      <c r="K253" s="98">
        <f>'Guts (option 1)'!AB266</f>
        <v>20.48324429546383</v>
      </c>
      <c r="L253" s="98">
        <f>'Guts (option 2)'!AB266</f>
        <v>13.768853075107733</v>
      </c>
      <c r="M253" s="14"/>
    </row>
    <row r="254" spans="1:13" x14ac:dyDescent="0.25">
      <c r="A254" s="1">
        <f>'Guts (option 1)'!A267</f>
        <v>26357</v>
      </c>
      <c r="B254" s="20">
        <f>'Guts (option 1)'!G267</f>
        <v>0.81466281326530965</v>
      </c>
      <c r="C254" s="20">
        <f>'Guts (option 2)'!G267</f>
        <v>1.3642869919292306</v>
      </c>
      <c r="D254" s="20"/>
      <c r="F254" s="1">
        <f t="shared" si="29"/>
        <v>26357</v>
      </c>
      <c r="G254" s="6">
        <f t="shared" si="28"/>
        <v>1971</v>
      </c>
      <c r="H254" s="112">
        <f t="shared" si="25"/>
        <v>72</v>
      </c>
      <c r="I254" s="112" t="str">
        <f t="shared" si="26"/>
        <v>72</v>
      </c>
      <c r="J254" s="19" t="str">
        <f t="shared" si="27"/>
        <v>1971/72</v>
      </c>
      <c r="K254" s="98">
        <f>'Guts (option 1)'!AB267</f>
        <v>37.426342837940261</v>
      </c>
      <c r="L254" s="98">
        <f>'Guts (option 2)'!AB267</f>
        <v>20.892190755840531</v>
      </c>
      <c r="M254" s="14"/>
    </row>
    <row r="255" spans="1:13" x14ac:dyDescent="0.25">
      <c r="A255" s="1">
        <f>'Guts (option 1)'!A268</f>
        <v>26450</v>
      </c>
      <c r="B255" s="20">
        <f>'Guts (option 1)'!G268</f>
        <v>0.81466281326530965</v>
      </c>
      <c r="C255" s="20">
        <f>'Guts (option 2)'!G268</f>
        <v>1.3714546728188333</v>
      </c>
      <c r="D255" s="20"/>
      <c r="F255" s="1">
        <f t="shared" si="29"/>
        <v>26450</v>
      </c>
      <c r="G255" s="6">
        <f t="shared" si="28"/>
        <v>1971</v>
      </c>
      <c r="H255" s="112">
        <f t="shared" si="25"/>
        <v>72</v>
      </c>
      <c r="I255" s="112" t="str">
        <f t="shared" si="26"/>
        <v>72</v>
      </c>
      <c r="J255" s="19" t="str">
        <f t="shared" si="27"/>
        <v>1971/72</v>
      </c>
      <c r="K255" s="98">
        <f>'Guts (option 1)'!AB268</f>
        <v>37.426342837940261</v>
      </c>
      <c r="L255" s="98">
        <f>'Guts (option 2)'!AB268</f>
        <v>21.001953992834245</v>
      </c>
      <c r="M255" s="14"/>
    </row>
    <row r="256" spans="1:13" x14ac:dyDescent="0.25">
      <c r="A256" s="1">
        <f>'Guts (option 1)'!A269</f>
        <v>26542</v>
      </c>
      <c r="B256" s="20">
        <f>'Guts (option 1)'!G269</f>
        <v>0.40900533803381667</v>
      </c>
      <c r="C256" s="20">
        <f>'Guts (option 2)'!G269</f>
        <v>0.68854533792454653</v>
      </c>
      <c r="D256" s="20"/>
      <c r="F256" s="1">
        <f t="shared" si="29"/>
        <v>26542</v>
      </c>
      <c r="G256" s="6">
        <f t="shared" si="28"/>
        <v>1971</v>
      </c>
      <c r="H256" s="112">
        <f t="shared" si="25"/>
        <v>72</v>
      </c>
      <c r="I256" s="112" t="str">
        <f t="shared" si="26"/>
        <v>72</v>
      </c>
      <c r="J256" s="19" t="str">
        <f t="shared" si="27"/>
        <v>1971/72</v>
      </c>
      <c r="K256" s="98">
        <f>'Guts (option 1)'!AB269</f>
        <v>18.790073334077768</v>
      </c>
      <c r="L256" s="98">
        <f>'Guts (option 2)'!AB269</f>
        <v>10.544130838352599</v>
      </c>
      <c r="M256" s="14"/>
    </row>
    <row r="257" spans="1:13" x14ac:dyDescent="0.25">
      <c r="A257" s="1">
        <f>'Guts (option 1)'!A270</f>
        <v>26633</v>
      </c>
      <c r="B257" s="20">
        <f>'Guts (option 1)'!G270</f>
        <v>0.40900533803381667</v>
      </c>
      <c r="C257" s="20">
        <f>'Guts (option 2)'!G270</f>
        <v>0.69135957573113327</v>
      </c>
      <c r="D257" s="20"/>
      <c r="F257" s="1">
        <f t="shared" si="29"/>
        <v>26633</v>
      </c>
      <c r="G257" s="6">
        <f t="shared" si="28"/>
        <v>1971</v>
      </c>
      <c r="H257" s="112">
        <f t="shared" si="25"/>
        <v>72</v>
      </c>
      <c r="I257" s="112" t="str">
        <f t="shared" si="26"/>
        <v>72</v>
      </c>
      <c r="J257" s="19" t="str">
        <f t="shared" si="27"/>
        <v>1971/72</v>
      </c>
      <c r="K257" s="98">
        <f>'Guts (option 1)'!AB270</f>
        <v>18.790073334077768</v>
      </c>
      <c r="L257" s="98">
        <f>'Guts (option 2)'!AB270</f>
        <v>10.587227044235474</v>
      </c>
      <c r="M257" s="14"/>
    </row>
    <row r="258" spans="1:13" x14ac:dyDescent="0.25">
      <c r="A258" s="1">
        <f>'Guts (option 1)'!A271</f>
        <v>26723</v>
      </c>
      <c r="B258" s="20">
        <f>'Guts (option 1)'!G271</f>
        <v>0.40900533803381667</v>
      </c>
      <c r="C258" s="20">
        <f>'Guts (option 2)'!G271</f>
        <v>0.69135957573113327</v>
      </c>
      <c r="D258" s="20"/>
      <c r="F258" s="1">
        <f t="shared" si="29"/>
        <v>26723</v>
      </c>
      <c r="G258" s="6">
        <f t="shared" si="28"/>
        <v>1972</v>
      </c>
      <c r="H258" s="112">
        <f t="shared" si="25"/>
        <v>73</v>
      </c>
      <c r="I258" s="112" t="str">
        <f t="shared" si="26"/>
        <v>73</v>
      </c>
      <c r="J258" s="19" t="str">
        <f t="shared" si="27"/>
        <v>1972/73</v>
      </c>
      <c r="K258" s="98">
        <f>'Guts (option 1)'!AB271</f>
        <v>18.790073334077768</v>
      </c>
      <c r="L258" s="98">
        <f>'Guts (option 2)'!AB271</f>
        <v>10.587227044235474</v>
      </c>
      <c r="M258" s="14"/>
    </row>
    <row r="259" spans="1:13" x14ac:dyDescent="0.25">
      <c r="A259" s="1">
        <f>'Guts (option 1)'!A272</f>
        <v>26815</v>
      </c>
      <c r="B259" s="20">
        <f>'Guts (option 1)'!G272</f>
        <v>0.40900533803381667</v>
      </c>
      <c r="C259" s="20">
        <f>'Guts (option 2)'!G272</f>
        <v>0.69135957573113327</v>
      </c>
      <c r="D259" s="20"/>
      <c r="F259" s="1">
        <f t="shared" si="29"/>
        <v>26815</v>
      </c>
      <c r="G259" s="6">
        <f t="shared" si="28"/>
        <v>1972</v>
      </c>
      <c r="H259" s="112">
        <f t="shared" si="25"/>
        <v>73</v>
      </c>
      <c r="I259" s="112" t="str">
        <f t="shared" si="26"/>
        <v>73</v>
      </c>
      <c r="J259" s="19" t="str">
        <f t="shared" si="27"/>
        <v>1972/73</v>
      </c>
      <c r="K259" s="98">
        <f>'Guts (option 1)'!AB272</f>
        <v>18.790073334077768</v>
      </c>
      <c r="L259" s="98">
        <f>'Guts (option 2)'!AB272</f>
        <v>10.587227044235474</v>
      </c>
      <c r="M259" s="14"/>
    </row>
    <row r="260" spans="1:13" x14ac:dyDescent="0.25">
      <c r="A260" s="1">
        <f>'Guts (option 1)'!A273</f>
        <v>26907</v>
      </c>
      <c r="B260" s="20">
        <f>'Guts (option 1)'!G273</f>
        <v>0.2053430742341705</v>
      </c>
      <c r="C260" s="20">
        <f>'Guts (option 2)'!G273</f>
        <v>0.34710036148751916</v>
      </c>
      <c r="D260" s="20"/>
      <c r="F260" s="1">
        <f t="shared" si="29"/>
        <v>26907</v>
      </c>
      <c r="G260" s="6">
        <f t="shared" si="28"/>
        <v>1972</v>
      </c>
      <c r="H260" s="112">
        <f t="shared" ref="H260:H323" si="30">G260+1-1900</f>
        <v>73</v>
      </c>
      <c r="I260" s="112" t="str">
        <f t="shared" ref="I260:I323" si="31">TEXT(H260,"#00")</f>
        <v>73</v>
      </c>
      <c r="J260" s="19" t="str">
        <f t="shared" ref="J260:J323" si="32">CONCATENATE(G260,"/",I260)</f>
        <v>1972/73</v>
      </c>
      <c r="K260" s="98">
        <f>'Guts (option 1)'!AB273</f>
        <v>9.4336456390846024</v>
      </c>
      <c r="L260" s="98">
        <f>'Guts (option 2)'!AB273</f>
        <v>5.3153676656873214</v>
      </c>
      <c r="M260" s="14"/>
    </row>
    <row r="261" spans="1:13" x14ac:dyDescent="0.25">
      <c r="A261" s="1">
        <f>'Guts (option 1)'!A274</f>
        <v>26998</v>
      </c>
      <c r="B261" s="20">
        <f>'Guts (option 1)'!G274</f>
        <v>0.29290211343115585</v>
      </c>
      <c r="C261" s="20">
        <f>'Guts (option 2)'!G274</f>
        <v>0.43465940068450443</v>
      </c>
      <c r="D261" s="20"/>
      <c r="F261" s="1">
        <f t="shared" si="29"/>
        <v>26998</v>
      </c>
      <c r="G261" s="6">
        <f t="shared" si="28"/>
        <v>1972</v>
      </c>
      <c r="H261" s="112">
        <f t="shared" si="30"/>
        <v>73</v>
      </c>
      <c r="I261" s="112" t="str">
        <f t="shared" si="31"/>
        <v>73</v>
      </c>
      <c r="J261" s="19" t="str">
        <f t="shared" si="32"/>
        <v>1972/73</v>
      </c>
      <c r="K261" s="98">
        <f>'Guts (option 1)'!AB274</f>
        <v>13.456186702929388</v>
      </c>
      <c r="L261" s="98">
        <f>'Guts (option 2)'!AB274</f>
        <v>6.6562146869689167</v>
      </c>
      <c r="M261" s="14"/>
    </row>
    <row r="262" spans="1:13" x14ac:dyDescent="0.25">
      <c r="A262" s="1">
        <f>'Guts (option 1)'!A275</f>
        <v>27088</v>
      </c>
      <c r="B262" s="20">
        <f>'Guts (option 1)'!G275</f>
        <v>0.86035880900047879</v>
      </c>
      <c r="C262" s="20">
        <f>'Guts (option 2)'!G275</f>
        <v>1.0762194379788632</v>
      </c>
      <c r="D262" s="20"/>
      <c r="F262" s="1">
        <f t="shared" si="29"/>
        <v>27088</v>
      </c>
      <c r="G262" s="6">
        <f t="shared" si="28"/>
        <v>1973</v>
      </c>
      <c r="H262" s="112">
        <f t="shared" si="30"/>
        <v>74</v>
      </c>
      <c r="I262" s="112" t="str">
        <f t="shared" si="31"/>
        <v>74</v>
      </c>
      <c r="J262" s="19" t="str">
        <f t="shared" si="32"/>
        <v>1973/74</v>
      </c>
      <c r="K262" s="98">
        <f>'Guts (option 1)'!AB275</f>
        <v>39.525658008410097</v>
      </c>
      <c r="L262" s="98">
        <f>'Guts (option 2)'!AB275</f>
        <v>16.480829859414385</v>
      </c>
      <c r="M262" s="14"/>
    </row>
    <row r="263" spans="1:13" x14ac:dyDescent="0.25">
      <c r="A263" s="1">
        <f>'Guts (option 1)'!A276</f>
        <v>27180</v>
      </c>
      <c r="B263" s="20">
        <f>'Guts (option 1)'!G276</f>
        <v>2.3648659774246181</v>
      </c>
      <c r="C263" s="20">
        <f>'Guts (option 2)'!G276</f>
        <v>2.5300000000000002</v>
      </c>
      <c r="D263" s="20"/>
      <c r="F263" s="1">
        <f t="shared" si="29"/>
        <v>27180</v>
      </c>
      <c r="G263" s="6">
        <f t="shared" si="28"/>
        <v>1973</v>
      </c>
      <c r="H263" s="112">
        <f t="shared" si="30"/>
        <v>74</v>
      </c>
      <c r="I263" s="112" t="str">
        <f t="shared" si="31"/>
        <v>74</v>
      </c>
      <c r="J263" s="19" t="str">
        <f t="shared" si="32"/>
        <v>1973/74</v>
      </c>
      <c r="K263" s="98">
        <f>'Guts (option 1)'!AB276</f>
        <v>108.64407138226665</v>
      </c>
      <c r="L263" s="98">
        <f>'Guts (option 2)'!AB276</f>
        <v>38.743492333333336</v>
      </c>
      <c r="M263" s="14"/>
    </row>
    <row r="264" spans="1:13" x14ac:dyDescent="0.25">
      <c r="A264" s="1">
        <f>'Guts (option 1)'!A277</f>
        <v>27272</v>
      </c>
      <c r="B264" s="20">
        <f>'Guts (option 1)'!G277</f>
        <v>1.1872922057462665</v>
      </c>
      <c r="C264" s="20">
        <f>'Guts (option 2)'!G277</f>
        <v>1.2701985267720333</v>
      </c>
      <c r="D264" s="20"/>
      <c r="F264" s="1">
        <f t="shared" si="29"/>
        <v>27272</v>
      </c>
      <c r="G264" s="6">
        <f t="shared" si="28"/>
        <v>1973</v>
      </c>
      <c r="H264" s="112">
        <f t="shared" si="30"/>
        <v>74</v>
      </c>
      <c r="I264" s="112" t="str">
        <f t="shared" si="31"/>
        <v>74</v>
      </c>
      <c r="J264" s="19" t="str">
        <f t="shared" si="32"/>
        <v>1973/74</v>
      </c>
      <c r="K264" s="98">
        <f>'Guts (option 1)'!AB277</f>
        <v>54.545272494968657</v>
      </c>
      <c r="L264" s="98">
        <f>'Guts (option 2)'!AB277</f>
        <v>19.451354499527103</v>
      </c>
      <c r="M264" s="14"/>
    </row>
    <row r="265" spans="1:13" x14ac:dyDescent="0.25">
      <c r="A265" s="1">
        <f>'Guts (option 1)'!A278</f>
        <v>27363</v>
      </c>
      <c r="B265" s="20">
        <f>'Guts (option 1)'!G278</f>
        <v>1.1872922057462665</v>
      </c>
      <c r="C265" s="20">
        <f>'Guts (option 2)'!G278</f>
        <v>1.2701985267720333</v>
      </c>
      <c r="D265" s="20"/>
      <c r="F265" s="1">
        <f t="shared" si="29"/>
        <v>27363</v>
      </c>
      <c r="G265" s="6">
        <f t="shared" si="28"/>
        <v>1973</v>
      </c>
      <c r="H265" s="112">
        <f t="shared" si="30"/>
        <v>74</v>
      </c>
      <c r="I265" s="112" t="str">
        <f t="shared" si="31"/>
        <v>74</v>
      </c>
      <c r="J265" s="19" t="str">
        <f t="shared" si="32"/>
        <v>1973/74</v>
      </c>
      <c r="K265" s="98">
        <f>'Guts (option 1)'!AB278</f>
        <v>54.545272494968657</v>
      </c>
      <c r="L265" s="98">
        <f>'Guts (option 2)'!AB278</f>
        <v>19.451354499527103</v>
      </c>
      <c r="M265" s="14"/>
    </row>
    <row r="266" spans="1:13" x14ac:dyDescent="0.25">
      <c r="A266" s="1">
        <f>'Guts (option 1)'!A279</f>
        <v>27453</v>
      </c>
      <c r="B266" s="20">
        <f>'Guts (option 1)'!G279</f>
        <v>1.7776032290556711</v>
      </c>
      <c r="C266" s="20">
        <f>'Guts (option 2)'!G279</f>
        <v>1.8737013181186413</v>
      </c>
      <c r="D266" s="20"/>
      <c r="F266" s="1">
        <f t="shared" si="29"/>
        <v>27453</v>
      </c>
      <c r="G266" s="6">
        <f t="shared" si="28"/>
        <v>1974</v>
      </c>
      <c r="H266" s="112">
        <f t="shared" si="30"/>
        <v>75</v>
      </c>
      <c r="I266" s="112" t="str">
        <f t="shared" si="31"/>
        <v>75</v>
      </c>
      <c r="J266" s="19" t="str">
        <f t="shared" si="32"/>
        <v>1974/75</v>
      </c>
      <c r="K266" s="98">
        <f>'Guts (option 1)'!AB279</f>
        <v>81.66469218572368</v>
      </c>
      <c r="L266" s="98">
        <f>'Guts (option 2)'!AB279</f>
        <v>28.693174961852225</v>
      </c>
      <c r="M266" s="14"/>
    </row>
    <row r="267" spans="1:13" x14ac:dyDescent="0.25">
      <c r="A267" s="1">
        <f>'Guts (option 1)'!A280</f>
        <v>27545</v>
      </c>
      <c r="B267" s="20">
        <f>'Guts (option 1)'!G280</f>
        <v>1.7776032290556711</v>
      </c>
      <c r="C267" s="20">
        <f>'Guts (option 2)'!G280</f>
        <v>1.8737013181186413</v>
      </c>
      <c r="D267" s="20"/>
      <c r="F267" s="1">
        <f t="shared" si="29"/>
        <v>27545</v>
      </c>
      <c r="G267" s="6">
        <f t="shared" si="28"/>
        <v>1974</v>
      </c>
      <c r="H267" s="112">
        <f t="shared" si="30"/>
        <v>75</v>
      </c>
      <c r="I267" s="112" t="str">
        <f t="shared" si="31"/>
        <v>75</v>
      </c>
      <c r="J267" s="19" t="str">
        <f t="shared" si="32"/>
        <v>1974/75</v>
      </c>
      <c r="K267" s="98">
        <f>'Guts (option 1)'!AB280</f>
        <v>81.66469218572368</v>
      </c>
      <c r="L267" s="98">
        <f>'Guts (option 2)'!AB280</f>
        <v>28.693174961852225</v>
      </c>
      <c r="M267" s="14"/>
    </row>
    <row r="268" spans="1:13" x14ac:dyDescent="0.25">
      <c r="A268" s="1">
        <f>'Guts (option 1)'!A281</f>
        <v>27637</v>
      </c>
      <c r="B268" s="20">
        <f>'Guts (option 1)'!G281</f>
        <v>0.89245415127736072</v>
      </c>
      <c r="C268" s="20">
        <f>'Guts (option 2)'!G281</f>
        <v>0.9407006537095316</v>
      </c>
      <c r="D268" s="20"/>
      <c r="F268" s="1">
        <f t="shared" si="29"/>
        <v>27637</v>
      </c>
      <c r="G268" s="6">
        <f t="shared" si="28"/>
        <v>1974</v>
      </c>
      <c r="H268" s="112">
        <f t="shared" si="30"/>
        <v>75</v>
      </c>
      <c r="I268" s="112" t="str">
        <f t="shared" si="31"/>
        <v>75</v>
      </c>
      <c r="J268" s="19" t="str">
        <f t="shared" si="32"/>
        <v>1974/75</v>
      </c>
      <c r="K268" s="98">
        <f>'Guts (option 1)'!AB281</f>
        <v>41.000146918418103</v>
      </c>
      <c r="L268" s="98">
        <f>'Guts (option 2)'!AB281</f>
        <v>14.40554488733474</v>
      </c>
      <c r="M268" s="14"/>
    </row>
    <row r="269" spans="1:13" x14ac:dyDescent="0.25">
      <c r="A269" s="1">
        <f>'Guts (option 1)'!A282</f>
        <v>27728</v>
      </c>
      <c r="B269" s="20">
        <f>'Guts (option 1)'!G282</f>
        <v>0.89245415127736072</v>
      </c>
      <c r="C269" s="20">
        <f>'Guts (option 2)'!G282</f>
        <v>0.9407006537095316</v>
      </c>
      <c r="D269" s="20"/>
      <c r="F269" s="1">
        <f t="shared" si="29"/>
        <v>27728</v>
      </c>
      <c r="G269" s="6">
        <f t="shared" si="28"/>
        <v>1974</v>
      </c>
      <c r="H269" s="112">
        <f t="shared" si="30"/>
        <v>75</v>
      </c>
      <c r="I269" s="112" t="str">
        <f t="shared" si="31"/>
        <v>75</v>
      </c>
      <c r="J269" s="19" t="str">
        <f t="shared" si="32"/>
        <v>1974/75</v>
      </c>
      <c r="K269" s="98">
        <f>'Guts (option 1)'!AB282</f>
        <v>41.000146918418103</v>
      </c>
      <c r="L269" s="98">
        <f>'Guts (option 2)'!AB282</f>
        <v>14.40554488733474</v>
      </c>
      <c r="M269" s="14"/>
    </row>
    <row r="270" spans="1:13" x14ac:dyDescent="0.25">
      <c r="A270" s="1">
        <f>'Guts (option 1)'!A283</f>
        <v>27818</v>
      </c>
      <c r="B270" s="20">
        <f>'Guts (option 1)'!G283</f>
        <v>1.416398598485515</v>
      </c>
      <c r="C270" s="20">
        <f>'Guts (option 2)'!G283</f>
        <v>1.5566316070790198</v>
      </c>
      <c r="D270" s="20"/>
      <c r="F270" s="1">
        <f t="shared" si="29"/>
        <v>27818</v>
      </c>
      <c r="G270" s="6">
        <f t="shared" si="28"/>
        <v>1975</v>
      </c>
      <c r="H270" s="112">
        <f t="shared" si="30"/>
        <v>76</v>
      </c>
      <c r="I270" s="112" t="str">
        <f t="shared" si="31"/>
        <v>76</v>
      </c>
      <c r="J270" s="19" t="str">
        <f t="shared" si="32"/>
        <v>1975/76</v>
      </c>
      <c r="K270" s="98">
        <f>'Guts (option 1)'!AB283</f>
        <v>65.070626373163194</v>
      </c>
      <c r="L270" s="98">
        <f>'Guts (option 2)'!AB283</f>
        <v>23.837685665885513</v>
      </c>
      <c r="M270" s="14"/>
    </row>
    <row r="271" spans="1:13" x14ac:dyDescent="0.25">
      <c r="A271" s="1">
        <f>'Guts (option 1)'!A284</f>
        <v>27911</v>
      </c>
      <c r="B271" s="20">
        <f>'Guts (option 1)'!G284</f>
        <v>2.5300000000000002</v>
      </c>
      <c r="C271" s="20">
        <f>'Guts (option 2)'!G284</f>
        <v>2.5300000000000002</v>
      </c>
      <c r="D271" s="20"/>
      <c r="F271" s="1">
        <f t="shared" si="29"/>
        <v>27911</v>
      </c>
      <c r="G271" s="6">
        <f t="shared" si="28"/>
        <v>1975</v>
      </c>
      <c r="H271" s="112">
        <f t="shared" si="30"/>
        <v>76</v>
      </c>
      <c r="I271" s="112" t="str">
        <f t="shared" si="31"/>
        <v>76</v>
      </c>
      <c r="J271" s="19" t="str">
        <f t="shared" si="32"/>
        <v>1975/76</v>
      </c>
      <c r="K271" s="98">
        <f>'Guts (option 1)'!AB284</f>
        <v>116.23047700000001</v>
      </c>
      <c r="L271" s="98">
        <f>'Guts (option 2)'!AB284</f>
        <v>38.743492333333336</v>
      </c>
      <c r="M271" s="14"/>
    </row>
    <row r="272" spans="1:13" x14ac:dyDescent="0.25">
      <c r="A272" s="1">
        <f>'Guts (option 1)'!A285</f>
        <v>28003</v>
      </c>
      <c r="B272" s="20">
        <f>'Guts (option 1)'!G285</f>
        <v>1.2701985267720333</v>
      </c>
      <c r="C272" s="20">
        <f>'Guts (option 2)'!G285</f>
        <v>1.2701985267720333</v>
      </c>
      <c r="D272" s="20"/>
      <c r="F272" s="1">
        <f t="shared" si="29"/>
        <v>28003</v>
      </c>
      <c r="G272" s="6">
        <f t="shared" si="28"/>
        <v>1975</v>
      </c>
      <c r="H272" s="112">
        <f t="shared" si="30"/>
        <v>76</v>
      </c>
      <c r="I272" s="112" t="str">
        <f t="shared" si="31"/>
        <v>76</v>
      </c>
      <c r="J272" s="19" t="str">
        <f t="shared" si="32"/>
        <v>1975/76</v>
      </c>
      <c r="K272" s="98">
        <f>'Guts (option 1)'!AB285</f>
        <v>58.354063498581304</v>
      </c>
      <c r="L272" s="98">
        <f>'Guts (option 2)'!AB285</f>
        <v>19.451354499527103</v>
      </c>
      <c r="M272" s="14"/>
    </row>
    <row r="273" spans="1:13" x14ac:dyDescent="0.25">
      <c r="A273" s="1">
        <f>'Guts (option 1)'!A286</f>
        <v>28094</v>
      </c>
      <c r="B273" s="20">
        <f>'Guts (option 1)'!G286</f>
        <v>1.2701985267720333</v>
      </c>
      <c r="C273" s="20">
        <f>'Guts (option 2)'!G286</f>
        <v>1.2701985267720333</v>
      </c>
      <c r="D273" s="20"/>
      <c r="F273" s="1">
        <f t="shared" si="29"/>
        <v>28094</v>
      </c>
      <c r="G273" s="6">
        <f t="shared" si="28"/>
        <v>1975</v>
      </c>
      <c r="H273" s="112">
        <f t="shared" si="30"/>
        <v>76</v>
      </c>
      <c r="I273" s="112" t="str">
        <f t="shared" si="31"/>
        <v>76</v>
      </c>
      <c r="J273" s="19" t="str">
        <f t="shared" si="32"/>
        <v>1975/76</v>
      </c>
      <c r="K273" s="98">
        <f>'Guts (option 1)'!AB286</f>
        <v>58.354063498581304</v>
      </c>
      <c r="L273" s="98">
        <f>'Guts (option 2)'!AB286</f>
        <v>19.451354499527103</v>
      </c>
      <c r="M273" s="14"/>
    </row>
    <row r="274" spans="1:13" x14ac:dyDescent="0.25">
      <c r="A274" s="1">
        <f>'Guts (option 1)'!A287</f>
        <v>28184</v>
      </c>
      <c r="B274" s="20">
        <f>'Guts (option 1)'!G287</f>
        <v>1.804819139747901</v>
      </c>
      <c r="C274" s="20">
        <f>'Guts (option 2)'!G287</f>
        <v>1.8258441125288534</v>
      </c>
      <c r="D274" s="20"/>
      <c r="F274" s="1">
        <f t="shared" si="29"/>
        <v>28184</v>
      </c>
      <c r="G274" s="6">
        <f t="shared" si="28"/>
        <v>1976</v>
      </c>
      <c r="H274" s="112">
        <f t="shared" si="30"/>
        <v>77</v>
      </c>
      <c r="I274" s="112" t="str">
        <f t="shared" si="31"/>
        <v>77</v>
      </c>
      <c r="J274" s="19" t="str">
        <f t="shared" si="32"/>
        <v>1976/77</v>
      </c>
      <c r="K274" s="98">
        <f>'Guts (option 1)'!AB287</f>
        <v>82.915015617244336</v>
      </c>
      <c r="L274" s="98">
        <f>'Guts (option 2)'!AB287</f>
        <v>27.960307263092265</v>
      </c>
      <c r="M274" s="14"/>
    </row>
    <row r="275" spans="1:13" x14ac:dyDescent="0.25">
      <c r="A275" s="1">
        <f>'Guts (option 1)'!A288</f>
        <v>28276</v>
      </c>
      <c r="B275" s="20">
        <f>'Guts (option 1)'!G288</f>
        <v>2.5300000000000002</v>
      </c>
      <c r="C275" s="20">
        <f>'Guts (option 2)'!G288</f>
        <v>2.5300000000000002</v>
      </c>
      <c r="D275" s="20"/>
      <c r="F275" s="1">
        <f t="shared" si="29"/>
        <v>28276</v>
      </c>
      <c r="G275" s="6">
        <f t="shared" si="28"/>
        <v>1976</v>
      </c>
      <c r="H275" s="112">
        <f t="shared" si="30"/>
        <v>77</v>
      </c>
      <c r="I275" s="112" t="str">
        <f t="shared" si="31"/>
        <v>77</v>
      </c>
      <c r="J275" s="19" t="str">
        <f t="shared" si="32"/>
        <v>1976/77</v>
      </c>
      <c r="K275" s="98">
        <f>'Guts (option 1)'!AB288</f>
        <v>116.23047700000001</v>
      </c>
      <c r="L275" s="98">
        <f>'Guts (option 2)'!AB288</f>
        <v>21.033492333333331</v>
      </c>
      <c r="M275" s="14"/>
    </row>
    <row r="276" spans="1:13" x14ac:dyDescent="0.25">
      <c r="A276" s="1">
        <f>'Guts (option 1)'!A289</f>
        <v>28368</v>
      </c>
      <c r="B276" s="20">
        <f>'Guts (option 1)'!G289</f>
        <v>1.2701985267720333</v>
      </c>
      <c r="C276" s="20">
        <f>'Guts (option 2)'!G289</f>
        <v>1.2701985267720333</v>
      </c>
      <c r="D276" s="20"/>
      <c r="F276" s="1">
        <f t="shared" si="29"/>
        <v>28368</v>
      </c>
      <c r="G276" s="6">
        <f t="shared" si="28"/>
        <v>1976</v>
      </c>
      <c r="H276" s="112">
        <f t="shared" si="30"/>
        <v>77</v>
      </c>
      <c r="I276" s="112" t="str">
        <f t="shared" si="31"/>
        <v>77</v>
      </c>
      <c r="J276" s="19" t="str">
        <f t="shared" si="32"/>
        <v>1976/77</v>
      </c>
      <c r="K276" s="98">
        <f>'Guts (option 1)'!AB289</f>
        <v>58.354063498581304</v>
      </c>
      <c r="L276" s="98">
        <f>'Guts (option 2)'!AB289</f>
        <v>10.559964812122868</v>
      </c>
      <c r="M276" s="14"/>
    </row>
    <row r="277" spans="1:13" x14ac:dyDescent="0.25">
      <c r="A277" s="1">
        <f>'Guts (option 1)'!A290</f>
        <v>28459</v>
      </c>
      <c r="B277" s="20">
        <f>'Guts (option 1)'!G290</f>
        <v>1.2701985267720333</v>
      </c>
      <c r="C277" s="20">
        <f>'Guts (option 2)'!G290</f>
        <v>1.2701985267720333</v>
      </c>
      <c r="D277" s="20"/>
      <c r="F277" s="1">
        <f t="shared" si="29"/>
        <v>28459</v>
      </c>
      <c r="G277" s="6">
        <f t="shared" si="28"/>
        <v>1976</v>
      </c>
      <c r="H277" s="112">
        <f t="shared" si="30"/>
        <v>77</v>
      </c>
      <c r="I277" s="112" t="str">
        <f t="shared" si="31"/>
        <v>77</v>
      </c>
      <c r="J277" s="19" t="str">
        <f t="shared" si="32"/>
        <v>1976/77</v>
      </c>
      <c r="K277" s="98">
        <f>'Guts (option 1)'!AB290</f>
        <v>58.354063498581304</v>
      </c>
      <c r="L277" s="98">
        <f>'Guts (option 2)'!AB290</f>
        <v>19.451354499527103</v>
      </c>
      <c r="M277" s="14"/>
    </row>
    <row r="278" spans="1:13" x14ac:dyDescent="0.25">
      <c r="A278" s="1">
        <f>'Guts (option 1)'!A291</f>
        <v>28549</v>
      </c>
      <c r="B278" s="20">
        <f>'Guts (option 1)'!G291</f>
        <v>1.2701985267720333</v>
      </c>
      <c r="C278" s="20">
        <f>'Guts (option 2)'!G291</f>
        <v>1.2701985267720333</v>
      </c>
      <c r="D278" s="20"/>
      <c r="F278" s="1">
        <f t="shared" si="29"/>
        <v>28549</v>
      </c>
      <c r="G278" s="6">
        <f t="shared" si="28"/>
        <v>1977</v>
      </c>
      <c r="H278" s="112">
        <f t="shared" si="30"/>
        <v>78</v>
      </c>
      <c r="I278" s="112" t="str">
        <f t="shared" si="31"/>
        <v>78</v>
      </c>
      <c r="J278" s="19" t="str">
        <f t="shared" si="32"/>
        <v>1977/78</v>
      </c>
      <c r="K278" s="98">
        <f>'Guts (option 1)'!AB291</f>
        <v>58.354063498581304</v>
      </c>
      <c r="L278" s="98">
        <f>'Guts (option 2)'!AB291</f>
        <v>19.451354499527103</v>
      </c>
      <c r="M278" s="14"/>
    </row>
    <row r="279" spans="1:13" x14ac:dyDescent="0.25">
      <c r="A279" s="1">
        <f>'Guts (option 1)'!A292</f>
        <v>28641</v>
      </c>
      <c r="B279" s="20">
        <f>'Guts (option 1)'!G292</f>
        <v>1.2701985267720333</v>
      </c>
      <c r="C279" s="20">
        <f>'Guts (option 2)'!G292</f>
        <v>1.2701985267720333</v>
      </c>
      <c r="D279" s="20"/>
      <c r="F279" s="1">
        <f t="shared" si="29"/>
        <v>28641</v>
      </c>
      <c r="G279" s="6">
        <f t="shared" si="28"/>
        <v>1977</v>
      </c>
      <c r="H279" s="112">
        <f t="shared" si="30"/>
        <v>78</v>
      </c>
      <c r="I279" s="112" t="str">
        <f t="shared" si="31"/>
        <v>78</v>
      </c>
      <c r="J279" s="19" t="str">
        <f t="shared" si="32"/>
        <v>1977/78</v>
      </c>
      <c r="K279" s="98">
        <f>'Guts (option 1)'!AB292</f>
        <v>58.354063498581304</v>
      </c>
      <c r="L279" s="98">
        <f>'Guts (option 2)'!AB292</f>
        <v>19.451354499527103</v>
      </c>
      <c r="M279" s="14"/>
    </row>
    <row r="280" spans="1:13" x14ac:dyDescent="0.25">
      <c r="A280" s="1">
        <f>'Guts (option 1)'!A293</f>
        <v>28733</v>
      </c>
      <c r="B280" s="20">
        <f>'Guts (option 1)'!G293</f>
        <v>0.16099999999999995</v>
      </c>
      <c r="C280" s="20">
        <f>'Guts (option 2)'!G293</f>
        <v>0.16099999999999995</v>
      </c>
      <c r="D280" s="20"/>
      <c r="F280" s="1">
        <f t="shared" si="29"/>
        <v>28733</v>
      </c>
      <c r="G280" s="6">
        <f t="shared" si="28"/>
        <v>1977</v>
      </c>
      <c r="H280" s="112">
        <f t="shared" si="30"/>
        <v>78</v>
      </c>
      <c r="I280" s="112" t="str">
        <f t="shared" si="31"/>
        <v>78</v>
      </c>
      <c r="J280" s="19" t="str">
        <f t="shared" si="32"/>
        <v>1977/78</v>
      </c>
      <c r="K280" s="98">
        <f>'Guts (option 1)'!AB293</f>
        <v>138.64981584650417</v>
      </c>
      <c r="L280" s="98">
        <f>'Guts (option 2)'!AB293</f>
        <v>45.089605282168058</v>
      </c>
      <c r="M280" s="14"/>
    </row>
    <row r="281" spans="1:13" x14ac:dyDescent="0.25">
      <c r="A281" s="1">
        <f>'Guts (option 1)'!A294</f>
        <v>28824</v>
      </c>
      <c r="B281" s="20">
        <f>'Guts (option 1)'!G294</f>
        <v>0.36133199172633201</v>
      </c>
      <c r="C281" s="20">
        <f>'Guts (option 2)'!G294</f>
        <v>0.36536333921785191</v>
      </c>
      <c r="D281" s="20"/>
      <c r="F281" s="1">
        <f t="shared" si="29"/>
        <v>28824</v>
      </c>
      <c r="G281" s="6">
        <f t="shared" si="28"/>
        <v>1977</v>
      </c>
      <c r="H281" s="112">
        <f t="shared" si="30"/>
        <v>78</v>
      </c>
      <c r="I281" s="112" t="str">
        <f t="shared" si="31"/>
        <v>78</v>
      </c>
      <c r="J281" s="19" t="str">
        <f t="shared" si="32"/>
        <v>1977/78</v>
      </c>
      <c r="K281" s="98">
        <f>'Guts (option 1)'!AB294</f>
        <v>-47.734339985361864</v>
      </c>
      <c r="L281" s="98">
        <f>'Guts (option 2)'!AB294</f>
        <v>-16.238657699848986</v>
      </c>
      <c r="M281" s="14"/>
    </row>
    <row r="282" spans="1:13" x14ac:dyDescent="0.25">
      <c r="A282" s="1">
        <f>'Guts (option 1)'!A295</f>
        <v>28914</v>
      </c>
      <c r="B282" s="20">
        <f>'Guts (option 1)'!G295</f>
        <v>0.36133199172633201</v>
      </c>
      <c r="C282" s="20">
        <f>'Guts (option 2)'!G295</f>
        <v>0.36536333921785191</v>
      </c>
      <c r="D282" s="20"/>
      <c r="F282" s="1">
        <f t="shared" si="29"/>
        <v>28914</v>
      </c>
      <c r="G282" s="6">
        <f t="shared" si="28"/>
        <v>1978</v>
      </c>
      <c r="H282" s="112">
        <f t="shared" si="30"/>
        <v>79</v>
      </c>
      <c r="I282" s="112" t="str">
        <f t="shared" si="31"/>
        <v>79</v>
      </c>
      <c r="J282" s="19" t="str">
        <f t="shared" si="32"/>
        <v>1978/79</v>
      </c>
      <c r="K282" s="98">
        <f>'Guts (option 1)'!AB295</f>
        <v>16.599916898700247</v>
      </c>
      <c r="L282" s="98">
        <f>'Guts (option 2)'!AB295</f>
        <v>5.5950402102244707</v>
      </c>
      <c r="M282" s="14"/>
    </row>
    <row r="283" spans="1:13" x14ac:dyDescent="0.25">
      <c r="A283" s="1">
        <f>'Guts (option 1)'!A296</f>
        <v>29006</v>
      </c>
      <c r="B283" s="20">
        <f>'Guts (option 1)'!G296</f>
        <v>0.36133199172633201</v>
      </c>
      <c r="C283" s="20">
        <f>'Guts (option 2)'!G296</f>
        <v>0.36536333921785191</v>
      </c>
      <c r="D283" s="20"/>
      <c r="F283" s="1">
        <f t="shared" si="29"/>
        <v>29006</v>
      </c>
      <c r="G283" s="6">
        <f t="shared" si="28"/>
        <v>1978</v>
      </c>
      <c r="H283" s="112">
        <f t="shared" si="30"/>
        <v>79</v>
      </c>
      <c r="I283" s="112" t="str">
        <f t="shared" si="31"/>
        <v>79</v>
      </c>
      <c r="J283" s="19" t="str">
        <f t="shared" si="32"/>
        <v>1978/79</v>
      </c>
      <c r="K283" s="98">
        <f>'Guts (option 1)'!AB296</f>
        <v>16.599916898700247</v>
      </c>
      <c r="L283" s="98">
        <f>'Guts (option 2)'!AB296</f>
        <v>5.5950402102244707</v>
      </c>
      <c r="M283" s="14"/>
    </row>
    <row r="284" spans="1:13" x14ac:dyDescent="0.25">
      <c r="A284" s="1">
        <f>'Guts (option 1)'!A297</f>
        <v>29098</v>
      </c>
      <c r="B284" s="20">
        <f>'Guts (option 1)'!G297</f>
        <v>0.18140844409738793</v>
      </c>
      <c r="C284" s="20">
        <f>'Guts (option 2)'!G297</f>
        <v>0.18343240126918028</v>
      </c>
      <c r="D284" s="20"/>
      <c r="F284" s="1">
        <f t="shared" si="29"/>
        <v>29098</v>
      </c>
      <c r="G284" s="6">
        <f t="shared" si="28"/>
        <v>1978</v>
      </c>
      <c r="H284" s="112">
        <f t="shared" si="30"/>
        <v>79</v>
      </c>
      <c r="I284" s="112" t="str">
        <f t="shared" si="31"/>
        <v>79</v>
      </c>
      <c r="J284" s="19" t="str">
        <f t="shared" si="32"/>
        <v>1978/79</v>
      </c>
      <c r="K284" s="98">
        <f>'Guts (option 1)'!AB297</f>
        <v>8.3340671894336875</v>
      </c>
      <c r="L284" s="98">
        <f>'Guts (option 2)'!AB297</f>
        <v>2.8090165344890945</v>
      </c>
      <c r="M284" s="14"/>
    </row>
    <row r="285" spans="1:13" x14ac:dyDescent="0.25">
      <c r="A285" s="1">
        <f>'Guts (option 1)'!A298</f>
        <v>29189</v>
      </c>
      <c r="B285" s="20">
        <f>'Guts (option 1)'!G298</f>
        <v>0.161</v>
      </c>
      <c r="C285" s="20">
        <f>'Guts (option 2)'!G298</f>
        <v>0.161</v>
      </c>
      <c r="D285" s="20"/>
      <c r="F285" s="1">
        <f t="shared" si="29"/>
        <v>29189</v>
      </c>
      <c r="G285" s="6">
        <f t="shared" si="28"/>
        <v>1978</v>
      </c>
      <c r="H285" s="112">
        <f t="shared" si="30"/>
        <v>79</v>
      </c>
      <c r="I285" s="112" t="str">
        <f t="shared" si="31"/>
        <v>79</v>
      </c>
      <c r="J285" s="19" t="str">
        <f t="shared" si="32"/>
        <v>1978/79</v>
      </c>
      <c r="K285" s="98">
        <f>'Guts (option 1)'!AB298</f>
        <v>0</v>
      </c>
      <c r="L285" s="98">
        <f>'Guts (option 2)'!AB298</f>
        <v>-1.1270000000000002</v>
      </c>
      <c r="M285" s="14"/>
    </row>
    <row r="286" spans="1:13" x14ac:dyDescent="0.25">
      <c r="A286" s="1">
        <f>'Guts (option 1)'!A299</f>
        <v>29279</v>
      </c>
      <c r="B286" s="20">
        <f>'Guts (option 1)'!G299</f>
        <v>0.161</v>
      </c>
      <c r="C286" s="20">
        <f>'Guts (option 2)'!G299</f>
        <v>0.161</v>
      </c>
      <c r="D286" s="20"/>
      <c r="F286" s="1">
        <f t="shared" si="29"/>
        <v>29279</v>
      </c>
      <c r="G286" s="6">
        <f t="shared" si="28"/>
        <v>1979</v>
      </c>
      <c r="H286" s="112">
        <f t="shared" si="30"/>
        <v>80</v>
      </c>
      <c r="I286" s="112" t="str">
        <f t="shared" si="31"/>
        <v>80</v>
      </c>
      <c r="J286" s="19" t="str">
        <f t="shared" si="32"/>
        <v>1979/80</v>
      </c>
      <c r="K286" s="98">
        <f>'Guts (option 1)'!AB299</f>
        <v>7.3964849000000008</v>
      </c>
      <c r="L286" s="98">
        <f>'Guts (option 2)'!AB299</f>
        <v>2.4654949666666663</v>
      </c>
      <c r="M286" s="14"/>
    </row>
    <row r="287" spans="1:13" x14ac:dyDescent="0.25">
      <c r="A287" s="1">
        <f>'Guts (option 1)'!A300</f>
        <v>29372</v>
      </c>
      <c r="B287" s="20">
        <f>'Guts (option 1)'!G300</f>
        <v>0.161</v>
      </c>
      <c r="C287" s="20">
        <f>'Guts (option 2)'!G300</f>
        <v>0.161</v>
      </c>
      <c r="D287" s="20"/>
      <c r="F287" s="1">
        <f t="shared" si="29"/>
        <v>29372</v>
      </c>
      <c r="G287" s="6">
        <f t="shared" si="28"/>
        <v>1979</v>
      </c>
      <c r="H287" s="112">
        <f t="shared" si="30"/>
        <v>80</v>
      </c>
      <c r="I287" s="112" t="str">
        <f t="shared" si="31"/>
        <v>80</v>
      </c>
      <c r="J287" s="19" t="str">
        <f t="shared" si="32"/>
        <v>1979/80</v>
      </c>
      <c r="K287" s="98">
        <f>'Guts (option 1)'!AB300</f>
        <v>6.3499848999999999</v>
      </c>
      <c r="L287" s="98">
        <f>'Guts (option 2)'!AB300</f>
        <v>0.98966163333333279</v>
      </c>
      <c r="M287" s="14"/>
    </row>
    <row r="288" spans="1:13" x14ac:dyDescent="0.25">
      <c r="A288" s="1">
        <f>'Guts (option 1)'!A301</f>
        <v>29464</v>
      </c>
      <c r="B288" s="20">
        <f>'Guts (option 1)'!G301</f>
        <v>0.161</v>
      </c>
      <c r="C288" s="20">
        <f>'Guts (option 2)'!G301</f>
        <v>0.161</v>
      </c>
      <c r="D288" s="20"/>
      <c r="F288" s="1">
        <f t="shared" si="29"/>
        <v>29464</v>
      </c>
      <c r="G288" s="6">
        <f t="shared" si="28"/>
        <v>1979</v>
      </c>
      <c r="H288" s="112">
        <f t="shared" si="30"/>
        <v>80</v>
      </c>
      <c r="I288" s="112" t="str">
        <f t="shared" si="31"/>
        <v>80</v>
      </c>
      <c r="J288" s="19" t="str">
        <f t="shared" si="32"/>
        <v>1979/80</v>
      </c>
      <c r="K288" s="98">
        <f>'Guts (option 1)'!AB301</f>
        <v>0</v>
      </c>
      <c r="L288" s="98">
        <f>'Guts (option 2)'!AB301</f>
        <v>-1.1270000000000002</v>
      </c>
      <c r="M288" s="14"/>
    </row>
    <row r="289" spans="1:13" x14ac:dyDescent="0.25">
      <c r="A289" s="1">
        <f>'Guts (option 1)'!A302</f>
        <v>29555</v>
      </c>
      <c r="B289" s="20">
        <f>'Guts (option 1)'!G302</f>
        <v>0.161</v>
      </c>
      <c r="C289" s="20">
        <f>'Guts (option 2)'!G302</f>
        <v>0.161</v>
      </c>
      <c r="D289" s="20"/>
      <c r="F289" s="1">
        <f t="shared" si="29"/>
        <v>29555</v>
      </c>
      <c r="G289" s="6">
        <f t="shared" si="28"/>
        <v>1979</v>
      </c>
      <c r="H289" s="112">
        <f t="shared" si="30"/>
        <v>80</v>
      </c>
      <c r="I289" s="112" t="str">
        <f t="shared" si="31"/>
        <v>80</v>
      </c>
      <c r="J289" s="19" t="str">
        <f t="shared" si="32"/>
        <v>1979/80</v>
      </c>
      <c r="K289" s="98">
        <f>'Guts (option 1)'!AB302</f>
        <v>0</v>
      </c>
      <c r="L289" s="98">
        <f>'Guts (option 2)'!AB302</f>
        <v>-1.1270000000000002</v>
      </c>
      <c r="M289" s="14"/>
    </row>
    <row r="290" spans="1:13" x14ac:dyDescent="0.25">
      <c r="A290" s="1">
        <f>'Guts (option 1)'!A303</f>
        <v>29645</v>
      </c>
      <c r="B290" s="20">
        <f>'Guts (option 1)'!G303</f>
        <v>0.161</v>
      </c>
      <c r="C290" s="20">
        <f>'Guts (option 2)'!G303</f>
        <v>0.18570449305220152</v>
      </c>
      <c r="D290" s="20"/>
      <c r="F290" s="1">
        <f t="shared" si="29"/>
        <v>29645</v>
      </c>
      <c r="G290" s="6">
        <f t="shared" si="28"/>
        <v>1980</v>
      </c>
      <c r="H290" s="112">
        <f t="shared" si="30"/>
        <v>81</v>
      </c>
      <c r="I290" s="112" t="str">
        <f t="shared" si="31"/>
        <v>81</v>
      </c>
      <c r="J290" s="19" t="str">
        <f t="shared" si="32"/>
        <v>1980/81</v>
      </c>
      <c r="K290" s="98">
        <f>'Guts (option 1)'!AB303</f>
        <v>0</v>
      </c>
      <c r="L290" s="98">
        <f>'Guts (option 2)'!AB303</f>
        <v>-1.6563480194036886</v>
      </c>
      <c r="M290" s="14"/>
    </row>
    <row r="291" spans="1:13" x14ac:dyDescent="0.25">
      <c r="A291" s="1">
        <f>'Guts (option 1)'!A304</f>
        <v>29737</v>
      </c>
      <c r="B291" s="20">
        <f>'Guts (option 1)'!G304</f>
        <v>0.161</v>
      </c>
      <c r="C291" s="20">
        <f>'Guts (option 2)'!G304</f>
        <v>0.16832325342417667</v>
      </c>
      <c r="D291" s="20"/>
      <c r="F291" s="1">
        <f t="shared" si="29"/>
        <v>29737</v>
      </c>
      <c r="G291" s="6">
        <f t="shared" si="28"/>
        <v>1980</v>
      </c>
      <c r="H291" s="112">
        <f t="shared" si="30"/>
        <v>81</v>
      </c>
      <c r="I291" s="112" t="str">
        <f t="shared" si="31"/>
        <v>81</v>
      </c>
      <c r="J291" s="19" t="str">
        <f t="shared" si="32"/>
        <v>1980/81</v>
      </c>
      <c r="K291" s="98">
        <f>'Guts (option 1)'!AB304</f>
        <v>0</v>
      </c>
      <c r="L291" s="98">
        <f>'Guts (option 2)'!AB304</f>
        <v>-0.45404445613486827</v>
      </c>
      <c r="M291" s="14"/>
    </row>
    <row r="292" spans="1:13" x14ac:dyDescent="0.25">
      <c r="A292" s="1">
        <f>'Guts (option 1)'!A305</f>
        <v>29829</v>
      </c>
      <c r="B292" s="20">
        <f>'Guts (option 1)'!G305</f>
        <v>0.26590262272491522</v>
      </c>
      <c r="C292" s="20">
        <f>'Guts (option 2)'!G305</f>
        <v>0.27215295174662441</v>
      </c>
      <c r="D292" s="20"/>
      <c r="F292" s="1">
        <f t="shared" si="29"/>
        <v>29829</v>
      </c>
      <c r="G292" s="6">
        <f t="shared" si="28"/>
        <v>1980</v>
      </c>
      <c r="H292" s="112">
        <f t="shared" si="30"/>
        <v>81</v>
      </c>
      <c r="I292" s="112" t="str">
        <f t="shared" si="31"/>
        <v>81</v>
      </c>
      <c r="J292" s="19" t="str">
        <f t="shared" si="32"/>
        <v>1980/81</v>
      </c>
      <c r="K292" s="98">
        <f>'Guts (option 1)'!AB305</f>
        <v>-24.497288633516856</v>
      </c>
      <c r="L292" s="98">
        <f>'Guts (option 2)'!AB305</f>
        <v>-8.0628101314196279</v>
      </c>
      <c r="M292" s="14"/>
    </row>
    <row r="293" spans="1:13" x14ac:dyDescent="0.25">
      <c r="A293" s="1">
        <f>'Guts (option 1)'!A306</f>
        <v>29920</v>
      </c>
      <c r="B293" s="20">
        <f>'Guts (option 1)'!G306</f>
        <v>0.30648051863612424</v>
      </c>
      <c r="C293" s="20">
        <f>'Guts (option 2)'!G306</f>
        <v>0.31721860916458194</v>
      </c>
      <c r="D293" s="20"/>
      <c r="F293" s="1">
        <f t="shared" si="29"/>
        <v>29920</v>
      </c>
      <c r="G293" s="6">
        <f t="shared" ref="G293:G356" si="33">IF(YEAR(F293)&gt;DATE(YEAR(F293),7,1),YEAR(F293),YEAR(F293)-1)</f>
        <v>1980</v>
      </c>
      <c r="H293" s="112">
        <f t="shared" si="30"/>
        <v>81</v>
      </c>
      <c r="I293" s="112" t="str">
        <f t="shared" si="31"/>
        <v>81</v>
      </c>
      <c r="J293" s="19" t="str">
        <f t="shared" si="32"/>
        <v>1980/81</v>
      </c>
      <c r="K293" s="98">
        <f>'Guts (option 1)'!AB306</f>
        <v>14.079990858610321</v>
      </c>
      <c r="L293" s="98">
        <f>'Guts (option 2)'!AB306</f>
        <v>4.8577694672563805</v>
      </c>
      <c r="M293" s="14"/>
    </row>
    <row r="294" spans="1:13" x14ac:dyDescent="0.25">
      <c r="A294" s="1">
        <f>'Guts (option 1)'!A307</f>
        <v>30010</v>
      </c>
      <c r="B294" s="20">
        <f>'Guts (option 1)'!G307</f>
        <v>0.30648051863612424</v>
      </c>
      <c r="C294" s="20">
        <f>'Guts (option 2)'!G307</f>
        <v>0.31721860916458194</v>
      </c>
      <c r="D294" s="20"/>
      <c r="F294" s="1">
        <f t="shared" si="29"/>
        <v>30010</v>
      </c>
      <c r="G294" s="6">
        <f t="shared" si="33"/>
        <v>1981</v>
      </c>
      <c r="H294" s="112">
        <f t="shared" si="30"/>
        <v>82</v>
      </c>
      <c r="I294" s="112" t="str">
        <f t="shared" si="31"/>
        <v>82</v>
      </c>
      <c r="J294" s="19" t="str">
        <f t="shared" si="32"/>
        <v>1981/82</v>
      </c>
      <c r="K294" s="98">
        <f>'Guts (option 1)'!AB307</f>
        <v>14.079990858610321</v>
      </c>
      <c r="L294" s="98">
        <f>'Guts (option 2)'!AB307</f>
        <v>4.8577694672563805</v>
      </c>
      <c r="M294" s="14"/>
    </row>
    <row r="295" spans="1:13" x14ac:dyDescent="0.25">
      <c r="A295" s="1">
        <f>'Guts (option 1)'!A308</f>
        <v>30102</v>
      </c>
      <c r="B295" s="20">
        <f>'Guts (option 1)'!G308</f>
        <v>0.30648051863612424</v>
      </c>
      <c r="C295" s="20">
        <f>'Guts (option 2)'!G308</f>
        <v>0.32056844307592647</v>
      </c>
      <c r="D295" s="20"/>
      <c r="F295" s="1">
        <f t="shared" ref="F295:F358" si="34">A295</f>
        <v>30102</v>
      </c>
      <c r="G295" s="6">
        <f t="shared" si="33"/>
        <v>1981</v>
      </c>
      <c r="H295" s="112">
        <f t="shared" si="30"/>
        <v>82</v>
      </c>
      <c r="I295" s="112" t="str">
        <f t="shared" si="31"/>
        <v>82</v>
      </c>
      <c r="J295" s="19" t="str">
        <f t="shared" si="32"/>
        <v>1981/82</v>
      </c>
      <c r="K295" s="98">
        <f>'Guts (option 1)'!AB308</f>
        <v>14.079990858610321</v>
      </c>
      <c r="L295" s="98">
        <f>'Guts (option 2)'!AB308</f>
        <v>4.9090675955022753</v>
      </c>
      <c r="M295" s="14"/>
    </row>
    <row r="296" spans="1:13" x14ac:dyDescent="0.25">
      <c r="A296" s="1">
        <f>'Guts (option 1)'!A309</f>
        <v>30194</v>
      </c>
      <c r="B296" s="20">
        <f>'Guts (option 1)'!G309</f>
        <v>0.161</v>
      </c>
      <c r="C296" s="20">
        <f>'Guts (option 2)'!G309</f>
        <v>0.161</v>
      </c>
      <c r="D296" s="20"/>
      <c r="F296" s="1">
        <f t="shared" si="34"/>
        <v>30194</v>
      </c>
      <c r="G296" s="6">
        <f t="shared" si="33"/>
        <v>1981</v>
      </c>
      <c r="H296" s="112">
        <f t="shared" si="30"/>
        <v>82</v>
      </c>
      <c r="I296" s="112" t="str">
        <f t="shared" si="31"/>
        <v>82</v>
      </c>
      <c r="J296" s="19" t="str">
        <f t="shared" si="32"/>
        <v>1981/82</v>
      </c>
      <c r="K296" s="98">
        <f>'Guts (option 1)'!AB309</f>
        <v>0</v>
      </c>
      <c r="L296" s="98">
        <f>'Guts (option 2)'!AB309</f>
        <v>-1.1270000000000002</v>
      </c>
      <c r="M296" s="14"/>
    </row>
    <row r="297" spans="1:13" x14ac:dyDescent="0.25">
      <c r="A297" s="1">
        <f>'Guts (option 1)'!A310</f>
        <v>30285</v>
      </c>
      <c r="B297" s="20">
        <f>'Guts (option 1)'!G310</f>
        <v>0.161</v>
      </c>
      <c r="C297" s="20">
        <f>'Guts (option 2)'!G310</f>
        <v>0.161</v>
      </c>
      <c r="D297" s="20"/>
      <c r="F297" s="1">
        <f t="shared" si="34"/>
        <v>30285</v>
      </c>
      <c r="G297" s="6">
        <f t="shared" si="33"/>
        <v>1981</v>
      </c>
      <c r="H297" s="112">
        <f t="shared" si="30"/>
        <v>82</v>
      </c>
      <c r="I297" s="112" t="str">
        <f t="shared" si="31"/>
        <v>82</v>
      </c>
      <c r="J297" s="19" t="str">
        <f t="shared" si="32"/>
        <v>1981/82</v>
      </c>
      <c r="K297" s="98">
        <f>'Guts (option 1)'!AB310</f>
        <v>0</v>
      </c>
      <c r="L297" s="98">
        <f>'Guts (option 2)'!AB310</f>
        <v>-1.1270000000000002</v>
      </c>
      <c r="M297" s="14"/>
    </row>
    <row r="298" spans="1:13" x14ac:dyDescent="0.25">
      <c r="A298" s="1">
        <f>'Guts (option 1)'!A311</f>
        <v>30375</v>
      </c>
      <c r="B298" s="20">
        <f>'Guts (option 1)'!G311</f>
        <v>0.161</v>
      </c>
      <c r="C298" s="20">
        <f>'Guts (option 2)'!G311</f>
        <v>0.18551500760892803</v>
      </c>
      <c r="D298" s="20"/>
      <c r="F298" s="1">
        <f t="shared" si="34"/>
        <v>30375</v>
      </c>
      <c r="G298" s="6">
        <f t="shared" si="33"/>
        <v>1982</v>
      </c>
      <c r="H298" s="112">
        <f t="shared" si="30"/>
        <v>83</v>
      </c>
      <c r="I298" s="112" t="str">
        <f t="shared" si="31"/>
        <v>83</v>
      </c>
      <c r="J298" s="19" t="str">
        <f t="shared" si="32"/>
        <v>1982/83</v>
      </c>
      <c r="K298" s="98">
        <f>'Guts (option 1)'!AB311</f>
        <v>0</v>
      </c>
      <c r="L298" s="98">
        <f>'Guts (option 2)'!AB311</f>
        <v>-1.6409681175913249</v>
      </c>
      <c r="M298" s="14"/>
    </row>
    <row r="299" spans="1:13" x14ac:dyDescent="0.25">
      <c r="A299" s="1">
        <f>'Guts (option 1)'!A312</f>
        <v>30467</v>
      </c>
      <c r="B299" s="20">
        <f>'Guts (option 1)'!G312</f>
        <v>0.95042173780424954</v>
      </c>
      <c r="C299" s="20">
        <f>'Guts (option 2)'!G312</f>
        <v>0.87139595426356342</v>
      </c>
      <c r="D299" s="20"/>
      <c r="F299" s="1">
        <f t="shared" si="34"/>
        <v>30467</v>
      </c>
      <c r="G299" s="6">
        <f t="shared" si="33"/>
        <v>1982</v>
      </c>
      <c r="H299" s="112">
        <f t="shared" si="30"/>
        <v>83</v>
      </c>
      <c r="I299" s="112" t="str">
        <f t="shared" si="31"/>
        <v>83</v>
      </c>
      <c r="J299" s="19" t="str">
        <f t="shared" si="32"/>
        <v>1982/83</v>
      </c>
      <c r="K299" s="98">
        <f>'Guts (option 1)'!AB312</f>
        <v>-191.17769315533479</v>
      </c>
      <c r="L299" s="98">
        <f>'Guts (option 2)'!AB312</f>
        <v>13.344238131742314</v>
      </c>
      <c r="M299" s="14"/>
    </row>
    <row r="300" spans="1:13" x14ac:dyDescent="0.25">
      <c r="A300" s="1">
        <f>'Guts (option 1)'!A313</f>
        <v>30559</v>
      </c>
      <c r="B300" s="20">
        <f>'Guts (option 1)'!G313</f>
        <v>0.47716375145101714</v>
      </c>
      <c r="C300" s="20">
        <f>'Guts (option 2)'!G313</f>
        <v>0.43748848116232741</v>
      </c>
      <c r="D300" s="20"/>
      <c r="F300" s="1">
        <f t="shared" si="34"/>
        <v>30559</v>
      </c>
      <c r="G300" s="6">
        <f t="shared" si="33"/>
        <v>1982</v>
      </c>
      <c r="H300" s="112">
        <f t="shared" si="30"/>
        <v>83</v>
      </c>
      <c r="I300" s="112" t="str">
        <f t="shared" si="31"/>
        <v>83</v>
      </c>
      <c r="J300" s="19" t="str">
        <f t="shared" si="32"/>
        <v>1982/83</v>
      </c>
      <c r="K300" s="98">
        <f>'Guts (option 1)'!AB313</f>
        <v>21.921332189036033</v>
      </c>
      <c r="L300" s="98">
        <f>'Guts (option 2)'!AB313</f>
        <v>6.6995381880767884</v>
      </c>
      <c r="M300" s="14"/>
    </row>
    <row r="301" spans="1:13" x14ac:dyDescent="0.25">
      <c r="A301" s="1">
        <f>'Guts (option 1)'!A314</f>
        <v>30650</v>
      </c>
      <c r="B301" s="20">
        <f>'Guts (option 1)'!G314</f>
        <v>0.53127465745538216</v>
      </c>
      <c r="C301" s="20">
        <f>'Guts (option 2)'!G314</f>
        <v>0.48489329535457754</v>
      </c>
      <c r="D301" s="20"/>
      <c r="F301" s="1">
        <f t="shared" si="34"/>
        <v>30650</v>
      </c>
      <c r="G301" s="6">
        <f t="shared" si="33"/>
        <v>1982</v>
      </c>
      <c r="H301" s="112">
        <f t="shared" si="30"/>
        <v>83</v>
      </c>
      <c r="I301" s="112" t="str">
        <f t="shared" si="31"/>
        <v>83</v>
      </c>
      <c r="J301" s="19" t="str">
        <f t="shared" si="32"/>
        <v>1982/83</v>
      </c>
      <c r="K301" s="98">
        <f>'Guts (option 1)'!AB314</f>
        <v>24.407235910691963</v>
      </c>
      <c r="L301" s="98">
        <f>'Guts (option 2)'!AB314</f>
        <v>7.4254781308517046</v>
      </c>
      <c r="M301" s="14"/>
    </row>
    <row r="302" spans="1:13" x14ac:dyDescent="0.25">
      <c r="A302" s="1">
        <f>'Guts (option 1)'!A315</f>
        <v>30740</v>
      </c>
      <c r="B302" s="20">
        <f>'Guts (option 1)'!G315</f>
        <v>1.1186414784243939</v>
      </c>
      <c r="C302" s="20">
        <f>'Guts (option 2)'!G315</f>
        <v>1.1883563189022621</v>
      </c>
      <c r="D302" s="20"/>
      <c r="F302" s="1">
        <f t="shared" si="34"/>
        <v>30740</v>
      </c>
      <c r="G302" s="6">
        <f t="shared" si="33"/>
        <v>1983</v>
      </c>
      <c r="H302" s="112">
        <f t="shared" si="30"/>
        <v>84</v>
      </c>
      <c r="I302" s="112" t="str">
        <f t="shared" si="31"/>
        <v>84</v>
      </c>
      <c r="J302" s="19" t="str">
        <f t="shared" si="32"/>
        <v>1983/84</v>
      </c>
      <c r="K302" s="98">
        <f>'Guts (option 1)'!AB315</f>
        <v>51.391396296147235</v>
      </c>
      <c r="L302" s="98">
        <f>'Guts (option 2)'!AB315</f>
        <v>18.198052937018979</v>
      </c>
      <c r="M302" s="14"/>
    </row>
    <row r="303" spans="1:13" x14ac:dyDescent="0.25">
      <c r="A303" s="1">
        <f>'Guts (option 1)'!A316</f>
        <v>30833</v>
      </c>
      <c r="B303" s="20">
        <f>'Guts (option 1)'!G316</f>
        <v>1.6259243920281841</v>
      </c>
      <c r="C303" s="20">
        <f>'Guts (option 2)'!G316</f>
        <v>1.7365204422121083</v>
      </c>
      <c r="D303" s="20"/>
      <c r="F303" s="1">
        <f t="shared" si="34"/>
        <v>30833</v>
      </c>
      <c r="G303" s="6">
        <f t="shared" si="33"/>
        <v>1983</v>
      </c>
      <c r="H303" s="112">
        <f t="shared" si="30"/>
        <v>84</v>
      </c>
      <c r="I303" s="112" t="str">
        <f t="shared" si="31"/>
        <v>84</v>
      </c>
      <c r="J303" s="19" t="str">
        <f t="shared" si="32"/>
        <v>1983/84</v>
      </c>
      <c r="K303" s="98">
        <f>'Guts (option 1)'!AB316</f>
        <v>74.696429901727598</v>
      </c>
      <c r="L303" s="98">
        <f>'Guts (option 2)'!AB316</f>
        <v>14.436794232389323</v>
      </c>
      <c r="M303" s="14"/>
    </row>
    <row r="304" spans="1:13" x14ac:dyDescent="0.25">
      <c r="A304" s="1">
        <f>'Guts (option 1)'!A317</f>
        <v>30925</v>
      </c>
      <c r="B304" s="20">
        <f>'Guts (option 1)'!G317</f>
        <v>0.81630307011735692</v>
      </c>
      <c r="C304" s="20">
        <f>'Guts (option 2)'!G317</f>
        <v>0.87182834284875088</v>
      </c>
      <c r="D304" s="20"/>
      <c r="F304" s="1">
        <f t="shared" si="34"/>
        <v>30925</v>
      </c>
      <c r="G304" s="6">
        <f t="shared" si="33"/>
        <v>1983</v>
      </c>
      <c r="H304" s="112">
        <f t="shared" si="30"/>
        <v>84</v>
      </c>
      <c r="I304" s="112" t="str">
        <f t="shared" si="31"/>
        <v>84</v>
      </c>
      <c r="J304" s="19" t="str">
        <f t="shared" si="32"/>
        <v>1983/84</v>
      </c>
      <c r="K304" s="98">
        <f>'Guts (option 1)'!AB317</f>
        <v>37.501697713954478</v>
      </c>
      <c r="L304" s="98">
        <f>'Guts (option 2)'!AB317</f>
        <v>7.248061172052136</v>
      </c>
      <c r="M304" s="14"/>
    </row>
    <row r="305" spans="1:13" x14ac:dyDescent="0.25">
      <c r="A305" s="1">
        <f>'Guts (option 1)'!A318</f>
        <v>31016</v>
      </c>
      <c r="B305" s="20">
        <f>'Guts (option 1)'!G318</f>
        <v>0.82112173905914321</v>
      </c>
      <c r="C305" s="20">
        <f>'Guts (option 2)'!G318</f>
        <v>0.55386567046467161</v>
      </c>
      <c r="D305" s="20"/>
      <c r="F305" s="1">
        <f t="shared" si="34"/>
        <v>31016</v>
      </c>
      <c r="G305" s="6">
        <f t="shared" si="33"/>
        <v>1983</v>
      </c>
      <c r="H305" s="112">
        <f t="shared" si="30"/>
        <v>84</v>
      </c>
      <c r="I305" s="112" t="str">
        <f t="shared" si="31"/>
        <v>84</v>
      </c>
      <c r="J305" s="19" t="str">
        <f t="shared" si="32"/>
        <v>1983/84</v>
      </c>
      <c r="K305" s="98">
        <f>'Guts (option 1)'!AB318</f>
        <v>37.723071701942189</v>
      </c>
      <c r="L305" s="98">
        <f>'Guts (option 2)'!AB318</f>
        <v>21.730140476086778</v>
      </c>
      <c r="M305" s="14"/>
    </row>
    <row r="306" spans="1:13" x14ac:dyDescent="0.25">
      <c r="A306" s="1">
        <f>'Guts (option 1)'!A319</f>
        <v>31106</v>
      </c>
      <c r="B306" s="20">
        <f>'Guts (option 1)'!G319</f>
        <v>0.82112173905914321</v>
      </c>
      <c r="C306" s="20">
        <f>'Guts (option 2)'!G319</f>
        <v>0.55386567046467161</v>
      </c>
      <c r="D306" s="20"/>
      <c r="F306" s="1">
        <f t="shared" si="34"/>
        <v>31106</v>
      </c>
      <c r="G306" s="6">
        <f t="shared" si="33"/>
        <v>1984</v>
      </c>
      <c r="H306" s="112">
        <f t="shared" si="30"/>
        <v>85</v>
      </c>
      <c r="I306" s="112" t="str">
        <f t="shared" si="31"/>
        <v>85</v>
      </c>
      <c r="J306" s="19" t="str">
        <f t="shared" si="32"/>
        <v>1984/85</v>
      </c>
      <c r="K306" s="98">
        <f>'Guts (option 1)'!AB319</f>
        <v>37.723071701942189</v>
      </c>
      <c r="L306" s="98">
        <f>'Guts (option 2)'!AB319</f>
        <v>8.4816957934168098</v>
      </c>
      <c r="M306" s="14"/>
    </row>
    <row r="307" spans="1:13" x14ac:dyDescent="0.25">
      <c r="A307" s="1">
        <f>'Guts (option 1)'!A320</f>
        <v>31198</v>
      </c>
      <c r="B307" s="20">
        <f>'Guts (option 1)'!G320</f>
        <v>0.17068348077100587</v>
      </c>
      <c r="C307" s="20">
        <f>'Guts (option 2)'!G320</f>
        <v>0.16100000000000003</v>
      </c>
      <c r="D307" s="20"/>
      <c r="F307" s="1">
        <f t="shared" si="34"/>
        <v>31198</v>
      </c>
      <c r="G307" s="6">
        <f t="shared" si="33"/>
        <v>1984</v>
      </c>
      <c r="H307" s="112">
        <f t="shared" si="30"/>
        <v>85</v>
      </c>
      <c r="I307" s="112" t="str">
        <f t="shared" si="31"/>
        <v>85</v>
      </c>
      <c r="J307" s="19" t="str">
        <f t="shared" si="32"/>
        <v>1984/85</v>
      </c>
      <c r="K307" s="98">
        <f>'Guts (option 1)'!AB320</f>
        <v>82.414224911028697</v>
      </c>
      <c r="L307" s="98">
        <f>'Guts (option 2)'!AB320</f>
        <v>15.242402936027982</v>
      </c>
      <c r="M307" s="14"/>
    </row>
    <row r="308" spans="1:13" x14ac:dyDescent="0.25">
      <c r="A308" s="1">
        <f>'Guts (option 1)'!A321</f>
        <v>31290</v>
      </c>
      <c r="B308" s="20">
        <f>'Guts (option 1)'!G321</f>
        <v>0.161</v>
      </c>
      <c r="C308" s="20">
        <f>'Guts (option 2)'!G321</f>
        <v>0.161</v>
      </c>
      <c r="D308" s="20"/>
      <c r="F308" s="1">
        <f t="shared" si="34"/>
        <v>31290</v>
      </c>
      <c r="G308" s="6">
        <f t="shared" si="33"/>
        <v>1984</v>
      </c>
      <c r="H308" s="112">
        <f t="shared" si="30"/>
        <v>85</v>
      </c>
      <c r="I308" s="112" t="str">
        <f t="shared" si="31"/>
        <v>85</v>
      </c>
      <c r="J308" s="19" t="str">
        <f t="shared" si="32"/>
        <v>1984/85</v>
      </c>
      <c r="K308" s="98">
        <f>'Guts (option 1)'!AB321</f>
        <v>0</v>
      </c>
      <c r="L308" s="98">
        <f>'Guts (option 2)'!AB321</f>
        <v>-1.1270000000000002</v>
      </c>
      <c r="M308" s="14"/>
    </row>
    <row r="309" spans="1:13" x14ac:dyDescent="0.25">
      <c r="A309" s="1">
        <f>'Guts (option 1)'!A322</f>
        <v>31381</v>
      </c>
      <c r="B309" s="20">
        <f>'Guts (option 1)'!G322</f>
        <v>0.161</v>
      </c>
      <c r="C309" s="20">
        <f>'Guts (option 2)'!G322</f>
        <v>0.161</v>
      </c>
      <c r="D309" s="20"/>
      <c r="F309" s="1">
        <f t="shared" si="34"/>
        <v>31381</v>
      </c>
      <c r="G309" s="6">
        <f t="shared" si="33"/>
        <v>1984</v>
      </c>
      <c r="H309" s="112">
        <f t="shared" si="30"/>
        <v>85</v>
      </c>
      <c r="I309" s="112" t="str">
        <f t="shared" si="31"/>
        <v>85</v>
      </c>
      <c r="J309" s="19" t="str">
        <f t="shared" si="32"/>
        <v>1984/85</v>
      </c>
      <c r="K309" s="98">
        <f>'Guts (option 1)'!AB322</f>
        <v>0</v>
      </c>
      <c r="L309" s="98">
        <f>'Guts (option 2)'!AB322</f>
        <v>-1.1270000000000002</v>
      </c>
      <c r="M309" s="14"/>
    </row>
    <row r="310" spans="1:13" x14ac:dyDescent="0.25">
      <c r="A310" s="1">
        <f>'Guts (option 1)'!A323</f>
        <v>31471</v>
      </c>
      <c r="B310" s="20">
        <f>'Guts (option 1)'!G323</f>
        <v>0.161</v>
      </c>
      <c r="C310" s="20">
        <f>'Guts (option 2)'!G323</f>
        <v>0.161</v>
      </c>
      <c r="D310" s="20"/>
      <c r="F310" s="1">
        <f t="shared" si="34"/>
        <v>31471</v>
      </c>
      <c r="G310" s="6">
        <f t="shared" si="33"/>
        <v>1985</v>
      </c>
      <c r="H310" s="112">
        <f t="shared" si="30"/>
        <v>86</v>
      </c>
      <c r="I310" s="112" t="str">
        <f t="shared" si="31"/>
        <v>86</v>
      </c>
      <c r="J310" s="19" t="str">
        <f t="shared" si="32"/>
        <v>1985/86</v>
      </c>
      <c r="K310" s="98">
        <f>'Guts (option 1)'!AB323</f>
        <v>7.3964849000000008</v>
      </c>
      <c r="L310" s="98">
        <f>'Guts (option 2)'!AB323</f>
        <v>2.4654949666666663</v>
      </c>
      <c r="M310" s="14"/>
    </row>
    <row r="311" spans="1:13" x14ac:dyDescent="0.25">
      <c r="A311" s="1">
        <f>'Guts (option 1)'!A324</f>
        <v>31563</v>
      </c>
      <c r="B311" s="20">
        <f>'Guts (option 1)'!G324</f>
        <v>0.34500000000000003</v>
      </c>
      <c r="C311" s="20">
        <f>'Guts (option 2)'!G324</f>
        <v>0.34500000000000003</v>
      </c>
      <c r="D311" s="20"/>
      <c r="F311" s="1">
        <f t="shared" si="34"/>
        <v>31563</v>
      </c>
      <c r="G311" s="6">
        <f t="shared" si="33"/>
        <v>1985</v>
      </c>
      <c r="H311" s="112">
        <f t="shared" si="30"/>
        <v>86</v>
      </c>
      <c r="I311" s="112" t="str">
        <f t="shared" si="31"/>
        <v>86</v>
      </c>
      <c r="J311" s="19" t="str">
        <f t="shared" si="32"/>
        <v>1985/86</v>
      </c>
      <c r="K311" s="98">
        <f>'Guts (option 1)'!AB324</f>
        <v>-43.757499999999993</v>
      </c>
      <c r="L311" s="98">
        <f>'Guts (option 2)'!AB324</f>
        <v>-14.585833333333332</v>
      </c>
      <c r="M311" s="14"/>
    </row>
    <row r="312" spans="1:13" x14ac:dyDescent="0.25">
      <c r="A312" s="1">
        <f>'Guts (option 1)'!A325</f>
        <v>31655</v>
      </c>
      <c r="B312" s="20">
        <f>'Guts (option 1)'!G325</f>
        <v>0.17320889001436818</v>
      </c>
      <c r="C312" s="20">
        <f>'Guts (option 2)'!G325</f>
        <v>0.17320889001436818</v>
      </c>
      <c r="D312" s="20"/>
      <c r="F312" s="1">
        <f t="shared" si="34"/>
        <v>31655</v>
      </c>
      <c r="G312" s="6">
        <f t="shared" si="33"/>
        <v>1985</v>
      </c>
      <c r="H312" s="112">
        <f t="shared" si="30"/>
        <v>86</v>
      </c>
      <c r="I312" s="112" t="str">
        <f t="shared" si="31"/>
        <v>86</v>
      </c>
      <c r="J312" s="19" t="str">
        <f t="shared" si="32"/>
        <v>1985/86</v>
      </c>
      <c r="K312" s="98">
        <f>'Guts (option 1)'!AB325</f>
        <v>7.957372295261087</v>
      </c>
      <c r="L312" s="98">
        <f>'Guts (option 2)'!AB325</f>
        <v>2.6524574317536955</v>
      </c>
      <c r="M312" s="14"/>
    </row>
    <row r="313" spans="1:13" x14ac:dyDescent="0.25">
      <c r="A313" s="1">
        <f>'Guts (option 1)'!A326</f>
        <v>31746</v>
      </c>
      <c r="B313" s="20">
        <f>'Guts (option 1)'!G326</f>
        <v>0.33508862018860808</v>
      </c>
      <c r="C313" s="20">
        <f>'Guts (option 2)'!G326</f>
        <v>0.33508862018860808</v>
      </c>
      <c r="D313" s="20"/>
      <c r="F313" s="1">
        <f t="shared" si="34"/>
        <v>31746</v>
      </c>
      <c r="G313" s="6">
        <f t="shared" si="33"/>
        <v>1985</v>
      </c>
      <c r="H313" s="112">
        <f t="shared" si="30"/>
        <v>86</v>
      </c>
      <c r="I313" s="112" t="str">
        <f t="shared" si="31"/>
        <v>86</v>
      </c>
      <c r="J313" s="19" t="str">
        <f t="shared" si="32"/>
        <v>1985/86</v>
      </c>
      <c r="K313" s="98">
        <f>'Guts (option 1)'!AB326</f>
        <v>-38.291856512334022</v>
      </c>
      <c r="L313" s="98">
        <f>'Guts (option 2)'!AB326</f>
        <v>-12.763952170778003</v>
      </c>
      <c r="M313" s="14"/>
    </row>
    <row r="314" spans="1:13" x14ac:dyDescent="0.25">
      <c r="A314" s="1">
        <f>'Guts (option 1)'!A327</f>
        <v>31836</v>
      </c>
      <c r="B314" s="20">
        <f>'Guts (option 1)'!G327</f>
        <v>0.33508862018860808</v>
      </c>
      <c r="C314" s="20">
        <f>'Guts (option 2)'!G327</f>
        <v>0.33508862018860808</v>
      </c>
      <c r="D314" s="20"/>
      <c r="F314" s="1">
        <f t="shared" si="34"/>
        <v>31836</v>
      </c>
      <c r="G314" s="6">
        <f t="shared" si="33"/>
        <v>1986</v>
      </c>
      <c r="H314" s="112">
        <f t="shared" si="30"/>
        <v>87</v>
      </c>
      <c r="I314" s="112" t="str">
        <f t="shared" si="31"/>
        <v>87</v>
      </c>
      <c r="J314" s="19" t="str">
        <f t="shared" si="32"/>
        <v>1986/87</v>
      </c>
      <c r="K314" s="98">
        <f>'Guts (option 1)'!AB327</f>
        <v>15.394272791222825</v>
      </c>
      <c r="L314" s="98">
        <f>'Guts (option 2)'!AB327</f>
        <v>5.1314242637409411</v>
      </c>
      <c r="M314" s="14"/>
    </row>
    <row r="315" spans="1:13" x14ac:dyDescent="0.25">
      <c r="A315" s="1">
        <f>'Guts (option 1)'!A328</f>
        <v>31928</v>
      </c>
      <c r="B315" s="20">
        <f>'Guts (option 1)'!G328</f>
        <v>0.33508862018860808</v>
      </c>
      <c r="C315" s="20">
        <f>'Guts (option 2)'!G328</f>
        <v>0.33508862018860808</v>
      </c>
      <c r="D315" s="20"/>
      <c r="F315" s="1">
        <f t="shared" si="34"/>
        <v>31928</v>
      </c>
      <c r="G315" s="6">
        <f t="shared" si="33"/>
        <v>1986</v>
      </c>
      <c r="H315" s="112">
        <f t="shared" si="30"/>
        <v>87</v>
      </c>
      <c r="I315" s="112" t="str">
        <f t="shared" si="31"/>
        <v>87</v>
      </c>
      <c r="J315" s="19" t="str">
        <f t="shared" si="32"/>
        <v>1986/87</v>
      </c>
      <c r="K315" s="98">
        <f>'Guts (option 1)'!AB328</f>
        <v>15.394272791222825</v>
      </c>
      <c r="L315" s="98">
        <f>'Guts (option 2)'!AB328</f>
        <v>5.1314242637409411</v>
      </c>
      <c r="M315" s="14"/>
    </row>
    <row r="316" spans="1:13" x14ac:dyDescent="0.25">
      <c r="A316" s="1">
        <f>'Guts (option 1)'!A329</f>
        <v>32020</v>
      </c>
      <c r="B316" s="20">
        <f>'Guts (option 1)'!G329</f>
        <v>0.1682328346646812</v>
      </c>
      <c r="C316" s="20">
        <f>'Guts (option 2)'!G329</f>
        <v>0.1682328346646812</v>
      </c>
      <c r="D316" s="20"/>
      <c r="F316" s="1">
        <f t="shared" si="34"/>
        <v>32020</v>
      </c>
      <c r="G316" s="6">
        <f t="shared" si="33"/>
        <v>1986</v>
      </c>
      <c r="H316" s="112">
        <f t="shared" si="30"/>
        <v>87</v>
      </c>
      <c r="I316" s="112" t="str">
        <f t="shared" si="31"/>
        <v>87</v>
      </c>
      <c r="J316" s="19" t="str">
        <f t="shared" si="32"/>
        <v>1986/87</v>
      </c>
      <c r="K316" s="98">
        <f>'Guts (option 1)'!AB329</f>
        <v>7.7287678340466526</v>
      </c>
      <c r="L316" s="98">
        <f>'Guts (option 2)'!AB329</f>
        <v>2.5762559446822171</v>
      </c>
      <c r="M316" s="14"/>
    </row>
    <row r="317" spans="1:13" x14ac:dyDescent="0.25">
      <c r="A317" s="1">
        <f>'Guts (option 1)'!A330</f>
        <v>32111</v>
      </c>
      <c r="B317" s="20">
        <f>'Guts (option 1)'!G330</f>
        <v>0.161</v>
      </c>
      <c r="C317" s="20">
        <f>'Guts (option 2)'!G330</f>
        <v>0.161</v>
      </c>
      <c r="D317" s="20"/>
      <c r="F317" s="1">
        <f t="shared" si="34"/>
        <v>32111</v>
      </c>
      <c r="G317" s="6">
        <f t="shared" si="33"/>
        <v>1986</v>
      </c>
      <c r="H317" s="112">
        <f t="shared" si="30"/>
        <v>87</v>
      </c>
      <c r="I317" s="112" t="str">
        <f t="shared" si="31"/>
        <v>87</v>
      </c>
      <c r="J317" s="19" t="str">
        <f t="shared" si="32"/>
        <v>1986/87</v>
      </c>
      <c r="K317" s="98">
        <f>'Guts (option 1)'!AB330</f>
        <v>0</v>
      </c>
      <c r="L317" s="98">
        <f>'Guts (option 2)'!AB330</f>
        <v>-1.1270000000000002</v>
      </c>
      <c r="M317" s="14"/>
    </row>
    <row r="318" spans="1:13" x14ac:dyDescent="0.25">
      <c r="A318" s="1">
        <f>'Guts (option 1)'!A331</f>
        <v>32201</v>
      </c>
      <c r="B318" s="20">
        <f>'Guts (option 1)'!G331</f>
        <v>0.161</v>
      </c>
      <c r="C318" s="20">
        <f>'Guts (option 2)'!G331</f>
        <v>0.161</v>
      </c>
      <c r="D318" s="20"/>
      <c r="F318" s="1">
        <f t="shared" si="34"/>
        <v>32201</v>
      </c>
      <c r="G318" s="6">
        <f t="shared" si="33"/>
        <v>1987</v>
      </c>
      <c r="H318" s="112">
        <f t="shared" si="30"/>
        <v>88</v>
      </c>
      <c r="I318" s="112" t="str">
        <f t="shared" si="31"/>
        <v>88</v>
      </c>
      <c r="J318" s="19" t="str">
        <f t="shared" si="32"/>
        <v>1987/88</v>
      </c>
      <c r="K318" s="98">
        <f>'Guts (option 1)'!AB331</f>
        <v>7.3964849000000008</v>
      </c>
      <c r="L318" s="98">
        <f>'Guts (option 2)'!AB331</f>
        <v>2.4654949666666663</v>
      </c>
      <c r="M318" s="14"/>
    </row>
    <row r="319" spans="1:13" x14ac:dyDescent="0.25">
      <c r="A319" s="1">
        <f>'Guts (option 1)'!A332</f>
        <v>32294</v>
      </c>
      <c r="B319" s="20">
        <f>'Guts (option 1)'!G332</f>
        <v>0.97219580315956022</v>
      </c>
      <c r="C319" s="20">
        <f>'Guts (option 2)'!G332</f>
        <v>1.1475953485354469</v>
      </c>
      <c r="D319" s="20"/>
      <c r="F319" s="1">
        <f t="shared" si="34"/>
        <v>32294</v>
      </c>
      <c r="G319" s="6">
        <f t="shared" si="33"/>
        <v>1987</v>
      </c>
      <c r="H319" s="112">
        <f t="shared" si="30"/>
        <v>88</v>
      </c>
      <c r="I319" s="112" t="str">
        <f t="shared" si="31"/>
        <v>88</v>
      </c>
      <c r="J319" s="19" t="str">
        <f t="shared" si="32"/>
        <v>1987/88</v>
      </c>
      <c r="K319" s="98">
        <f>'Guts (option 1)'!AB332</f>
        <v>-196.4796780693529</v>
      </c>
      <c r="L319" s="98">
        <f>'Guts (option 2)'!AB332</f>
        <v>-79.72982245612711</v>
      </c>
      <c r="M319" s="14"/>
    </row>
    <row r="320" spans="1:13" x14ac:dyDescent="0.25">
      <c r="A320" s="1">
        <f>'Guts (option 1)'!A333</f>
        <v>32386</v>
      </c>
      <c r="B320" s="20">
        <f>'Guts (option 1)'!G333</f>
        <v>0.48809552446925969</v>
      </c>
      <c r="C320" s="20">
        <f>'Guts (option 2)'!G333</f>
        <v>0.57615570001587457</v>
      </c>
      <c r="D320" s="20"/>
      <c r="F320" s="1">
        <f t="shared" si="34"/>
        <v>32386</v>
      </c>
      <c r="G320" s="6">
        <f t="shared" si="33"/>
        <v>1987</v>
      </c>
      <c r="H320" s="112">
        <f t="shared" si="30"/>
        <v>88</v>
      </c>
      <c r="I320" s="112" t="str">
        <f t="shared" si="31"/>
        <v>88</v>
      </c>
      <c r="J320" s="19" t="str">
        <f t="shared" si="32"/>
        <v>1987/88</v>
      </c>
      <c r="K320" s="98">
        <f>'Guts (option 1)'!AB333</f>
        <v>22.423547680089811</v>
      </c>
      <c r="L320" s="98">
        <f>'Guts (option 2)'!AB333</f>
        <v>8.823037132953095</v>
      </c>
      <c r="M320" s="14"/>
    </row>
    <row r="321" spans="1:13" x14ac:dyDescent="0.25">
      <c r="A321" s="1">
        <f>'Guts (option 1)'!A334</f>
        <v>32477</v>
      </c>
      <c r="B321" s="20">
        <f>'Guts (option 1)'!G334</f>
        <v>0.48809552446925969</v>
      </c>
      <c r="C321" s="20">
        <f>'Guts (option 2)'!G334</f>
        <v>0.57615570001587457</v>
      </c>
      <c r="D321" s="20"/>
      <c r="F321" s="1">
        <f t="shared" si="34"/>
        <v>32477</v>
      </c>
      <c r="G321" s="6">
        <f t="shared" si="33"/>
        <v>1987</v>
      </c>
      <c r="H321" s="112">
        <f t="shared" si="30"/>
        <v>88</v>
      </c>
      <c r="I321" s="112" t="str">
        <f t="shared" si="31"/>
        <v>88</v>
      </c>
      <c r="J321" s="19" t="str">
        <f t="shared" si="32"/>
        <v>1987/88</v>
      </c>
      <c r="K321" s="98">
        <f>'Guts (option 1)'!AB334</f>
        <v>22.423547680089811</v>
      </c>
      <c r="L321" s="98">
        <f>'Guts (option 2)'!AB334</f>
        <v>8.823037132953095</v>
      </c>
      <c r="M321" s="14"/>
    </row>
    <row r="322" spans="1:13" x14ac:dyDescent="0.25">
      <c r="A322" s="1">
        <f>'Guts (option 1)'!A335</f>
        <v>32567</v>
      </c>
      <c r="B322" s="20">
        <f>'Guts (option 1)'!G335</f>
        <v>0.48809552446925969</v>
      </c>
      <c r="C322" s="20">
        <f>'Guts (option 2)'!G335</f>
        <v>0.96814103766087822</v>
      </c>
      <c r="D322" s="20"/>
      <c r="F322" s="1">
        <f t="shared" si="34"/>
        <v>32567</v>
      </c>
      <c r="G322" s="6">
        <f t="shared" si="33"/>
        <v>1988</v>
      </c>
      <c r="H322" s="112">
        <f t="shared" si="30"/>
        <v>89</v>
      </c>
      <c r="I322" s="112" t="str">
        <f t="shared" si="31"/>
        <v>89</v>
      </c>
      <c r="J322" s="19" t="str">
        <f t="shared" si="32"/>
        <v>1988/89</v>
      </c>
      <c r="K322" s="98">
        <f>'Guts (option 1)'!AB335</f>
        <v>22.423547680089811</v>
      </c>
      <c r="L322" s="98">
        <f>'Guts (option 2)'!AB335</f>
        <v>14.825756865691547</v>
      </c>
      <c r="M322" s="14"/>
    </row>
    <row r="323" spans="1:13" x14ac:dyDescent="0.25">
      <c r="A323" s="1">
        <f>'Guts (option 1)'!A336</f>
        <v>32659</v>
      </c>
      <c r="B323" s="20">
        <f>'Guts (option 1)'!G336</f>
        <v>0.79425724514330887</v>
      </c>
      <c r="C323" s="20">
        <f>'Guts (option 2)'!G336</f>
        <v>1.4057466468323772</v>
      </c>
      <c r="D323" s="20"/>
      <c r="F323" s="1">
        <f t="shared" si="34"/>
        <v>32659</v>
      </c>
      <c r="G323" s="6">
        <f t="shared" si="33"/>
        <v>1988</v>
      </c>
      <c r="H323" s="112">
        <f t="shared" si="30"/>
        <v>89</v>
      </c>
      <c r="I323" s="112" t="str">
        <f t="shared" si="31"/>
        <v>89</v>
      </c>
      <c r="J323" s="19" t="str">
        <f t="shared" si="32"/>
        <v>1988/89</v>
      </c>
      <c r="K323" s="98">
        <f>'Guts (option 1)'!AB336</f>
        <v>36.488892673404237</v>
      </c>
      <c r="L323" s="98">
        <f>'Guts (option 2)'!AB336</f>
        <v>11.686862181327207</v>
      </c>
      <c r="M323" s="14"/>
    </row>
    <row r="324" spans="1:13" x14ac:dyDescent="0.25">
      <c r="A324" s="1">
        <f>'Guts (option 1)'!A337</f>
        <v>32751</v>
      </c>
      <c r="B324" s="20">
        <f>'Guts (option 1)'!G337</f>
        <v>0.39876062555693464</v>
      </c>
      <c r="C324" s="20">
        <f>'Guts (option 2)'!G337</f>
        <v>0.70576178649059729</v>
      </c>
      <c r="D324" s="20"/>
      <c r="F324" s="1">
        <f t="shared" si="34"/>
        <v>32751</v>
      </c>
      <c r="G324" s="6">
        <f t="shared" si="33"/>
        <v>1988</v>
      </c>
      <c r="H324" s="112">
        <f t="shared" ref="H324:H365" si="35">G324+1-1900</f>
        <v>89</v>
      </c>
      <c r="I324" s="112" t="str">
        <f t="shared" ref="I324:I387" si="36">TEXT(H324,"#00")</f>
        <v>89</v>
      </c>
      <c r="J324" s="19" t="str">
        <f t="shared" ref="J324:J387" si="37">CONCATENATE(G324,"/",I324)</f>
        <v>1988/89</v>
      </c>
      <c r="K324" s="98">
        <f>'Guts (option 1)'!AB337</f>
        <v>18.319422022648578</v>
      </c>
      <c r="L324" s="98">
        <f>'Guts (option 2)'!AB337</f>
        <v>5.8674447135611114</v>
      </c>
      <c r="M324" s="14"/>
    </row>
    <row r="325" spans="1:13" x14ac:dyDescent="0.25">
      <c r="A325" s="1">
        <f>'Guts (option 1)'!A338</f>
        <v>32842</v>
      </c>
      <c r="B325" s="20">
        <f>'Guts (option 1)'!G338</f>
        <v>0.39876062555693464</v>
      </c>
      <c r="C325" s="20">
        <f>'Guts (option 2)'!G338</f>
        <v>0.70576178649059729</v>
      </c>
      <c r="D325" s="20"/>
      <c r="F325" s="1">
        <f t="shared" si="34"/>
        <v>32842</v>
      </c>
      <c r="G325" s="6">
        <f t="shared" si="33"/>
        <v>1988</v>
      </c>
      <c r="H325" s="112">
        <f t="shared" si="35"/>
        <v>89</v>
      </c>
      <c r="I325" s="112" t="str">
        <f t="shared" si="36"/>
        <v>89</v>
      </c>
      <c r="J325" s="19" t="str">
        <f t="shared" si="37"/>
        <v>1988/89</v>
      </c>
      <c r="K325" s="98">
        <f>'Guts (option 1)'!AB338</f>
        <v>18.319422022648578</v>
      </c>
      <c r="L325" s="98">
        <f>'Guts (option 2)'!AB338</f>
        <v>10.807777218995293</v>
      </c>
      <c r="M325" s="14"/>
    </row>
    <row r="326" spans="1:13" x14ac:dyDescent="0.25">
      <c r="A326" s="1">
        <f>'Guts (option 1)'!A339</f>
        <v>32932</v>
      </c>
      <c r="B326" s="20">
        <f>'Guts (option 1)'!G339</f>
        <v>0.39876062555693464</v>
      </c>
      <c r="C326" s="20">
        <f>'Guts (option 2)'!G339</f>
        <v>0.70576178649059729</v>
      </c>
      <c r="D326" s="20"/>
      <c r="F326" s="1">
        <f t="shared" si="34"/>
        <v>32932</v>
      </c>
      <c r="G326" s="6">
        <f t="shared" si="33"/>
        <v>1989</v>
      </c>
      <c r="H326" s="112">
        <f t="shared" si="35"/>
        <v>90</v>
      </c>
      <c r="I326" s="112" t="str">
        <f t="shared" si="36"/>
        <v>90</v>
      </c>
      <c r="J326" s="19" t="str">
        <f t="shared" si="37"/>
        <v>1989/90</v>
      </c>
      <c r="K326" s="98">
        <f>'Guts (option 1)'!AB339</f>
        <v>18.319422022648578</v>
      </c>
      <c r="L326" s="98">
        <f>'Guts (option 2)'!AB339</f>
        <v>10.807777218995293</v>
      </c>
      <c r="M326" s="14"/>
    </row>
    <row r="327" spans="1:13" x14ac:dyDescent="0.25">
      <c r="A327" s="1">
        <f>'Guts (option 1)'!A340</f>
        <v>33024</v>
      </c>
      <c r="B327" s="20">
        <f>'Guts (option 1)'!G340</f>
        <v>1.1232163241262372</v>
      </c>
      <c r="C327" s="20">
        <f>'Guts (option 2)'!G340</f>
        <v>1.490057113370969</v>
      </c>
      <c r="D327" s="20"/>
      <c r="F327" s="1">
        <f t="shared" si="34"/>
        <v>33024</v>
      </c>
      <c r="G327" s="6">
        <f t="shared" si="33"/>
        <v>1989</v>
      </c>
      <c r="H327" s="112">
        <f t="shared" si="35"/>
        <v>90</v>
      </c>
      <c r="I327" s="112" t="str">
        <f t="shared" si="36"/>
        <v>90</v>
      </c>
      <c r="J327" s="19" t="str">
        <f t="shared" si="37"/>
        <v>1989/90</v>
      </c>
      <c r="K327" s="98">
        <f>'Guts (option 1)'!AB340</f>
        <v>51.601568825051039</v>
      </c>
      <c r="L327" s="98">
        <f>'Guts (option 2)'!AB340</f>
        <v>22.818188279888115</v>
      </c>
      <c r="M327" s="14"/>
    </row>
    <row r="328" spans="1:13" x14ac:dyDescent="0.25">
      <c r="A328" s="1">
        <f>'Guts (option 1)'!A341</f>
        <v>33116</v>
      </c>
      <c r="B328" s="20">
        <f>'Guts (option 1)'!G341</f>
        <v>0.56391609492151973</v>
      </c>
      <c r="C328" s="20">
        <f>'Guts (option 2)'!G341</f>
        <v>0.74809025699999732</v>
      </c>
      <c r="D328" s="20"/>
      <c r="F328" s="1">
        <f t="shared" si="34"/>
        <v>33116</v>
      </c>
      <c r="G328" s="6">
        <f t="shared" si="33"/>
        <v>1989</v>
      </c>
      <c r="H328" s="112">
        <f t="shared" si="35"/>
        <v>90</v>
      </c>
      <c r="I328" s="112" t="str">
        <f t="shared" si="36"/>
        <v>90</v>
      </c>
      <c r="J328" s="19" t="str">
        <f t="shared" si="37"/>
        <v>1989/90</v>
      </c>
      <c r="K328" s="98">
        <f>'Guts (option 1)'!AB341</f>
        <v>25.906812925180041</v>
      </c>
      <c r="L328" s="98">
        <f>'Guts (option 2)'!AB341</f>
        <v>11.455979895937059</v>
      </c>
      <c r="M328" s="14"/>
    </row>
    <row r="329" spans="1:13" x14ac:dyDescent="0.25">
      <c r="A329" s="1">
        <f>'Guts (option 1)'!A342</f>
        <v>33207</v>
      </c>
      <c r="B329" s="20">
        <f>'Guts (option 1)'!G342</f>
        <v>0.56391609492151973</v>
      </c>
      <c r="C329" s="20">
        <f>'Guts (option 2)'!G342</f>
        <v>0.74809025699999732</v>
      </c>
      <c r="D329" s="20"/>
      <c r="F329" s="1">
        <f t="shared" si="34"/>
        <v>33207</v>
      </c>
      <c r="G329" s="6">
        <f t="shared" si="33"/>
        <v>1989</v>
      </c>
      <c r="H329" s="112">
        <f t="shared" si="35"/>
        <v>90</v>
      </c>
      <c r="I329" s="112" t="str">
        <f t="shared" si="36"/>
        <v>90</v>
      </c>
      <c r="J329" s="19" t="str">
        <f t="shared" si="37"/>
        <v>1989/90</v>
      </c>
      <c r="K329" s="98">
        <f>'Guts (option 1)'!AB342</f>
        <v>25.906812925180041</v>
      </c>
      <c r="L329" s="98">
        <f>'Guts (option 2)'!AB342</f>
        <v>11.455979895937059</v>
      </c>
      <c r="M329" s="14"/>
    </row>
    <row r="330" spans="1:13" x14ac:dyDescent="0.25">
      <c r="A330" s="1">
        <f>'Guts (option 1)'!A343</f>
        <v>33297</v>
      </c>
      <c r="B330" s="20">
        <f>'Guts (option 1)'!G343</f>
        <v>0.56391609492151973</v>
      </c>
      <c r="C330" s="20">
        <f>'Guts (option 2)'!G343</f>
        <v>1.1238755745431603</v>
      </c>
      <c r="D330" s="20"/>
      <c r="F330" s="1">
        <f t="shared" si="34"/>
        <v>33297</v>
      </c>
      <c r="G330" s="6">
        <f t="shared" si="33"/>
        <v>1990</v>
      </c>
      <c r="H330" s="112">
        <f t="shared" si="35"/>
        <v>91</v>
      </c>
      <c r="I330" s="112" t="str">
        <f t="shared" si="36"/>
        <v>91</v>
      </c>
      <c r="J330" s="19" t="str">
        <f t="shared" si="37"/>
        <v>1990/91</v>
      </c>
      <c r="K330" s="98">
        <f>'Guts (option 1)'!AB343</f>
        <v>25.906812925180041</v>
      </c>
      <c r="L330" s="98">
        <f>'Guts (option 2)'!AB343</f>
        <v>17.210618460843289</v>
      </c>
      <c r="M330" s="14"/>
    </row>
    <row r="331" spans="1:13" x14ac:dyDescent="0.25">
      <c r="A331" s="1">
        <f>'Guts (option 1)'!A344</f>
        <v>33389</v>
      </c>
      <c r="B331" s="20">
        <f>'Guts (option 1)'!G344</f>
        <v>0.56391609492151973</v>
      </c>
      <c r="C331" s="20">
        <f>'Guts (option 2)'!G344</f>
        <v>1.1238755745431603</v>
      </c>
      <c r="D331" s="20"/>
      <c r="F331" s="1">
        <f t="shared" si="34"/>
        <v>33389</v>
      </c>
      <c r="G331" s="6">
        <f t="shared" si="33"/>
        <v>1990</v>
      </c>
      <c r="H331" s="112">
        <f t="shared" si="35"/>
        <v>91</v>
      </c>
      <c r="I331" s="112" t="str">
        <f t="shared" si="36"/>
        <v>91</v>
      </c>
      <c r="J331" s="19" t="str">
        <f t="shared" si="37"/>
        <v>1990/91</v>
      </c>
      <c r="K331" s="98">
        <f>'Guts (option 1)'!AB344</f>
        <v>25.906812925180041</v>
      </c>
      <c r="L331" s="98">
        <f>'Guts (option 2)'!AB344</f>
        <v>17.210618460843289</v>
      </c>
      <c r="M331" s="14"/>
    </row>
    <row r="332" spans="1:13" x14ac:dyDescent="0.25">
      <c r="A332" s="1">
        <f>'Guts (option 1)'!A345</f>
        <v>33481</v>
      </c>
      <c r="B332" s="20">
        <f>'Guts (option 1)'!G345</f>
        <v>0.28311675612345943</v>
      </c>
      <c r="C332" s="20">
        <f>'Guts (option 2)'!G345</f>
        <v>0.5642470747271916</v>
      </c>
      <c r="D332" s="20"/>
      <c r="F332" s="1">
        <f t="shared" si="34"/>
        <v>33481</v>
      </c>
      <c r="G332" s="6">
        <f t="shared" si="33"/>
        <v>1990</v>
      </c>
      <c r="H332" s="112">
        <f t="shared" si="35"/>
        <v>91</v>
      </c>
      <c r="I332" s="112" t="str">
        <f t="shared" si="36"/>
        <v>91</v>
      </c>
      <c r="J332" s="19" t="str">
        <f t="shared" si="37"/>
        <v>1990/91</v>
      </c>
      <c r="K332" s="98">
        <f>'Guts (option 1)'!AB345</f>
        <v>13.006638581392238</v>
      </c>
      <c r="L332" s="98">
        <f>'Guts (option 2)'!AB345</f>
        <v>8.6406728117781455</v>
      </c>
      <c r="M332" s="14"/>
    </row>
    <row r="333" spans="1:13" x14ac:dyDescent="0.25">
      <c r="A333" s="1">
        <f>'Guts (option 1)'!A346</f>
        <v>33572</v>
      </c>
      <c r="B333" s="20">
        <f>'Guts (option 1)'!G346</f>
        <v>0.161</v>
      </c>
      <c r="C333" s="20">
        <f>'Guts (option 2)'!G346</f>
        <v>0.5642470747271916</v>
      </c>
      <c r="D333" s="20"/>
      <c r="F333" s="1">
        <f t="shared" si="34"/>
        <v>33572</v>
      </c>
      <c r="G333" s="6">
        <f t="shared" si="33"/>
        <v>1990</v>
      </c>
      <c r="H333" s="112">
        <f t="shared" si="35"/>
        <v>91</v>
      </c>
      <c r="I333" s="112" t="str">
        <f t="shared" si="36"/>
        <v>91</v>
      </c>
      <c r="J333" s="19" t="str">
        <f t="shared" si="37"/>
        <v>1990/91</v>
      </c>
      <c r="K333" s="98">
        <f>'Guts (option 1)'!AB346</f>
        <v>0</v>
      </c>
      <c r="L333" s="98">
        <f>'Guts (option 2)'!AB346</f>
        <v>8.6406728117781455</v>
      </c>
      <c r="M333" s="14"/>
    </row>
    <row r="334" spans="1:13" x14ac:dyDescent="0.25">
      <c r="A334" s="1">
        <f>'Guts (option 1)'!A347</f>
        <v>33662</v>
      </c>
      <c r="B334" s="20">
        <f>'Guts (option 1)'!G347</f>
        <v>0.161</v>
      </c>
      <c r="C334" s="20">
        <f>'Guts (option 2)'!G347</f>
        <v>0.5642470747271916</v>
      </c>
      <c r="D334" s="20"/>
      <c r="F334" s="1">
        <f t="shared" si="34"/>
        <v>33662</v>
      </c>
      <c r="G334" s="6">
        <f t="shared" si="33"/>
        <v>1991</v>
      </c>
      <c r="H334" s="112">
        <f t="shared" si="35"/>
        <v>92</v>
      </c>
      <c r="I334" s="112" t="str">
        <f t="shared" si="36"/>
        <v>92</v>
      </c>
      <c r="J334" s="19" t="str">
        <f t="shared" si="37"/>
        <v>1991/92</v>
      </c>
      <c r="K334" s="98">
        <f>'Guts (option 1)'!AB347</f>
        <v>7.3964849000000008</v>
      </c>
      <c r="L334" s="98">
        <f>'Guts (option 2)'!AB347</f>
        <v>8.6406728117781455</v>
      </c>
      <c r="M334" s="14"/>
    </row>
    <row r="335" spans="1:13" x14ac:dyDescent="0.25">
      <c r="A335" s="1">
        <f>'Guts (option 1)'!A348</f>
        <v>33755</v>
      </c>
      <c r="B335" s="20">
        <f>'Guts (option 1)'!G348</f>
        <v>0.161</v>
      </c>
      <c r="C335" s="20">
        <f>'Guts (option 2)'!G348</f>
        <v>0.5642470747271916</v>
      </c>
      <c r="D335" s="20"/>
      <c r="F335" s="1">
        <f t="shared" si="34"/>
        <v>33755</v>
      </c>
      <c r="G335" s="6">
        <f t="shared" si="33"/>
        <v>1991</v>
      </c>
      <c r="H335" s="112">
        <f t="shared" si="35"/>
        <v>92</v>
      </c>
      <c r="I335" s="112" t="str">
        <f t="shared" si="36"/>
        <v>92</v>
      </c>
      <c r="J335" s="19" t="str">
        <f t="shared" si="37"/>
        <v>1991/92</v>
      </c>
      <c r="K335" s="98">
        <f>'Guts (option 1)'!AB348</f>
        <v>7.3964849000000008</v>
      </c>
      <c r="L335" s="98">
        <f>'Guts (option 2)'!AB348</f>
        <v>8.6406728117781455</v>
      </c>
      <c r="M335" s="14"/>
    </row>
    <row r="336" spans="1:13" x14ac:dyDescent="0.25">
      <c r="A336" s="1">
        <f>'Guts (option 1)'!A349</f>
        <v>33847</v>
      </c>
      <c r="B336" s="20">
        <f>'Guts (option 1)'!G349</f>
        <v>0.161</v>
      </c>
      <c r="C336" s="20">
        <f>'Guts (option 2)'!G349</f>
        <v>0.28328292610826411</v>
      </c>
      <c r="D336" s="20"/>
      <c r="F336" s="1">
        <f t="shared" si="34"/>
        <v>33847</v>
      </c>
      <c r="G336" s="6">
        <f t="shared" si="33"/>
        <v>1991</v>
      </c>
      <c r="H336" s="112">
        <f t="shared" si="35"/>
        <v>92</v>
      </c>
      <c r="I336" s="112" t="str">
        <f t="shared" si="36"/>
        <v>92</v>
      </c>
      <c r="J336" s="19" t="str">
        <f t="shared" si="37"/>
        <v>1991/92</v>
      </c>
      <c r="K336" s="98">
        <f>'Guts (option 1)'!AB349</f>
        <v>0</v>
      </c>
      <c r="L336" s="98">
        <f>'Guts (option 2)'!AB349</f>
        <v>4.3380908600157166</v>
      </c>
      <c r="M336" s="14"/>
    </row>
    <row r="337" spans="1:13" x14ac:dyDescent="0.25">
      <c r="A337" s="1">
        <f>'Guts (option 1)'!A350</f>
        <v>33938</v>
      </c>
      <c r="B337" s="20">
        <f>'Guts (option 1)'!G350</f>
        <v>0.161</v>
      </c>
      <c r="C337" s="20">
        <f>'Guts (option 2)'!G350</f>
        <v>0.19074770425545853</v>
      </c>
      <c r="D337" s="20"/>
      <c r="F337" s="1">
        <f t="shared" si="34"/>
        <v>33938</v>
      </c>
      <c r="G337" s="6">
        <f t="shared" si="33"/>
        <v>1991</v>
      </c>
      <c r="H337" s="112">
        <f t="shared" si="35"/>
        <v>92</v>
      </c>
      <c r="I337" s="112" t="str">
        <f t="shared" si="36"/>
        <v>92</v>
      </c>
      <c r="J337" s="19" t="str">
        <f t="shared" si="37"/>
        <v>1991/92</v>
      </c>
      <c r="K337" s="98">
        <f>'Guts (option 1)'!AB350</f>
        <v>0</v>
      </c>
      <c r="L337" s="98">
        <f>'Guts (option 2)'!AB350</f>
        <v>2.9210404021431979</v>
      </c>
      <c r="M337" s="14"/>
    </row>
    <row r="338" spans="1:13" x14ac:dyDescent="0.25">
      <c r="A338" s="1">
        <f>'Guts (option 1)'!A351</f>
        <v>34028</v>
      </c>
      <c r="B338" s="20">
        <f>'Guts (option 1)'!G351</f>
        <v>0.161</v>
      </c>
      <c r="C338" s="20">
        <f>'Guts (option 2)'!G351</f>
        <v>0.19074770425545853</v>
      </c>
      <c r="D338" s="20"/>
      <c r="F338" s="1">
        <f t="shared" si="34"/>
        <v>34028</v>
      </c>
      <c r="G338" s="6">
        <f t="shared" si="33"/>
        <v>1992</v>
      </c>
      <c r="H338" s="112">
        <f t="shared" si="35"/>
        <v>93</v>
      </c>
      <c r="I338" s="112" t="str">
        <f t="shared" si="36"/>
        <v>93</v>
      </c>
      <c r="J338" s="19" t="str">
        <f t="shared" si="37"/>
        <v>1992/93</v>
      </c>
      <c r="K338" s="98">
        <f>'Guts (option 1)'!AB351</f>
        <v>7.3964849000000008</v>
      </c>
      <c r="L338" s="98">
        <f>'Guts (option 2)'!AB351</f>
        <v>2.9210404021431979</v>
      </c>
      <c r="M338" s="14"/>
    </row>
    <row r="339" spans="1:13" x14ac:dyDescent="0.25">
      <c r="A339" s="1">
        <f>'Guts (option 1)'!A352</f>
        <v>34120</v>
      </c>
      <c r="B339" s="20">
        <f>'Guts (option 1)'!G352</f>
        <v>0.34500000000000003</v>
      </c>
      <c r="C339" s="20">
        <f>'Guts (option 2)'!G352</f>
        <v>0.19074770425545853</v>
      </c>
      <c r="D339" s="20"/>
      <c r="F339" s="1">
        <f t="shared" si="34"/>
        <v>34120</v>
      </c>
      <c r="G339" s="6">
        <f t="shared" si="33"/>
        <v>1992</v>
      </c>
      <c r="H339" s="112">
        <f t="shared" si="35"/>
        <v>93</v>
      </c>
      <c r="I339" s="112" t="str">
        <f t="shared" si="36"/>
        <v>93</v>
      </c>
      <c r="J339" s="19" t="str">
        <f t="shared" si="37"/>
        <v>1992/93</v>
      </c>
      <c r="K339" s="98">
        <f>'Guts (option 1)'!AB352</f>
        <v>-43.757499999999993</v>
      </c>
      <c r="L339" s="98">
        <f>'Guts (option 2)'!AB352</f>
        <v>2.9210404021431979</v>
      </c>
      <c r="M339" s="14"/>
    </row>
    <row r="340" spans="1:13" x14ac:dyDescent="0.25">
      <c r="A340" s="1">
        <f>'Guts (option 1)'!A353</f>
        <v>34212</v>
      </c>
      <c r="B340" s="20">
        <f>'Guts (option 1)'!G353</f>
        <v>0.17320889001436818</v>
      </c>
      <c r="C340" s="20">
        <f>'Guts (option 2)'!G353</f>
        <v>0.161</v>
      </c>
      <c r="D340" s="20"/>
      <c r="F340" s="1">
        <f t="shared" si="34"/>
        <v>34212</v>
      </c>
      <c r="G340" s="6">
        <f t="shared" si="33"/>
        <v>1992</v>
      </c>
      <c r="H340" s="112">
        <f t="shared" si="35"/>
        <v>93</v>
      </c>
      <c r="I340" s="112" t="str">
        <f t="shared" si="36"/>
        <v>93</v>
      </c>
      <c r="J340" s="19" t="str">
        <f t="shared" si="37"/>
        <v>1992/93</v>
      </c>
      <c r="K340" s="98">
        <f>'Guts (option 1)'!AB353</f>
        <v>7.957372295261087</v>
      </c>
      <c r="L340" s="98">
        <f>'Guts (option 2)'!AB353</f>
        <v>-1.1270000000000002</v>
      </c>
      <c r="M340" s="14"/>
    </row>
    <row r="341" spans="1:13" x14ac:dyDescent="0.25">
      <c r="A341" s="1">
        <f>'Guts (option 1)'!A354</f>
        <v>34303</v>
      </c>
      <c r="B341" s="20">
        <f>'Guts (option 1)'!G354</f>
        <v>0.43748130149511583</v>
      </c>
      <c r="C341" s="20">
        <f>'Guts (option 2)'!G354</f>
        <v>0.42527241148074763</v>
      </c>
      <c r="D341" s="20"/>
      <c r="F341" s="1">
        <f t="shared" si="34"/>
        <v>34303</v>
      </c>
      <c r="G341" s="6">
        <f t="shared" si="33"/>
        <v>1992</v>
      </c>
      <c r="H341" s="112">
        <f t="shared" si="35"/>
        <v>93</v>
      </c>
      <c r="I341" s="112" t="str">
        <f t="shared" si="36"/>
        <v>93</v>
      </c>
      <c r="J341" s="19" t="str">
        <f t="shared" si="37"/>
        <v>1992/93</v>
      </c>
      <c r="K341" s="98">
        <f>'Guts (option 1)'!AB354</f>
        <v>-63.224474410468645</v>
      </c>
      <c r="L341" s="98">
        <f>'Guts (option 2)'!AB354</f>
        <v>-21.101277398520679</v>
      </c>
      <c r="M341" s="14"/>
    </row>
    <row r="342" spans="1:13" x14ac:dyDescent="0.25">
      <c r="A342" s="1">
        <f>'Guts (option 1)'!A355</f>
        <v>34393</v>
      </c>
      <c r="B342" s="20">
        <f>'Guts (option 1)'!G355</f>
        <v>0.43748130149511583</v>
      </c>
      <c r="C342" s="20">
        <f>'Guts (option 2)'!G355</f>
        <v>0.42527241148074763</v>
      </c>
      <c r="D342" s="20"/>
      <c r="F342" s="1">
        <f t="shared" si="34"/>
        <v>34393</v>
      </c>
      <c r="G342" s="6">
        <f t="shared" si="33"/>
        <v>1993</v>
      </c>
      <c r="H342" s="112">
        <f t="shared" si="35"/>
        <v>94</v>
      </c>
      <c r="I342" s="112" t="str">
        <f t="shared" si="36"/>
        <v>94</v>
      </c>
      <c r="J342" s="19" t="str">
        <f t="shared" si="37"/>
        <v>1993/94</v>
      </c>
      <c r="K342" s="98">
        <f>'Guts (option 1)'!AB355</f>
        <v>20.098284723856967</v>
      </c>
      <c r="L342" s="98">
        <f>'Guts (option 2)'!AB355</f>
        <v>6.5124657761986251</v>
      </c>
      <c r="M342" s="14"/>
    </row>
    <row r="343" spans="1:13" x14ac:dyDescent="0.25">
      <c r="A343" s="1">
        <f>'Guts (option 1)'!A356</f>
        <v>34485</v>
      </c>
      <c r="B343" s="20">
        <f>'Guts (option 1)'!G356</f>
        <v>0.43748130149511583</v>
      </c>
      <c r="C343" s="20">
        <f>'Guts (option 2)'!G356</f>
        <v>0.43100143551431275</v>
      </c>
      <c r="D343" s="20"/>
      <c r="F343" s="1">
        <f t="shared" si="34"/>
        <v>34485</v>
      </c>
      <c r="G343" s="6">
        <f t="shared" si="33"/>
        <v>1993</v>
      </c>
      <c r="H343" s="112">
        <f t="shared" si="35"/>
        <v>94</v>
      </c>
      <c r="I343" s="112" t="str">
        <f t="shared" si="36"/>
        <v>94</v>
      </c>
      <c r="J343" s="19" t="str">
        <f t="shared" si="37"/>
        <v>1993/94</v>
      </c>
      <c r="K343" s="98">
        <f>'Guts (option 1)'!AB356</f>
        <v>20.098284723856967</v>
      </c>
      <c r="L343" s="98">
        <f>'Guts (option 2)'!AB356</f>
        <v>6.6001979496064962</v>
      </c>
      <c r="M343" s="14"/>
    </row>
    <row r="344" spans="1:13" x14ac:dyDescent="0.25">
      <c r="A344" s="1">
        <f>'Guts (option 1)'!A357</f>
        <v>34577</v>
      </c>
      <c r="B344" s="20">
        <f>'Guts (option 1)'!G357</f>
        <v>0.2196395670551019</v>
      </c>
      <c r="C344" s="20">
        <f>'Guts (option 2)'!G357</f>
        <v>0.21638631953632867</v>
      </c>
      <c r="D344" s="20"/>
      <c r="F344" s="1">
        <f t="shared" si="34"/>
        <v>34577</v>
      </c>
      <c r="G344" s="6">
        <f t="shared" si="33"/>
        <v>1993</v>
      </c>
      <c r="H344" s="112">
        <f t="shared" si="35"/>
        <v>94</v>
      </c>
      <c r="I344" s="112" t="str">
        <f t="shared" si="36"/>
        <v>94</v>
      </c>
      <c r="J344" s="19" t="str">
        <f t="shared" si="37"/>
        <v>1993/94</v>
      </c>
      <c r="K344" s="98">
        <f>'Guts (option 1)'!AB357</f>
        <v>10.090439386121732</v>
      </c>
      <c r="L344" s="98">
        <f>'Guts (option 2)'!AB357</f>
        <v>3.31366075572884</v>
      </c>
      <c r="M344" s="14"/>
    </row>
    <row r="345" spans="1:13" x14ac:dyDescent="0.25">
      <c r="A345" s="1">
        <f>'Guts (option 1)'!A358</f>
        <v>34668</v>
      </c>
      <c r="B345" s="20">
        <f>'Guts (option 1)'!G358</f>
        <v>0.161</v>
      </c>
      <c r="C345" s="20">
        <f>'Guts (option 2)'!G358</f>
        <v>0.161</v>
      </c>
      <c r="D345" s="20"/>
      <c r="F345" s="1">
        <f t="shared" si="34"/>
        <v>34668</v>
      </c>
      <c r="G345" s="6">
        <f t="shared" si="33"/>
        <v>1993</v>
      </c>
      <c r="H345" s="112">
        <f t="shared" si="35"/>
        <v>94</v>
      </c>
      <c r="I345" s="112" t="str">
        <f t="shared" si="36"/>
        <v>94</v>
      </c>
      <c r="J345" s="19" t="str">
        <f t="shared" si="37"/>
        <v>1993/94</v>
      </c>
      <c r="K345" s="98">
        <f>'Guts (option 1)'!AB358</f>
        <v>0</v>
      </c>
      <c r="L345" s="98">
        <f>'Guts (option 2)'!AB358</f>
        <v>-1.1270000000000002</v>
      </c>
      <c r="M345" s="14"/>
    </row>
    <row r="346" spans="1:13" x14ac:dyDescent="0.25">
      <c r="A346" s="1">
        <f>'Guts (option 1)'!A359</f>
        <v>34758</v>
      </c>
      <c r="B346" s="20">
        <f>'Guts (option 1)'!G359</f>
        <v>0.34562630906087133</v>
      </c>
      <c r="C346" s="20">
        <f>'Guts (option 2)'!G359</f>
        <v>0.34702532191862168</v>
      </c>
      <c r="D346" s="20"/>
      <c r="F346" s="1">
        <f t="shared" si="34"/>
        <v>34758</v>
      </c>
      <c r="G346" s="6">
        <f t="shared" si="33"/>
        <v>1994</v>
      </c>
      <c r="H346" s="112">
        <f t="shared" si="35"/>
        <v>95</v>
      </c>
      <c r="I346" s="112" t="str">
        <f t="shared" si="36"/>
        <v>95</v>
      </c>
      <c r="J346" s="19" t="str">
        <f t="shared" si="37"/>
        <v>1994/95</v>
      </c>
      <c r="K346" s="98">
        <f>'Guts (option 1)'!AB359</f>
        <v>-43.910006256322163</v>
      </c>
      <c r="L346" s="98">
        <f>'Guts (option 2)'!AB359</f>
        <v>-14.750221962394789</v>
      </c>
      <c r="M346" s="14"/>
    </row>
    <row r="347" spans="1:13" x14ac:dyDescent="0.25">
      <c r="A347" s="1">
        <f>'Guts (option 1)'!A360</f>
        <v>34850</v>
      </c>
      <c r="B347" s="20">
        <f>'Guts (option 1)'!G360</f>
        <v>0.67708300392117082</v>
      </c>
      <c r="C347" s="20">
        <f>'Guts (option 2)'!G360</f>
        <v>0.67944151356550642</v>
      </c>
      <c r="D347" s="20"/>
      <c r="F347" s="1">
        <f t="shared" si="34"/>
        <v>34850</v>
      </c>
      <c r="G347" s="6">
        <f t="shared" si="33"/>
        <v>1994</v>
      </c>
      <c r="H347" s="112">
        <f t="shared" si="35"/>
        <v>95</v>
      </c>
      <c r="I347" s="112" t="str">
        <f t="shared" si="36"/>
        <v>95</v>
      </c>
      <c r="J347" s="19" t="str">
        <f t="shared" si="37"/>
        <v>1994/95</v>
      </c>
      <c r="K347" s="98">
        <f>'Guts (option 1)'!AB360</f>
        <v>31.105802574842119</v>
      </c>
      <c r="L347" s="98">
        <f>'Guts (option 2)'!AB360</f>
        <v>10.404718210187191</v>
      </c>
      <c r="M347" s="14"/>
    </row>
    <row r="348" spans="1:13" x14ac:dyDescent="0.25">
      <c r="A348" s="1">
        <f>'Guts (option 1)'!A361</f>
        <v>34942</v>
      </c>
      <c r="B348" s="20">
        <f>'Guts (option 1)'!G361</f>
        <v>0.33993274074429014</v>
      </c>
      <c r="C348" s="20">
        <f>'Guts (option 2)'!G361</f>
        <v>0.34111684172279311</v>
      </c>
      <c r="D348" s="20"/>
      <c r="F348" s="1">
        <f t="shared" si="34"/>
        <v>34942</v>
      </c>
      <c r="G348" s="6">
        <f t="shared" si="33"/>
        <v>1994</v>
      </c>
      <c r="H348" s="112">
        <f t="shared" si="35"/>
        <v>95</v>
      </c>
      <c r="I348" s="112" t="str">
        <f t="shared" si="36"/>
        <v>95</v>
      </c>
      <c r="J348" s="19" t="str">
        <f t="shared" si="37"/>
        <v>1994/95</v>
      </c>
      <c r="K348" s="98">
        <f>'Guts (option 1)'!AB361</f>
        <v>15.616816049259358</v>
      </c>
      <c r="L348" s="98">
        <f>'Guts (option 2)'!AB361</f>
        <v>5.2237382379675541</v>
      </c>
      <c r="M348" s="14"/>
    </row>
    <row r="349" spans="1:13" x14ac:dyDescent="0.25">
      <c r="A349" s="1">
        <f>'Guts (option 1)'!A362</f>
        <v>35033</v>
      </c>
      <c r="B349" s="20">
        <f>'Guts (option 1)'!G362</f>
        <v>0.39725580576864256</v>
      </c>
      <c r="C349" s="20">
        <f>'Guts (option 2)'!G362</f>
        <v>0.39843990674714558</v>
      </c>
      <c r="D349" s="20"/>
      <c r="F349" s="1">
        <f t="shared" si="34"/>
        <v>35033</v>
      </c>
      <c r="G349" s="6">
        <f t="shared" si="33"/>
        <v>1994</v>
      </c>
      <c r="H349" s="112">
        <f t="shared" si="35"/>
        <v>95</v>
      </c>
      <c r="I349" s="112" t="str">
        <f t="shared" si="36"/>
        <v>95</v>
      </c>
      <c r="J349" s="19" t="str">
        <f t="shared" si="37"/>
        <v>1994/95</v>
      </c>
      <c r="K349" s="98">
        <f>'Guts (option 1)'!AB362</f>
        <v>18.25028924723663</v>
      </c>
      <c r="L349" s="98">
        <f>'Guts (option 2)'!AB362</f>
        <v>6.1015626372933118</v>
      </c>
      <c r="M349" s="14"/>
    </row>
    <row r="350" spans="1:13" x14ac:dyDescent="0.25">
      <c r="A350" s="1">
        <f>'Guts (option 1)'!A363</f>
        <v>35123</v>
      </c>
      <c r="B350" s="20">
        <f>'Guts (option 1)'!G363</f>
        <v>0.39725580576864256</v>
      </c>
      <c r="C350" s="20">
        <f>'Guts (option 2)'!G363</f>
        <v>0.39843990674714558</v>
      </c>
      <c r="D350" s="20"/>
      <c r="F350" s="1">
        <f t="shared" si="34"/>
        <v>35123</v>
      </c>
      <c r="G350" s="6">
        <f t="shared" si="33"/>
        <v>1995</v>
      </c>
      <c r="H350" s="112">
        <f t="shared" si="35"/>
        <v>96</v>
      </c>
      <c r="I350" s="112" t="str">
        <f t="shared" si="36"/>
        <v>96</v>
      </c>
      <c r="J350" s="19" t="str">
        <f t="shared" si="37"/>
        <v>1995/96</v>
      </c>
      <c r="K350" s="98">
        <f>'Guts (option 1)'!AB363</f>
        <v>18.25028924723663</v>
      </c>
      <c r="L350" s="98">
        <f>'Guts (option 2)'!AB363</f>
        <v>6.1015626372933118</v>
      </c>
      <c r="M350" s="14"/>
    </row>
    <row r="351" spans="1:13" x14ac:dyDescent="0.25">
      <c r="A351" s="1">
        <f>'Guts (option 1)'!A364</f>
        <v>35216</v>
      </c>
      <c r="B351" s="20">
        <f>'Guts (option 1)'!G364</f>
        <v>0.9079668508424148</v>
      </c>
      <c r="C351" s="20">
        <f>'Guts (option 2)'!G364</f>
        <v>1.1071339061080738</v>
      </c>
      <c r="D351" s="20"/>
      <c r="F351" s="1">
        <f t="shared" si="34"/>
        <v>35216</v>
      </c>
      <c r="G351" s="6">
        <f t="shared" si="33"/>
        <v>1995</v>
      </c>
      <c r="H351" s="112">
        <f t="shared" si="35"/>
        <v>96</v>
      </c>
      <c r="I351" s="112" t="str">
        <f t="shared" si="36"/>
        <v>96</v>
      </c>
      <c r="J351" s="19" t="str">
        <f t="shared" si="37"/>
        <v>1995/96</v>
      </c>
      <c r="K351" s="98">
        <f>'Guts (option 1)'!AB364</f>
        <v>41.712814297866295</v>
      </c>
      <c r="L351" s="98">
        <f>'Guts (option 2)'!AB364</f>
        <v>16.954242689040136</v>
      </c>
      <c r="M351" s="14"/>
    </row>
    <row r="352" spans="1:13" x14ac:dyDescent="0.25">
      <c r="A352" s="1">
        <f>'Guts (option 1)'!A365</f>
        <v>35308</v>
      </c>
      <c r="B352" s="20">
        <f>'Guts (option 1)'!G365</f>
        <v>0.45584907363552474</v>
      </c>
      <c r="C352" s="20">
        <f>'Guts (option 2)'!G365</f>
        <v>0.5558418405050759</v>
      </c>
      <c r="D352" s="20"/>
      <c r="F352" s="1">
        <f t="shared" si="34"/>
        <v>35308</v>
      </c>
      <c r="G352" s="6">
        <f t="shared" si="33"/>
        <v>1995</v>
      </c>
      <c r="H352" s="112">
        <f t="shared" si="35"/>
        <v>96</v>
      </c>
      <c r="I352" s="112" t="str">
        <f t="shared" si="36"/>
        <v>96</v>
      </c>
      <c r="J352" s="19" t="str">
        <f t="shared" si="37"/>
        <v>1995/96</v>
      </c>
      <c r="K352" s="98">
        <f>'Guts (option 1)'!AB365</f>
        <v>20.942116706982279</v>
      </c>
      <c r="L352" s="98">
        <f>'Guts (option 2)'!AB365</f>
        <v>8.5119581368198798</v>
      </c>
      <c r="M352" s="14"/>
    </row>
    <row r="353" spans="1:13" x14ac:dyDescent="0.25">
      <c r="A353" s="1">
        <f>'Guts (option 1)'!A366</f>
        <v>35399</v>
      </c>
      <c r="B353" s="20">
        <f>'Guts (option 1)'!G366</f>
        <v>0.46459892746209164</v>
      </c>
      <c r="C353" s="20">
        <f>'Guts (option 2)'!G366</f>
        <v>0.57154422070406585</v>
      </c>
      <c r="D353" s="20"/>
      <c r="F353" s="1">
        <f t="shared" si="34"/>
        <v>35399</v>
      </c>
      <c r="G353" s="6">
        <f t="shared" si="33"/>
        <v>1995</v>
      </c>
      <c r="H353" s="112">
        <f t="shared" si="35"/>
        <v>96</v>
      </c>
      <c r="I353" s="112" t="str">
        <f t="shared" si="36"/>
        <v>96</v>
      </c>
      <c r="J353" s="19" t="str">
        <f t="shared" si="37"/>
        <v>1995/96</v>
      </c>
      <c r="K353" s="98">
        <f>'Guts (option 1)'!AB366</f>
        <v>21.344092866643209</v>
      </c>
      <c r="L353" s="98">
        <f>'Guts (option 2)'!AB366</f>
        <v>8.7524186296478046</v>
      </c>
      <c r="M353" s="14"/>
    </row>
    <row r="354" spans="1:13" x14ac:dyDescent="0.25">
      <c r="A354" s="1">
        <f>'Guts (option 1)'!A367</f>
        <v>35489</v>
      </c>
      <c r="B354" s="20">
        <f>'Guts (option 1)'!G367</f>
        <v>0.86190855066965022</v>
      </c>
      <c r="C354" s="20">
        <f>'Guts (option 2)'!G367</f>
        <v>0.9999447904794071</v>
      </c>
      <c r="D354" s="20"/>
      <c r="F354" s="1">
        <f t="shared" si="34"/>
        <v>35489</v>
      </c>
      <c r="G354" s="6">
        <f t="shared" si="33"/>
        <v>1996</v>
      </c>
      <c r="H354" s="112">
        <f t="shared" si="35"/>
        <v>97</v>
      </c>
      <c r="I354" s="112" t="str">
        <f t="shared" si="36"/>
        <v>97</v>
      </c>
      <c r="J354" s="19" t="str">
        <f t="shared" si="37"/>
        <v>1996/97</v>
      </c>
      <c r="K354" s="98">
        <f>'Guts (option 1)'!AB367</f>
        <v>39.596854535459329</v>
      </c>
      <c r="L354" s="98">
        <f>'Guts (option 2)'!AB367</f>
        <v>15.312787874978461</v>
      </c>
      <c r="M354" s="14"/>
    </row>
    <row r="355" spans="1:13" x14ac:dyDescent="0.25">
      <c r="A355" s="1">
        <f>'Guts (option 1)'!A368</f>
        <v>35581</v>
      </c>
      <c r="B355" s="20">
        <f>'Guts (option 1)'!G368</f>
        <v>0.86190855066965022</v>
      </c>
      <c r="C355" s="20">
        <f>'Guts (option 2)'!G368</f>
        <v>1.1130771809465378</v>
      </c>
      <c r="D355" s="20"/>
      <c r="F355" s="1">
        <f t="shared" si="34"/>
        <v>35581</v>
      </c>
      <c r="G355" s="6">
        <f t="shared" si="33"/>
        <v>1996</v>
      </c>
      <c r="H355" s="112">
        <f t="shared" si="35"/>
        <v>97</v>
      </c>
      <c r="I355" s="112" t="str">
        <f t="shared" si="36"/>
        <v>97</v>
      </c>
      <c r="J355" s="19" t="str">
        <f t="shared" si="37"/>
        <v>1996/97</v>
      </c>
      <c r="K355" s="98">
        <f>'Guts (option 1)'!AB368</f>
        <v>39.596854535459329</v>
      </c>
      <c r="L355" s="98">
        <f>'Guts (option 2)'!AB368</f>
        <v>17.0452558207156</v>
      </c>
      <c r="M355" s="14"/>
    </row>
    <row r="356" spans="1:13" x14ac:dyDescent="0.25">
      <c r="A356" s="1">
        <f>'Guts (option 1)'!A369</f>
        <v>35673</v>
      </c>
      <c r="B356" s="20">
        <f>'Guts (option 1)'!G369</f>
        <v>0.43272528508806646</v>
      </c>
      <c r="C356" s="20">
        <f>'Guts (option 2)'!G369</f>
        <v>0.55882568989006332</v>
      </c>
      <c r="D356" s="20"/>
      <c r="F356" s="1">
        <f t="shared" si="34"/>
        <v>35673</v>
      </c>
      <c r="G356" s="6">
        <f t="shared" si="33"/>
        <v>1996</v>
      </c>
      <c r="H356" s="112">
        <f t="shared" si="35"/>
        <v>97</v>
      </c>
      <c r="I356" s="112" t="str">
        <f t="shared" si="36"/>
        <v>97</v>
      </c>
      <c r="J356" s="19" t="str">
        <f t="shared" si="37"/>
        <v>1996/97</v>
      </c>
      <c r="K356" s="98">
        <f>'Guts (option 1)'!AB369</f>
        <v>19.879789049702353</v>
      </c>
      <c r="L356" s="98">
        <f>'Guts (option 2)'!AB369</f>
        <v>8.5576517122234694</v>
      </c>
      <c r="M356" s="14"/>
    </row>
    <row r="357" spans="1:13" x14ac:dyDescent="0.25">
      <c r="A357" s="1">
        <f>'Guts (option 1)'!A370</f>
        <v>35764</v>
      </c>
      <c r="B357" s="20">
        <f>'Guts (option 1)'!G370</f>
        <v>0.43272528508806646</v>
      </c>
      <c r="C357" s="20">
        <f>'Guts (option 2)'!G370</f>
        <v>0.55882568989006332</v>
      </c>
      <c r="D357" s="20"/>
      <c r="F357" s="1">
        <f t="shared" si="34"/>
        <v>35764</v>
      </c>
      <c r="G357" s="6">
        <f t="shared" ref="G357:G403" si="38">IF(YEAR(F357)&gt;DATE(YEAR(F357),7,1),YEAR(F357),YEAR(F357)-1)</f>
        <v>1996</v>
      </c>
      <c r="H357" s="112">
        <f t="shared" si="35"/>
        <v>97</v>
      </c>
      <c r="I357" s="112" t="str">
        <f t="shared" si="36"/>
        <v>97</v>
      </c>
      <c r="J357" s="19" t="str">
        <f t="shared" si="37"/>
        <v>1996/97</v>
      </c>
      <c r="K357" s="98">
        <f>'Guts (option 1)'!AB370</f>
        <v>19.879789049702353</v>
      </c>
      <c r="L357" s="98">
        <f>'Guts (option 2)'!AB370</f>
        <v>8.5576517122234694</v>
      </c>
      <c r="M357" s="14"/>
    </row>
    <row r="358" spans="1:13" x14ac:dyDescent="0.25">
      <c r="A358" s="1">
        <f>'Guts (option 1)'!A371</f>
        <v>35854</v>
      </c>
      <c r="B358" s="20">
        <f>'Guts (option 1)'!G371</f>
        <v>0.43272528508806646</v>
      </c>
      <c r="C358" s="20">
        <f>'Guts (option 2)'!G371</f>
        <v>0.55882568989006332</v>
      </c>
      <c r="D358" s="20"/>
      <c r="F358" s="1">
        <f t="shared" si="34"/>
        <v>35854</v>
      </c>
      <c r="G358" s="6">
        <f t="shared" si="38"/>
        <v>1997</v>
      </c>
      <c r="H358" s="112">
        <f t="shared" si="35"/>
        <v>98</v>
      </c>
      <c r="I358" s="112" t="str">
        <f t="shared" si="36"/>
        <v>98</v>
      </c>
      <c r="J358" s="19" t="str">
        <f t="shared" si="37"/>
        <v>1997/98</v>
      </c>
      <c r="K358" s="98">
        <f>'Guts (option 1)'!AB371</f>
        <v>19.879789049702353</v>
      </c>
      <c r="L358" s="98">
        <f>'Guts (option 2)'!AB371</f>
        <v>8.5576517122234694</v>
      </c>
      <c r="M358" s="14"/>
    </row>
    <row r="359" spans="1:13" x14ac:dyDescent="0.25">
      <c r="A359" s="1">
        <f>'Guts (option 1)'!A372</f>
        <v>35946</v>
      </c>
      <c r="B359" s="20">
        <f>'Guts (option 1)'!G372</f>
        <v>0.69808958627392714</v>
      </c>
      <c r="C359" s="20">
        <f>'Guts (option 2)'!G372</f>
        <v>0.84614786922928464</v>
      </c>
      <c r="D359" s="20"/>
      <c r="F359" s="1">
        <f t="shared" ref="F359:F404" si="39">A359</f>
        <v>35946</v>
      </c>
      <c r="G359" s="6">
        <f t="shared" si="38"/>
        <v>1997</v>
      </c>
      <c r="H359" s="112">
        <f t="shared" si="35"/>
        <v>98</v>
      </c>
      <c r="I359" s="112" t="str">
        <f t="shared" si="36"/>
        <v>98</v>
      </c>
      <c r="J359" s="19" t="str">
        <f t="shared" si="37"/>
        <v>1997/98</v>
      </c>
      <c r="K359" s="98">
        <f>'Guts (option 1)'!AB372</f>
        <v>32.070863874051859</v>
      </c>
      <c r="L359" s="98">
        <f>'Guts (option 2)'!AB372</f>
        <v>12.957598215158546</v>
      </c>
      <c r="M359" s="14"/>
    </row>
    <row r="360" spans="1:13" x14ac:dyDescent="0.25">
      <c r="A360" s="1">
        <f>'Guts (option 1)'!A373</f>
        <v>36038</v>
      </c>
      <c r="B360" s="20">
        <f>'Guts (option 1)'!G373</f>
        <v>0.35047919527274324</v>
      </c>
      <c r="C360" s="20">
        <f>'Guts (option 2)'!G373</f>
        <v>0.42481256004993373</v>
      </c>
      <c r="D360" s="20"/>
      <c r="F360" s="1">
        <f t="shared" si="39"/>
        <v>36038</v>
      </c>
      <c r="G360" s="6">
        <f t="shared" si="38"/>
        <v>1997</v>
      </c>
      <c r="H360" s="112">
        <f t="shared" si="35"/>
        <v>98</v>
      </c>
      <c r="I360" s="112" t="str">
        <f t="shared" si="36"/>
        <v>98</v>
      </c>
      <c r="J360" s="19" t="str">
        <f t="shared" si="37"/>
        <v>1997/98</v>
      </c>
      <c r="K360" s="98">
        <f>'Guts (option 1)'!AB373</f>
        <v>16.101329662105567</v>
      </c>
      <c r="L360" s="98">
        <f>'Guts (option 2)'!AB373</f>
        <v>6.505423779999334</v>
      </c>
      <c r="M360" s="14"/>
    </row>
    <row r="361" spans="1:13" x14ac:dyDescent="0.25">
      <c r="A361" s="1">
        <f>'Guts (option 1)'!A374</f>
        <v>36129</v>
      </c>
      <c r="B361" s="20">
        <f>'Guts (option 1)'!G374</f>
        <v>0.67760197551391177</v>
      </c>
      <c r="C361" s="20">
        <f>'Guts (option 2)'!G374</f>
        <v>0.44559362828855703</v>
      </c>
      <c r="D361" s="20"/>
      <c r="F361" s="1">
        <f t="shared" si="39"/>
        <v>36129</v>
      </c>
      <c r="G361" s="6">
        <f t="shared" si="38"/>
        <v>1997</v>
      </c>
      <c r="H361" s="112">
        <f t="shared" si="35"/>
        <v>98</v>
      </c>
      <c r="I361" s="112" t="str">
        <f t="shared" si="36"/>
        <v>98</v>
      </c>
      <c r="J361" s="19" t="str">
        <f t="shared" si="37"/>
        <v>1997/98</v>
      </c>
      <c r="K361" s="98">
        <f>'Guts (option 1)'!AB374</f>
        <v>31.129644596887072</v>
      </c>
      <c r="L361" s="98">
        <f>'Guts (option 2)'!AB374</f>
        <v>6.8236574392805904</v>
      </c>
      <c r="M361" s="14"/>
    </row>
    <row r="362" spans="1:13" x14ac:dyDescent="0.25">
      <c r="A362" s="1">
        <f>'Guts (option 1)'!A375</f>
        <v>36219</v>
      </c>
      <c r="B362" s="20">
        <f>'Guts (option 1)'!G375</f>
        <v>1.1489313129126624</v>
      </c>
      <c r="C362" s="20">
        <f>'Guts (option 2)'!G375</f>
        <v>0.98761062542957589</v>
      </c>
      <c r="D362" s="20"/>
      <c r="F362" s="1">
        <f t="shared" si="39"/>
        <v>36219</v>
      </c>
      <c r="G362" s="6">
        <f t="shared" si="38"/>
        <v>1998</v>
      </c>
      <c r="H362" s="112">
        <f t="shared" si="35"/>
        <v>99</v>
      </c>
      <c r="I362" s="112" t="str">
        <f t="shared" si="36"/>
        <v>99</v>
      </c>
      <c r="J362" s="19" t="str">
        <f t="shared" si="37"/>
        <v>1998/99</v>
      </c>
      <c r="K362" s="98">
        <f>'Guts (option 1)'!AB375</f>
        <v>52.782938553389329</v>
      </c>
      <c r="L362" s="98">
        <f>'Guts (option 2)'!AB375</f>
        <v>15.123906993932534</v>
      </c>
      <c r="M362" s="14"/>
    </row>
    <row r="363" spans="1:13" x14ac:dyDescent="0.25">
      <c r="A363" s="1">
        <f>'Guts (option 1)'!A376</f>
        <v>36311</v>
      </c>
      <c r="B363" s="20">
        <f>'Guts (option 1)'!G376</f>
        <v>1.6659504037233606</v>
      </c>
      <c r="C363" s="20">
        <f>'Guts (option 2)'!G376</f>
        <v>1.444933092389719</v>
      </c>
      <c r="D363" s="20"/>
      <c r="F363" s="1">
        <f t="shared" si="39"/>
        <v>36311</v>
      </c>
      <c r="G363" s="6">
        <f t="shared" si="38"/>
        <v>1998</v>
      </c>
      <c r="H363" s="112">
        <f t="shared" si="35"/>
        <v>99</v>
      </c>
      <c r="I363" s="112" t="str">
        <f t="shared" si="36"/>
        <v>99</v>
      </c>
      <c r="J363" s="19" t="str">
        <f t="shared" si="37"/>
        <v>1998/99</v>
      </c>
      <c r="K363" s="98">
        <f>'Guts (option 1)'!AB376</f>
        <v>76.535260902414535</v>
      </c>
      <c r="L363" s="98">
        <f>'Guts (option 2)'!AB376</f>
        <v>12.01264392132758</v>
      </c>
      <c r="M363" s="14"/>
    </row>
    <row r="364" spans="1:13" x14ac:dyDescent="0.25">
      <c r="A364" s="1">
        <f>'Guts (option 1)'!A377</f>
        <v>36403</v>
      </c>
      <c r="B364" s="20">
        <f>'Guts (option 1)'!G377</f>
        <v>0.83639831955916466</v>
      </c>
      <c r="C364" s="20">
        <f>'Guts (option 2)'!G377</f>
        <v>0.72543552776188902</v>
      </c>
      <c r="D364" s="20"/>
      <c r="F364" s="1">
        <f t="shared" si="39"/>
        <v>36403</v>
      </c>
      <c r="G364" s="6">
        <f t="shared" si="38"/>
        <v>1998</v>
      </c>
      <c r="H364" s="112">
        <f t="shared" si="35"/>
        <v>99</v>
      </c>
      <c r="I364" s="112" t="str">
        <f t="shared" si="36"/>
        <v>99</v>
      </c>
      <c r="J364" s="19" t="str">
        <f t="shared" si="37"/>
        <v>1998/99</v>
      </c>
      <c r="K364" s="98">
        <f>'Guts (option 1)'!AB377</f>
        <v>38.424891559035636</v>
      </c>
      <c r="L364" s="98">
        <f>'Guts (option 2)'!AB377</f>
        <v>6.0310049847854978</v>
      </c>
      <c r="M364" s="14"/>
    </row>
    <row r="365" spans="1:13" x14ac:dyDescent="0.25">
      <c r="A365" s="1">
        <f>'Guts (option 1)'!A378</f>
        <v>36494</v>
      </c>
      <c r="B365" s="20">
        <f>'Guts (option 1)'!G378</f>
        <v>0.83639831955916466</v>
      </c>
      <c r="C365" s="20">
        <f>'Guts (option 2)'!G378</f>
        <v>0.72543552776188902</v>
      </c>
      <c r="D365" s="20"/>
      <c r="F365" s="1">
        <f t="shared" si="39"/>
        <v>36494</v>
      </c>
      <c r="G365" s="6">
        <f t="shared" si="38"/>
        <v>1998</v>
      </c>
      <c r="H365" s="112">
        <f t="shared" si="35"/>
        <v>99</v>
      </c>
      <c r="I365" s="112" t="str">
        <f t="shared" si="36"/>
        <v>99</v>
      </c>
      <c r="J365" s="19" t="str">
        <f t="shared" si="37"/>
        <v>1998/99</v>
      </c>
      <c r="K365" s="98">
        <f>'Guts (option 1)'!AB378</f>
        <v>38.424891559035636</v>
      </c>
      <c r="L365" s="98">
        <f>'Guts (option 2)'!AB378</f>
        <v>11.109053679118722</v>
      </c>
      <c r="M365" s="14"/>
    </row>
    <row r="366" spans="1:13" x14ac:dyDescent="0.25">
      <c r="A366" s="1">
        <f>'Guts (option 1)'!A379</f>
        <v>36584</v>
      </c>
      <c r="B366" s="20">
        <f>'Guts (option 1)'!G379</f>
        <v>1.2139318745362719</v>
      </c>
      <c r="C366" s="20">
        <f>'Guts (option 2)'!G379</f>
        <v>1.1120431714991452</v>
      </c>
      <c r="D366" s="20"/>
      <c r="F366" s="1">
        <f t="shared" si="39"/>
        <v>36584</v>
      </c>
      <c r="G366" s="6">
        <f t="shared" si="38"/>
        <v>1999</v>
      </c>
      <c r="H366" s="112">
        <f>G366+1-2000</f>
        <v>0</v>
      </c>
      <c r="I366" s="112" t="str">
        <f t="shared" si="36"/>
        <v>00</v>
      </c>
      <c r="J366" s="19" t="str">
        <f t="shared" si="37"/>
        <v>1999/00</v>
      </c>
      <c r="K366" s="98">
        <f>'Guts (option 1)'!AB379</f>
        <v>55.769122854883413</v>
      </c>
      <c r="L366" s="98">
        <f>'Guts (option 2)'!AB379</f>
        <v>17.029421379175023</v>
      </c>
      <c r="M366" s="14"/>
    </row>
    <row r="367" spans="1:13" x14ac:dyDescent="0.25">
      <c r="A367" s="1">
        <f>'Guts (option 1)'!A380</f>
        <v>36677</v>
      </c>
      <c r="B367" s="20">
        <f>'Guts (option 1)'!G380</f>
        <v>1.9306679728238738</v>
      </c>
      <c r="C367" s="20">
        <f>'Guts (option 2)'!G380</f>
        <v>1.835357702095032</v>
      </c>
      <c r="D367" s="20"/>
      <c r="F367" s="1">
        <f t="shared" si="39"/>
        <v>36677</v>
      </c>
      <c r="G367" s="6">
        <f t="shared" si="38"/>
        <v>1999</v>
      </c>
      <c r="H367" s="112">
        <f t="shared" ref="H367:H404" si="40">G367+1-2000</f>
        <v>0</v>
      </c>
      <c r="I367" s="112" t="str">
        <f t="shared" si="36"/>
        <v>00</v>
      </c>
      <c r="J367" s="19" t="str">
        <f t="shared" si="37"/>
        <v>1999/00</v>
      </c>
      <c r="K367" s="98">
        <f>'Guts (option 1)'!AB380</f>
        <v>88.696624272704312</v>
      </c>
      <c r="L367" s="98">
        <f>'Guts (option 2)'!AB380</f>
        <v>28.105994885392551</v>
      </c>
      <c r="M367" s="14"/>
    </row>
    <row r="368" spans="1:13" x14ac:dyDescent="0.25">
      <c r="A368" s="1">
        <f>'Guts (option 1)'!A381</f>
        <v>36769</v>
      </c>
      <c r="B368" s="20">
        <f>'Guts (option 1)'!G381</f>
        <v>0.96930103350467678</v>
      </c>
      <c r="C368" s="20">
        <f>'Guts (option 2)'!G381</f>
        <v>0.92145005901217947</v>
      </c>
      <c r="D368" s="20"/>
      <c r="F368" s="1">
        <f t="shared" si="39"/>
        <v>36769</v>
      </c>
      <c r="G368" s="6">
        <f t="shared" si="38"/>
        <v>1999</v>
      </c>
      <c r="H368" s="112">
        <f t="shared" si="40"/>
        <v>0</v>
      </c>
      <c r="I368" s="112" t="str">
        <f t="shared" si="36"/>
        <v>00</v>
      </c>
      <c r="J368" s="19" t="str">
        <f t="shared" si="37"/>
        <v>1999/00</v>
      </c>
      <c r="K368" s="98">
        <f>'Guts (option 1)'!AB381</f>
        <v>44.530561850135008</v>
      </c>
      <c r="L368" s="98">
        <f>'Guts (option 2)'!AB381</f>
        <v>14.110748338690877</v>
      </c>
      <c r="M368" s="14"/>
    </row>
    <row r="369" spans="1:13" x14ac:dyDescent="0.25">
      <c r="A369" s="1">
        <f>'Guts (option 1)'!A382</f>
        <v>36860</v>
      </c>
      <c r="B369" s="20">
        <f>'Guts (option 1)'!G382</f>
        <v>0.96930103350467678</v>
      </c>
      <c r="C369" s="20">
        <f>'Guts (option 2)'!G382</f>
        <v>0.92145005901217947</v>
      </c>
      <c r="D369" s="20"/>
      <c r="F369" s="1">
        <f t="shared" si="39"/>
        <v>36860</v>
      </c>
      <c r="G369" s="6">
        <f t="shared" si="38"/>
        <v>1999</v>
      </c>
      <c r="H369" s="112">
        <f t="shared" si="40"/>
        <v>0</v>
      </c>
      <c r="I369" s="112" t="str">
        <f t="shared" si="36"/>
        <v>00</v>
      </c>
      <c r="J369" s="19" t="str">
        <f t="shared" si="37"/>
        <v>1999/00</v>
      </c>
      <c r="K369" s="98">
        <f>'Guts (option 1)'!AB382</f>
        <v>44.530561850135008</v>
      </c>
      <c r="L369" s="98">
        <f>'Guts (option 2)'!AB382</f>
        <v>14.110748338690877</v>
      </c>
      <c r="M369" s="14"/>
    </row>
    <row r="370" spans="1:13" x14ac:dyDescent="0.25">
      <c r="A370" s="1">
        <f>'Guts (option 1)'!A383</f>
        <v>36950</v>
      </c>
      <c r="B370" s="20">
        <f>'Guts (option 1)'!G383</f>
        <v>1.3818877280944131</v>
      </c>
      <c r="C370" s="20">
        <f>'Guts (option 2)'!G383</f>
        <v>1.3374168660345593</v>
      </c>
      <c r="D370" s="20"/>
      <c r="F370" s="1">
        <f t="shared" si="39"/>
        <v>36950</v>
      </c>
      <c r="G370" s="6">
        <f t="shared" si="38"/>
        <v>2000</v>
      </c>
      <c r="H370" s="112">
        <f t="shared" si="40"/>
        <v>1</v>
      </c>
      <c r="I370" s="112" t="str">
        <f t="shared" si="36"/>
        <v>01</v>
      </c>
      <c r="J370" s="19" t="str">
        <f t="shared" si="37"/>
        <v>2000/01</v>
      </c>
      <c r="K370" s="98">
        <f>'Guts (option 1)'!AB383</f>
        <v>63.48516592761262</v>
      </c>
      <c r="L370" s="98">
        <f>'Guts (option 2)'!AB383</f>
        <v>20.480711500269027</v>
      </c>
      <c r="M370" s="14"/>
    </row>
    <row r="371" spans="1:13" x14ac:dyDescent="0.25">
      <c r="A371" s="1">
        <f>'Guts (option 1)'!A384</f>
        <v>37042</v>
      </c>
      <c r="B371" s="20">
        <f>'Guts (option 1)'!G384</f>
        <v>1.3818877280944131</v>
      </c>
      <c r="C371" s="20">
        <f>'Guts (option 2)'!G384</f>
        <v>1.3374168660345593</v>
      </c>
      <c r="D371" s="20"/>
      <c r="F371" s="1">
        <f t="shared" si="39"/>
        <v>37042</v>
      </c>
      <c r="G371" s="6">
        <f t="shared" si="38"/>
        <v>2000</v>
      </c>
      <c r="H371" s="112">
        <f t="shared" si="40"/>
        <v>1</v>
      </c>
      <c r="I371" s="112" t="str">
        <f t="shared" si="36"/>
        <v>01</v>
      </c>
      <c r="J371" s="19" t="str">
        <f t="shared" si="37"/>
        <v>2000/01</v>
      </c>
      <c r="K371" s="98">
        <f>'Guts (option 1)'!AB384</f>
        <v>63.48516592761262</v>
      </c>
      <c r="L371" s="98">
        <f>'Guts (option 2)'!AB384</f>
        <v>20.480711500269027</v>
      </c>
      <c r="M371" s="14"/>
    </row>
    <row r="372" spans="1:13" x14ac:dyDescent="0.25">
      <c r="A372" s="1">
        <f>'Guts (option 1)'!A385</f>
        <v>37134</v>
      </c>
      <c r="B372" s="20">
        <f>'Guts (option 1)'!G385</f>
        <v>0.6937833029208994</v>
      </c>
      <c r="C372" s="20">
        <f>'Guts (option 2)'!G385</f>
        <v>0.67145649522417661</v>
      </c>
      <c r="D372" s="20"/>
      <c r="F372" s="1">
        <f t="shared" si="39"/>
        <v>37134</v>
      </c>
      <c r="G372" s="6">
        <f t="shared" si="38"/>
        <v>2000</v>
      </c>
      <c r="H372" s="112">
        <f t="shared" si="40"/>
        <v>1</v>
      </c>
      <c r="I372" s="112" t="str">
        <f t="shared" si="36"/>
        <v>01</v>
      </c>
      <c r="J372" s="19" t="str">
        <f t="shared" si="37"/>
        <v>2000/01</v>
      </c>
      <c r="K372" s="98">
        <f>'Guts (option 1)'!AB385</f>
        <v>31.873029341158745</v>
      </c>
      <c r="L372" s="98">
        <f>'Guts (option 2)'!AB385</f>
        <v>10.282438567148125</v>
      </c>
      <c r="M372" s="14"/>
    </row>
    <row r="373" spans="1:13" x14ac:dyDescent="0.25">
      <c r="A373" s="1">
        <f>'Guts (option 1)'!A386</f>
        <v>37225</v>
      </c>
      <c r="B373" s="20">
        <f>'Guts (option 1)'!G386</f>
        <v>0.6937833029208994</v>
      </c>
      <c r="C373" s="20">
        <f>'Guts (option 2)'!G386</f>
        <v>0.67145649522417661</v>
      </c>
      <c r="D373" s="20"/>
      <c r="F373" s="1">
        <f t="shared" si="39"/>
        <v>37225</v>
      </c>
      <c r="G373" s="6">
        <f t="shared" si="38"/>
        <v>2000</v>
      </c>
      <c r="H373" s="112">
        <f t="shared" si="40"/>
        <v>1</v>
      </c>
      <c r="I373" s="112" t="str">
        <f t="shared" si="36"/>
        <v>01</v>
      </c>
      <c r="J373" s="19" t="str">
        <f t="shared" si="37"/>
        <v>2000/01</v>
      </c>
      <c r="K373" s="98">
        <f>'Guts (option 1)'!AB386</f>
        <v>31.873029341158745</v>
      </c>
      <c r="L373" s="98">
        <f>'Guts (option 2)'!AB386</f>
        <v>10.282438567148125</v>
      </c>
      <c r="M373" s="14"/>
    </row>
    <row r="374" spans="1:13" x14ac:dyDescent="0.25">
      <c r="A374" s="1">
        <f>'Guts (option 1)'!A387</f>
        <v>37315</v>
      </c>
      <c r="B374" s="20">
        <f>'Guts (option 1)'!G387</f>
        <v>0.6937833029208994</v>
      </c>
      <c r="C374" s="20">
        <f>'Guts (option 2)'!G387</f>
        <v>0.67145649522417661</v>
      </c>
      <c r="D374" s="20"/>
      <c r="F374" s="1">
        <f t="shared" si="39"/>
        <v>37315</v>
      </c>
      <c r="G374" s="6">
        <f t="shared" si="38"/>
        <v>2001</v>
      </c>
      <c r="H374" s="112">
        <f t="shared" si="40"/>
        <v>2</v>
      </c>
      <c r="I374" s="112" t="str">
        <f t="shared" si="36"/>
        <v>02</v>
      </c>
      <c r="J374" s="19" t="str">
        <f t="shared" si="37"/>
        <v>2001/02</v>
      </c>
      <c r="K374" s="98">
        <f>'Guts (option 1)'!AB387</f>
        <v>31.873029341158745</v>
      </c>
      <c r="L374" s="98">
        <f>'Guts (option 2)'!AB387</f>
        <v>10.282438567148125</v>
      </c>
      <c r="M374" s="14"/>
    </row>
    <row r="375" spans="1:13" x14ac:dyDescent="0.25">
      <c r="A375" s="1">
        <f>'Guts (option 1)'!A388</f>
        <v>37407</v>
      </c>
      <c r="B375" s="20">
        <f>'Guts (option 1)'!G388</f>
        <v>0.6937833029208994</v>
      </c>
      <c r="C375" s="20">
        <f>'Guts (option 2)'!G388</f>
        <v>0.67145649522417661</v>
      </c>
      <c r="D375" s="20"/>
      <c r="F375" s="1">
        <f t="shared" si="39"/>
        <v>37407</v>
      </c>
      <c r="G375" s="6">
        <f t="shared" si="38"/>
        <v>2001</v>
      </c>
      <c r="H375" s="112">
        <f t="shared" si="40"/>
        <v>2</v>
      </c>
      <c r="I375" s="112" t="str">
        <f t="shared" si="36"/>
        <v>02</v>
      </c>
      <c r="J375" s="19" t="str">
        <f t="shared" si="37"/>
        <v>2001/02</v>
      </c>
      <c r="K375" s="98">
        <f>'Guts (option 1)'!AB388</f>
        <v>31.873029341158745</v>
      </c>
      <c r="L375" s="98">
        <f>'Guts (option 2)'!AB388</f>
        <v>10.282438567148125</v>
      </c>
      <c r="M375" s="14"/>
    </row>
    <row r="376" spans="1:13" x14ac:dyDescent="0.25">
      <c r="A376" s="1">
        <f>'Guts (option 1)'!A389</f>
        <v>37499</v>
      </c>
      <c r="B376" s="20">
        <f>'Guts (option 1)'!G389</f>
        <v>0.34831720524472792</v>
      </c>
      <c r="C376" s="20">
        <f>'Guts (option 2)'!G389</f>
        <v>0.33710792530642769</v>
      </c>
      <c r="D376" s="20"/>
      <c r="F376" s="1">
        <f t="shared" si="39"/>
        <v>37499</v>
      </c>
      <c r="G376" s="6">
        <f t="shared" si="38"/>
        <v>2001</v>
      </c>
      <c r="H376" s="112">
        <f t="shared" si="40"/>
        <v>2</v>
      </c>
      <c r="I376" s="112" t="str">
        <f t="shared" si="36"/>
        <v>02</v>
      </c>
      <c r="J376" s="19" t="str">
        <f t="shared" si="37"/>
        <v>2001/02</v>
      </c>
      <c r="K376" s="98">
        <f>'Guts (option 1)'!AB389</f>
        <v>16.002005894427519</v>
      </c>
      <c r="L376" s="98">
        <f>'Guts (option 2)'!AB389</f>
        <v>5.1623471619033543</v>
      </c>
      <c r="M376" s="14"/>
    </row>
    <row r="377" spans="1:13" x14ac:dyDescent="0.25">
      <c r="A377" s="1">
        <f>'Guts (option 1)'!A390</f>
        <v>37590</v>
      </c>
      <c r="B377" s="20">
        <f>'Guts (option 1)'!G390</f>
        <v>0.16100000000000003</v>
      </c>
      <c r="C377" s="20">
        <f>'Guts (option 2)'!G390</f>
        <v>0.16100000000000003</v>
      </c>
      <c r="D377" s="20"/>
      <c r="F377" s="1">
        <f t="shared" si="39"/>
        <v>37590</v>
      </c>
      <c r="G377" s="6">
        <f t="shared" si="38"/>
        <v>2001</v>
      </c>
      <c r="H377" s="112">
        <f t="shared" si="40"/>
        <v>2</v>
      </c>
      <c r="I377" s="112" t="str">
        <f t="shared" si="36"/>
        <v>02</v>
      </c>
      <c r="J377" s="19" t="str">
        <f t="shared" si="37"/>
        <v>2001/02</v>
      </c>
      <c r="K377" s="98">
        <f>'Guts (option 1)'!AB390</f>
        <v>23.414650655590986</v>
      </c>
      <c r="L377" s="98">
        <f>'Guts (option 2)'!AB390</f>
        <v>6.2108302211011512</v>
      </c>
      <c r="M377" s="14"/>
    </row>
    <row r="378" spans="1:13" x14ac:dyDescent="0.25">
      <c r="A378" s="1">
        <f>'Guts (option 1)'!A391</f>
        <v>37680</v>
      </c>
      <c r="B378" s="20">
        <f>'Guts (option 1)'!G391</f>
        <v>0.161</v>
      </c>
      <c r="C378" s="20">
        <f>'Guts (option 2)'!G391</f>
        <v>0.161</v>
      </c>
      <c r="D378" s="20"/>
      <c r="F378" s="1">
        <f t="shared" si="39"/>
        <v>37680</v>
      </c>
      <c r="G378" s="6">
        <f t="shared" si="38"/>
        <v>2002</v>
      </c>
      <c r="H378" s="112">
        <f t="shared" si="40"/>
        <v>3</v>
      </c>
      <c r="I378" s="112" t="str">
        <f t="shared" si="36"/>
        <v>03</v>
      </c>
      <c r="J378" s="19" t="str">
        <f t="shared" si="37"/>
        <v>2002/03</v>
      </c>
      <c r="K378" s="98">
        <f>'Guts (option 1)'!AB391</f>
        <v>2.2383528722281381E-15</v>
      </c>
      <c r="L378" s="98">
        <f>'Guts (option 2)'!AB391</f>
        <v>-1.1269999999999996</v>
      </c>
      <c r="M378" s="14"/>
    </row>
    <row r="379" spans="1:13" x14ac:dyDescent="0.25">
      <c r="A379" s="1">
        <f>'Guts (option 1)'!A392</f>
        <v>37772</v>
      </c>
      <c r="B379" s="20">
        <f>'Guts (option 1)'!G392</f>
        <v>0.161</v>
      </c>
      <c r="C379" s="20">
        <f>'Guts (option 2)'!G392</f>
        <v>0.161</v>
      </c>
      <c r="D379" s="20"/>
      <c r="F379" s="1">
        <f t="shared" si="39"/>
        <v>37772</v>
      </c>
      <c r="G379" s="6">
        <f t="shared" si="38"/>
        <v>2002</v>
      </c>
      <c r="H379" s="112">
        <f t="shared" si="40"/>
        <v>3</v>
      </c>
      <c r="I379" s="112" t="str">
        <f t="shared" si="36"/>
        <v>03</v>
      </c>
      <c r="J379" s="19" t="str">
        <f t="shared" si="37"/>
        <v>2002/03</v>
      </c>
      <c r="K379" s="98">
        <f>'Guts (option 1)'!AB392</f>
        <v>0</v>
      </c>
      <c r="L379" s="98">
        <f>'Guts (option 2)'!AB392</f>
        <v>-1.1270000000000002</v>
      </c>
      <c r="M379" s="14"/>
    </row>
    <row r="380" spans="1:13" x14ac:dyDescent="0.25">
      <c r="A380" s="1">
        <f>'Guts (option 1)'!A393</f>
        <v>37864</v>
      </c>
      <c r="B380" s="20">
        <f>'Guts (option 1)'!G393</f>
        <v>0.161</v>
      </c>
      <c r="C380" s="20">
        <f>'Guts (option 2)'!G393</f>
        <v>0.161</v>
      </c>
      <c r="D380" s="20"/>
      <c r="F380" s="1">
        <f t="shared" si="39"/>
        <v>37864</v>
      </c>
      <c r="G380" s="6">
        <f t="shared" si="38"/>
        <v>2002</v>
      </c>
      <c r="H380" s="112">
        <f t="shared" si="40"/>
        <v>3</v>
      </c>
      <c r="I380" s="112" t="str">
        <f t="shared" si="36"/>
        <v>03</v>
      </c>
      <c r="J380" s="19" t="str">
        <f t="shared" si="37"/>
        <v>2002/03</v>
      </c>
      <c r="K380" s="98">
        <f>'Guts (option 1)'!AB393</f>
        <v>0</v>
      </c>
      <c r="L380" s="98">
        <f>'Guts (option 2)'!AB393</f>
        <v>-1.1270000000000002</v>
      </c>
      <c r="M380" s="14"/>
    </row>
    <row r="381" spans="1:13" x14ac:dyDescent="0.25">
      <c r="A381" s="1">
        <f>'Guts (option 1)'!A394</f>
        <v>37955</v>
      </c>
      <c r="B381" s="20">
        <f>'Guts (option 1)'!G394</f>
        <v>0.161</v>
      </c>
      <c r="C381" s="20">
        <f>'Guts (option 2)'!G394</f>
        <v>0.161</v>
      </c>
      <c r="D381" s="20"/>
      <c r="F381" s="1">
        <f t="shared" si="39"/>
        <v>37955</v>
      </c>
      <c r="G381" s="6">
        <f t="shared" si="38"/>
        <v>2002</v>
      </c>
      <c r="H381" s="112">
        <f t="shared" si="40"/>
        <v>3</v>
      </c>
      <c r="I381" s="112" t="str">
        <f t="shared" si="36"/>
        <v>03</v>
      </c>
      <c r="J381" s="19" t="str">
        <f t="shared" si="37"/>
        <v>2002/03</v>
      </c>
      <c r="K381" s="98">
        <f>'Guts (option 1)'!AB394</f>
        <v>0</v>
      </c>
      <c r="L381" s="98">
        <f>'Guts (option 2)'!AB394</f>
        <v>-1.1270000000000002</v>
      </c>
      <c r="M381" s="14"/>
    </row>
    <row r="382" spans="1:13" x14ac:dyDescent="0.25">
      <c r="A382" s="1">
        <f>'Guts (option 1)'!A395</f>
        <v>38045</v>
      </c>
      <c r="B382" s="20">
        <f>'Guts (option 1)'!G395</f>
        <v>0.34557703473211504</v>
      </c>
      <c r="C382" s="20">
        <f>'Guts (option 2)'!G395</f>
        <v>0.34740327537035137</v>
      </c>
      <c r="D382" s="20"/>
      <c r="F382" s="1">
        <f t="shared" si="39"/>
        <v>38045</v>
      </c>
      <c r="G382" s="6">
        <f t="shared" si="38"/>
        <v>2003</v>
      </c>
      <c r="H382" s="112">
        <f t="shared" si="40"/>
        <v>4</v>
      </c>
      <c r="I382" s="112" t="str">
        <f t="shared" si="36"/>
        <v>04</v>
      </c>
      <c r="J382" s="19" t="str">
        <f t="shared" si="37"/>
        <v>2003/04</v>
      </c>
      <c r="K382" s="98">
        <f>'Guts (option 1)'!AB395</f>
        <v>-43.898007957269996</v>
      </c>
      <c r="L382" s="98">
        <f>'Guts (option 2)'!AB395</f>
        <v>-14.780899184226849</v>
      </c>
      <c r="M382" s="14"/>
    </row>
    <row r="383" spans="1:13" x14ac:dyDescent="0.25">
      <c r="A383" s="1">
        <f>'Guts (option 1)'!A396</f>
        <v>38138</v>
      </c>
      <c r="B383" s="20">
        <f>'Guts (option 1)'!G396</f>
        <v>0.67902132276887717</v>
      </c>
      <c r="C383" s="20">
        <f>'Guts (option 2)'!G396</f>
        <v>0.74065325450947184</v>
      </c>
      <c r="D383" s="20"/>
      <c r="F383" s="1">
        <f t="shared" si="39"/>
        <v>38138</v>
      </c>
      <c r="G383" s="6">
        <f t="shared" si="38"/>
        <v>2003</v>
      </c>
      <c r="H383" s="112">
        <f t="shared" si="40"/>
        <v>4</v>
      </c>
      <c r="I383" s="112" t="str">
        <f t="shared" si="36"/>
        <v>04</v>
      </c>
      <c r="J383" s="19" t="str">
        <f t="shared" si="37"/>
        <v>2003/04</v>
      </c>
      <c r="K383" s="98">
        <f>'Guts (option 1)'!AB396</f>
        <v>31.194850687192705</v>
      </c>
      <c r="L383" s="98">
        <f>'Guts (option 2)'!AB396</f>
        <v>11.342092366698065</v>
      </c>
      <c r="M383" s="14"/>
    </row>
    <row r="384" spans="1:13" x14ac:dyDescent="0.25">
      <c r="A384" s="1">
        <f>'Guts (option 1)'!A397</f>
        <v>38230</v>
      </c>
      <c r="B384" s="20">
        <f>'Guts (option 1)'!G397</f>
        <v>0.34090588293589924</v>
      </c>
      <c r="C384" s="20">
        <f>'Guts (option 2)'!G397</f>
        <v>0.37184848724381148</v>
      </c>
      <c r="D384" s="20"/>
      <c r="F384" s="1">
        <f t="shared" si="39"/>
        <v>38230</v>
      </c>
      <c r="G384" s="6">
        <f t="shared" si="38"/>
        <v>2003</v>
      </c>
      <c r="H384" s="112">
        <f t="shared" si="40"/>
        <v>4</v>
      </c>
      <c r="I384" s="112" t="str">
        <f t="shared" si="36"/>
        <v>04</v>
      </c>
      <c r="J384" s="19" t="str">
        <f t="shared" si="37"/>
        <v>2003/04</v>
      </c>
      <c r="K384" s="98">
        <f>'Guts (option 1)'!AB397</f>
        <v>15.661523077369853</v>
      </c>
      <c r="L384" s="98">
        <f>'Guts (option 2)'!AB397</f>
        <v>5.694351389206405</v>
      </c>
      <c r="M384" s="14"/>
    </row>
    <row r="385" spans="1:13" x14ac:dyDescent="0.25">
      <c r="A385" s="1">
        <f>'Guts (option 1)'!A398</f>
        <v>38321</v>
      </c>
      <c r="B385" s="20">
        <f>'Guts (option 1)'!G398</f>
        <v>0.36458805767405711</v>
      </c>
      <c r="C385" s="20">
        <f>'Guts (option 2)'!G398</f>
        <v>0.37184848724381148</v>
      </c>
      <c r="D385" s="20"/>
      <c r="F385" s="1">
        <f t="shared" si="39"/>
        <v>38321</v>
      </c>
      <c r="G385" s="6">
        <f t="shared" si="38"/>
        <v>2003</v>
      </c>
      <c r="H385" s="112">
        <f t="shared" si="40"/>
        <v>4</v>
      </c>
      <c r="I385" s="112" t="str">
        <f t="shared" si="36"/>
        <v>04</v>
      </c>
      <c r="J385" s="19" t="str">
        <f t="shared" si="37"/>
        <v>2003/04</v>
      </c>
      <c r="K385" s="98">
        <f>'Guts (option 1)'!AB398</f>
        <v>16.749503498798088</v>
      </c>
      <c r="L385" s="98">
        <f>'Guts (option 2)'!AB398</f>
        <v>5.694351389206405</v>
      </c>
      <c r="M385" s="14"/>
    </row>
    <row r="386" spans="1:13" x14ac:dyDescent="0.25">
      <c r="A386" s="1">
        <f>'Guts (option 1)'!A399</f>
        <v>38411</v>
      </c>
      <c r="B386" s="20">
        <f>'Guts (option 1)'!G399</f>
        <v>0.36458805767405711</v>
      </c>
      <c r="C386" s="20">
        <f>'Guts (option 2)'!G399</f>
        <v>0.37184848724381148</v>
      </c>
      <c r="D386" s="20"/>
      <c r="F386" s="1">
        <f t="shared" si="39"/>
        <v>38411</v>
      </c>
      <c r="G386" s="6">
        <f t="shared" si="38"/>
        <v>2004</v>
      </c>
      <c r="H386" s="112">
        <f t="shared" si="40"/>
        <v>5</v>
      </c>
      <c r="I386" s="112" t="str">
        <f t="shared" si="36"/>
        <v>05</v>
      </c>
      <c r="J386" s="19" t="str">
        <f t="shared" si="37"/>
        <v>2004/05</v>
      </c>
      <c r="K386" s="98">
        <f>'Guts (option 1)'!AB399</f>
        <v>16.749503498798088</v>
      </c>
      <c r="L386" s="98">
        <f>'Guts (option 2)'!AB399</f>
        <v>5.694351389206405</v>
      </c>
      <c r="M386" s="14"/>
    </row>
    <row r="387" spans="1:13" x14ac:dyDescent="0.25">
      <c r="A387" s="1">
        <f>'Guts (option 1)'!A400</f>
        <v>38503</v>
      </c>
      <c r="B387" s="20">
        <f>'Guts (option 1)'!G400</f>
        <v>0.36458805767405711</v>
      </c>
      <c r="C387" s="20">
        <f>'Guts (option 2)'!G400</f>
        <v>0.37184848724381148</v>
      </c>
      <c r="D387" s="20"/>
      <c r="F387" s="1">
        <f t="shared" si="39"/>
        <v>38503</v>
      </c>
      <c r="G387" s="6">
        <f t="shared" si="38"/>
        <v>2004</v>
      </c>
      <c r="H387" s="112">
        <f t="shared" si="40"/>
        <v>5</v>
      </c>
      <c r="I387" s="112" t="str">
        <f t="shared" si="36"/>
        <v>05</v>
      </c>
      <c r="J387" s="19" t="str">
        <f t="shared" si="37"/>
        <v>2004/05</v>
      </c>
      <c r="K387" s="98">
        <f>'Guts (option 1)'!AB400</f>
        <v>16.749503498798088</v>
      </c>
      <c r="L387" s="98">
        <f>'Guts (option 2)'!AB400</f>
        <v>5.694351389206405</v>
      </c>
      <c r="M387" s="14"/>
    </row>
    <row r="388" spans="1:13" x14ac:dyDescent="0.25">
      <c r="A388" s="1">
        <f>'Guts (option 1)'!A401</f>
        <v>38595</v>
      </c>
      <c r="B388" s="20">
        <f>'Guts (option 1)'!G401</f>
        <v>0.16100000000000003</v>
      </c>
      <c r="C388" s="20">
        <f>'Guts (option 2)'!G401</f>
        <v>0.16100000000000003</v>
      </c>
      <c r="D388" s="20"/>
      <c r="F388" s="1">
        <f t="shared" si="39"/>
        <v>38595</v>
      </c>
      <c r="G388" s="6">
        <f t="shared" si="38"/>
        <v>2004</v>
      </c>
      <c r="H388" s="112">
        <f t="shared" si="40"/>
        <v>5</v>
      </c>
      <c r="I388" s="112" t="str">
        <f t="shared" ref="I388:I404" si="41">TEXT(H388,"#00")</f>
        <v>05</v>
      </c>
      <c r="J388" s="19" t="str">
        <f t="shared" ref="J388:J404" si="42">CONCATENATE(G388,"/",I388)</f>
        <v>2004/05</v>
      </c>
      <c r="K388" s="98">
        <f>'Guts (option 1)'!AB401</f>
        <v>25.448507209257134</v>
      </c>
      <c r="L388" s="98">
        <f>'Guts (option 2)'!AB401</f>
        <v>7.6583536351588091</v>
      </c>
      <c r="M388" s="14"/>
    </row>
    <row r="389" spans="1:13" x14ac:dyDescent="0.25">
      <c r="A389" s="1">
        <f>'Guts (option 1)'!A402</f>
        <v>38686</v>
      </c>
      <c r="B389" s="20">
        <f>'Guts (option 1)'!G402</f>
        <v>0.161</v>
      </c>
      <c r="C389" s="20">
        <f>'Guts (option 2)'!G402</f>
        <v>0.161</v>
      </c>
      <c r="D389" s="20"/>
      <c r="F389" s="1">
        <f t="shared" si="39"/>
        <v>38686</v>
      </c>
      <c r="G389" s="6">
        <f t="shared" si="38"/>
        <v>2004</v>
      </c>
      <c r="H389" s="112">
        <f t="shared" si="40"/>
        <v>5</v>
      </c>
      <c r="I389" s="112" t="str">
        <f t="shared" si="41"/>
        <v>05</v>
      </c>
      <c r="J389" s="19" t="str">
        <f t="shared" si="42"/>
        <v>2004/05</v>
      </c>
      <c r="K389" s="98">
        <f>'Guts (option 1)'!AB402</f>
        <v>0</v>
      </c>
      <c r="L389" s="98">
        <f>'Guts (option 2)'!AB402</f>
        <v>-1.1270000000000002</v>
      </c>
      <c r="M389" s="14"/>
    </row>
    <row r="390" spans="1:13" x14ac:dyDescent="0.25">
      <c r="A390" s="1">
        <f>'Guts (option 1)'!A403</f>
        <v>38776</v>
      </c>
      <c r="B390" s="20">
        <f>'Guts (option 1)'!G403</f>
        <v>0.161</v>
      </c>
      <c r="C390" s="20">
        <f>'Guts (option 2)'!G403</f>
        <v>0.161</v>
      </c>
      <c r="D390" s="20"/>
      <c r="F390" s="1">
        <f t="shared" si="39"/>
        <v>38776</v>
      </c>
      <c r="G390" s="6">
        <f t="shared" si="38"/>
        <v>2005</v>
      </c>
      <c r="H390" s="112">
        <f t="shared" si="40"/>
        <v>6</v>
      </c>
      <c r="I390" s="112" t="str">
        <f t="shared" si="41"/>
        <v>06</v>
      </c>
      <c r="J390" s="19" t="str">
        <f t="shared" si="42"/>
        <v>2005/06</v>
      </c>
      <c r="K390" s="98">
        <f>'Guts (option 1)'!AB403</f>
        <v>7.3964849000000008</v>
      </c>
      <c r="L390" s="98">
        <f>'Guts (option 2)'!AB403</f>
        <v>2.4654949666666663</v>
      </c>
      <c r="M390" s="14"/>
    </row>
    <row r="391" spans="1:13" x14ac:dyDescent="0.25">
      <c r="A391" s="1">
        <f>'Guts (option 1)'!A404</f>
        <v>38868</v>
      </c>
      <c r="B391" s="20">
        <f>'Guts (option 1)'!G404</f>
        <v>0.161</v>
      </c>
      <c r="C391" s="20">
        <f>'Guts (option 2)'!G404</f>
        <v>0.161</v>
      </c>
      <c r="D391" s="20"/>
      <c r="F391" s="1">
        <f t="shared" si="39"/>
        <v>38868</v>
      </c>
      <c r="G391" s="6">
        <f t="shared" si="38"/>
        <v>2005</v>
      </c>
      <c r="H391" s="112">
        <f t="shared" si="40"/>
        <v>6</v>
      </c>
      <c r="I391" s="112" t="str">
        <f t="shared" si="41"/>
        <v>06</v>
      </c>
      <c r="J391" s="19" t="str">
        <f t="shared" si="42"/>
        <v>2005/06</v>
      </c>
      <c r="K391" s="98">
        <f>'Guts (option 1)'!AB404</f>
        <v>7.3964849000000008</v>
      </c>
      <c r="L391" s="98">
        <f>'Guts (option 2)'!AB404</f>
        <v>2.4654949666666663</v>
      </c>
      <c r="M391" s="14"/>
    </row>
    <row r="392" spans="1:13" x14ac:dyDescent="0.25">
      <c r="A392" s="1">
        <f>'Guts (option 1)'!A405</f>
        <v>38960</v>
      </c>
      <c r="B392" s="20">
        <f>'Guts (option 1)'!G405</f>
        <v>0.161</v>
      </c>
      <c r="C392" s="20">
        <f>'Guts (option 2)'!G405</f>
        <v>0.161</v>
      </c>
      <c r="D392" s="20"/>
      <c r="F392" s="1">
        <f t="shared" si="39"/>
        <v>38960</v>
      </c>
      <c r="G392" s="6">
        <f t="shared" si="38"/>
        <v>2005</v>
      </c>
      <c r="H392" s="112">
        <f t="shared" si="40"/>
        <v>6</v>
      </c>
      <c r="I392" s="112" t="str">
        <f t="shared" si="41"/>
        <v>06</v>
      </c>
      <c r="J392" s="19" t="str">
        <f t="shared" si="42"/>
        <v>2005/06</v>
      </c>
      <c r="K392" s="98">
        <f>'Guts (option 1)'!AB405</f>
        <v>0</v>
      </c>
      <c r="L392" s="98">
        <f>'Guts (option 2)'!AB405</f>
        <v>-1.1270000000000002</v>
      </c>
      <c r="M392" s="14"/>
    </row>
    <row r="393" spans="1:13" x14ac:dyDescent="0.25">
      <c r="A393" s="1">
        <f>'Guts (option 1)'!A406</f>
        <v>39051</v>
      </c>
      <c r="B393" s="20">
        <f>'Guts (option 1)'!G406</f>
        <v>0.161</v>
      </c>
      <c r="C393" s="20">
        <f>'Guts (option 2)'!G406</f>
        <v>0.161</v>
      </c>
      <c r="D393" s="20"/>
      <c r="F393" s="1">
        <f t="shared" si="39"/>
        <v>39051</v>
      </c>
      <c r="G393" s="6">
        <f t="shared" si="38"/>
        <v>2005</v>
      </c>
      <c r="H393" s="112">
        <f t="shared" si="40"/>
        <v>6</v>
      </c>
      <c r="I393" s="112" t="str">
        <f t="shared" si="41"/>
        <v>06</v>
      </c>
      <c r="J393" s="19" t="str">
        <f t="shared" si="42"/>
        <v>2005/06</v>
      </c>
      <c r="K393" s="98">
        <f>'Guts (option 1)'!AB406</f>
        <v>0</v>
      </c>
      <c r="L393" s="98">
        <f>'Guts (option 2)'!AB406</f>
        <v>-1.1270000000000002</v>
      </c>
      <c r="M393" s="14"/>
    </row>
    <row r="394" spans="1:13" x14ac:dyDescent="0.25">
      <c r="A394" s="1">
        <f>'Guts (option 1)'!A407</f>
        <v>39141</v>
      </c>
      <c r="B394" s="20">
        <f>'Guts (option 1)'!G407</f>
        <v>0.161</v>
      </c>
      <c r="C394" s="20">
        <f>'Guts (option 2)'!G407</f>
        <v>0.161</v>
      </c>
      <c r="D394" s="20"/>
      <c r="F394" s="1">
        <f t="shared" si="39"/>
        <v>39141</v>
      </c>
      <c r="G394" s="6">
        <f t="shared" si="38"/>
        <v>2006</v>
      </c>
      <c r="H394" s="112">
        <f t="shared" si="40"/>
        <v>7</v>
      </c>
      <c r="I394" s="112" t="str">
        <f t="shared" si="41"/>
        <v>07</v>
      </c>
      <c r="J394" s="19" t="str">
        <f t="shared" si="42"/>
        <v>2006/07</v>
      </c>
      <c r="K394" s="98">
        <f>'Guts (option 1)'!AB407</f>
        <v>7.3964849000000008</v>
      </c>
      <c r="L394" s="98">
        <f>'Guts (option 2)'!AB407</f>
        <v>2.4654949666666663</v>
      </c>
      <c r="M394" s="14"/>
    </row>
    <row r="395" spans="1:13" x14ac:dyDescent="0.25">
      <c r="A395" s="1">
        <f>'Guts (option 1)'!A408</f>
        <v>39233</v>
      </c>
      <c r="B395" s="20">
        <f>'Guts (option 1)'!G408</f>
        <v>0.161</v>
      </c>
      <c r="C395" s="20">
        <f>'Guts (option 2)'!G408</f>
        <v>0.161</v>
      </c>
      <c r="D395" s="20"/>
      <c r="F395" s="1">
        <f t="shared" si="39"/>
        <v>39233</v>
      </c>
      <c r="G395" s="6">
        <f t="shared" si="38"/>
        <v>2006</v>
      </c>
      <c r="H395" s="112">
        <f t="shared" si="40"/>
        <v>7</v>
      </c>
      <c r="I395" s="112" t="str">
        <f t="shared" si="41"/>
        <v>07</v>
      </c>
      <c r="J395" s="19" t="str">
        <f t="shared" si="42"/>
        <v>2006/07</v>
      </c>
      <c r="K395" s="98">
        <f>'Guts (option 1)'!AB408</f>
        <v>7.3964849000000008</v>
      </c>
      <c r="L395" s="98">
        <f>'Guts (option 2)'!AB408</f>
        <v>2.4654949666666663</v>
      </c>
      <c r="M395" s="14"/>
    </row>
    <row r="396" spans="1:13" x14ac:dyDescent="0.25">
      <c r="A396" s="1">
        <f>'Guts (option 1)'!A409</f>
        <v>39325</v>
      </c>
      <c r="B396" s="20">
        <f>'Guts (option 1)'!G409</f>
        <v>0.161</v>
      </c>
      <c r="C396" s="20">
        <f>'Guts (option 2)'!G409</f>
        <v>0.161</v>
      </c>
      <c r="D396" s="20"/>
      <c r="F396" s="1">
        <f t="shared" si="39"/>
        <v>39325</v>
      </c>
      <c r="G396" s="6">
        <f t="shared" si="38"/>
        <v>2006</v>
      </c>
      <c r="H396" s="112">
        <f t="shared" si="40"/>
        <v>7</v>
      </c>
      <c r="I396" s="112" t="str">
        <f t="shared" si="41"/>
        <v>07</v>
      </c>
      <c r="J396" s="19" t="str">
        <f t="shared" si="42"/>
        <v>2006/07</v>
      </c>
      <c r="K396" s="98">
        <f>'Guts (option 1)'!AB409</f>
        <v>0</v>
      </c>
      <c r="L396" s="98">
        <f>'Guts (option 2)'!AB409</f>
        <v>-1.1270000000000002</v>
      </c>
      <c r="M396" s="14"/>
    </row>
    <row r="397" spans="1:13" x14ac:dyDescent="0.25">
      <c r="A397" s="1">
        <f>'Guts (option 1)'!A410</f>
        <v>39416</v>
      </c>
      <c r="B397" s="20">
        <f>'Guts (option 1)'!G410</f>
        <v>0.161</v>
      </c>
      <c r="C397" s="20">
        <f>'Guts (option 2)'!G410</f>
        <v>0.161</v>
      </c>
      <c r="D397" s="20"/>
      <c r="F397" s="1">
        <f t="shared" si="39"/>
        <v>39416</v>
      </c>
      <c r="G397" s="6">
        <f t="shared" si="38"/>
        <v>2006</v>
      </c>
      <c r="H397" s="112">
        <f t="shared" si="40"/>
        <v>7</v>
      </c>
      <c r="I397" s="112" t="str">
        <f t="shared" si="41"/>
        <v>07</v>
      </c>
      <c r="J397" s="19" t="str">
        <f t="shared" si="42"/>
        <v>2006/07</v>
      </c>
      <c r="K397" s="98">
        <f>'Guts (option 1)'!AB410</f>
        <v>0</v>
      </c>
      <c r="L397" s="98">
        <f>'Guts (option 2)'!AB410</f>
        <v>-1.1270000000000002</v>
      </c>
      <c r="M397" s="14"/>
    </row>
    <row r="398" spans="1:13" x14ac:dyDescent="0.25">
      <c r="A398" s="1">
        <f>'Guts (option 1)'!A411</f>
        <v>39506</v>
      </c>
      <c r="B398" s="20">
        <f>'Guts (option 1)'!G411</f>
        <v>0.75622652264730872</v>
      </c>
      <c r="C398" s="20">
        <f>'Guts (option 2)'!G411</f>
        <v>0.78626094396229351</v>
      </c>
      <c r="D398" s="20"/>
      <c r="F398" s="1">
        <f t="shared" si="39"/>
        <v>39506</v>
      </c>
      <c r="G398" s="6">
        <f t="shared" si="38"/>
        <v>2007</v>
      </c>
      <c r="H398" s="112">
        <f t="shared" si="40"/>
        <v>8</v>
      </c>
      <c r="I398" s="112" t="str">
        <f t="shared" si="41"/>
        <v>08</v>
      </c>
      <c r="J398" s="19" t="str">
        <f t="shared" si="42"/>
        <v>2007/08</v>
      </c>
      <c r="K398" s="98">
        <f>'Guts (option 1)'!AB411</f>
        <v>-143.89115826461966</v>
      </c>
      <c r="L398" s="98">
        <f>'Guts (option 2)'!AB411</f>
        <v>-50.401513284939483</v>
      </c>
      <c r="M398" s="14"/>
    </row>
    <row r="399" spans="1:13" x14ac:dyDescent="0.25">
      <c r="A399" s="1">
        <f>'Guts (option 1)'!A412</f>
        <v>39599</v>
      </c>
      <c r="B399" s="20">
        <f>'Guts (option 1)'!G412</f>
        <v>1.6357697507968756</v>
      </c>
      <c r="C399" s="20">
        <f>'Guts (option 2)'!G412</f>
        <v>1.7251125472615594</v>
      </c>
      <c r="D399" s="20"/>
      <c r="F399" s="1">
        <f t="shared" si="39"/>
        <v>39599</v>
      </c>
      <c r="G399" s="6">
        <f t="shared" si="38"/>
        <v>2007</v>
      </c>
      <c r="H399" s="112">
        <f t="shared" si="40"/>
        <v>8</v>
      </c>
      <c r="I399" s="112" t="str">
        <f t="shared" si="41"/>
        <v>08</v>
      </c>
      <c r="J399" s="19" t="str">
        <f t="shared" si="42"/>
        <v>2007/08</v>
      </c>
      <c r="K399" s="98">
        <f>'Guts (option 1)'!AB412</f>
        <v>75.148734544384169</v>
      </c>
      <c r="L399" s="98">
        <f>'Guts (option 2)'!AB412</f>
        <v>26.417741007496186</v>
      </c>
      <c r="M399" s="14"/>
    </row>
    <row r="400" spans="1:13" x14ac:dyDescent="0.25">
      <c r="A400" s="1">
        <f>'Guts (option 1)'!A413</f>
        <v>39691</v>
      </c>
      <c r="B400" s="20">
        <f>'Guts (option 1)'!G413</f>
        <v>0.82124597928871435</v>
      </c>
      <c r="C400" s="20">
        <f>'Guts (option 2)'!G413</f>
        <v>0.86610095495951867</v>
      </c>
      <c r="D400" s="20"/>
      <c r="F400" s="1">
        <f t="shared" si="39"/>
        <v>39691</v>
      </c>
      <c r="G400" s="6">
        <f t="shared" si="38"/>
        <v>2007</v>
      </c>
      <c r="H400" s="112">
        <f t="shared" si="40"/>
        <v>8</v>
      </c>
      <c r="I400" s="112" t="str">
        <f t="shared" si="41"/>
        <v>08</v>
      </c>
      <c r="J400" s="19" t="str">
        <f t="shared" si="42"/>
        <v>2007/08</v>
      </c>
      <c r="K400" s="98">
        <f>'Guts (option 1)'!AB413</f>
        <v>37.728779409904895</v>
      </c>
      <c r="L400" s="98">
        <f>'Guts (option 2)'!AB413</f>
        <v>13.263152453899917</v>
      </c>
      <c r="M400" s="14"/>
    </row>
    <row r="401" spans="1:13" x14ac:dyDescent="0.25">
      <c r="A401" s="1">
        <f>'Guts (option 1)'!A414</f>
        <v>39782</v>
      </c>
      <c r="B401" s="20">
        <f>'Guts (option 1)'!G414</f>
        <v>0.82124597928871435</v>
      </c>
      <c r="C401" s="20">
        <f>'Guts (option 2)'!G414</f>
        <v>0.86610095495951867</v>
      </c>
      <c r="D401" s="20"/>
      <c r="F401" s="1">
        <f t="shared" si="39"/>
        <v>39782</v>
      </c>
      <c r="G401" s="6">
        <f t="shared" si="38"/>
        <v>2007</v>
      </c>
      <c r="H401" s="112">
        <f t="shared" si="40"/>
        <v>8</v>
      </c>
      <c r="I401" s="112" t="str">
        <f t="shared" si="41"/>
        <v>08</v>
      </c>
      <c r="J401" s="19" t="str">
        <f t="shared" si="42"/>
        <v>2007/08</v>
      </c>
      <c r="K401" s="98">
        <f>'Guts (option 1)'!AB414</f>
        <v>37.728779409904895</v>
      </c>
      <c r="L401" s="98">
        <f>'Guts (option 2)'!AB414</f>
        <v>13.263152453899917</v>
      </c>
      <c r="M401" s="14"/>
    </row>
    <row r="402" spans="1:13" x14ac:dyDescent="0.25">
      <c r="A402" s="1">
        <f>'Guts (option 1)'!A415</f>
        <v>39872</v>
      </c>
      <c r="B402" s="20">
        <f>'Guts (option 1)'!G415</f>
        <v>1.2873731790064189</v>
      </c>
      <c r="C402" s="20">
        <f>'Guts (option 2)'!G415</f>
        <v>1.3427331962509403</v>
      </c>
      <c r="D402" s="20"/>
      <c r="F402" s="1">
        <f t="shared" si="39"/>
        <v>39872</v>
      </c>
      <c r="G402" s="6">
        <f t="shared" si="38"/>
        <v>2008</v>
      </c>
      <c r="H402" s="112">
        <f t="shared" si="40"/>
        <v>9</v>
      </c>
      <c r="I402" s="112" t="str">
        <f t="shared" si="41"/>
        <v>09</v>
      </c>
      <c r="J402" s="19" t="str">
        <f t="shared" si="42"/>
        <v>2008/09</v>
      </c>
      <c r="K402" s="98">
        <f>'Guts (option 1)'!AB415</f>
        <v>59.143082479415988</v>
      </c>
      <c r="L402" s="98">
        <f>'Guts (option 2)'!AB415</f>
        <v>20.562123831881607</v>
      </c>
      <c r="M402" s="14"/>
    </row>
    <row r="403" spans="1:13" x14ac:dyDescent="0.25">
      <c r="A403" s="1">
        <f>'Guts (option 1)'!A416</f>
        <v>39964</v>
      </c>
      <c r="B403" s="20">
        <f>'Guts (option 1)'!G416</f>
        <v>1.2873731790064189</v>
      </c>
      <c r="C403" s="20">
        <f>'Guts (option 2)'!G416</f>
        <v>1.3427331962509403</v>
      </c>
      <c r="D403" s="20"/>
      <c r="F403" s="1">
        <f t="shared" si="39"/>
        <v>39964</v>
      </c>
      <c r="G403" s="6">
        <f t="shared" si="38"/>
        <v>2008</v>
      </c>
      <c r="H403" s="112">
        <f t="shared" si="40"/>
        <v>9</v>
      </c>
      <c r="I403" s="112" t="str">
        <f t="shared" si="41"/>
        <v>09</v>
      </c>
      <c r="J403" s="19" t="str">
        <f t="shared" si="42"/>
        <v>2008/09</v>
      </c>
      <c r="K403" s="98">
        <f>'Guts (option 1)'!AB416</f>
        <v>59.143082479415988</v>
      </c>
      <c r="L403" s="98">
        <f>'Guts (option 2)'!AB416</f>
        <v>20.562123831881607</v>
      </c>
      <c r="M403" s="14"/>
    </row>
    <row r="404" spans="1:13" x14ac:dyDescent="0.25">
      <c r="A404" s="1">
        <f>'Guts (option 1)'!A417</f>
        <v>40056</v>
      </c>
      <c r="B404" s="20">
        <f>'Guts (option 1)'!G417</f>
        <v>0.64633182426078351</v>
      </c>
      <c r="C404" s="20">
        <f>'Guts (option 2)'!G417</f>
        <v>0.67412558408136269</v>
      </c>
      <c r="D404" s="20"/>
      <c r="F404" s="1">
        <f t="shared" si="39"/>
        <v>40056</v>
      </c>
      <c r="G404" s="6">
        <v>2009</v>
      </c>
      <c r="H404" s="112">
        <f t="shared" si="40"/>
        <v>10</v>
      </c>
      <c r="I404" s="112" t="str">
        <f t="shared" si="41"/>
        <v>10</v>
      </c>
      <c r="J404" s="19" t="str">
        <f t="shared" si="42"/>
        <v>2009/10</v>
      </c>
      <c r="K404" s="98">
        <f>'Guts (option 1)'!AB417</f>
        <v>29.693065705182228</v>
      </c>
      <c r="L404" s="98">
        <f>'Guts (option 2)'!AB417</f>
        <v>10.323312015241157</v>
      </c>
      <c r="M404" s="14"/>
    </row>
    <row r="405" spans="1:13" x14ac:dyDescent="0.25">
      <c r="A405" s="1"/>
      <c r="B405" s="20"/>
      <c r="C405" s="20"/>
      <c r="D405" s="20"/>
      <c r="F405" s="1"/>
      <c r="G405" s="6"/>
      <c r="H405" s="6"/>
      <c r="I405" s="6"/>
      <c r="K405" s="98"/>
      <c r="L405" s="98"/>
      <c r="M405" s="14"/>
    </row>
    <row r="406" spans="1:13" x14ac:dyDescent="0.25">
      <c r="A406" s="1"/>
      <c r="B406" s="20"/>
      <c r="C406" s="20"/>
      <c r="D406" s="20"/>
      <c r="F406" s="1"/>
      <c r="G406" s="6"/>
      <c r="H406" s="6"/>
      <c r="I406" s="6"/>
      <c r="K406" s="98"/>
      <c r="L406" s="98"/>
      <c r="M406" s="14"/>
    </row>
    <row r="407" spans="1:13" x14ac:dyDescent="0.25">
      <c r="A407" s="1"/>
      <c r="B407" s="20"/>
      <c r="C407" s="20"/>
      <c r="D407" s="20"/>
      <c r="F407" s="1"/>
      <c r="G407" s="6"/>
      <c r="H407" s="6"/>
      <c r="I407" s="6"/>
      <c r="K407" s="98"/>
      <c r="L407" s="98"/>
      <c r="M407" s="14"/>
    </row>
    <row r="408" spans="1:13" x14ac:dyDescent="0.25">
      <c r="A408" s="1"/>
      <c r="B408" s="20"/>
      <c r="C408" s="20"/>
      <c r="D408" s="20"/>
      <c r="F408" s="1"/>
      <c r="G408" s="6"/>
      <c r="H408" s="6"/>
      <c r="I408" s="6"/>
      <c r="K408" s="98"/>
      <c r="L408" s="98"/>
      <c r="M408" s="14"/>
    </row>
    <row r="409" spans="1:13" x14ac:dyDescent="0.25">
      <c r="A409" s="1"/>
      <c r="B409" s="20"/>
      <c r="C409" s="20"/>
      <c r="D409" s="20"/>
      <c r="F409" s="1"/>
      <c r="G409" s="6"/>
      <c r="H409" s="6"/>
      <c r="I409" s="6"/>
      <c r="K409" s="98"/>
      <c r="L409" s="98"/>
      <c r="M409" s="14"/>
    </row>
    <row r="410" spans="1:13" x14ac:dyDescent="0.25">
      <c r="A410" s="1"/>
      <c r="B410" s="20"/>
      <c r="C410" s="20"/>
      <c r="D410" s="20"/>
      <c r="F410" s="1"/>
      <c r="G410" s="6"/>
      <c r="H410" s="6"/>
      <c r="I410" s="6"/>
      <c r="K410" s="98"/>
      <c r="L410" s="98"/>
      <c r="M410" s="14"/>
    </row>
    <row r="411" spans="1:13" x14ac:dyDescent="0.25">
      <c r="A411" s="1"/>
      <c r="B411" s="20"/>
      <c r="C411" s="20"/>
      <c r="D411" s="20"/>
      <c r="F411" s="1"/>
      <c r="G411" s="6"/>
      <c r="H411" s="6"/>
      <c r="I411" s="6"/>
      <c r="K411" s="98"/>
      <c r="L411" s="98"/>
      <c r="M411" s="14"/>
    </row>
    <row r="412" spans="1:13" x14ac:dyDescent="0.25">
      <c r="A412" s="1"/>
      <c r="B412" s="20"/>
      <c r="C412" s="20"/>
      <c r="D412" s="20"/>
      <c r="F412" s="1"/>
      <c r="G412" s="6"/>
      <c r="H412" s="6"/>
      <c r="I412" s="6"/>
      <c r="K412" s="98"/>
      <c r="L412" s="98"/>
      <c r="M412" s="14"/>
    </row>
    <row r="413" spans="1:13" x14ac:dyDescent="0.25">
      <c r="A413" s="1"/>
      <c r="B413" s="20"/>
      <c r="C413" s="20"/>
      <c r="D413" s="20"/>
      <c r="F413" s="1"/>
      <c r="G413" s="6"/>
      <c r="H413" s="6"/>
      <c r="I413" s="6"/>
      <c r="K413" s="98"/>
      <c r="L413" s="98"/>
      <c r="M413" s="14"/>
    </row>
    <row r="414" spans="1:13" x14ac:dyDescent="0.25">
      <c r="A414" s="1"/>
      <c r="B414" s="20"/>
      <c r="C414" s="20"/>
      <c r="D414" s="20"/>
      <c r="F414" s="1"/>
      <c r="G414" s="6"/>
      <c r="H414" s="6"/>
      <c r="I414" s="6"/>
      <c r="K414" s="98"/>
      <c r="L414" s="98"/>
      <c r="M414" s="14"/>
    </row>
    <row r="415" spans="1:13" x14ac:dyDescent="0.25">
      <c r="A415" s="1"/>
      <c r="B415" s="20"/>
      <c r="C415" s="20"/>
      <c r="D415" s="20"/>
      <c r="F415" s="1"/>
      <c r="G415" s="6"/>
      <c r="H415" s="6"/>
      <c r="I415" s="6"/>
      <c r="K415" s="98"/>
      <c r="L415" s="98"/>
      <c r="M415" s="14"/>
    </row>
    <row r="416" spans="1:13" x14ac:dyDescent="0.25">
      <c r="A416" s="1"/>
      <c r="B416" s="20"/>
      <c r="C416" s="20"/>
      <c r="D416" s="20"/>
      <c r="F416" s="1"/>
      <c r="G416" s="6"/>
      <c r="H416" s="6"/>
      <c r="I416" s="6"/>
      <c r="K416" s="98"/>
      <c r="L416" s="98"/>
      <c r="M416" s="14"/>
    </row>
    <row r="417" spans="1:13" x14ac:dyDescent="0.25">
      <c r="A417" s="1"/>
      <c r="B417" s="20"/>
      <c r="C417" s="20"/>
      <c r="D417" s="20"/>
      <c r="F417" s="1"/>
      <c r="G417" s="6"/>
      <c r="H417" s="6"/>
      <c r="I417" s="6"/>
      <c r="K417" s="98"/>
      <c r="L417" s="98"/>
      <c r="M417" s="14"/>
    </row>
    <row r="418" spans="1:13" x14ac:dyDescent="0.25">
      <c r="A418" s="1"/>
      <c r="B418" s="20"/>
      <c r="C418" s="20"/>
      <c r="D418" s="20"/>
      <c r="F418" s="1"/>
      <c r="G418" s="6"/>
      <c r="H418" s="6"/>
      <c r="I418" s="6"/>
      <c r="K418" s="98"/>
      <c r="L418" s="98"/>
      <c r="M418" s="14"/>
    </row>
    <row r="419" spans="1:13" x14ac:dyDescent="0.25">
      <c r="A419" s="1"/>
      <c r="B419" s="20"/>
      <c r="C419" s="20"/>
      <c r="D419" s="20"/>
      <c r="F419" s="1"/>
      <c r="G419" s="6"/>
      <c r="H419" s="6"/>
      <c r="I419" s="6"/>
      <c r="K419" s="98"/>
      <c r="L419" s="98"/>
      <c r="M419" s="14"/>
    </row>
    <row r="420" spans="1:13" x14ac:dyDescent="0.25">
      <c r="A420" s="1"/>
      <c r="B420" s="20"/>
      <c r="C420" s="20"/>
      <c r="D420" s="20"/>
      <c r="F420" s="1"/>
      <c r="G420" s="6"/>
      <c r="H420" s="6"/>
      <c r="I420" s="6"/>
      <c r="K420" s="98"/>
      <c r="L420" s="98"/>
      <c r="M420" s="14"/>
    </row>
    <row r="421" spans="1:13" x14ac:dyDescent="0.25">
      <c r="A421" s="1"/>
      <c r="B421" s="20"/>
      <c r="C421" s="20"/>
      <c r="D421" s="20"/>
      <c r="F421" s="1"/>
      <c r="G421" s="6"/>
      <c r="H421" s="6"/>
      <c r="I421" s="6"/>
      <c r="K421" s="98"/>
      <c r="L421" s="98"/>
      <c r="M421" s="14"/>
    </row>
    <row r="422" spans="1:13" x14ac:dyDescent="0.25">
      <c r="A422" s="1"/>
      <c r="B422" s="20"/>
      <c r="C422" s="20"/>
      <c r="D422" s="20"/>
      <c r="F422" s="1"/>
      <c r="G422" s="6"/>
      <c r="H422" s="6"/>
      <c r="I422" s="6"/>
      <c r="K422" s="98"/>
      <c r="L422" s="98"/>
      <c r="M422" s="14"/>
    </row>
    <row r="423" spans="1:13" x14ac:dyDescent="0.25">
      <c r="A423" s="1"/>
      <c r="B423" s="20"/>
      <c r="C423" s="20"/>
      <c r="D423" s="20"/>
      <c r="F423" s="1"/>
      <c r="G423" s="6"/>
      <c r="H423" s="6"/>
      <c r="I423" s="6"/>
      <c r="K423" s="98"/>
      <c r="L423" s="98"/>
      <c r="M423" s="14"/>
    </row>
    <row r="424" spans="1:13" x14ac:dyDescent="0.25">
      <c r="A424" s="1"/>
      <c r="B424" s="20"/>
      <c r="C424" s="20"/>
      <c r="D424" s="20"/>
      <c r="F424" s="1"/>
      <c r="G424" s="6"/>
      <c r="H424" s="6"/>
      <c r="I424" s="6"/>
      <c r="K424" s="98"/>
      <c r="L424" s="98"/>
      <c r="M424" s="14"/>
    </row>
    <row r="425" spans="1:13" x14ac:dyDescent="0.25">
      <c r="A425" s="1"/>
      <c r="B425" s="20"/>
      <c r="C425" s="20"/>
      <c r="D425" s="20"/>
      <c r="F425" s="1"/>
      <c r="G425" s="6"/>
      <c r="H425" s="6"/>
      <c r="I425" s="6"/>
      <c r="K425" s="98"/>
      <c r="L425" s="98"/>
      <c r="M425" s="14"/>
    </row>
    <row r="426" spans="1:13" x14ac:dyDescent="0.25">
      <c r="A426" s="1"/>
      <c r="B426" s="20"/>
      <c r="C426" s="20"/>
      <c r="D426" s="20"/>
      <c r="F426" s="1"/>
      <c r="G426" s="6"/>
      <c r="H426" s="6"/>
      <c r="I426" s="6"/>
      <c r="K426" s="98"/>
      <c r="L426" s="98"/>
      <c r="M426" s="14"/>
    </row>
    <row r="427" spans="1:13" x14ac:dyDescent="0.25">
      <c r="A427" s="1"/>
      <c r="B427" s="20"/>
      <c r="C427" s="20"/>
      <c r="D427" s="20"/>
      <c r="F427" s="1"/>
      <c r="G427" s="6"/>
      <c r="H427" s="6"/>
      <c r="I427" s="6"/>
      <c r="K427" s="98"/>
      <c r="L427" s="98"/>
      <c r="M427" s="14"/>
    </row>
    <row r="428" spans="1:13" x14ac:dyDescent="0.25">
      <c r="A428" s="1"/>
      <c r="B428" s="20"/>
      <c r="C428" s="20"/>
      <c r="D428" s="20"/>
      <c r="F428" s="1"/>
      <c r="G428" s="6"/>
      <c r="H428" s="6"/>
      <c r="I428" s="6"/>
      <c r="K428" s="98"/>
      <c r="L428" s="98"/>
      <c r="M428" s="14"/>
    </row>
    <row r="429" spans="1:13" x14ac:dyDescent="0.25">
      <c r="A429" s="1"/>
      <c r="B429" s="20"/>
      <c r="C429" s="20"/>
      <c r="D429" s="20"/>
      <c r="F429" s="1"/>
      <c r="G429" s="6"/>
      <c r="H429" s="6"/>
      <c r="I429" s="6"/>
      <c r="K429" s="98"/>
      <c r="L429" s="98"/>
      <c r="M429" s="14"/>
    </row>
    <row r="430" spans="1:13" x14ac:dyDescent="0.25">
      <c r="A430" s="1"/>
      <c r="B430" s="20"/>
      <c r="C430" s="20"/>
      <c r="D430" s="20"/>
      <c r="F430" s="1"/>
      <c r="G430" s="6"/>
      <c r="H430" s="6"/>
      <c r="I430" s="6"/>
      <c r="K430" s="98"/>
      <c r="L430" s="98"/>
      <c r="M430" s="14"/>
    </row>
    <row r="431" spans="1:13" x14ac:dyDescent="0.25">
      <c r="A431" s="1"/>
      <c r="B431" s="20"/>
      <c r="C431" s="20"/>
      <c r="D431" s="20"/>
      <c r="F431" s="1"/>
      <c r="G431" s="6"/>
      <c r="H431" s="6"/>
      <c r="I431" s="6"/>
      <c r="K431" s="98"/>
      <c r="L431" s="98"/>
      <c r="M431" s="14"/>
    </row>
    <row r="432" spans="1:13" x14ac:dyDescent="0.25">
      <c r="A432" s="1"/>
      <c r="B432" s="20"/>
      <c r="C432" s="20"/>
      <c r="D432" s="20"/>
      <c r="F432" s="1"/>
      <c r="G432" s="6"/>
      <c r="H432" s="6"/>
      <c r="I432" s="6"/>
      <c r="K432" s="98"/>
      <c r="L432" s="98"/>
      <c r="M432" s="14"/>
    </row>
    <row r="433" spans="1:13" x14ac:dyDescent="0.25">
      <c r="A433" s="1"/>
      <c r="B433" s="20"/>
      <c r="C433" s="20"/>
      <c r="D433" s="20"/>
      <c r="F433" s="1"/>
      <c r="G433" s="6"/>
      <c r="H433" s="6"/>
      <c r="I433" s="6"/>
      <c r="K433" s="98"/>
      <c r="L433" s="98"/>
      <c r="M433" s="14"/>
    </row>
    <row r="434" spans="1:13" x14ac:dyDescent="0.25">
      <c r="A434" s="1"/>
      <c r="B434" s="20"/>
      <c r="C434" s="20"/>
      <c r="D434" s="20"/>
      <c r="F434" s="1"/>
      <c r="G434" s="6"/>
      <c r="H434" s="6"/>
      <c r="I434" s="6"/>
      <c r="K434" s="98"/>
      <c r="L434" s="98"/>
      <c r="M434" s="14"/>
    </row>
    <row r="435" spans="1:13" x14ac:dyDescent="0.25">
      <c r="A435" s="1"/>
      <c r="B435" s="20"/>
      <c r="C435" s="20"/>
      <c r="D435" s="20"/>
      <c r="F435" s="1"/>
      <c r="G435" s="6"/>
      <c r="H435" s="6"/>
      <c r="I435" s="6"/>
      <c r="K435" s="98"/>
      <c r="L435" s="98"/>
      <c r="M435" s="14"/>
    </row>
    <row r="436" spans="1:13" x14ac:dyDescent="0.25">
      <c r="A436" s="1"/>
      <c r="B436" s="20"/>
      <c r="C436" s="20"/>
      <c r="D436" s="20"/>
      <c r="F436" s="1"/>
      <c r="G436" s="6"/>
      <c r="H436" s="6"/>
      <c r="I436" s="6"/>
      <c r="K436" s="98"/>
      <c r="L436" s="98"/>
      <c r="M436" s="14"/>
    </row>
    <row r="437" spans="1:13" x14ac:dyDescent="0.25">
      <c r="A437" s="1"/>
      <c r="B437" s="20"/>
      <c r="C437" s="20"/>
      <c r="D437" s="20"/>
      <c r="F437" s="1"/>
      <c r="G437" s="6"/>
      <c r="H437" s="6"/>
      <c r="I437" s="6"/>
      <c r="K437" s="98"/>
      <c r="L437" s="98"/>
      <c r="M437" s="14"/>
    </row>
    <row r="438" spans="1:13" x14ac:dyDescent="0.25">
      <c r="A438" s="1"/>
      <c r="B438" s="20"/>
      <c r="C438" s="20"/>
      <c r="D438" s="20"/>
      <c r="F438" s="1"/>
      <c r="G438" s="6"/>
      <c r="H438" s="6"/>
      <c r="I438" s="6"/>
      <c r="K438" s="98"/>
      <c r="L438" s="98"/>
      <c r="M438" s="14"/>
    </row>
    <row r="439" spans="1:13" x14ac:dyDescent="0.25">
      <c r="A439" s="1"/>
      <c r="B439" s="20"/>
      <c r="C439" s="20"/>
      <c r="D439" s="20"/>
      <c r="F439" s="1"/>
      <c r="G439" s="6"/>
      <c r="H439" s="6"/>
      <c r="I439" s="6"/>
      <c r="K439" s="98"/>
      <c r="L439" s="98"/>
      <c r="M439" s="14"/>
    </row>
    <row r="440" spans="1:13" x14ac:dyDescent="0.25">
      <c r="A440" s="1"/>
      <c r="B440" s="20"/>
      <c r="C440" s="20"/>
      <c r="D440" s="20"/>
      <c r="F440" s="1"/>
      <c r="G440" s="6"/>
      <c r="H440" s="6"/>
      <c r="I440" s="6"/>
      <c r="K440" s="98"/>
      <c r="L440" s="98"/>
      <c r="M440" s="14"/>
    </row>
    <row r="441" spans="1:13" x14ac:dyDescent="0.25">
      <c r="A441" s="1"/>
      <c r="B441" s="20"/>
      <c r="C441" s="20"/>
      <c r="D441" s="20"/>
      <c r="F441" s="1"/>
      <c r="G441" s="6"/>
      <c r="H441" s="6"/>
      <c r="I441" s="6"/>
      <c r="K441" s="98"/>
      <c r="L441" s="98"/>
      <c r="M441" s="14"/>
    </row>
    <row r="442" spans="1:13" x14ac:dyDescent="0.25">
      <c r="A442" s="1"/>
      <c r="B442" s="20"/>
      <c r="C442" s="20"/>
      <c r="D442" s="20"/>
      <c r="F442" s="1"/>
      <c r="G442" s="6"/>
      <c r="H442" s="6"/>
      <c r="I442" s="6"/>
      <c r="K442" s="98"/>
      <c r="L442" s="98"/>
      <c r="M442" s="14"/>
    </row>
    <row r="443" spans="1:13" x14ac:dyDescent="0.25">
      <c r="A443" s="1"/>
      <c r="B443" s="20"/>
      <c r="C443" s="20"/>
      <c r="D443" s="20"/>
      <c r="F443" s="1"/>
      <c r="G443" s="6"/>
      <c r="H443" s="6"/>
      <c r="I443" s="6"/>
      <c r="K443" s="98"/>
      <c r="L443" s="98"/>
      <c r="M443" s="14"/>
    </row>
    <row r="444" spans="1:13" x14ac:dyDescent="0.25">
      <c r="A444" s="1"/>
      <c r="B444" s="20"/>
      <c r="C444" s="20"/>
      <c r="D444" s="20"/>
      <c r="F444" s="1"/>
      <c r="G444" s="6"/>
      <c r="H444" s="6"/>
      <c r="I444" s="6"/>
      <c r="K444" s="98"/>
      <c r="L444" s="98"/>
      <c r="M444" s="14"/>
    </row>
    <row r="445" spans="1:13" x14ac:dyDescent="0.25">
      <c r="A445" s="1"/>
      <c r="B445" s="20"/>
      <c r="C445" s="20"/>
      <c r="D445" s="20"/>
      <c r="F445" s="1"/>
      <c r="G445" s="6"/>
      <c r="H445" s="6"/>
      <c r="I445" s="6"/>
      <c r="K445" s="98"/>
      <c r="L445" s="98"/>
      <c r="M445" s="14"/>
    </row>
    <row r="446" spans="1:13" x14ac:dyDescent="0.25">
      <c r="A446" s="1"/>
      <c r="B446" s="20"/>
      <c r="C446" s="20"/>
      <c r="D446" s="20"/>
      <c r="F446" s="1"/>
      <c r="G446" s="6"/>
      <c r="H446" s="6"/>
      <c r="I446" s="6"/>
      <c r="K446" s="98"/>
      <c r="L446" s="98"/>
      <c r="M446" s="14"/>
    </row>
    <row r="447" spans="1:13" x14ac:dyDescent="0.25">
      <c r="A447" s="1"/>
      <c r="B447" s="20"/>
      <c r="C447" s="20"/>
      <c r="D447" s="20"/>
      <c r="F447" s="1"/>
      <c r="G447" s="6"/>
      <c r="H447" s="6"/>
      <c r="I447" s="6"/>
      <c r="K447" s="98"/>
      <c r="L447" s="98"/>
      <c r="M447" s="14"/>
    </row>
    <row r="448" spans="1:13" x14ac:dyDescent="0.25">
      <c r="A448" s="1"/>
      <c r="B448" s="20"/>
      <c r="C448" s="20"/>
      <c r="D448" s="20"/>
      <c r="F448" s="1"/>
      <c r="G448" s="6"/>
      <c r="H448" s="6"/>
      <c r="I448" s="6"/>
      <c r="K448" s="98"/>
      <c r="L448" s="98"/>
      <c r="M448" s="14"/>
    </row>
    <row r="449" spans="1:13" x14ac:dyDescent="0.25">
      <c r="A449" s="1"/>
      <c r="B449" s="20"/>
      <c r="C449" s="20"/>
      <c r="D449" s="20"/>
      <c r="F449" s="1"/>
      <c r="G449" s="6"/>
      <c r="H449" s="6"/>
      <c r="I449" s="6"/>
      <c r="K449" s="98"/>
      <c r="L449" s="98"/>
      <c r="M449" s="14"/>
    </row>
    <row r="450" spans="1:13" x14ac:dyDescent="0.25">
      <c r="A450" s="1"/>
      <c r="B450" s="20"/>
      <c r="C450" s="20"/>
      <c r="D450" s="20"/>
      <c r="F450" s="1"/>
      <c r="G450" s="6"/>
      <c r="H450" s="6"/>
      <c r="I450" s="6"/>
      <c r="K450" s="98"/>
      <c r="L450" s="98"/>
      <c r="M450" s="14"/>
    </row>
    <row r="451" spans="1:13" x14ac:dyDescent="0.25">
      <c r="A451" s="1"/>
      <c r="B451" s="20"/>
      <c r="C451" s="20"/>
      <c r="D451" s="20"/>
      <c r="F451" s="1"/>
      <c r="G451" s="6"/>
      <c r="H451" s="6"/>
      <c r="I451" s="6"/>
      <c r="K451" s="98"/>
      <c r="L451" s="98"/>
      <c r="M451" s="14"/>
    </row>
    <row r="452" spans="1:13" x14ac:dyDescent="0.25">
      <c r="A452" s="1"/>
      <c r="B452" s="20"/>
      <c r="C452" s="20"/>
      <c r="D452" s="20"/>
      <c r="F452" s="1"/>
      <c r="G452" s="6"/>
      <c r="H452" s="6"/>
      <c r="I452" s="6"/>
      <c r="K452" s="98"/>
      <c r="L452" s="98"/>
      <c r="M452" s="14"/>
    </row>
    <row r="453" spans="1:13" x14ac:dyDescent="0.25">
      <c r="A453" s="1"/>
      <c r="B453" s="20"/>
      <c r="C453" s="20"/>
      <c r="D453" s="20"/>
      <c r="F453" s="1"/>
      <c r="G453" s="6"/>
      <c r="H453" s="6"/>
      <c r="I453" s="6"/>
      <c r="K453" s="98"/>
      <c r="L453" s="98"/>
      <c r="M453" s="14"/>
    </row>
    <row r="454" spans="1:13" x14ac:dyDescent="0.25">
      <c r="A454" s="1"/>
      <c r="B454" s="20"/>
      <c r="C454" s="20"/>
      <c r="D454" s="20"/>
      <c r="F454" s="1"/>
      <c r="G454" s="6"/>
      <c r="H454" s="6"/>
      <c r="I454" s="6"/>
      <c r="K454" s="98"/>
      <c r="L454" s="98"/>
      <c r="M454" s="14"/>
    </row>
    <row r="455" spans="1:13" x14ac:dyDescent="0.25">
      <c r="A455" s="1"/>
      <c r="B455" s="20"/>
      <c r="C455" s="20"/>
      <c r="D455" s="20"/>
      <c r="F455" s="1"/>
      <c r="G455" s="6"/>
      <c r="H455" s="6"/>
      <c r="I455" s="6"/>
      <c r="K455" s="98"/>
      <c r="L455" s="98"/>
      <c r="M455" s="14"/>
    </row>
    <row r="456" spans="1:13" x14ac:dyDescent="0.25">
      <c r="A456" s="1"/>
      <c r="B456" s="20"/>
      <c r="C456" s="20"/>
      <c r="D456" s="20"/>
      <c r="F456" s="1"/>
      <c r="G456" s="6"/>
      <c r="H456" s="6"/>
      <c r="I456" s="6"/>
      <c r="K456" s="98"/>
      <c r="L456" s="98"/>
      <c r="M456" s="14"/>
    </row>
    <row r="457" spans="1:13" x14ac:dyDescent="0.25">
      <c r="A457" s="1"/>
      <c r="B457" s="20"/>
      <c r="C457" s="20"/>
      <c r="D457" s="20"/>
      <c r="F457" s="1"/>
      <c r="G457" s="6"/>
      <c r="H457" s="6"/>
      <c r="I457" s="6"/>
      <c r="K457" s="98"/>
      <c r="L457" s="98"/>
      <c r="M457" s="14"/>
    </row>
    <row r="458" spans="1:13" x14ac:dyDescent="0.25">
      <c r="A458" s="1"/>
      <c r="B458" s="20"/>
      <c r="C458" s="20"/>
      <c r="D458" s="20"/>
      <c r="F458" s="1"/>
      <c r="G458" s="6"/>
      <c r="H458" s="6"/>
      <c r="I458" s="6"/>
      <c r="K458" s="98"/>
      <c r="L458" s="98"/>
      <c r="M458" s="14"/>
    </row>
    <row r="459" spans="1:13" x14ac:dyDescent="0.25">
      <c r="A459" s="1"/>
      <c r="B459" s="20"/>
      <c r="C459" s="20"/>
      <c r="D459" s="20"/>
      <c r="F459" s="1"/>
      <c r="G459" s="6"/>
      <c r="H459" s="6"/>
      <c r="I459" s="6"/>
      <c r="K459" s="98"/>
      <c r="L459" s="98"/>
      <c r="M459" s="14"/>
    </row>
    <row r="460" spans="1:13" x14ac:dyDescent="0.25">
      <c r="A460" s="1"/>
      <c r="B460" s="20"/>
      <c r="C460" s="20"/>
      <c r="D460" s="20"/>
      <c r="F460" s="1"/>
      <c r="G460" s="6"/>
      <c r="H460" s="6"/>
      <c r="I460" s="6"/>
      <c r="K460" s="98"/>
      <c r="L460" s="98"/>
      <c r="M460" s="14"/>
    </row>
    <row r="461" spans="1:13" x14ac:dyDescent="0.25">
      <c r="A461" s="1"/>
      <c r="B461" s="20"/>
      <c r="C461" s="20"/>
      <c r="D461" s="20"/>
      <c r="F461" s="1"/>
      <c r="G461" s="6"/>
      <c r="H461" s="6"/>
      <c r="I461" s="6"/>
      <c r="K461" s="98"/>
      <c r="L461" s="98"/>
      <c r="M461" s="14"/>
    </row>
  </sheetData>
  <mergeCells count="3">
    <mergeCell ref="Q1:R1"/>
    <mergeCell ref="B1:C1"/>
    <mergeCell ref="K1:L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7"/>
  </sheetPr>
  <dimension ref="A1:J10"/>
  <sheetViews>
    <sheetView tabSelected="1" workbookViewId="0">
      <selection activeCell="E3" sqref="E3"/>
    </sheetView>
  </sheetViews>
  <sheetFormatPr defaultRowHeight="15" x14ac:dyDescent="0.25"/>
  <cols>
    <col min="1" max="1" width="20" style="32" bestFit="1" customWidth="1"/>
    <col min="2" max="2" width="26" style="32" bestFit="1" customWidth="1"/>
    <col min="3" max="3" width="3.7109375" style="32" customWidth="1"/>
    <col min="4" max="4" width="20" style="32" bestFit="1" customWidth="1"/>
    <col min="5" max="5" width="26" style="32" bestFit="1" customWidth="1"/>
    <col min="6" max="6" width="5.42578125" style="32" customWidth="1"/>
    <col min="7" max="7" width="33.140625" style="32" bestFit="1" customWidth="1"/>
    <col min="8" max="8" width="12.5703125" style="32" bestFit="1" customWidth="1"/>
    <col min="9" max="9" width="12.140625" style="32" customWidth="1"/>
    <col min="10" max="16384" width="9.140625" style="32"/>
  </cols>
  <sheetData>
    <row r="1" spans="1:10" x14ac:dyDescent="0.25">
      <c r="A1" s="186" t="s">
        <v>168</v>
      </c>
      <c r="B1" s="186"/>
      <c r="C1" s="186"/>
      <c r="D1" s="186"/>
      <c r="E1" s="186"/>
      <c r="G1" s="186" t="s">
        <v>113</v>
      </c>
      <c r="H1" s="186"/>
      <c r="I1" s="186"/>
      <c r="J1" s="186"/>
    </row>
    <row r="2" spans="1:10" x14ac:dyDescent="0.25">
      <c r="A2" s="32" t="s">
        <v>118</v>
      </c>
      <c r="D2" s="32" t="s">
        <v>111</v>
      </c>
      <c r="H2" s="32" t="s">
        <v>110</v>
      </c>
      <c r="I2" s="32" t="s">
        <v>111</v>
      </c>
      <c r="J2" s="32" t="s">
        <v>112</v>
      </c>
    </row>
    <row r="3" spans="1:10" x14ac:dyDescent="0.25">
      <c r="A3" s="32" t="s">
        <v>95</v>
      </c>
      <c r="B3" s="34" t="s">
        <v>307</v>
      </c>
      <c r="D3" s="32" t="s">
        <v>95</v>
      </c>
      <c r="E3" s="35" t="s">
        <v>40</v>
      </c>
      <c r="G3" s="32" t="s">
        <v>107</v>
      </c>
      <c r="H3" s="33">
        <f>AVERAGE('LR Comparison'!B3:B404)</f>
        <v>0.47067378741845661</v>
      </c>
      <c r="I3" s="33">
        <f>AVERAGE('LR Comparison'!C3:C404)</f>
        <v>0.52642954027638611</v>
      </c>
      <c r="J3" s="115">
        <f>ABS((H3-I3)/H3)</f>
        <v>0.1184594391026908</v>
      </c>
    </row>
    <row r="4" spans="1:10" x14ac:dyDescent="0.25">
      <c r="A4" s="32" t="s">
        <v>96</v>
      </c>
      <c r="B4" s="35" t="b">
        <v>1</v>
      </c>
      <c r="D4" s="32" t="s">
        <v>96</v>
      </c>
      <c r="E4" s="35" t="b">
        <v>1</v>
      </c>
      <c r="G4" s="32" t="s">
        <v>116</v>
      </c>
      <c r="H4" s="36">
        <f>AVERAGE('LR Comparison'!K3:K404)</f>
        <v>14.784646249846446</v>
      </c>
      <c r="I4" s="36">
        <f>AVERAGE('LR Comparison'!L3:L404)</f>
        <v>5.259071680678078</v>
      </c>
      <c r="J4" s="115">
        <f>ABS((H4-I4)/H4)</f>
        <v>0.64428829802182797</v>
      </c>
    </row>
    <row r="5" spans="1:10" x14ac:dyDescent="0.25">
      <c r="A5" s="32" t="s">
        <v>121</v>
      </c>
      <c r="B5" s="37">
        <v>0.7367784268635158</v>
      </c>
      <c r="D5" s="32" t="s">
        <v>121</v>
      </c>
      <c r="E5" s="37">
        <v>0.74</v>
      </c>
      <c r="G5" s="32" t="s">
        <v>117</v>
      </c>
      <c r="H5" s="36">
        <f>H4*4</f>
        <v>59.138584999385785</v>
      </c>
      <c r="I5" s="36">
        <f>I4*4</f>
        <v>21.036286722712312</v>
      </c>
      <c r="J5" s="115">
        <f>ABS((H5-I5)/H5)</f>
        <v>0.64428829802182797</v>
      </c>
    </row>
    <row r="6" spans="1:10" x14ac:dyDescent="0.25">
      <c r="A6" s="38" t="s">
        <v>97</v>
      </c>
      <c r="D6" s="38" t="s">
        <v>97</v>
      </c>
    </row>
    <row r="7" spans="1:10" x14ac:dyDescent="0.25">
      <c r="A7" s="32" t="s">
        <v>66</v>
      </c>
      <c r="B7" s="39">
        <v>1</v>
      </c>
      <c r="D7" s="32" t="s">
        <v>66</v>
      </c>
      <c r="E7" s="39">
        <v>0.33333333333333331</v>
      </c>
      <c r="G7" s="13"/>
      <c r="H7" s="13"/>
    </row>
    <row r="8" spans="1:10" x14ac:dyDescent="0.25">
      <c r="A8" s="32" t="s">
        <v>67</v>
      </c>
      <c r="B8" s="40">
        <v>1</v>
      </c>
      <c r="D8" s="32" t="s">
        <v>67</v>
      </c>
      <c r="E8" s="40">
        <v>0.33333333333333331</v>
      </c>
      <c r="G8" s="41"/>
    </row>
    <row r="9" spans="1:10" x14ac:dyDescent="0.25">
      <c r="A9" s="32" t="s">
        <v>63</v>
      </c>
      <c r="B9" s="42">
        <v>1</v>
      </c>
      <c r="D9" s="32" t="s">
        <v>63</v>
      </c>
      <c r="E9" s="42">
        <v>0.33333333333333331</v>
      </c>
    </row>
    <row r="10" spans="1:10" x14ac:dyDescent="0.25">
      <c r="A10" s="32" t="s">
        <v>98</v>
      </c>
      <c r="B10" s="43" t="b">
        <f>IF(SUM(B7:B9)=1,TRUE,FALSE)</f>
        <v>0</v>
      </c>
      <c r="D10" s="32" t="s">
        <v>98</v>
      </c>
      <c r="E10" s="32" t="b">
        <f>IF(SUM(E7:E9)=1,TRUE,FALSE)</f>
        <v>1</v>
      </c>
    </row>
  </sheetData>
  <sheetProtection algorithmName="SHA-512" hashValue="eNJp87+WjxlmbmQzmbtvfLm1q+UbiIcLGsKTJh/M5fzPtvPePy0YwRDLDyAwb1XNnyBc8+wb8plJb5YSML4wCw==" saltValue="ynSV4CY/sjGcUvrYUi26yg==" spinCount="100000" sheet="1" objects="1" scenarios="1" selectLockedCells="1"/>
  <mergeCells count="2">
    <mergeCell ref="A1:E1"/>
    <mergeCell ref="G1:J1"/>
  </mergeCells>
  <conditionalFormatting sqref="B10">
    <cfRule type="expression" dxfId="6" priority="3">
      <formula>$B$10=FALSE</formula>
    </cfRule>
    <cfRule type="expression" dxfId="5" priority="4">
      <formula>$B$10=TRUE</formula>
    </cfRule>
  </conditionalFormatting>
  <conditionalFormatting sqref="E10">
    <cfRule type="expression" dxfId="4" priority="1">
      <formula>$E$10=FALSE</formula>
    </cfRule>
    <cfRule type="expression" dxfId="3" priority="2">
      <formula>$E$10=TRUE</formula>
    </cfRule>
  </conditionalFormatting>
  <dataValidations count="2">
    <dataValidation type="decimal" allowBlank="1" showInputMessage="1" showErrorMessage="1" sqref="B7:B9 B5 E5" xr:uid="{00000000-0002-0000-0400-000000000000}">
      <formula1>0</formula1>
      <formula2>1</formula2>
    </dataValidation>
    <dataValidation type="list" allowBlank="1" showInputMessage="1" showErrorMessage="1" sqref="E3 B3" xr:uid="{00000000-0002-0000-0400-000001000000}">
      <formula1>Scenarios</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2000000}">
          <x14:formula1>
            <xm:f>'Option lists'!$D$2:$D$3</xm:f>
          </x14:formula1>
          <xm:sqref>B4 E4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F0"/>
  </sheetPr>
  <dimension ref="A1:S121"/>
  <sheetViews>
    <sheetView workbookViewId="0">
      <selection activeCell="G35" sqref="G35"/>
    </sheetView>
  </sheetViews>
  <sheetFormatPr defaultRowHeight="15" x14ac:dyDescent="0.25"/>
  <cols>
    <col min="1" max="1" width="21.7109375" style="13" bestFit="1" customWidth="1"/>
    <col min="2" max="2" width="12.7109375" style="13" bestFit="1" customWidth="1"/>
    <col min="3" max="3" width="2" style="13" customWidth="1"/>
    <col min="4" max="4" width="18.140625" style="13" bestFit="1" customWidth="1"/>
    <col min="5" max="5" width="12.7109375" style="13" bestFit="1" customWidth="1"/>
    <col min="6" max="6" width="1.7109375" style="13" customWidth="1"/>
    <col min="7" max="13" width="9.140625" style="13"/>
    <col min="14" max="14" width="1.7109375" style="13" customWidth="1"/>
    <col min="15" max="16" width="9.140625" style="13"/>
    <col min="17" max="17" width="1.7109375" style="13" customWidth="1"/>
    <col min="18" max="19" width="9.140625" style="13"/>
    <col min="20" max="20" width="1.7109375" style="13" customWidth="1"/>
    <col min="21" max="16384" width="9.140625" style="13"/>
  </cols>
  <sheetData>
    <row r="1" spans="1:19" x14ac:dyDescent="0.25">
      <c r="A1" s="75" t="s">
        <v>130</v>
      </c>
      <c r="B1" s="79"/>
      <c r="C1" s="85"/>
      <c r="D1" s="75"/>
      <c r="E1" s="76"/>
      <c r="O1" s="101" t="s">
        <v>107</v>
      </c>
      <c r="P1" s="101" t="s">
        <v>172</v>
      </c>
      <c r="R1" s="101" t="s">
        <v>70</v>
      </c>
      <c r="S1" s="101" t="s">
        <v>172</v>
      </c>
    </row>
    <row r="2" spans="1:19" x14ac:dyDescent="0.25">
      <c r="A2" s="13" t="s">
        <v>119</v>
      </c>
      <c r="B2" s="187" t="s">
        <v>40</v>
      </c>
      <c r="C2" s="188"/>
      <c r="D2" s="188"/>
      <c r="E2" s="189"/>
      <c r="G2" s="13">
        <v>1</v>
      </c>
      <c r="H2" s="13">
        <v>0.53597307840204222</v>
      </c>
      <c r="I2" s="13">
        <v>19.608000000000001</v>
      </c>
      <c r="J2" s="13">
        <v>1</v>
      </c>
      <c r="K2" s="13">
        <v>0.84791741193383618</v>
      </c>
      <c r="L2" s="13">
        <v>0.25166197904997739</v>
      </c>
      <c r="M2" s="13">
        <v>0.25884312899760148</v>
      </c>
      <c r="O2" s="102">
        <v>0.25</v>
      </c>
      <c r="P2" s="99">
        <v>0</v>
      </c>
      <c r="R2" s="103">
        <v>10</v>
      </c>
      <c r="S2" s="99">
        <v>0</v>
      </c>
    </row>
    <row r="3" spans="1:19" x14ac:dyDescent="0.25">
      <c r="A3" s="13" t="s">
        <v>135</v>
      </c>
      <c r="B3" s="190">
        <v>100</v>
      </c>
      <c r="C3" s="191"/>
      <c r="D3" s="191"/>
      <c r="E3" s="192"/>
      <c r="G3" s="13">
        <v>2</v>
      </c>
      <c r="H3" s="13">
        <v>0.52639313425065581</v>
      </c>
      <c r="I3" s="13">
        <v>20.808599999999998</v>
      </c>
      <c r="J3" s="13">
        <v>1</v>
      </c>
      <c r="K3" s="13">
        <v>0.73959966672149158</v>
      </c>
      <c r="L3" s="13">
        <v>9.7307160642979867E-2</v>
      </c>
      <c r="M3" s="13">
        <v>0.48009408484541521</v>
      </c>
      <c r="O3" s="102">
        <v>0.255</v>
      </c>
      <c r="P3" s="99">
        <v>0</v>
      </c>
      <c r="R3" s="103">
        <v>10.25</v>
      </c>
      <c r="S3" s="99">
        <v>0</v>
      </c>
    </row>
    <row r="4" spans="1:19" x14ac:dyDescent="0.25">
      <c r="A4" s="44" t="s">
        <v>96</v>
      </c>
      <c r="B4" s="80"/>
      <c r="C4" s="86"/>
      <c r="D4" s="77"/>
      <c r="E4" s="78">
        <f ca="1">IF(RAND()&gt;=0.5,1,0)</f>
        <v>1</v>
      </c>
      <c r="G4" s="13">
        <v>3</v>
      </c>
      <c r="H4" s="13">
        <v>0.51308335621476375</v>
      </c>
      <c r="I4" s="13">
        <v>20.7743</v>
      </c>
      <c r="J4" s="13">
        <v>1</v>
      </c>
      <c r="K4" s="13">
        <v>0.58301643893767485</v>
      </c>
      <c r="L4" s="13">
        <v>0.34200881117014054</v>
      </c>
      <c r="M4" s="13">
        <v>0.37052876519129513</v>
      </c>
      <c r="O4" s="102">
        <v>0.26</v>
      </c>
      <c r="P4" s="99">
        <v>0</v>
      </c>
      <c r="R4" s="103">
        <v>10.5</v>
      </c>
      <c r="S4" s="99">
        <v>0</v>
      </c>
    </row>
    <row r="5" spans="1:19" x14ac:dyDescent="0.25">
      <c r="A5" s="44" t="s">
        <v>131</v>
      </c>
      <c r="B5" s="81">
        <f>1262990/1714206</f>
        <v>0.7367784268635158</v>
      </c>
      <c r="C5" s="89">
        <v>0.15</v>
      </c>
      <c r="D5" s="55">
        <f ca="1">_xlfn.NORM.INV(RAND(),B5,C5)</f>
        <v>0.79515316233715327</v>
      </c>
      <c r="E5" s="53">
        <f ca="1">IF($D$5&gt;=1,1,$D$5)</f>
        <v>0.79515316233715327</v>
      </c>
      <c r="G5" s="13">
        <v>4</v>
      </c>
      <c r="H5" s="13">
        <v>0.45461078296067509</v>
      </c>
      <c r="I5" s="13">
        <v>20.462599999999998</v>
      </c>
      <c r="J5" s="13">
        <v>0</v>
      </c>
      <c r="K5" s="13">
        <v>0.82310873182936573</v>
      </c>
      <c r="L5" s="13">
        <v>0.78264630523542689</v>
      </c>
      <c r="M5" s="13">
        <v>2.9708961028976785E-2</v>
      </c>
      <c r="O5" s="102">
        <v>0.26500000000000001</v>
      </c>
      <c r="P5" s="99">
        <v>0</v>
      </c>
      <c r="R5" s="103">
        <v>10.75</v>
      </c>
      <c r="S5" s="99">
        <v>0</v>
      </c>
    </row>
    <row r="6" spans="1:19" x14ac:dyDescent="0.25">
      <c r="A6" s="45" t="s">
        <v>132</v>
      </c>
      <c r="B6" s="82">
        <f ca="1">RAND()</f>
        <v>0.9614938383967857</v>
      </c>
      <c r="C6" s="87"/>
      <c r="D6" s="50"/>
      <c r="E6" s="47">
        <f ca="1">B6/($B$6+$B$7+$B$8)</f>
        <v>0.63253154059698258</v>
      </c>
      <c r="G6" s="13">
        <v>5</v>
      </c>
      <c r="H6" s="13">
        <v>0.545933843902076</v>
      </c>
      <c r="I6" s="13">
        <v>23.404599999999999</v>
      </c>
      <c r="J6" s="13">
        <v>1</v>
      </c>
      <c r="K6" s="13">
        <v>1</v>
      </c>
      <c r="L6" s="13">
        <v>0.51541844267198722</v>
      </c>
      <c r="M6" s="13">
        <v>0.27718382634635214</v>
      </c>
      <c r="O6" s="102">
        <v>0.27</v>
      </c>
      <c r="P6" s="99">
        <v>0</v>
      </c>
      <c r="R6" s="103">
        <v>11</v>
      </c>
      <c r="S6" s="99">
        <v>0</v>
      </c>
    </row>
    <row r="7" spans="1:19" x14ac:dyDescent="0.25">
      <c r="A7" s="25" t="s">
        <v>133</v>
      </c>
      <c r="B7" s="83">
        <f ca="1">RAND()</f>
        <v>0.29542216143546507</v>
      </c>
      <c r="C7" s="88"/>
      <c r="D7" s="51"/>
      <c r="E7" s="48">
        <f ca="1">B7/($B$6+$B$7+$B$8)</f>
        <v>0.19434740758281482</v>
      </c>
      <c r="G7" s="13">
        <v>6</v>
      </c>
      <c r="H7" s="13">
        <v>0.44901382028985232</v>
      </c>
      <c r="I7" s="13">
        <v>19.382999999999999</v>
      </c>
      <c r="J7" s="13">
        <v>0</v>
      </c>
      <c r="K7" s="13">
        <v>0.72984517936028392</v>
      </c>
      <c r="L7" s="13">
        <v>0.20034942649791218</v>
      </c>
      <c r="M7" s="13">
        <v>0.39477261639803107</v>
      </c>
      <c r="O7" s="102">
        <v>0.27500000000000002</v>
      </c>
      <c r="P7" s="99">
        <v>0</v>
      </c>
      <c r="R7" s="103">
        <v>11.25</v>
      </c>
      <c r="S7" s="99">
        <v>0</v>
      </c>
    </row>
    <row r="8" spans="1:19" x14ac:dyDescent="0.25">
      <c r="A8" s="46" t="s">
        <v>134</v>
      </c>
      <c r="B8" s="84">
        <f ca="1">RAND()</f>
        <v>0.26315656048518254</v>
      </c>
      <c r="C8" s="86"/>
      <c r="D8" s="52"/>
      <c r="E8" s="49">
        <f ca="1">B8/($B$6+$B$7+$B$8)</f>
        <v>0.17312105182020271</v>
      </c>
      <c r="G8" s="13">
        <v>7</v>
      </c>
      <c r="H8" s="13">
        <v>0.51455905646577549</v>
      </c>
      <c r="I8" s="13">
        <v>19.5456</v>
      </c>
      <c r="J8" s="13">
        <v>1</v>
      </c>
      <c r="K8" s="13">
        <v>0.59924502567911098</v>
      </c>
      <c r="L8" s="13">
        <v>0.36232889127187973</v>
      </c>
      <c r="M8" s="13">
        <v>0.26318253124253349</v>
      </c>
      <c r="O8" s="102">
        <v>0.28000000000000003</v>
      </c>
      <c r="P8" s="99">
        <v>0</v>
      </c>
      <c r="R8" s="103">
        <v>11.5</v>
      </c>
      <c r="S8" s="99">
        <v>0</v>
      </c>
    </row>
    <row r="9" spans="1:19" x14ac:dyDescent="0.25">
      <c r="A9" s="143"/>
      <c r="B9" s="143"/>
      <c r="C9" s="143"/>
      <c r="D9" s="143"/>
      <c r="G9" s="13">
        <v>8</v>
      </c>
      <c r="H9" s="13">
        <v>0.45300189888504133</v>
      </c>
      <c r="I9" s="13">
        <v>23.567299999999999</v>
      </c>
      <c r="J9" s="13">
        <v>0</v>
      </c>
      <c r="K9" s="13">
        <v>0.77337353418847532</v>
      </c>
      <c r="L9" s="13">
        <v>0.43759929587731461</v>
      </c>
      <c r="M9" s="13">
        <v>0.50637230808836198</v>
      </c>
      <c r="O9" s="102">
        <v>0.28499999999999998</v>
      </c>
      <c r="P9" s="99">
        <v>0</v>
      </c>
      <c r="R9" s="103">
        <v>11.75</v>
      </c>
      <c r="S9" s="99">
        <v>0</v>
      </c>
    </row>
    <row r="10" spans="1:19" x14ac:dyDescent="0.25">
      <c r="A10" s="143"/>
      <c r="B10" s="143"/>
      <c r="C10" s="143"/>
      <c r="D10" s="143"/>
      <c r="G10" s="13">
        <v>9</v>
      </c>
      <c r="H10" s="13">
        <v>0.53369189260240224</v>
      </c>
      <c r="I10" s="13">
        <v>21.849499999999999</v>
      </c>
      <c r="J10" s="13">
        <v>1</v>
      </c>
      <c r="K10" s="13">
        <v>0.81918409051583385</v>
      </c>
      <c r="L10" s="13">
        <v>0.23214964435539759</v>
      </c>
      <c r="M10" s="13">
        <v>0.42843478719827038</v>
      </c>
      <c r="O10" s="102">
        <v>0.28999999999999998</v>
      </c>
      <c r="P10" s="99">
        <v>0</v>
      </c>
      <c r="R10" s="103">
        <v>12</v>
      </c>
      <c r="S10" s="99">
        <v>0</v>
      </c>
    </row>
    <row r="11" spans="1:19" x14ac:dyDescent="0.25">
      <c r="A11" s="143"/>
      <c r="B11" s="143"/>
      <c r="C11" s="143"/>
      <c r="D11" s="143"/>
      <c r="G11" s="13">
        <v>10</v>
      </c>
      <c r="H11" s="13">
        <v>0.49796805885224876</v>
      </c>
      <c r="I11" s="13">
        <v>19.928999999999998</v>
      </c>
      <c r="J11" s="13">
        <v>1</v>
      </c>
      <c r="K11" s="13">
        <v>0.42518730327914883</v>
      </c>
      <c r="L11" s="13">
        <v>0.64237600179593313</v>
      </c>
      <c r="M11" s="13">
        <v>0.15662987435232073</v>
      </c>
      <c r="O11" s="102">
        <v>0.29499999999999998</v>
      </c>
      <c r="P11" s="99">
        <v>0</v>
      </c>
      <c r="R11" s="103">
        <v>12.25</v>
      </c>
      <c r="S11" s="99">
        <v>0</v>
      </c>
    </row>
    <row r="12" spans="1:19" x14ac:dyDescent="0.25">
      <c r="A12" s="143"/>
      <c r="B12" s="143"/>
      <c r="C12" s="143"/>
      <c r="D12" s="143"/>
      <c r="G12" s="13">
        <v>11</v>
      </c>
      <c r="H12" s="13">
        <v>0.43611921520639857</v>
      </c>
      <c r="I12" s="13">
        <v>18.8779</v>
      </c>
      <c r="J12" s="13">
        <v>0</v>
      </c>
      <c r="K12" s="13">
        <v>0.53402596217916398</v>
      </c>
      <c r="L12" s="13">
        <v>0.30891653862436269</v>
      </c>
      <c r="M12" s="13">
        <v>0.36264284018528309</v>
      </c>
      <c r="O12" s="102">
        <v>0.3</v>
      </c>
      <c r="P12" s="99">
        <v>0</v>
      </c>
      <c r="R12" s="103">
        <v>12.5</v>
      </c>
      <c r="S12" s="99">
        <v>0</v>
      </c>
    </row>
    <row r="13" spans="1:19" ht="15.75" thickBot="1" x14ac:dyDescent="0.3">
      <c r="A13" s="143"/>
      <c r="B13" s="143"/>
      <c r="C13" s="143"/>
      <c r="D13" s="143"/>
      <c r="G13" s="13">
        <v>12</v>
      </c>
      <c r="H13" s="13">
        <v>0.52192741855521874</v>
      </c>
      <c r="I13" s="13">
        <v>20.563400000000001</v>
      </c>
      <c r="J13" s="13">
        <v>1</v>
      </c>
      <c r="K13" s="13">
        <v>0.69039332095580841</v>
      </c>
      <c r="L13" s="13">
        <v>0.36063418811247011</v>
      </c>
      <c r="M13" s="13">
        <v>0.30174755452985269</v>
      </c>
      <c r="O13" s="102">
        <v>0.30499999999999999</v>
      </c>
      <c r="P13" s="99">
        <v>0</v>
      </c>
      <c r="R13" s="103">
        <v>12.75</v>
      </c>
      <c r="S13" s="99">
        <v>0</v>
      </c>
    </row>
    <row r="14" spans="1:19" x14ac:dyDescent="0.25">
      <c r="A14" s="101"/>
      <c r="B14" s="101"/>
      <c r="D14" s="101"/>
      <c r="E14" s="101"/>
      <c r="G14" s="13">
        <v>13</v>
      </c>
      <c r="H14" s="13">
        <v>0.43459885291856609</v>
      </c>
      <c r="I14" s="13">
        <v>20.577200000000001</v>
      </c>
      <c r="J14" s="13">
        <v>0</v>
      </c>
      <c r="K14" s="13">
        <v>0.51771565794782837</v>
      </c>
      <c r="L14" s="13">
        <v>0.52933986762315244</v>
      </c>
      <c r="M14" s="13">
        <v>0.35674373559495065</v>
      </c>
      <c r="O14" s="102">
        <v>0.31</v>
      </c>
      <c r="P14" s="99">
        <v>0</v>
      </c>
      <c r="R14" s="103">
        <v>13</v>
      </c>
      <c r="S14" s="99">
        <v>0</v>
      </c>
    </row>
    <row r="15" spans="1:19" x14ac:dyDescent="0.25">
      <c r="A15" s="99"/>
      <c r="B15" s="99"/>
      <c r="D15" s="99"/>
      <c r="E15" s="99"/>
      <c r="G15" s="13">
        <v>14</v>
      </c>
      <c r="H15" s="13">
        <v>0.52785355270279988</v>
      </c>
      <c r="I15" s="13">
        <v>21.676300000000001</v>
      </c>
      <c r="J15" s="13">
        <v>1</v>
      </c>
      <c r="K15" s="13">
        <v>0.75565560590113801</v>
      </c>
      <c r="L15" s="13">
        <v>0.35518696869505145</v>
      </c>
      <c r="M15" s="13">
        <v>0.35473467653646834</v>
      </c>
      <c r="O15" s="102">
        <v>0.315</v>
      </c>
      <c r="P15" s="99">
        <v>0</v>
      </c>
      <c r="R15" s="103">
        <v>13.25</v>
      </c>
      <c r="S15" s="99">
        <v>0</v>
      </c>
    </row>
    <row r="16" spans="1:19" x14ac:dyDescent="0.25">
      <c r="A16" s="99" t="s">
        <v>136</v>
      </c>
      <c r="B16" s="99">
        <v>0.48892680504075176</v>
      </c>
      <c r="D16" s="99" t="s">
        <v>136</v>
      </c>
      <c r="E16" s="99">
        <v>20.539193999999998</v>
      </c>
      <c r="G16" s="13">
        <v>15</v>
      </c>
      <c r="H16" s="13">
        <v>0.45487290851522511</v>
      </c>
      <c r="I16" s="13">
        <v>23.468499999999999</v>
      </c>
      <c r="J16" s="13">
        <v>0</v>
      </c>
      <c r="K16" s="13">
        <v>0.80557286484622004</v>
      </c>
      <c r="L16" s="13">
        <v>0.49260216777982174</v>
      </c>
      <c r="M16" s="13">
        <v>0.43398891594416761</v>
      </c>
      <c r="O16" s="102">
        <v>0.32</v>
      </c>
      <c r="P16" s="99">
        <v>0</v>
      </c>
      <c r="R16" s="103">
        <v>13.5</v>
      </c>
      <c r="S16" s="99">
        <v>0</v>
      </c>
    </row>
    <row r="17" spans="1:19" x14ac:dyDescent="0.25">
      <c r="A17" s="99" t="s">
        <v>137</v>
      </c>
      <c r="B17" s="99">
        <v>3.966888189901911E-3</v>
      </c>
      <c r="D17" s="99" t="s">
        <v>137</v>
      </c>
      <c r="E17" s="99">
        <v>0.23954401861913438</v>
      </c>
      <c r="G17" s="13">
        <v>16</v>
      </c>
      <c r="H17" s="13">
        <v>0.4419889113068266</v>
      </c>
      <c r="I17" s="13">
        <v>20.654599999999999</v>
      </c>
      <c r="J17" s="13">
        <v>0</v>
      </c>
      <c r="K17" s="13">
        <v>0.63181261441776848</v>
      </c>
      <c r="L17" s="13">
        <v>0.57314243230978212</v>
      </c>
      <c r="M17" s="13">
        <v>0.28249643977300948</v>
      </c>
      <c r="O17" s="102">
        <v>0.32500000000000001</v>
      </c>
      <c r="P17" s="99">
        <v>0</v>
      </c>
      <c r="R17" s="103">
        <v>13.75</v>
      </c>
      <c r="S17" s="99">
        <v>0</v>
      </c>
    </row>
    <row r="18" spans="1:19" x14ac:dyDescent="0.25">
      <c r="A18" s="99" t="s">
        <v>138</v>
      </c>
      <c r="B18" s="99">
        <v>0.48370234271135781</v>
      </c>
      <c r="D18" s="99" t="s">
        <v>138</v>
      </c>
      <c r="E18" s="99">
        <v>20.4284</v>
      </c>
      <c r="G18" s="13">
        <v>17</v>
      </c>
      <c r="H18" s="13">
        <v>0.46943662657046686</v>
      </c>
      <c r="I18" s="13">
        <v>17.706199999999999</v>
      </c>
      <c r="J18" s="13">
        <v>0</v>
      </c>
      <c r="K18" s="13">
        <v>1</v>
      </c>
      <c r="L18" s="13">
        <v>1.7559570818667429E-2</v>
      </c>
      <c r="M18" s="13">
        <v>0.34047377287474412</v>
      </c>
      <c r="O18" s="102">
        <v>0.33</v>
      </c>
      <c r="P18" s="99">
        <v>0</v>
      </c>
      <c r="R18" s="103">
        <v>14</v>
      </c>
      <c r="S18" s="99">
        <v>0</v>
      </c>
    </row>
    <row r="19" spans="1:19" x14ac:dyDescent="0.25">
      <c r="A19" s="99" t="s">
        <v>139</v>
      </c>
      <c r="B19" s="99">
        <v>0.46943662657046686</v>
      </c>
      <c r="D19" s="99" t="s">
        <v>139</v>
      </c>
      <c r="E19" s="99" t="e">
        <v>#N/A</v>
      </c>
      <c r="G19" s="13">
        <v>18</v>
      </c>
      <c r="H19" s="13">
        <v>0.51515801123694038</v>
      </c>
      <c r="I19" s="13">
        <v>19.687999999999999</v>
      </c>
      <c r="J19" s="13">
        <v>1</v>
      </c>
      <c r="K19" s="13">
        <v>0.62215807047563254</v>
      </c>
      <c r="L19" s="13">
        <v>0.42709872487513489</v>
      </c>
      <c r="M19" s="13">
        <v>0.21234546327779341</v>
      </c>
      <c r="O19" s="102">
        <v>0.33500000000000002</v>
      </c>
      <c r="P19" s="99">
        <v>0</v>
      </c>
      <c r="R19" s="103">
        <v>14.25</v>
      </c>
      <c r="S19" s="99">
        <v>0</v>
      </c>
    </row>
    <row r="20" spans="1:19" x14ac:dyDescent="0.25">
      <c r="A20" s="99" t="s">
        <v>140</v>
      </c>
      <c r="B20" s="99">
        <v>3.9668881899019112E-2</v>
      </c>
      <c r="D20" s="99" t="s">
        <v>140</v>
      </c>
      <c r="E20" s="99">
        <v>2.3954401861913439</v>
      </c>
      <c r="G20" s="13">
        <v>19</v>
      </c>
      <c r="H20" s="13">
        <v>0.53275311269976655</v>
      </c>
      <c r="I20" s="13">
        <v>21.754300000000001</v>
      </c>
      <c r="J20" s="13">
        <v>1</v>
      </c>
      <c r="K20" s="13">
        <v>0.80918531175021902</v>
      </c>
      <c r="L20" s="13">
        <v>0.3943620782723033</v>
      </c>
      <c r="M20" s="13">
        <v>0.31559258663578099</v>
      </c>
      <c r="O20" s="102">
        <v>0.34</v>
      </c>
      <c r="P20" s="99">
        <v>0</v>
      </c>
      <c r="R20" s="103">
        <v>14.5</v>
      </c>
      <c r="S20" s="99">
        <v>1</v>
      </c>
    </row>
    <row r="21" spans="1:19" x14ac:dyDescent="0.25">
      <c r="A21" s="99" t="s">
        <v>141</v>
      </c>
      <c r="B21" s="99">
        <v>1.573620191118326E-3</v>
      </c>
      <c r="D21" s="99" t="s">
        <v>141</v>
      </c>
      <c r="E21" s="99">
        <v>5.7381336856204213</v>
      </c>
      <c r="G21" s="13">
        <v>20</v>
      </c>
      <c r="H21" s="13">
        <v>0.52876972695961577</v>
      </c>
      <c r="I21" s="13">
        <v>19.880299999999998</v>
      </c>
      <c r="J21" s="13">
        <v>1</v>
      </c>
      <c r="K21" s="13">
        <v>0.76572702983045393</v>
      </c>
      <c r="L21" s="13">
        <v>0.17102674272299243</v>
      </c>
      <c r="M21" s="13">
        <v>0.35656313665919076</v>
      </c>
      <c r="O21" s="102">
        <v>0.34499999999999997</v>
      </c>
      <c r="P21" s="99">
        <v>0</v>
      </c>
      <c r="R21" s="103">
        <v>14.75</v>
      </c>
      <c r="S21" s="99">
        <v>1</v>
      </c>
    </row>
    <row r="22" spans="1:19" x14ac:dyDescent="0.25">
      <c r="A22" s="99" t="s">
        <v>142</v>
      </c>
      <c r="B22" s="99">
        <v>-1.7772486689995362</v>
      </c>
      <c r="D22" s="99" t="s">
        <v>142</v>
      </c>
      <c r="E22" s="99">
        <v>0.30438377633294289</v>
      </c>
      <c r="G22" s="13">
        <v>21</v>
      </c>
      <c r="H22" s="13">
        <v>0.53163636612918219</v>
      </c>
      <c r="I22" s="13">
        <v>20.117799999999999</v>
      </c>
      <c r="J22" s="13">
        <v>1</v>
      </c>
      <c r="K22" s="13">
        <v>0.79704052591928476</v>
      </c>
      <c r="L22" s="13">
        <v>0.33455005841236529</v>
      </c>
      <c r="M22" s="13">
        <v>0.25029148632721848</v>
      </c>
      <c r="O22" s="102">
        <v>0.35</v>
      </c>
      <c r="P22" s="99">
        <v>0</v>
      </c>
      <c r="R22" s="103">
        <v>15</v>
      </c>
      <c r="S22" s="99">
        <v>0</v>
      </c>
    </row>
    <row r="23" spans="1:19" x14ac:dyDescent="0.25">
      <c r="A23" s="99" t="s">
        <v>143</v>
      </c>
      <c r="B23" s="99">
        <v>3.7120059207617261E-2</v>
      </c>
      <c r="D23" s="99" t="s">
        <v>143</v>
      </c>
      <c r="E23" s="99">
        <v>0.10618455589606078</v>
      </c>
      <c r="G23" s="13">
        <v>22</v>
      </c>
      <c r="H23" s="13">
        <v>0.45491574177290506</v>
      </c>
      <c r="I23" s="13">
        <v>21.747699999999998</v>
      </c>
      <c r="J23" s="13">
        <v>0</v>
      </c>
      <c r="K23" s="13">
        <v>0.79379269365141836</v>
      </c>
      <c r="L23" s="13">
        <v>0.42158426117684772</v>
      </c>
      <c r="M23" s="13">
        <v>0.36746879381118397</v>
      </c>
      <c r="O23" s="102">
        <v>0.35499999999999998</v>
      </c>
      <c r="P23" s="99">
        <v>0</v>
      </c>
      <c r="R23" s="103">
        <v>15.25</v>
      </c>
      <c r="S23" s="99">
        <v>0</v>
      </c>
    </row>
    <row r="24" spans="1:19" x14ac:dyDescent="0.25">
      <c r="A24" s="99" t="s">
        <v>144</v>
      </c>
      <c r="B24" s="99">
        <v>0.11275887204584217</v>
      </c>
      <c r="D24" s="99" t="s">
        <v>144</v>
      </c>
      <c r="E24" s="99">
        <v>12.407500000000001</v>
      </c>
      <c r="G24" s="13">
        <v>23</v>
      </c>
      <c r="H24" s="13">
        <v>0.44037230016275603</v>
      </c>
      <c r="I24" s="13">
        <v>19.001300000000001</v>
      </c>
      <c r="J24" s="13">
        <v>0</v>
      </c>
      <c r="K24" s="13">
        <v>0.61417001826890127</v>
      </c>
      <c r="L24" s="13">
        <v>0.4885559359839306</v>
      </c>
      <c r="M24" s="13">
        <v>0.22566101777403227</v>
      </c>
      <c r="O24" s="102">
        <v>0.36</v>
      </c>
      <c r="P24" s="99">
        <v>0</v>
      </c>
      <c r="R24" s="103">
        <v>15.5</v>
      </c>
      <c r="S24" s="99">
        <v>0</v>
      </c>
    </row>
    <row r="25" spans="1:19" x14ac:dyDescent="0.25">
      <c r="A25" s="99" t="s">
        <v>145</v>
      </c>
      <c r="B25" s="99">
        <v>0.43317497185623383</v>
      </c>
      <c r="D25" s="99" t="s">
        <v>145</v>
      </c>
      <c r="E25" s="99">
        <v>14.4977</v>
      </c>
      <c r="G25" s="13">
        <v>24</v>
      </c>
      <c r="H25" s="13">
        <v>0.52837676912797626</v>
      </c>
      <c r="I25" s="13">
        <v>23.243600000000001</v>
      </c>
      <c r="J25" s="13">
        <v>1</v>
      </c>
      <c r="K25" s="13">
        <v>0.76140727856114632</v>
      </c>
      <c r="L25" s="13">
        <v>0.30823401193047995</v>
      </c>
      <c r="M25" s="13">
        <v>0.49180255570357284</v>
      </c>
      <c r="O25" s="102">
        <v>0.36499999999999999</v>
      </c>
      <c r="P25" s="99">
        <v>0</v>
      </c>
      <c r="R25" s="103">
        <v>15.75</v>
      </c>
      <c r="S25" s="99">
        <v>1</v>
      </c>
    </row>
    <row r="26" spans="1:19" x14ac:dyDescent="0.25">
      <c r="A26" s="99" t="s">
        <v>146</v>
      </c>
      <c r="B26" s="99">
        <v>0.545933843902076</v>
      </c>
      <c r="D26" s="99" t="s">
        <v>146</v>
      </c>
      <c r="E26" s="99">
        <v>26.905200000000001</v>
      </c>
      <c r="G26" s="13">
        <v>25</v>
      </c>
      <c r="H26" s="13">
        <v>0.5240657479619788</v>
      </c>
      <c r="I26" s="13">
        <v>19.2834</v>
      </c>
      <c r="J26" s="13">
        <v>1</v>
      </c>
      <c r="K26" s="13">
        <v>0.71398278359875722</v>
      </c>
      <c r="L26" s="13">
        <v>0.46671734800135328</v>
      </c>
      <c r="M26" s="13">
        <v>0.13109353501794493</v>
      </c>
      <c r="O26" s="102">
        <v>0.37</v>
      </c>
      <c r="P26" s="99">
        <v>0</v>
      </c>
      <c r="R26" s="103">
        <v>16</v>
      </c>
      <c r="S26" s="99">
        <v>0</v>
      </c>
    </row>
    <row r="27" spans="1:19" x14ac:dyDescent="0.25">
      <c r="A27" s="99" t="s">
        <v>147</v>
      </c>
      <c r="B27" s="99">
        <v>48.892680504075173</v>
      </c>
      <c r="D27" s="99" t="s">
        <v>147</v>
      </c>
      <c r="E27" s="99">
        <v>2053.9193999999998</v>
      </c>
      <c r="G27" s="13">
        <v>26</v>
      </c>
      <c r="H27" s="13">
        <v>0.52108093473279249</v>
      </c>
      <c r="I27" s="13">
        <v>14.5063</v>
      </c>
      <c r="J27" s="13">
        <v>1</v>
      </c>
      <c r="K27" s="13">
        <v>0.68104605801292806</v>
      </c>
      <c r="L27" s="13">
        <v>0.12474586804601259</v>
      </c>
      <c r="M27" s="13">
        <v>4.334132063245915E-2</v>
      </c>
      <c r="O27" s="102">
        <v>0.375</v>
      </c>
      <c r="P27" s="99">
        <v>0</v>
      </c>
      <c r="R27" s="103">
        <v>16.25</v>
      </c>
      <c r="S27" s="99">
        <v>1</v>
      </c>
    </row>
    <row r="28" spans="1:19" ht="15.75" thickBot="1" x14ac:dyDescent="0.3">
      <c r="A28" s="100" t="s">
        <v>148</v>
      </c>
      <c r="B28" s="100">
        <v>100</v>
      </c>
      <c r="D28" s="100" t="s">
        <v>148</v>
      </c>
      <c r="E28" s="100">
        <v>100</v>
      </c>
      <c r="G28" s="13">
        <v>27</v>
      </c>
      <c r="H28" s="13">
        <v>0.43667421181574873</v>
      </c>
      <c r="I28" s="13">
        <v>17.9956</v>
      </c>
      <c r="J28" s="13">
        <v>0</v>
      </c>
      <c r="K28" s="13">
        <v>0.53997991382497101</v>
      </c>
      <c r="L28" s="13">
        <v>0.6380202890345219</v>
      </c>
      <c r="M28" s="13">
        <v>8.8726232259529081E-2</v>
      </c>
      <c r="O28" s="102">
        <v>0.38</v>
      </c>
      <c r="P28" s="99">
        <v>0</v>
      </c>
      <c r="R28" s="103">
        <v>16.5</v>
      </c>
      <c r="S28" s="99">
        <v>0</v>
      </c>
    </row>
    <row r="29" spans="1:19" x14ac:dyDescent="0.25">
      <c r="G29" s="13">
        <v>28</v>
      </c>
      <c r="H29" s="13">
        <v>0.44950980441151178</v>
      </c>
      <c r="I29" s="13">
        <v>21.4297</v>
      </c>
      <c r="J29" s="13">
        <v>0</v>
      </c>
      <c r="K29" s="13">
        <v>0.73525865663297119</v>
      </c>
      <c r="L29" s="13">
        <v>0.78037872640487893</v>
      </c>
      <c r="M29" s="13">
        <v>0.14923858268031795</v>
      </c>
      <c r="O29" s="102">
        <v>0.38500000000000001</v>
      </c>
      <c r="P29" s="99">
        <v>0</v>
      </c>
      <c r="R29" s="103">
        <v>16.75</v>
      </c>
      <c r="S29" s="99">
        <v>1</v>
      </c>
    </row>
    <row r="30" spans="1:19" x14ac:dyDescent="0.25">
      <c r="A30" s="13" t="s">
        <v>107</v>
      </c>
      <c r="B30" s="13" t="s">
        <v>70</v>
      </c>
      <c r="G30" s="13">
        <v>29</v>
      </c>
      <c r="H30" s="13">
        <v>0.45450039451191571</v>
      </c>
      <c r="I30" s="13">
        <v>19.119399999999999</v>
      </c>
      <c r="J30" s="13">
        <v>0</v>
      </c>
      <c r="K30" s="13">
        <v>0.78926242062203844</v>
      </c>
      <c r="L30" s="13">
        <v>5.5030681687347718E-2</v>
      </c>
      <c r="M30" s="13">
        <v>0.44447607392443428</v>
      </c>
      <c r="O30" s="102">
        <v>0.39</v>
      </c>
      <c r="P30" s="99">
        <v>0</v>
      </c>
      <c r="R30" s="103">
        <v>17</v>
      </c>
      <c r="S30" s="99">
        <v>2</v>
      </c>
    </row>
    <row r="31" spans="1:19" x14ac:dyDescent="0.25">
      <c r="A31" s="13">
        <v>0.25</v>
      </c>
      <c r="B31" s="13">
        <v>10</v>
      </c>
      <c r="G31" s="13">
        <v>30</v>
      </c>
      <c r="H31" s="13">
        <v>0.44932705987648136</v>
      </c>
      <c r="I31" s="13">
        <v>17.224499999999999</v>
      </c>
      <c r="J31" s="13">
        <v>0</v>
      </c>
      <c r="K31" s="13">
        <v>0.73326406982284775</v>
      </c>
      <c r="L31" s="13">
        <v>0.41729741939403298</v>
      </c>
      <c r="M31" s="13">
        <v>0.10275188928951468</v>
      </c>
      <c r="O31" s="102">
        <v>0.39500000000000002</v>
      </c>
      <c r="P31" s="99">
        <v>0</v>
      </c>
      <c r="R31" s="103">
        <v>17.25</v>
      </c>
      <c r="S31" s="99">
        <v>2</v>
      </c>
    </row>
    <row r="32" spans="1:19" x14ac:dyDescent="0.25">
      <c r="A32" s="13">
        <v>0.255</v>
      </c>
      <c r="B32" s="13">
        <v>10.25</v>
      </c>
      <c r="G32" s="13">
        <v>31</v>
      </c>
      <c r="H32" s="13">
        <v>0.46762673389075327</v>
      </c>
      <c r="I32" s="13">
        <v>20.128799999999998</v>
      </c>
      <c r="J32" s="13">
        <v>0</v>
      </c>
      <c r="K32" s="13">
        <v>0.98024307004719846</v>
      </c>
      <c r="L32" s="13">
        <v>0.37923701597272658</v>
      </c>
      <c r="M32" s="13">
        <v>0.25756257881241895</v>
      </c>
      <c r="O32" s="102">
        <v>0.4</v>
      </c>
      <c r="P32" s="99">
        <v>0</v>
      </c>
      <c r="R32" s="103">
        <v>17.5</v>
      </c>
      <c r="S32" s="99">
        <v>0</v>
      </c>
    </row>
    <row r="33" spans="1:19" x14ac:dyDescent="0.25">
      <c r="A33" s="13">
        <v>0.26</v>
      </c>
      <c r="B33" s="13">
        <v>10.5</v>
      </c>
      <c r="G33" s="13">
        <v>32</v>
      </c>
      <c r="H33" s="13">
        <v>0.45101371993148864</v>
      </c>
      <c r="I33" s="13">
        <v>23.2407</v>
      </c>
      <c r="J33" s="13">
        <v>0</v>
      </c>
      <c r="K33" s="13">
        <v>0.75167332019154354</v>
      </c>
      <c r="L33" s="13">
        <v>0.42292847076256901</v>
      </c>
      <c r="M33" s="13">
        <v>0.50268080732173559</v>
      </c>
      <c r="O33" s="102">
        <v>0.40500000000000003</v>
      </c>
      <c r="P33" s="99">
        <v>0</v>
      </c>
      <c r="R33" s="103">
        <v>17.75</v>
      </c>
      <c r="S33" s="99">
        <v>2</v>
      </c>
    </row>
    <row r="34" spans="1:19" x14ac:dyDescent="0.25">
      <c r="A34" s="13">
        <v>0.26500000000000001</v>
      </c>
      <c r="B34" s="13">
        <v>10.75</v>
      </c>
      <c r="G34" s="13">
        <v>33</v>
      </c>
      <c r="H34" s="13">
        <v>0.51538636023821349</v>
      </c>
      <c r="I34" s="13">
        <v>19.0977</v>
      </c>
      <c r="J34" s="13">
        <v>1</v>
      </c>
      <c r="K34" s="13">
        <v>0.61028662584019555</v>
      </c>
      <c r="L34" s="13">
        <v>0.17065293663634415</v>
      </c>
      <c r="M34" s="13">
        <v>0.35788320678742142</v>
      </c>
      <c r="O34" s="102">
        <v>0.41</v>
      </c>
      <c r="P34" s="99">
        <v>0</v>
      </c>
      <c r="R34" s="103">
        <v>18</v>
      </c>
      <c r="S34" s="99">
        <v>3</v>
      </c>
    </row>
    <row r="35" spans="1:19" x14ac:dyDescent="0.25">
      <c r="A35" s="13">
        <v>0.27</v>
      </c>
      <c r="B35" s="13">
        <v>11</v>
      </c>
      <c r="G35" s="13">
        <v>34</v>
      </c>
      <c r="H35" s="13">
        <v>0.45504364592315943</v>
      </c>
      <c r="I35" s="13">
        <v>20.4678</v>
      </c>
      <c r="J35" s="13">
        <v>0</v>
      </c>
      <c r="K35" s="13">
        <v>0.8278321581718</v>
      </c>
      <c r="L35" s="13">
        <v>0.30230392828813196</v>
      </c>
      <c r="M35" s="13">
        <v>0.35722093859876847</v>
      </c>
      <c r="O35" s="102">
        <v>0.41499999999999998</v>
      </c>
      <c r="P35" s="99">
        <v>0</v>
      </c>
      <c r="R35" s="103">
        <v>18.25</v>
      </c>
      <c r="S35" s="99">
        <v>0</v>
      </c>
    </row>
    <row r="36" spans="1:19" x14ac:dyDescent="0.25">
      <c r="A36" s="13">
        <v>0.27500000000000002</v>
      </c>
      <c r="B36" s="13">
        <v>11.25</v>
      </c>
      <c r="G36" s="13">
        <v>35</v>
      </c>
      <c r="H36" s="13">
        <v>0.44634172816820072</v>
      </c>
      <c r="I36" s="13">
        <v>19.284600000000001</v>
      </c>
      <c r="J36" s="13">
        <v>0</v>
      </c>
      <c r="K36" s="13">
        <v>0.6968567254851209</v>
      </c>
      <c r="L36" s="13">
        <v>7.70260006151538E-2</v>
      </c>
      <c r="M36" s="13">
        <v>0.48102750965598817</v>
      </c>
      <c r="O36" s="102">
        <v>0.42</v>
      </c>
      <c r="P36" s="99">
        <v>0</v>
      </c>
      <c r="R36" s="103">
        <v>18.5</v>
      </c>
      <c r="S36" s="99">
        <v>3</v>
      </c>
    </row>
    <row r="37" spans="1:19" x14ac:dyDescent="0.25">
      <c r="A37" s="13">
        <v>0.28000000000000003</v>
      </c>
      <c r="B37" s="13">
        <v>11.5</v>
      </c>
      <c r="G37" s="13">
        <v>36</v>
      </c>
      <c r="H37" s="13">
        <v>0.44596012081523628</v>
      </c>
      <c r="I37" s="13">
        <v>20.822299999999998</v>
      </c>
      <c r="J37" s="13">
        <v>0</v>
      </c>
      <c r="K37" s="13">
        <v>0.69269184032041387</v>
      </c>
      <c r="L37" s="13">
        <v>0.33376350469557642</v>
      </c>
      <c r="M37" s="13">
        <v>0.42034421208723344</v>
      </c>
      <c r="O37" s="102">
        <v>0.42499999999999999</v>
      </c>
      <c r="P37" s="99">
        <v>0</v>
      </c>
      <c r="R37" s="103">
        <v>18.75</v>
      </c>
      <c r="S37" s="99">
        <v>1</v>
      </c>
    </row>
    <row r="38" spans="1:19" x14ac:dyDescent="0.25">
      <c r="A38" s="13">
        <v>0.28499999999999998</v>
      </c>
      <c r="B38" s="13">
        <v>11.75</v>
      </c>
      <c r="G38" s="13">
        <v>37</v>
      </c>
      <c r="H38" s="13">
        <v>0.44454393888066374</v>
      </c>
      <c r="I38" s="13">
        <v>17.956099999999999</v>
      </c>
      <c r="J38" s="13">
        <v>0</v>
      </c>
      <c r="K38" s="13">
        <v>0.65969645018108425</v>
      </c>
      <c r="L38" s="13">
        <v>0.49427605699060534</v>
      </c>
      <c r="M38" s="13">
        <v>0.13214213306176495</v>
      </c>
      <c r="O38" s="102">
        <v>0.43</v>
      </c>
      <c r="P38" s="99">
        <v>0</v>
      </c>
      <c r="R38" s="103">
        <v>19</v>
      </c>
      <c r="S38" s="99">
        <v>4</v>
      </c>
    </row>
    <row r="39" spans="1:19" x14ac:dyDescent="0.25">
      <c r="A39" s="13">
        <v>0.28999999999999998</v>
      </c>
      <c r="B39" s="13">
        <v>12</v>
      </c>
      <c r="G39" s="13">
        <v>38</v>
      </c>
      <c r="H39" s="13">
        <v>0.45662329671327101</v>
      </c>
      <c r="I39" s="13">
        <v>20.649100000000001</v>
      </c>
      <c r="J39" s="13">
        <v>0</v>
      </c>
      <c r="K39" s="13">
        <v>0.84506940136543607</v>
      </c>
      <c r="L39" s="13">
        <v>0.51350421586539052</v>
      </c>
      <c r="M39" s="13">
        <v>0.21878828624165578</v>
      </c>
      <c r="O39" s="102">
        <v>0.435</v>
      </c>
      <c r="P39" s="99">
        <v>2</v>
      </c>
      <c r="R39" s="103">
        <v>19.25</v>
      </c>
      <c r="S39" s="99">
        <v>4</v>
      </c>
    </row>
    <row r="40" spans="1:19" x14ac:dyDescent="0.25">
      <c r="A40" s="13">
        <v>0.29499999999999998</v>
      </c>
      <c r="B40" s="13">
        <v>12.25</v>
      </c>
      <c r="G40" s="13">
        <v>39</v>
      </c>
      <c r="H40" s="13">
        <v>0.4408607323013693</v>
      </c>
      <c r="I40" s="13">
        <v>22.379200000000001</v>
      </c>
      <c r="J40" s="13">
        <v>0</v>
      </c>
      <c r="K40" s="13">
        <v>0.61950043492430906</v>
      </c>
      <c r="L40" s="13">
        <v>0.27161008342346116</v>
      </c>
      <c r="M40" s="13">
        <v>0.60457901956980531</v>
      </c>
      <c r="O40" s="102">
        <v>0.44</v>
      </c>
      <c r="P40" s="99">
        <v>4</v>
      </c>
      <c r="R40" s="103">
        <v>19.5</v>
      </c>
      <c r="S40" s="99">
        <v>8</v>
      </c>
    </row>
    <row r="41" spans="1:19" x14ac:dyDescent="0.25">
      <c r="A41" s="13">
        <v>0.3</v>
      </c>
      <c r="B41" s="13">
        <v>12.5</v>
      </c>
      <c r="G41" s="13">
        <v>40</v>
      </c>
      <c r="H41" s="13">
        <v>0.44519828602455669</v>
      </c>
      <c r="I41" s="13">
        <v>19.288399999999999</v>
      </c>
      <c r="J41" s="13">
        <v>0</v>
      </c>
      <c r="K41" s="13">
        <v>0.66683755052745253</v>
      </c>
      <c r="L41" s="13">
        <v>0.36246190369670112</v>
      </c>
      <c r="M41" s="13">
        <v>0.30888609906207043</v>
      </c>
      <c r="O41" s="102">
        <v>0.44500000000000001</v>
      </c>
      <c r="P41" s="99">
        <v>7</v>
      </c>
      <c r="R41" s="103">
        <v>19.75</v>
      </c>
      <c r="S41" s="99">
        <v>3</v>
      </c>
    </row>
    <row r="42" spans="1:19" x14ac:dyDescent="0.25">
      <c r="A42" s="13">
        <v>0.30499999999999999</v>
      </c>
      <c r="B42" s="13">
        <v>12.75</v>
      </c>
      <c r="G42" s="13">
        <v>41</v>
      </c>
      <c r="H42" s="13">
        <v>0.54358758702365961</v>
      </c>
      <c r="I42" s="13">
        <v>17.577200000000001</v>
      </c>
      <c r="J42" s="13">
        <v>1</v>
      </c>
      <c r="K42" s="13">
        <v>0.97502867524193526</v>
      </c>
      <c r="L42" s="13">
        <v>0.23844464524943779</v>
      </c>
      <c r="M42" s="13">
        <v>0.1072415918621805</v>
      </c>
      <c r="O42" s="102">
        <v>0.45</v>
      </c>
      <c r="P42" s="99">
        <v>11</v>
      </c>
      <c r="R42" s="103">
        <v>20</v>
      </c>
      <c r="S42" s="99">
        <v>6</v>
      </c>
    </row>
    <row r="43" spans="1:19" x14ac:dyDescent="0.25">
      <c r="A43" s="13">
        <v>0.31</v>
      </c>
      <c r="B43" s="13">
        <v>13</v>
      </c>
      <c r="G43" s="13">
        <v>42</v>
      </c>
      <c r="H43" s="13">
        <v>0.5234070752787312</v>
      </c>
      <c r="I43" s="13">
        <v>22.276199999999999</v>
      </c>
      <c r="J43" s="13">
        <v>1</v>
      </c>
      <c r="K43" s="13">
        <v>0.70671743692839439</v>
      </c>
      <c r="L43" s="13">
        <v>0.23384406047910616</v>
      </c>
      <c r="M43" s="13">
        <v>0.49986323024305679</v>
      </c>
      <c r="O43" s="102">
        <v>0.45500000000000002</v>
      </c>
      <c r="P43" s="99">
        <v>13</v>
      </c>
      <c r="R43" s="103">
        <v>20.25</v>
      </c>
      <c r="S43" s="99">
        <v>4</v>
      </c>
    </row>
    <row r="44" spans="1:19" x14ac:dyDescent="0.25">
      <c r="A44" s="13">
        <v>0.315</v>
      </c>
      <c r="B44" s="13">
        <v>13.25</v>
      </c>
      <c r="G44" s="13">
        <v>43</v>
      </c>
      <c r="H44" s="13">
        <v>0.46690528730106046</v>
      </c>
      <c r="I44" s="13">
        <v>18.635100000000001</v>
      </c>
      <c r="J44" s="13">
        <v>0</v>
      </c>
      <c r="K44" s="13">
        <v>0.97236770268591577</v>
      </c>
      <c r="L44" s="13">
        <v>0.5441331770959521</v>
      </c>
      <c r="M44" s="13">
        <v>5.2556944238986172E-2</v>
      </c>
      <c r="O44" s="102">
        <v>0.46</v>
      </c>
      <c r="P44" s="99">
        <v>4</v>
      </c>
      <c r="R44" s="103">
        <v>20.5</v>
      </c>
      <c r="S44" s="99">
        <v>7</v>
      </c>
    </row>
    <row r="45" spans="1:19" x14ac:dyDescent="0.25">
      <c r="A45" s="13">
        <v>0.32</v>
      </c>
      <c r="B45" s="13">
        <v>13.5</v>
      </c>
      <c r="G45" s="13">
        <v>44</v>
      </c>
      <c r="H45" s="13">
        <v>0.46104859308894364</v>
      </c>
      <c r="I45" s="13">
        <v>20.335799999999999</v>
      </c>
      <c r="J45" s="13">
        <v>0</v>
      </c>
      <c r="K45" s="13">
        <v>0.9084355709077927</v>
      </c>
      <c r="L45" s="13">
        <v>0.27902836040254941</v>
      </c>
      <c r="M45" s="13">
        <v>0.36068221952642526</v>
      </c>
      <c r="O45" s="102">
        <v>0.46500000000000002</v>
      </c>
      <c r="P45" s="99">
        <v>3</v>
      </c>
      <c r="R45" s="103">
        <v>20.75</v>
      </c>
      <c r="S45" s="99">
        <v>4</v>
      </c>
    </row>
    <row r="46" spans="1:19" x14ac:dyDescent="0.25">
      <c r="A46" s="13">
        <v>0.32500000000000001</v>
      </c>
      <c r="B46" s="13">
        <v>13.75</v>
      </c>
      <c r="G46" s="13">
        <v>45</v>
      </c>
      <c r="H46" s="13">
        <v>0.465653730377803</v>
      </c>
      <c r="I46" s="13">
        <v>21.8141</v>
      </c>
      <c r="J46" s="13">
        <v>0</v>
      </c>
      <c r="K46" s="13">
        <v>0.9587056094900781</v>
      </c>
      <c r="L46" s="13">
        <v>0.17128716325522964</v>
      </c>
      <c r="M46" s="13">
        <v>0.51321441003487167</v>
      </c>
      <c r="O46" s="102">
        <v>0.47</v>
      </c>
      <c r="P46" s="99">
        <v>6</v>
      </c>
      <c r="R46" s="103">
        <v>21</v>
      </c>
      <c r="S46" s="99">
        <v>3</v>
      </c>
    </row>
    <row r="47" spans="1:19" x14ac:dyDescent="0.25">
      <c r="A47" s="13">
        <v>0.33</v>
      </c>
      <c r="B47" s="13">
        <v>14</v>
      </c>
      <c r="G47" s="13">
        <v>46</v>
      </c>
      <c r="H47" s="13">
        <v>0.51976072907097037</v>
      </c>
      <c r="I47" s="13">
        <v>20.4434</v>
      </c>
      <c r="J47" s="13">
        <v>1</v>
      </c>
      <c r="K47" s="13">
        <v>0.66646774105896167</v>
      </c>
      <c r="L47" s="13">
        <v>0.20934216182293752</v>
      </c>
      <c r="M47" s="13">
        <v>0.40406313802129512</v>
      </c>
      <c r="O47" s="102">
        <v>0.47499999999999998</v>
      </c>
      <c r="P47" s="99">
        <v>0</v>
      </c>
      <c r="R47" s="103">
        <v>21.25</v>
      </c>
      <c r="S47" s="99">
        <v>3</v>
      </c>
    </row>
    <row r="48" spans="1:19" x14ac:dyDescent="0.25">
      <c r="A48" s="13">
        <v>0.33500000000000002</v>
      </c>
      <c r="B48" s="13">
        <v>14.25</v>
      </c>
      <c r="G48" s="13">
        <v>47</v>
      </c>
      <c r="H48" s="13">
        <v>0.46008372411193438</v>
      </c>
      <c r="I48" s="13">
        <v>19.292999999999999</v>
      </c>
      <c r="J48" s="13">
        <v>0</v>
      </c>
      <c r="K48" s="13">
        <v>0.88758327032743745</v>
      </c>
      <c r="L48" s="13">
        <v>0.35255597217795709</v>
      </c>
      <c r="M48" s="13">
        <v>0.22992462917512779</v>
      </c>
      <c r="O48" s="102">
        <v>0.48</v>
      </c>
      <c r="P48" s="99">
        <v>0</v>
      </c>
      <c r="R48" s="103">
        <v>21.5</v>
      </c>
      <c r="S48" s="99">
        <v>2</v>
      </c>
    </row>
    <row r="49" spans="1:19" x14ac:dyDescent="0.25">
      <c r="A49" s="13">
        <v>0.34</v>
      </c>
      <c r="B49" s="13">
        <v>14.5</v>
      </c>
      <c r="G49" s="13">
        <v>48</v>
      </c>
      <c r="H49" s="13">
        <v>0.52199911196186477</v>
      </c>
      <c r="I49" s="13">
        <v>18.3673</v>
      </c>
      <c r="J49" s="13">
        <v>1</v>
      </c>
      <c r="K49" s="13">
        <v>0.69118499246262755</v>
      </c>
      <c r="L49" s="13">
        <v>0.56450316189216676</v>
      </c>
      <c r="M49" s="13">
        <v>9.0298712050285428E-3</v>
      </c>
      <c r="O49" s="102">
        <v>0.48499999999999999</v>
      </c>
      <c r="P49" s="99">
        <v>0</v>
      </c>
      <c r="R49" s="103">
        <v>21.75</v>
      </c>
      <c r="S49" s="99">
        <v>5</v>
      </c>
    </row>
    <row r="50" spans="1:19" x14ac:dyDescent="0.25">
      <c r="A50" s="13">
        <v>0.34499999999999997</v>
      </c>
      <c r="B50" s="13">
        <v>14.75</v>
      </c>
      <c r="G50" s="13">
        <v>49</v>
      </c>
      <c r="H50" s="13">
        <v>0.52054205523351171</v>
      </c>
      <c r="I50" s="13">
        <v>20.1099</v>
      </c>
      <c r="J50" s="13">
        <v>1</v>
      </c>
      <c r="K50" s="13">
        <v>0.67509550321098621</v>
      </c>
      <c r="L50" s="13">
        <v>0.48134825755608834</v>
      </c>
      <c r="M50" s="13">
        <v>0.19205584331631637</v>
      </c>
      <c r="O50" s="102">
        <v>0.49</v>
      </c>
      <c r="P50" s="99">
        <v>0</v>
      </c>
      <c r="R50" s="103">
        <v>22</v>
      </c>
      <c r="S50" s="99">
        <v>4</v>
      </c>
    </row>
    <row r="51" spans="1:19" x14ac:dyDescent="0.25">
      <c r="A51" s="13">
        <v>0.35</v>
      </c>
      <c r="B51" s="13">
        <v>15</v>
      </c>
      <c r="G51" s="13">
        <v>50</v>
      </c>
      <c r="H51" s="13">
        <v>0.45152878371952504</v>
      </c>
      <c r="I51" s="13">
        <v>20.053999999999998</v>
      </c>
      <c r="J51" s="13">
        <v>0</v>
      </c>
      <c r="K51" s="13">
        <v>0.75729504473625064</v>
      </c>
      <c r="L51" s="13">
        <v>0.27882116926353373</v>
      </c>
      <c r="M51" s="13">
        <v>0.3796080808071306</v>
      </c>
      <c r="O51" s="102">
        <v>0.495</v>
      </c>
      <c r="P51" s="99">
        <v>0</v>
      </c>
      <c r="R51" s="103">
        <v>22.25</v>
      </c>
      <c r="S51" s="99">
        <v>3</v>
      </c>
    </row>
    <row r="52" spans="1:19" x14ac:dyDescent="0.25">
      <c r="A52" s="13">
        <v>0.35499999999999998</v>
      </c>
      <c r="B52" s="13">
        <v>15.25</v>
      </c>
      <c r="G52" s="13">
        <v>51</v>
      </c>
      <c r="H52" s="13">
        <v>0.54204659265183941</v>
      </c>
      <c r="I52" s="13">
        <v>24.5518</v>
      </c>
      <c r="J52" s="13">
        <v>1</v>
      </c>
      <c r="K52" s="13">
        <v>0.90903610973923321</v>
      </c>
      <c r="L52" s="13">
        <v>0.13976584204435274</v>
      </c>
      <c r="M52" s="13">
        <v>0.65191052116765347</v>
      </c>
      <c r="O52" s="102">
        <v>0.5</v>
      </c>
      <c r="P52" s="99">
        <v>1</v>
      </c>
      <c r="R52" s="103">
        <v>22.5</v>
      </c>
      <c r="S52" s="99">
        <v>3</v>
      </c>
    </row>
    <row r="53" spans="1:19" x14ac:dyDescent="0.25">
      <c r="A53" s="13">
        <v>0.36</v>
      </c>
      <c r="B53" s="13">
        <v>15.5</v>
      </c>
      <c r="G53" s="13">
        <v>52</v>
      </c>
      <c r="H53" s="13">
        <v>0.51929631373848828</v>
      </c>
      <c r="I53" s="13">
        <v>21.209499999999998</v>
      </c>
      <c r="J53" s="13">
        <v>1</v>
      </c>
      <c r="K53" s="13">
        <v>0.66133945376934367</v>
      </c>
      <c r="L53" s="13">
        <v>0.60184223855374719</v>
      </c>
      <c r="M53" s="13">
        <v>0.1908280829787567</v>
      </c>
      <c r="O53" s="102">
        <v>0.505</v>
      </c>
      <c r="P53" s="99">
        <v>0</v>
      </c>
      <c r="R53" s="103">
        <v>22.75</v>
      </c>
      <c r="S53" s="99">
        <v>0</v>
      </c>
    </row>
    <row r="54" spans="1:19" x14ac:dyDescent="0.25">
      <c r="A54" s="13">
        <v>0.36499999999999999</v>
      </c>
      <c r="B54" s="13">
        <v>15.75</v>
      </c>
      <c r="G54" s="13">
        <v>53</v>
      </c>
      <c r="H54" s="13">
        <v>0.46943662657046686</v>
      </c>
      <c r="I54" s="13">
        <v>14.4977</v>
      </c>
      <c r="J54" s="13">
        <v>0</v>
      </c>
      <c r="K54" s="13">
        <v>1</v>
      </c>
      <c r="L54" s="13">
        <v>0.11412943368069178</v>
      </c>
      <c r="M54" s="13">
        <v>6.9803110971789734E-2</v>
      </c>
      <c r="O54" s="102">
        <v>0.51</v>
      </c>
      <c r="P54" s="99">
        <v>3</v>
      </c>
      <c r="R54" s="103">
        <v>23</v>
      </c>
      <c r="S54" s="99">
        <v>2</v>
      </c>
    </row>
    <row r="55" spans="1:19" x14ac:dyDescent="0.25">
      <c r="A55" s="13">
        <v>0.37</v>
      </c>
      <c r="B55" s="13">
        <v>16</v>
      </c>
      <c r="G55" s="13">
        <v>54</v>
      </c>
      <c r="H55" s="13">
        <v>0.5266612782055542</v>
      </c>
      <c r="I55" s="13">
        <v>24.503499999999999</v>
      </c>
      <c r="J55" s="13">
        <v>1</v>
      </c>
      <c r="K55" s="13">
        <v>0.74254827059742812</v>
      </c>
      <c r="L55" s="13">
        <v>0.18968236677124417</v>
      </c>
      <c r="M55" s="13">
        <v>0.66856958314543136</v>
      </c>
      <c r="O55" s="102">
        <v>0.51500000000000001</v>
      </c>
      <c r="P55" s="99">
        <v>5</v>
      </c>
      <c r="R55" s="103">
        <v>23.25</v>
      </c>
      <c r="S55" s="99">
        <v>2</v>
      </c>
    </row>
    <row r="56" spans="1:19" x14ac:dyDescent="0.25">
      <c r="A56" s="13">
        <v>0.375</v>
      </c>
      <c r="B56" s="13">
        <v>16.25</v>
      </c>
      <c r="G56" s="13">
        <v>55</v>
      </c>
      <c r="H56" s="13">
        <v>0.44597254616155058</v>
      </c>
      <c r="I56" s="13">
        <v>21.266400000000001</v>
      </c>
      <c r="J56" s="13">
        <v>0</v>
      </c>
      <c r="K56" s="13">
        <v>0.69282745128317724</v>
      </c>
      <c r="L56" s="13">
        <v>0.66774733092715832</v>
      </c>
      <c r="M56" s="13">
        <v>0.23176036257604107</v>
      </c>
      <c r="O56" s="102">
        <v>0.52</v>
      </c>
      <c r="P56" s="99">
        <v>4</v>
      </c>
      <c r="R56" s="103">
        <v>23.5</v>
      </c>
      <c r="S56" s="99">
        <v>3</v>
      </c>
    </row>
    <row r="57" spans="1:19" x14ac:dyDescent="0.25">
      <c r="A57" s="13">
        <v>0.38</v>
      </c>
      <c r="B57" s="13">
        <v>16.5</v>
      </c>
      <c r="G57" s="13">
        <v>56</v>
      </c>
      <c r="H57" s="13">
        <v>0.44473881433023754</v>
      </c>
      <c r="I57" s="13">
        <v>16.9542</v>
      </c>
      <c r="J57" s="13">
        <v>0</v>
      </c>
      <c r="K57" s="13">
        <v>0.66182318849336774</v>
      </c>
      <c r="L57" s="13">
        <v>0.31763752313013049</v>
      </c>
      <c r="M57" s="13">
        <v>0.17494965557637668</v>
      </c>
      <c r="O57" s="102">
        <v>0.52500000000000002</v>
      </c>
      <c r="P57" s="99">
        <v>8</v>
      </c>
      <c r="R57" s="103">
        <v>23.75</v>
      </c>
      <c r="S57" s="99">
        <v>5</v>
      </c>
    </row>
    <row r="58" spans="1:19" x14ac:dyDescent="0.25">
      <c r="A58" s="13">
        <v>0.38500000000000001</v>
      </c>
      <c r="B58" s="13">
        <v>16.75</v>
      </c>
      <c r="G58" s="13">
        <v>57</v>
      </c>
      <c r="H58" s="13">
        <v>0.46349055923137977</v>
      </c>
      <c r="I58" s="13">
        <v>19.287700000000001</v>
      </c>
      <c r="J58" s="13">
        <v>0</v>
      </c>
      <c r="K58" s="13">
        <v>0.93509226418247438</v>
      </c>
      <c r="L58" s="13">
        <v>0.3945037262189407</v>
      </c>
      <c r="M58" s="13">
        <v>0.20648655757014089</v>
      </c>
      <c r="O58" s="102">
        <v>0.53</v>
      </c>
      <c r="P58" s="99">
        <v>10</v>
      </c>
      <c r="R58" s="103">
        <v>24</v>
      </c>
      <c r="S58" s="99">
        <v>0</v>
      </c>
    </row>
    <row r="59" spans="1:19" x14ac:dyDescent="0.25">
      <c r="A59" s="13">
        <v>0.39</v>
      </c>
      <c r="B59" s="13">
        <v>17</v>
      </c>
      <c r="G59" s="13">
        <v>58</v>
      </c>
      <c r="H59" s="13">
        <v>0.52558547283583423</v>
      </c>
      <c r="I59" s="13">
        <v>18.763500000000001</v>
      </c>
      <c r="J59" s="13">
        <v>1</v>
      </c>
      <c r="K59" s="13">
        <v>0.73071834184104067</v>
      </c>
      <c r="L59" s="13">
        <v>0.27589848291209762</v>
      </c>
      <c r="M59" s="13">
        <v>0.2196438017862915</v>
      </c>
      <c r="O59" s="102">
        <v>0.53500000000000003</v>
      </c>
      <c r="P59" s="99">
        <v>5</v>
      </c>
      <c r="R59" s="103">
        <v>24.25</v>
      </c>
      <c r="S59" s="99">
        <v>0</v>
      </c>
    </row>
    <row r="60" spans="1:19" x14ac:dyDescent="0.25">
      <c r="A60" s="13">
        <v>0.39500000000000002</v>
      </c>
      <c r="B60" s="13">
        <v>17.25</v>
      </c>
      <c r="G60" s="13">
        <v>59</v>
      </c>
      <c r="H60" s="13">
        <v>0.52151974272761648</v>
      </c>
      <c r="I60" s="13">
        <v>15.619300000000001</v>
      </c>
      <c r="J60" s="13">
        <v>1</v>
      </c>
      <c r="K60" s="13">
        <v>0.68589157732516426</v>
      </c>
      <c r="L60" s="13">
        <v>0.13744202180440085</v>
      </c>
      <c r="M60" s="13">
        <v>0.11128016312955817</v>
      </c>
      <c r="O60" s="102">
        <v>0.54</v>
      </c>
      <c r="P60" s="99">
        <v>6</v>
      </c>
      <c r="R60" s="103">
        <v>24.5</v>
      </c>
      <c r="S60" s="99">
        <v>0</v>
      </c>
    </row>
    <row r="61" spans="1:19" x14ac:dyDescent="0.25">
      <c r="A61" s="13">
        <v>0.4</v>
      </c>
      <c r="B61" s="13">
        <v>17.5</v>
      </c>
      <c r="G61" s="13">
        <v>60</v>
      </c>
      <c r="H61" s="13">
        <v>0.45307848410789769</v>
      </c>
      <c r="I61" s="13">
        <v>19.305</v>
      </c>
      <c r="J61" s="13">
        <v>0</v>
      </c>
      <c r="K61" s="13">
        <v>0.77420943264822906</v>
      </c>
      <c r="L61" s="13">
        <v>0.22333522595037181</v>
      </c>
      <c r="M61" s="13">
        <v>0.36022151870302815</v>
      </c>
      <c r="O61" s="102">
        <v>0.54500000000000004</v>
      </c>
      <c r="P61" s="99">
        <v>6</v>
      </c>
      <c r="R61" s="103">
        <v>24.75</v>
      </c>
      <c r="S61" s="99">
        <v>3</v>
      </c>
    </row>
    <row r="62" spans="1:19" x14ac:dyDescent="0.25">
      <c r="A62" s="13">
        <v>0.40500000000000003</v>
      </c>
      <c r="B62" s="13">
        <v>17.75</v>
      </c>
      <c r="G62" s="13">
        <v>61</v>
      </c>
      <c r="H62" s="13">
        <v>0.50819133498447566</v>
      </c>
      <c r="I62" s="13">
        <v>16.690200000000001</v>
      </c>
      <c r="J62" s="13">
        <v>1</v>
      </c>
      <c r="K62" s="13">
        <v>0.52921785021866841</v>
      </c>
      <c r="L62" s="13">
        <v>0.23955464037511603</v>
      </c>
      <c r="M62" s="13">
        <v>0.15799842185448323</v>
      </c>
      <c r="O62" s="102">
        <v>0.55000000000000004</v>
      </c>
      <c r="P62" s="99">
        <v>2</v>
      </c>
      <c r="R62" s="103">
        <v>25</v>
      </c>
      <c r="S62" s="99">
        <v>1</v>
      </c>
    </row>
    <row r="63" spans="1:19" x14ac:dyDescent="0.25">
      <c r="A63" s="13">
        <v>0.41</v>
      </c>
      <c r="B63" s="13">
        <v>18</v>
      </c>
      <c r="G63" s="13">
        <v>62</v>
      </c>
      <c r="H63" s="13">
        <v>0.45064715339279549</v>
      </c>
      <c r="I63" s="13">
        <v>23.553599999999999</v>
      </c>
      <c r="J63" s="13">
        <v>0</v>
      </c>
      <c r="K63" s="13">
        <v>0.7476723864126501</v>
      </c>
      <c r="L63" s="13">
        <v>0.45538906266294327</v>
      </c>
      <c r="M63" s="13">
        <v>0.50409098820034182</v>
      </c>
      <c r="O63" s="102">
        <v>0.55500000000000005</v>
      </c>
      <c r="P63" s="99">
        <v>0</v>
      </c>
      <c r="R63" s="103">
        <v>25.25</v>
      </c>
      <c r="S63" s="99">
        <v>1</v>
      </c>
    </row>
    <row r="64" spans="1:19" x14ac:dyDescent="0.25">
      <c r="A64" s="13">
        <v>0.41499999999999998</v>
      </c>
      <c r="B64" s="13">
        <v>18.25</v>
      </c>
      <c r="G64" s="13">
        <v>63</v>
      </c>
      <c r="H64" s="13">
        <v>0.52603027803797919</v>
      </c>
      <c r="I64" s="13">
        <v>18.8569</v>
      </c>
      <c r="J64" s="13">
        <v>1</v>
      </c>
      <c r="K64" s="13">
        <v>0.73560957402853266</v>
      </c>
      <c r="L64" s="13">
        <v>3.8573227613542135E-2</v>
      </c>
      <c r="M64" s="13">
        <v>0.38786142310059996</v>
      </c>
      <c r="O64" s="102">
        <v>0.56000000000000005</v>
      </c>
      <c r="P64" s="99">
        <v>0</v>
      </c>
      <c r="R64" s="103">
        <v>25.5</v>
      </c>
      <c r="S64" s="99">
        <v>0</v>
      </c>
    </row>
    <row r="65" spans="1:19" x14ac:dyDescent="0.25">
      <c r="A65" s="13">
        <v>0.42</v>
      </c>
      <c r="B65" s="13">
        <v>18.5</v>
      </c>
      <c r="G65" s="13">
        <v>64</v>
      </c>
      <c r="H65" s="13">
        <v>0.5148695409554378</v>
      </c>
      <c r="I65" s="13">
        <v>23.556799999999999</v>
      </c>
      <c r="J65" s="13">
        <v>1</v>
      </c>
      <c r="K65" s="13">
        <v>0.60460305524080304</v>
      </c>
      <c r="L65" s="13">
        <v>6.0240699612659293E-2</v>
      </c>
      <c r="M65" s="13">
        <v>0.75467868216776923</v>
      </c>
      <c r="O65" s="102">
        <v>0.56499999999999995</v>
      </c>
      <c r="P65" s="99">
        <v>0</v>
      </c>
      <c r="R65" s="103">
        <v>25.75</v>
      </c>
      <c r="S65" s="99">
        <v>0</v>
      </c>
    </row>
    <row r="66" spans="1:19" x14ac:dyDescent="0.25">
      <c r="A66" s="13">
        <v>0.42499999999999999</v>
      </c>
      <c r="B66" s="13">
        <v>18.75</v>
      </c>
      <c r="G66" s="13">
        <v>65</v>
      </c>
      <c r="H66" s="13">
        <v>0.45316995812559391</v>
      </c>
      <c r="I66" s="13">
        <v>21.001000000000001</v>
      </c>
      <c r="J66" s="13">
        <v>0</v>
      </c>
      <c r="K66" s="13">
        <v>0.77520783661765824</v>
      </c>
      <c r="L66" s="13">
        <v>0.23658677160391972</v>
      </c>
      <c r="M66" s="13">
        <v>0.46566974062975275</v>
      </c>
      <c r="O66" s="102">
        <v>0.56999999999999995</v>
      </c>
      <c r="P66" s="99">
        <v>0</v>
      </c>
      <c r="R66" s="103">
        <v>26</v>
      </c>
      <c r="S66" s="99">
        <v>0</v>
      </c>
    </row>
    <row r="67" spans="1:19" x14ac:dyDescent="0.25">
      <c r="A67" s="13">
        <v>0.43</v>
      </c>
      <c r="B67" s="13">
        <v>19</v>
      </c>
      <c r="G67" s="13">
        <v>66</v>
      </c>
      <c r="H67" s="13">
        <v>0.54239502526496042</v>
      </c>
      <c r="I67" s="13">
        <v>24.5459</v>
      </c>
      <c r="J67" s="13">
        <v>1</v>
      </c>
      <c r="K67" s="13">
        <v>0.91272733252836535</v>
      </c>
      <c r="L67" s="13">
        <v>0.48667449731464224</v>
      </c>
      <c r="M67" s="13">
        <v>0.41254197030493533</v>
      </c>
      <c r="O67" s="102">
        <v>0.57499999999999996</v>
      </c>
      <c r="P67" s="99">
        <v>0</v>
      </c>
      <c r="R67" s="103">
        <v>26.25</v>
      </c>
      <c r="S67" s="99">
        <v>0</v>
      </c>
    </row>
    <row r="68" spans="1:19" x14ac:dyDescent="0.25">
      <c r="A68" s="13">
        <v>0.435</v>
      </c>
      <c r="B68" s="13">
        <v>19.25</v>
      </c>
      <c r="G68" s="13">
        <v>67</v>
      </c>
      <c r="H68" s="13">
        <v>0.46943662657046686</v>
      </c>
      <c r="I68" s="13">
        <v>22.1098</v>
      </c>
      <c r="J68" s="13">
        <v>0</v>
      </c>
      <c r="K68" s="13">
        <v>1</v>
      </c>
      <c r="L68" s="13">
        <v>0.22594215628649425</v>
      </c>
      <c r="M68" s="13">
        <v>0.48189290871416246</v>
      </c>
      <c r="O68" s="102">
        <v>0.57999999999999996</v>
      </c>
      <c r="P68" s="99">
        <v>0</v>
      </c>
      <c r="R68" s="103">
        <v>26.5</v>
      </c>
      <c r="S68" s="99">
        <v>0</v>
      </c>
    </row>
    <row r="69" spans="1:19" x14ac:dyDescent="0.25">
      <c r="A69" s="13">
        <v>0.44</v>
      </c>
      <c r="B69" s="13">
        <v>19.5</v>
      </c>
      <c r="G69" s="13">
        <v>68</v>
      </c>
      <c r="H69" s="13">
        <v>0.45399425211218924</v>
      </c>
      <c r="I69" s="13">
        <v>18.426500000000001</v>
      </c>
      <c r="J69" s="13">
        <v>0</v>
      </c>
      <c r="K69" s="13">
        <v>0.81638111061189889</v>
      </c>
      <c r="L69" s="13">
        <v>0.39943200368674942</v>
      </c>
      <c r="M69" s="13">
        <v>0.16071868322494454</v>
      </c>
      <c r="O69" s="102">
        <v>0.58499999999999996</v>
      </c>
      <c r="P69" s="99">
        <v>0</v>
      </c>
      <c r="R69" s="103">
        <v>26.75</v>
      </c>
      <c r="S69" s="99">
        <v>0</v>
      </c>
    </row>
    <row r="70" spans="1:19" x14ac:dyDescent="0.25">
      <c r="A70" s="13">
        <v>0.44500000000000001</v>
      </c>
      <c r="B70" s="13">
        <v>19.75</v>
      </c>
      <c r="G70" s="13">
        <v>69</v>
      </c>
      <c r="H70" s="13">
        <v>0.53712998640126008</v>
      </c>
      <c r="I70" s="13">
        <v>17.116900000000001</v>
      </c>
      <c r="J70" s="13">
        <v>1</v>
      </c>
      <c r="K70" s="13">
        <v>0.86015304716129914</v>
      </c>
      <c r="L70" s="13">
        <v>0.36267832740159811</v>
      </c>
      <c r="M70" s="13">
        <v>1.3559071822467652E-2</v>
      </c>
      <c r="O70" s="102">
        <v>0.59</v>
      </c>
      <c r="P70" s="99">
        <v>0</v>
      </c>
      <c r="R70" s="103">
        <v>27</v>
      </c>
      <c r="S70" s="99">
        <v>2</v>
      </c>
    </row>
    <row r="71" spans="1:19" x14ac:dyDescent="0.25">
      <c r="A71" s="13">
        <v>0.45</v>
      </c>
      <c r="B71" s="13">
        <v>20</v>
      </c>
      <c r="G71" s="13">
        <v>70</v>
      </c>
      <c r="H71" s="13">
        <v>0.52875787204914471</v>
      </c>
      <c r="I71" s="13">
        <v>21.101500000000001</v>
      </c>
      <c r="J71" s="13">
        <v>1</v>
      </c>
      <c r="K71" s="13">
        <v>0.76559670983061823</v>
      </c>
      <c r="L71" s="13">
        <v>0.32232978863210682</v>
      </c>
      <c r="M71" s="13">
        <v>0.33529680395149708</v>
      </c>
      <c r="O71" s="102">
        <v>0.59499999999999997</v>
      </c>
      <c r="P71" s="99">
        <v>0</v>
      </c>
      <c r="R71" s="103">
        <v>27.25</v>
      </c>
      <c r="S71" s="99">
        <v>0</v>
      </c>
    </row>
    <row r="72" spans="1:19" x14ac:dyDescent="0.25">
      <c r="A72" s="13">
        <v>0.45500000000000002</v>
      </c>
      <c r="B72" s="13">
        <v>20.25</v>
      </c>
      <c r="G72" s="13">
        <v>71</v>
      </c>
      <c r="H72" s="13">
        <v>0.44229738727204276</v>
      </c>
      <c r="I72" s="13">
        <v>20.413399999999999</v>
      </c>
      <c r="J72" s="13">
        <v>0</v>
      </c>
      <c r="K72" s="13">
        <v>0.63517911160906393</v>
      </c>
      <c r="L72" s="13">
        <v>0.27302390200700954</v>
      </c>
      <c r="M72" s="13">
        <v>0.45751905170824064</v>
      </c>
      <c r="O72" s="102">
        <v>0.6</v>
      </c>
      <c r="P72" s="99">
        <v>0</v>
      </c>
      <c r="R72" s="103">
        <v>27.5</v>
      </c>
      <c r="S72" s="99">
        <v>0</v>
      </c>
    </row>
    <row r="73" spans="1:19" x14ac:dyDescent="0.25">
      <c r="A73" s="13">
        <v>0.46</v>
      </c>
      <c r="B73" s="13">
        <v>20.5</v>
      </c>
      <c r="G73" s="13">
        <v>72</v>
      </c>
      <c r="H73" s="13">
        <v>0.54212390291555035</v>
      </c>
      <c r="I73" s="13">
        <v>23.282399999999999</v>
      </c>
      <c r="J73" s="13">
        <v>1</v>
      </c>
      <c r="K73" s="13">
        <v>0.94570318853867752</v>
      </c>
      <c r="L73" s="13">
        <v>0.86982903977426151</v>
      </c>
      <c r="M73" s="13">
        <v>4.1671333261341412E-2</v>
      </c>
      <c r="O73" s="102">
        <v>0.60499999999999998</v>
      </c>
      <c r="P73" s="99">
        <v>0</v>
      </c>
      <c r="R73" s="103">
        <v>27.75</v>
      </c>
      <c r="S73" s="99">
        <v>0</v>
      </c>
    </row>
    <row r="74" spans="1:19" x14ac:dyDescent="0.25">
      <c r="A74" s="13">
        <v>0.46500000000000002</v>
      </c>
      <c r="B74" s="13">
        <v>20.75</v>
      </c>
      <c r="G74" s="13">
        <v>73</v>
      </c>
      <c r="H74" s="13">
        <v>0.5336555282212484</v>
      </c>
      <c r="I74" s="13">
        <v>21.518999999999998</v>
      </c>
      <c r="J74" s="13">
        <v>1</v>
      </c>
      <c r="K74" s="13">
        <v>0.81879949528148732</v>
      </c>
      <c r="L74" s="13">
        <v>0.44892126682143035</v>
      </c>
      <c r="M74" s="13">
        <v>0.25669545798325905</v>
      </c>
      <c r="O74" s="102">
        <v>0.61</v>
      </c>
      <c r="P74" s="99">
        <v>0</v>
      </c>
      <c r="R74" s="103">
        <v>28</v>
      </c>
      <c r="S74" s="99">
        <v>0</v>
      </c>
    </row>
    <row r="75" spans="1:19" x14ac:dyDescent="0.25">
      <c r="A75" s="13">
        <v>0.47</v>
      </c>
      <c r="B75" s="13">
        <v>21</v>
      </c>
      <c r="G75" s="13">
        <v>74</v>
      </c>
      <c r="H75" s="13">
        <v>0.43630622758755877</v>
      </c>
      <c r="I75" s="13">
        <v>16.196999999999999</v>
      </c>
      <c r="J75" s="13">
        <v>0</v>
      </c>
      <c r="K75" s="13">
        <v>0.53603221348924046</v>
      </c>
      <c r="L75" s="13">
        <v>0.36558761305680948</v>
      </c>
      <c r="M75" s="13">
        <v>0.12853891778633755</v>
      </c>
      <c r="O75" s="102">
        <v>0.61499999999999999</v>
      </c>
      <c r="P75" s="99">
        <v>0</v>
      </c>
      <c r="R75" s="103">
        <v>28.25</v>
      </c>
      <c r="S75" s="99">
        <v>0</v>
      </c>
    </row>
    <row r="76" spans="1:19" x14ac:dyDescent="0.25">
      <c r="A76" s="13">
        <v>0.47499999999999998</v>
      </c>
      <c r="B76" s="13">
        <v>21.25</v>
      </c>
      <c r="G76" s="13">
        <v>75</v>
      </c>
      <c r="H76" s="13">
        <v>0.53059709599305427</v>
      </c>
      <c r="I76" s="13">
        <v>26.755800000000001</v>
      </c>
      <c r="J76" s="13">
        <v>1</v>
      </c>
      <c r="K76" s="13">
        <v>0.78573830789040477</v>
      </c>
      <c r="L76" s="13">
        <v>0.10947919012628543</v>
      </c>
      <c r="M76" s="13">
        <v>0.85694973073972569</v>
      </c>
      <c r="O76" s="102">
        <v>0.62</v>
      </c>
      <c r="P76" s="99">
        <v>0</v>
      </c>
      <c r="R76" s="103">
        <v>28.5</v>
      </c>
      <c r="S76" s="99">
        <v>0</v>
      </c>
    </row>
    <row r="77" spans="1:19" x14ac:dyDescent="0.25">
      <c r="A77" s="13">
        <v>0.48</v>
      </c>
      <c r="B77" s="13">
        <v>21.5</v>
      </c>
      <c r="G77" s="13">
        <v>76</v>
      </c>
      <c r="H77" s="13">
        <v>0.52698735287254572</v>
      </c>
      <c r="I77" s="13">
        <v>19.438700000000001</v>
      </c>
      <c r="J77" s="13">
        <v>1</v>
      </c>
      <c r="K77" s="13">
        <v>0.74613354649694008</v>
      </c>
      <c r="L77" s="13">
        <v>0.50877870521229163</v>
      </c>
      <c r="M77" s="13">
        <v>9.937448791987126E-2</v>
      </c>
      <c r="O77" s="102">
        <v>0.625</v>
      </c>
      <c r="P77" s="99">
        <v>0</v>
      </c>
      <c r="R77" s="103">
        <v>28.75</v>
      </c>
      <c r="S77" s="99">
        <v>0</v>
      </c>
    </row>
    <row r="78" spans="1:19" x14ac:dyDescent="0.25">
      <c r="A78" s="13">
        <v>0.48499999999999999</v>
      </c>
      <c r="B78" s="13">
        <v>21.75</v>
      </c>
      <c r="G78" s="13">
        <v>77</v>
      </c>
      <c r="H78" s="13">
        <v>0.45722196460742787</v>
      </c>
      <c r="I78" s="13">
        <v>18.295200000000001</v>
      </c>
      <c r="J78" s="13">
        <v>0</v>
      </c>
      <c r="K78" s="13">
        <v>0.85160210096486311</v>
      </c>
      <c r="L78" s="13">
        <v>0.17917215484528082</v>
      </c>
      <c r="M78" s="13">
        <v>0.29306500456891094</v>
      </c>
      <c r="O78" s="102">
        <v>0.63</v>
      </c>
      <c r="P78" s="99">
        <v>0</v>
      </c>
      <c r="R78" s="103">
        <v>29</v>
      </c>
      <c r="S78" s="99">
        <v>0</v>
      </c>
    </row>
    <row r="79" spans="1:19" x14ac:dyDescent="0.25">
      <c r="A79" s="13">
        <v>0.49</v>
      </c>
      <c r="B79" s="13">
        <v>22</v>
      </c>
      <c r="G79" s="13">
        <v>78</v>
      </c>
      <c r="H79" s="13">
        <v>0.52277821517971945</v>
      </c>
      <c r="I79" s="13">
        <v>20.368400000000001</v>
      </c>
      <c r="J79" s="13">
        <v>1</v>
      </c>
      <c r="K79" s="13">
        <v>0.69978093152490317</v>
      </c>
      <c r="L79" s="13">
        <v>0.41661539011224674</v>
      </c>
      <c r="M79" s="13">
        <v>0.24458364335175858</v>
      </c>
      <c r="O79" s="102">
        <v>0.63500000000000001</v>
      </c>
      <c r="P79" s="99">
        <v>0</v>
      </c>
      <c r="R79" s="103">
        <v>29.25</v>
      </c>
      <c r="S79" s="99">
        <v>0</v>
      </c>
    </row>
    <row r="80" spans="1:19" x14ac:dyDescent="0.25">
      <c r="A80" s="13">
        <v>0.495</v>
      </c>
      <c r="B80" s="13">
        <v>22.25</v>
      </c>
      <c r="G80" s="13">
        <v>79</v>
      </c>
      <c r="H80" s="13">
        <v>0.545933843902076</v>
      </c>
      <c r="I80" s="13">
        <v>22.0867</v>
      </c>
      <c r="J80" s="13">
        <v>1</v>
      </c>
      <c r="K80" s="13">
        <v>1</v>
      </c>
      <c r="L80" s="13">
        <v>0.5204726030327449</v>
      </c>
      <c r="M80" s="13">
        <v>0.18957989010400902</v>
      </c>
      <c r="O80" s="102">
        <v>0.64</v>
      </c>
      <c r="P80" s="99">
        <v>0</v>
      </c>
      <c r="R80" s="103">
        <v>29.5</v>
      </c>
      <c r="S80" s="99">
        <v>0</v>
      </c>
    </row>
    <row r="81" spans="1:19" x14ac:dyDescent="0.25">
      <c r="A81" s="13">
        <v>0.5</v>
      </c>
      <c r="B81" s="13">
        <v>22.5</v>
      </c>
      <c r="G81" s="13">
        <v>80</v>
      </c>
      <c r="H81" s="13">
        <v>0.45282995810769811</v>
      </c>
      <c r="I81" s="13">
        <v>19.2271</v>
      </c>
      <c r="J81" s="13">
        <v>0</v>
      </c>
      <c r="K81" s="13">
        <v>0.77149686626757707</v>
      </c>
      <c r="L81" s="13">
        <v>0.1966920348353772</v>
      </c>
      <c r="M81" s="13">
        <v>0.37347749377487222</v>
      </c>
      <c r="O81" s="102">
        <v>0.64500000000000002</v>
      </c>
      <c r="P81" s="99">
        <v>0</v>
      </c>
      <c r="R81" s="103">
        <v>29.75</v>
      </c>
      <c r="S81" s="99">
        <v>0</v>
      </c>
    </row>
    <row r="82" spans="1:19" x14ac:dyDescent="0.25">
      <c r="A82" s="13">
        <v>0.505</v>
      </c>
      <c r="B82" s="13">
        <v>22.75</v>
      </c>
      <c r="G82" s="13">
        <v>81</v>
      </c>
      <c r="H82" s="13">
        <v>0.53845510929033924</v>
      </c>
      <c r="I82" s="13">
        <v>24.934799999999999</v>
      </c>
      <c r="J82" s="13">
        <v>1</v>
      </c>
      <c r="K82" s="13">
        <v>0.87416774868753022</v>
      </c>
      <c r="L82" s="13">
        <v>0.25453119675461056</v>
      </c>
      <c r="M82" s="13">
        <v>0.60194396454414045</v>
      </c>
      <c r="O82" s="102">
        <v>0.65</v>
      </c>
      <c r="P82" s="99">
        <v>0</v>
      </c>
      <c r="R82" s="103">
        <v>30</v>
      </c>
      <c r="S82" s="99">
        <v>0</v>
      </c>
    </row>
    <row r="83" spans="1:19" x14ac:dyDescent="0.25">
      <c r="A83" s="13">
        <v>0.51</v>
      </c>
      <c r="B83" s="13">
        <v>23</v>
      </c>
      <c r="G83" s="13">
        <v>82</v>
      </c>
      <c r="H83" s="13">
        <v>0.44293478875077724</v>
      </c>
      <c r="I83" s="13">
        <v>22.265599999999999</v>
      </c>
      <c r="J83" s="13">
        <v>0</v>
      </c>
      <c r="K83" s="13">
        <v>0.64213527847408047</v>
      </c>
      <c r="L83" s="13">
        <v>0.38498250195180328</v>
      </c>
      <c r="M83" s="13">
        <v>0.514114462795214</v>
      </c>
      <c r="O83" s="102">
        <v>0.65500000000000003</v>
      </c>
      <c r="P83" s="99">
        <v>0</v>
      </c>
      <c r="R83" s="103">
        <v>30.25</v>
      </c>
      <c r="S83" s="99">
        <v>0</v>
      </c>
    </row>
    <row r="84" spans="1:19" x14ac:dyDescent="0.25">
      <c r="A84" s="13">
        <v>0.51500000000000001</v>
      </c>
      <c r="B84" s="13">
        <v>23.25</v>
      </c>
      <c r="G84" s="13">
        <v>83</v>
      </c>
      <c r="H84" s="13">
        <v>0.53648173414566691</v>
      </c>
      <c r="I84" s="13">
        <v>26.905200000000001</v>
      </c>
      <c r="J84" s="13">
        <v>1</v>
      </c>
      <c r="K84" s="13">
        <v>0.85329703256015543</v>
      </c>
      <c r="L84" s="13">
        <v>2.9014442981954908E-2</v>
      </c>
      <c r="M84" s="13">
        <v>0.89604695016415581</v>
      </c>
      <c r="O84" s="102">
        <v>0.66</v>
      </c>
      <c r="P84" s="99">
        <v>0</v>
      </c>
      <c r="R84" s="103">
        <v>30.5</v>
      </c>
      <c r="S84" s="99">
        <v>0</v>
      </c>
    </row>
    <row r="85" spans="1:19" ht="15.75" thickBot="1" x14ac:dyDescent="0.3">
      <c r="A85" s="13">
        <v>0.52</v>
      </c>
      <c r="B85" s="13">
        <v>23.5</v>
      </c>
      <c r="G85" s="13">
        <v>84</v>
      </c>
      <c r="H85" s="13">
        <v>0.53784062530853349</v>
      </c>
      <c r="I85" s="13">
        <v>25.145299999999999</v>
      </c>
      <c r="J85" s="13">
        <v>1</v>
      </c>
      <c r="K85" s="13">
        <v>0.86766887249375912</v>
      </c>
      <c r="L85" s="13">
        <v>6.2639885505224951E-2</v>
      </c>
      <c r="M85" s="13">
        <v>0.75087533819835217</v>
      </c>
      <c r="O85" s="102">
        <v>0.66500000000000004</v>
      </c>
      <c r="P85" s="99">
        <v>0</v>
      </c>
      <c r="R85" s="104" t="s">
        <v>171</v>
      </c>
      <c r="S85" s="100">
        <v>0</v>
      </c>
    </row>
    <row r="86" spans="1:19" x14ac:dyDescent="0.25">
      <c r="A86" s="13">
        <v>0.52500000000000002</v>
      </c>
      <c r="B86" s="13">
        <v>23.75</v>
      </c>
      <c r="G86" s="13">
        <v>85</v>
      </c>
      <c r="H86" s="13">
        <v>0.51481862481793939</v>
      </c>
      <c r="I86" s="13">
        <v>21.739000000000001</v>
      </c>
      <c r="J86" s="13">
        <v>1</v>
      </c>
      <c r="K86" s="13">
        <v>0.61842627172823494</v>
      </c>
      <c r="L86" s="13">
        <v>0.47779511119576573</v>
      </c>
      <c r="M86" s="13">
        <v>0.32340287481275926</v>
      </c>
      <c r="O86" s="102">
        <v>0.67</v>
      </c>
      <c r="P86" s="99">
        <v>0</v>
      </c>
    </row>
    <row r="87" spans="1:19" x14ac:dyDescent="0.25">
      <c r="A87" s="13">
        <v>0.53</v>
      </c>
      <c r="B87" s="13">
        <v>24</v>
      </c>
      <c r="G87" s="13">
        <v>86</v>
      </c>
      <c r="H87" s="13">
        <v>0.44759722380472744</v>
      </c>
      <c r="I87" s="13">
        <v>17.919899999999998</v>
      </c>
      <c r="J87" s="13">
        <v>0</v>
      </c>
      <c r="K87" s="13">
        <v>0.71438356972017369</v>
      </c>
      <c r="L87" s="13">
        <v>0.18505468514468038</v>
      </c>
      <c r="M87" s="13">
        <v>0.30934848795272679</v>
      </c>
      <c r="O87" s="102">
        <v>0.67500000000000004</v>
      </c>
      <c r="P87" s="99">
        <v>0</v>
      </c>
    </row>
    <row r="88" spans="1:19" x14ac:dyDescent="0.25">
      <c r="A88" s="13">
        <v>0.53500000000000003</v>
      </c>
      <c r="B88" s="13">
        <v>24.25</v>
      </c>
      <c r="G88" s="13">
        <v>87</v>
      </c>
      <c r="H88" s="13">
        <v>0.44712396416109257</v>
      </c>
      <c r="I88" s="13">
        <v>22.089200000000002</v>
      </c>
      <c r="J88" s="13">
        <v>0</v>
      </c>
      <c r="K88" s="13">
        <v>0.70539409526271013</v>
      </c>
      <c r="L88" s="13">
        <v>7.1928132165052713E-2</v>
      </c>
      <c r="M88" s="13">
        <v>0.67535643937310097</v>
      </c>
      <c r="O88" s="102">
        <v>0.68</v>
      </c>
      <c r="P88" s="99">
        <v>0</v>
      </c>
    </row>
    <row r="89" spans="1:19" x14ac:dyDescent="0.25">
      <c r="A89" s="13">
        <v>0.54</v>
      </c>
      <c r="B89" s="13">
        <v>24.5</v>
      </c>
      <c r="G89" s="13">
        <v>88</v>
      </c>
      <c r="H89" s="13">
        <v>0.54215876425185361</v>
      </c>
      <c r="I89" s="13">
        <v>23.745999999999999</v>
      </c>
      <c r="J89" s="13">
        <v>1</v>
      </c>
      <c r="K89" s="13">
        <v>0.91022443238950435</v>
      </c>
      <c r="L89" s="13">
        <v>0.54290550712782648</v>
      </c>
      <c r="M89" s="13">
        <v>0.32194582133098737</v>
      </c>
      <c r="O89" s="102">
        <v>0.68500000000000005</v>
      </c>
      <c r="P89" s="99">
        <v>0</v>
      </c>
    </row>
    <row r="90" spans="1:19" x14ac:dyDescent="0.25">
      <c r="A90" s="13">
        <v>0.54500000000000004</v>
      </c>
      <c r="B90" s="13">
        <v>24.75</v>
      </c>
      <c r="G90" s="13">
        <v>89</v>
      </c>
      <c r="H90" s="13">
        <v>0.51358327947159277</v>
      </c>
      <c r="I90" s="13">
        <v>19.984200000000001</v>
      </c>
      <c r="J90" s="13">
        <v>1</v>
      </c>
      <c r="K90" s="13">
        <v>0.58851420037801427</v>
      </c>
      <c r="L90" s="13">
        <v>3.2107121410300622E-2</v>
      </c>
      <c r="M90" s="13">
        <v>0.5200586864319191</v>
      </c>
      <c r="O90" s="102">
        <v>0.69</v>
      </c>
      <c r="P90" s="99">
        <v>0</v>
      </c>
    </row>
    <row r="91" spans="1:19" x14ac:dyDescent="0.25">
      <c r="A91" s="13">
        <v>0.55000000000000004</v>
      </c>
      <c r="B91" s="13">
        <v>25</v>
      </c>
      <c r="G91" s="13">
        <v>90</v>
      </c>
      <c r="H91" s="13">
        <v>0.52827403181444754</v>
      </c>
      <c r="I91" s="13">
        <v>22.927800000000001</v>
      </c>
      <c r="J91" s="13">
        <v>1</v>
      </c>
      <c r="K91" s="13">
        <v>0.76027789620816022</v>
      </c>
      <c r="L91" s="13">
        <v>0.96970753409604782</v>
      </c>
      <c r="M91" s="13">
        <v>1.5228124324477416E-2</v>
      </c>
      <c r="O91" s="102">
        <v>0.69499999999999995</v>
      </c>
      <c r="P91" s="99">
        <v>0</v>
      </c>
    </row>
    <row r="92" spans="1:19" x14ac:dyDescent="0.25">
      <c r="A92" s="13">
        <v>0.55500000000000005</v>
      </c>
      <c r="B92" s="13">
        <v>25.25</v>
      </c>
      <c r="G92" s="13">
        <v>91</v>
      </c>
      <c r="H92" s="13">
        <v>0.53998518306504273</v>
      </c>
      <c r="I92" s="13">
        <v>21.7668</v>
      </c>
      <c r="J92" s="13">
        <v>1</v>
      </c>
      <c r="K92" s="13">
        <v>0.89035004199957024</v>
      </c>
      <c r="L92" s="13">
        <v>0.43405655758739747</v>
      </c>
      <c r="M92" s="13">
        <v>0.26339962108225906</v>
      </c>
      <c r="O92" s="102">
        <v>0.7</v>
      </c>
      <c r="P92" s="99">
        <v>0</v>
      </c>
    </row>
    <row r="93" spans="1:19" ht="15.75" thickBot="1" x14ac:dyDescent="0.3">
      <c r="A93" s="13">
        <v>0.56000000000000005</v>
      </c>
      <c r="B93" s="13">
        <v>25.5</v>
      </c>
      <c r="G93" s="13">
        <v>92</v>
      </c>
      <c r="H93" s="13">
        <v>0.50763321957978869</v>
      </c>
      <c r="I93" s="13">
        <v>19.796399999999998</v>
      </c>
      <c r="J93" s="13">
        <v>1</v>
      </c>
      <c r="K93" s="13">
        <v>0.52306028915132308</v>
      </c>
      <c r="L93" s="13">
        <v>0.22368956658153463</v>
      </c>
      <c r="M93" s="13">
        <v>0.40044944457194231</v>
      </c>
      <c r="O93" s="100" t="s">
        <v>171</v>
      </c>
      <c r="P93" s="100">
        <v>0</v>
      </c>
    </row>
    <row r="94" spans="1:19" x14ac:dyDescent="0.25">
      <c r="A94" s="13">
        <v>0.56499999999999995</v>
      </c>
      <c r="B94" s="13">
        <v>25.75</v>
      </c>
      <c r="G94" s="13">
        <v>93</v>
      </c>
      <c r="H94" s="13">
        <v>0.50776137440195124</v>
      </c>
      <c r="I94" s="13">
        <v>19.828600000000002</v>
      </c>
      <c r="J94" s="13">
        <v>1</v>
      </c>
      <c r="K94" s="13">
        <v>0.52447824070672133</v>
      </c>
      <c r="L94" s="13">
        <v>0.36682343253972455</v>
      </c>
      <c r="M94" s="13">
        <v>0.30653561637452592</v>
      </c>
    </row>
    <row r="95" spans="1:19" x14ac:dyDescent="0.25">
      <c r="A95" s="13">
        <v>0.56999999999999995</v>
      </c>
      <c r="B95" s="13">
        <v>26</v>
      </c>
      <c r="G95" s="13">
        <v>94</v>
      </c>
      <c r="H95" s="13">
        <v>0.45463784009492297</v>
      </c>
      <c r="I95" s="13">
        <v>19.781600000000001</v>
      </c>
      <c r="J95" s="13">
        <v>0</v>
      </c>
      <c r="K95" s="13">
        <v>0.7907615662194406</v>
      </c>
      <c r="L95" s="13">
        <v>0.60724828590330737</v>
      </c>
      <c r="M95" s="13">
        <v>0.11280162292617708</v>
      </c>
    </row>
    <row r="96" spans="1:19" x14ac:dyDescent="0.25">
      <c r="A96" s="13">
        <v>0.57499999999999996</v>
      </c>
      <c r="B96" s="13">
        <v>26.25</v>
      </c>
      <c r="G96" s="13">
        <v>95</v>
      </c>
      <c r="H96" s="13">
        <v>0.43317497185623383</v>
      </c>
      <c r="I96" s="13">
        <v>21.706600000000002</v>
      </c>
      <c r="J96" s="13">
        <v>0</v>
      </c>
      <c r="K96" s="13">
        <v>0.50244039526751361</v>
      </c>
      <c r="L96" s="13">
        <v>9.4366553126558159E-2</v>
      </c>
      <c r="M96" s="13">
        <v>0.71951743307748717</v>
      </c>
    </row>
    <row r="97" spans="1:13" x14ac:dyDescent="0.25">
      <c r="A97" s="13">
        <v>0.57999999999999996</v>
      </c>
      <c r="B97" s="13">
        <v>26.5</v>
      </c>
      <c r="G97" s="13">
        <v>96</v>
      </c>
      <c r="H97" s="13">
        <v>0.44623058733517496</v>
      </c>
      <c r="I97" s="13">
        <v>23.531199999999998</v>
      </c>
      <c r="J97" s="13">
        <v>0</v>
      </c>
      <c r="K97" s="13">
        <v>0.69564372787628226</v>
      </c>
      <c r="L97" s="13">
        <v>0.41045482611899037</v>
      </c>
      <c r="M97" s="13">
        <v>0.55648407835680336</v>
      </c>
    </row>
    <row r="98" spans="1:13" x14ac:dyDescent="0.25">
      <c r="A98" s="13">
        <v>0.58499999999999996</v>
      </c>
      <c r="B98" s="13">
        <v>26.75</v>
      </c>
      <c r="G98" s="13">
        <v>97</v>
      </c>
      <c r="H98" s="13">
        <v>0.5444730439597808</v>
      </c>
      <c r="I98" s="13">
        <v>22.944400000000002</v>
      </c>
      <c r="J98" s="13">
        <v>1</v>
      </c>
      <c r="K98" s="13">
        <v>0.98445263598321864</v>
      </c>
      <c r="L98" s="13">
        <v>0.14994524846901455</v>
      </c>
      <c r="M98" s="13">
        <v>0.51111923022987704</v>
      </c>
    </row>
    <row r="99" spans="1:13" x14ac:dyDescent="0.25">
      <c r="A99" s="13">
        <v>0.59</v>
      </c>
      <c r="B99" s="13">
        <v>27</v>
      </c>
      <c r="G99" s="13">
        <v>98</v>
      </c>
      <c r="H99" s="13">
        <v>0.44808409429422968</v>
      </c>
      <c r="I99" s="13">
        <v>18.8461</v>
      </c>
      <c r="J99" s="13">
        <v>0</v>
      </c>
      <c r="K99" s="13">
        <v>0.7196975751783391</v>
      </c>
      <c r="L99" s="13">
        <v>0.32578089271018551</v>
      </c>
      <c r="M99" s="13">
        <v>0.27837407082401999</v>
      </c>
    </row>
    <row r="100" spans="1:13" x14ac:dyDescent="0.25">
      <c r="A100" s="13">
        <v>0.59499999999999997</v>
      </c>
      <c r="B100" s="13">
        <v>27.25</v>
      </c>
      <c r="G100" s="13">
        <v>99</v>
      </c>
      <c r="H100" s="13">
        <v>0.45562507122976847</v>
      </c>
      <c r="I100" s="13">
        <v>16.990400000000001</v>
      </c>
      <c r="J100" s="13">
        <v>0</v>
      </c>
      <c r="K100" s="13">
        <v>0.80152948743626018</v>
      </c>
      <c r="L100" s="13">
        <v>5.8814901667733059E-2</v>
      </c>
      <c r="M100" s="13">
        <v>0.29835841426649445</v>
      </c>
    </row>
    <row r="101" spans="1:13" x14ac:dyDescent="0.25">
      <c r="A101" s="13">
        <v>0.6</v>
      </c>
      <c r="B101" s="13">
        <v>27.5</v>
      </c>
      <c r="G101" s="13">
        <v>100</v>
      </c>
      <c r="H101" s="13">
        <v>0.4373452072717075</v>
      </c>
      <c r="I101" s="13">
        <v>20.499700000000001</v>
      </c>
      <c r="J101" s="13">
        <v>0</v>
      </c>
      <c r="K101" s="13">
        <v>0.56633764360994954</v>
      </c>
      <c r="L101" s="13">
        <v>0.33481731889947441</v>
      </c>
      <c r="M101" s="13">
        <v>0.4349581579430607</v>
      </c>
    </row>
    <row r="102" spans="1:13" x14ac:dyDescent="0.25">
      <c r="A102" s="13">
        <v>0.60499999999999998</v>
      </c>
      <c r="B102" s="13">
        <v>27.75</v>
      </c>
    </row>
    <row r="103" spans="1:13" x14ac:dyDescent="0.25">
      <c r="A103" s="13">
        <v>0.61</v>
      </c>
      <c r="B103" s="13">
        <v>28</v>
      </c>
    </row>
    <row r="104" spans="1:13" x14ac:dyDescent="0.25">
      <c r="A104" s="13">
        <v>0.61499999999999999</v>
      </c>
      <c r="B104" s="13">
        <v>28.25</v>
      </c>
    </row>
    <row r="105" spans="1:13" x14ac:dyDescent="0.25">
      <c r="A105" s="13">
        <v>0.62</v>
      </c>
      <c r="B105" s="13">
        <v>28.5</v>
      </c>
    </row>
    <row r="106" spans="1:13" x14ac:dyDescent="0.25">
      <c r="A106" s="13">
        <v>0.625</v>
      </c>
      <c r="B106" s="13">
        <v>28.75</v>
      </c>
    </row>
    <row r="107" spans="1:13" x14ac:dyDescent="0.25">
      <c r="A107" s="13">
        <v>0.63</v>
      </c>
      <c r="B107" s="13">
        <v>29</v>
      </c>
    </row>
    <row r="108" spans="1:13" x14ac:dyDescent="0.25">
      <c r="A108" s="13">
        <v>0.63500000000000001</v>
      </c>
      <c r="B108" s="13">
        <v>29.25</v>
      </c>
    </row>
    <row r="109" spans="1:13" x14ac:dyDescent="0.25">
      <c r="A109" s="13">
        <v>0.64</v>
      </c>
      <c r="B109" s="13">
        <v>29.5</v>
      </c>
    </row>
    <row r="110" spans="1:13" x14ac:dyDescent="0.25">
      <c r="A110" s="13">
        <v>0.64500000000000002</v>
      </c>
      <c r="B110" s="13">
        <v>29.75</v>
      </c>
    </row>
    <row r="111" spans="1:13" x14ac:dyDescent="0.25">
      <c r="A111" s="13">
        <v>0.65</v>
      </c>
      <c r="B111" s="13">
        <v>30</v>
      </c>
    </row>
    <row r="112" spans="1:13" x14ac:dyDescent="0.25">
      <c r="A112" s="13">
        <v>0.65500000000000003</v>
      </c>
      <c r="B112" s="13">
        <v>30.25</v>
      </c>
    </row>
    <row r="113" spans="1:2" x14ac:dyDescent="0.25">
      <c r="A113" s="13">
        <v>0.66</v>
      </c>
      <c r="B113" s="13">
        <v>30.5</v>
      </c>
    </row>
    <row r="114" spans="1:2" x14ac:dyDescent="0.25">
      <c r="A114" s="13">
        <v>0.66500000000000004</v>
      </c>
    </row>
    <row r="115" spans="1:2" x14ac:dyDescent="0.25">
      <c r="A115" s="13">
        <v>0.67</v>
      </c>
    </row>
    <row r="116" spans="1:2" x14ac:dyDescent="0.25">
      <c r="A116" s="13">
        <v>0.67500000000000004</v>
      </c>
    </row>
    <row r="117" spans="1:2" x14ac:dyDescent="0.25">
      <c r="A117" s="13">
        <v>0.68</v>
      </c>
    </row>
    <row r="118" spans="1:2" x14ac:dyDescent="0.25">
      <c r="A118" s="13">
        <v>0.68500000000000005</v>
      </c>
    </row>
    <row r="119" spans="1:2" x14ac:dyDescent="0.25">
      <c r="A119" s="13">
        <v>0.69</v>
      </c>
    </row>
    <row r="120" spans="1:2" x14ac:dyDescent="0.25">
      <c r="A120" s="13">
        <v>0.69499999999999995</v>
      </c>
    </row>
    <row r="121" spans="1:2" x14ac:dyDescent="0.25">
      <c r="A121" s="13">
        <v>0.7</v>
      </c>
    </row>
  </sheetData>
  <sheetProtection selectLockedCells="1"/>
  <sortState xmlns:xlrd2="http://schemas.microsoft.com/office/spreadsheetml/2017/richdata2" ref="R2:R84">
    <sortCondition ref="R2"/>
  </sortState>
  <mergeCells count="2">
    <mergeCell ref="B2:E2"/>
    <mergeCell ref="B3:E3"/>
  </mergeCells>
  <dataValidations count="2">
    <dataValidation type="list" allowBlank="1" showInputMessage="1" showErrorMessage="1" sqref="B2" xr:uid="{00000000-0002-0000-0500-000000000000}">
      <formula1>Scenarios</formula1>
    </dataValidation>
    <dataValidation type="whole" allowBlank="1" showInputMessage="1" showErrorMessage="1" sqref="B3:E3" xr:uid="{00000000-0002-0000-0500-000001000000}">
      <formula1>100</formula1>
      <formula2>1000000</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3" r:id="rId4" name="Button 5">
              <controlPr defaultSize="0" print="0" autoFill="0" autoPict="0" macro="[0]!run">
                <anchor moveWithCells="1" sizeWithCells="1">
                  <from>
                    <xdr:col>0</xdr:col>
                    <xdr:colOff>200025</xdr:colOff>
                    <xdr:row>8</xdr:row>
                    <xdr:rowOff>180975</xdr:rowOff>
                  </from>
                  <to>
                    <xdr:col>2</xdr:col>
                    <xdr:colOff>247650</xdr:colOff>
                    <xdr:row>11</xdr:row>
                    <xdr:rowOff>95250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theme="9"/>
  </sheetPr>
  <dimension ref="A1:Z54"/>
  <sheetViews>
    <sheetView workbookViewId="0">
      <selection activeCell="I11" sqref="I11"/>
    </sheetView>
  </sheetViews>
  <sheetFormatPr defaultRowHeight="15" x14ac:dyDescent="0.25"/>
  <cols>
    <col min="1" max="1" width="26.42578125" style="146" bestFit="1" customWidth="1"/>
    <col min="2" max="2" width="5.28515625" style="146" bestFit="1" customWidth="1"/>
    <col min="3" max="3" width="7.85546875" style="146" bestFit="1" customWidth="1"/>
    <col min="4" max="4" width="21.140625" style="146" bestFit="1" customWidth="1"/>
    <col min="5" max="5" width="8" style="146" bestFit="1" customWidth="1"/>
    <col min="6" max="6" width="10.7109375" style="146" bestFit="1" customWidth="1"/>
    <col min="7" max="7" width="2.7109375" style="146" customWidth="1"/>
    <col min="8" max="8" width="20.7109375" style="146" bestFit="1" customWidth="1"/>
    <col min="9" max="9" width="9.140625" style="146"/>
    <col min="10" max="10" width="10.85546875" style="160" bestFit="1" customWidth="1"/>
    <col min="11" max="11" width="2.7109375" style="146" customWidth="1"/>
    <col min="12" max="12" width="22.5703125" style="146" bestFit="1" customWidth="1"/>
    <col min="13" max="13" width="9" style="146" bestFit="1" customWidth="1"/>
    <col min="14" max="14" width="10.85546875" style="160" bestFit="1" customWidth="1"/>
    <col min="15" max="15" width="2.7109375" style="146" customWidth="1"/>
    <col min="16" max="16" width="20.7109375" style="146" bestFit="1" customWidth="1"/>
    <col min="17" max="17" width="9.140625" style="146"/>
    <col min="18" max="18" width="10.85546875" style="160" bestFit="1" customWidth="1"/>
    <col min="19" max="19" width="2.7109375" style="146" customWidth="1"/>
    <col min="20" max="20" width="21.5703125" style="146" bestFit="1" customWidth="1"/>
    <col min="21" max="21" width="9.140625" style="146"/>
    <col min="22" max="22" width="8.85546875" style="160" bestFit="1" customWidth="1"/>
    <col min="23" max="23" width="2.7109375" style="146" customWidth="1"/>
    <col min="24" max="24" width="13.42578125" style="146" bestFit="1" customWidth="1"/>
    <col min="25" max="25" width="10.42578125" style="146" customWidth="1"/>
    <col min="26" max="26" width="10.85546875" style="160" bestFit="1" customWidth="1"/>
    <col min="27" max="16384" width="9.140625" style="146"/>
  </cols>
  <sheetData>
    <row r="1" spans="1:26" x14ac:dyDescent="0.25">
      <c r="A1" s="194" t="s">
        <v>114</v>
      </c>
      <c r="B1" s="194"/>
      <c r="C1" s="194"/>
      <c r="D1" s="194"/>
      <c r="E1" s="194"/>
      <c r="F1" s="145"/>
      <c r="H1" s="193" t="s">
        <v>115</v>
      </c>
      <c r="I1" s="193"/>
      <c r="J1" s="193"/>
      <c r="K1" s="193"/>
      <c r="L1" s="193"/>
      <c r="M1" s="193"/>
      <c r="N1" s="193"/>
      <c r="O1" s="193"/>
      <c r="P1" s="193"/>
      <c r="Q1" s="193"/>
      <c r="R1" s="193"/>
      <c r="S1" s="193"/>
      <c r="T1" s="193"/>
      <c r="U1" s="193"/>
      <c r="V1" s="193"/>
      <c r="W1" s="193"/>
      <c r="X1" s="193"/>
      <c r="Y1" s="193"/>
      <c r="Z1" s="193"/>
    </row>
    <row r="2" spans="1:26" x14ac:dyDescent="0.25">
      <c r="A2" s="195" t="s">
        <v>5</v>
      </c>
      <c r="B2" s="195"/>
      <c r="C2" s="147"/>
      <c r="D2" s="195" t="s">
        <v>6</v>
      </c>
      <c r="E2" s="195"/>
      <c r="F2" s="148"/>
      <c r="H2" s="193" t="s">
        <v>66</v>
      </c>
      <c r="I2" s="193"/>
      <c r="J2" s="193"/>
      <c r="K2" s="193"/>
      <c r="L2" s="193"/>
      <c r="M2" s="193"/>
      <c r="N2" s="193"/>
      <c r="P2" s="193" t="s">
        <v>67</v>
      </c>
      <c r="Q2" s="193"/>
      <c r="R2" s="193"/>
      <c r="S2" s="193"/>
      <c r="T2" s="193"/>
      <c r="U2" s="193"/>
      <c r="V2" s="193"/>
      <c r="X2" s="193" t="s">
        <v>63</v>
      </c>
      <c r="Y2" s="193"/>
      <c r="Z2" s="193"/>
    </row>
    <row r="3" spans="1:26" x14ac:dyDescent="0.25">
      <c r="A3" s="149" t="s">
        <v>22</v>
      </c>
      <c r="B3" s="27">
        <v>-1.6818759644785319</v>
      </c>
      <c r="D3" s="149" t="s">
        <v>8</v>
      </c>
      <c r="E3" s="149">
        <v>1262990</v>
      </c>
      <c r="F3" s="150"/>
      <c r="H3" s="197" t="s">
        <v>46</v>
      </c>
      <c r="I3" s="197"/>
      <c r="J3" s="197"/>
      <c r="L3" s="197" t="s">
        <v>62</v>
      </c>
      <c r="M3" s="197"/>
      <c r="N3" s="197"/>
      <c r="P3" s="197" t="s">
        <v>76</v>
      </c>
      <c r="Q3" s="197"/>
      <c r="R3" s="197"/>
      <c r="T3" s="197" t="s">
        <v>83</v>
      </c>
      <c r="U3" s="197"/>
      <c r="V3" s="197"/>
      <c r="X3" s="197" t="s">
        <v>63</v>
      </c>
      <c r="Y3" s="197"/>
      <c r="Z3" s="197"/>
    </row>
    <row r="4" spans="1:26" x14ac:dyDescent="0.25">
      <c r="A4" s="149" t="s">
        <v>24</v>
      </c>
      <c r="B4" s="27">
        <v>-0.5</v>
      </c>
      <c r="D4" s="149" t="s">
        <v>18</v>
      </c>
      <c r="E4" s="151">
        <v>125.83701360544217</v>
      </c>
      <c r="F4" s="152"/>
      <c r="H4" s="149" t="s">
        <v>47</v>
      </c>
      <c r="I4" s="28">
        <v>5</v>
      </c>
      <c r="J4" s="151" t="s">
        <v>149</v>
      </c>
      <c r="L4" s="114" t="s">
        <v>291</v>
      </c>
      <c r="M4" s="29">
        <v>75</v>
      </c>
      <c r="N4" s="153" t="s">
        <v>174</v>
      </c>
      <c r="P4" s="149" t="s">
        <v>72</v>
      </c>
      <c r="Q4" s="28">
        <v>7.4999999999999997E-2</v>
      </c>
      <c r="R4" s="154" t="s">
        <v>156</v>
      </c>
      <c r="T4" s="114" t="s">
        <v>293</v>
      </c>
      <c r="U4" s="29">
        <v>50</v>
      </c>
      <c r="V4" s="153" t="s">
        <v>175</v>
      </c>
      <c r="X4" s="149" t="s">
        <v>64</v>
      </c>
      <c r="Y4" s="29">
        <v>0.5</v>
      </c>
      <c r="Z4" s="153" t="s">
        <v>169</v>
      </c>
    </row>
    <row r="5" spans="1:26" x14ac:dyDescent="0.25">
      <c r="A5" s="149" t="s">
        <v>23</v>
      </c>
      <c r="B5" s="27">
        <v>0.1</v>
      </c>
      <c r="D5" s="149" t="s">
        <v>19</v>
      </c>
      <c r="E5" s="151">
        <v>99.464329931972784</v>
      </c>
      <c r="F5" s="152"/>
      <c r="H5" s="149" t="s">
        <v>48</v>
      </c>
      <c r="I5" s="29">
        <v>8</v>
      </c>
      <c r="J5" s="155" t="s">
        <v>176</v>
      </c>
      <c r="L5" s="114" t="s">
        <v>292</v>
      </c>
      <c r="M5" s="156">
        <f>M4*-2</f>
        <v>-150</v>
      </c>
      <c r="N5" s="157"/>
      <c r="P5" s="149" t="s">
        <v>92</v>
      </c>
      <c r="Q5" s="28">
        <v>0.03</v>
      </c>
      <c r="R5" s="154" t="s">
        <v>157</v>
      </c>
      <c r="T5" s="114" t="s">
        <v>294</v>
      </c>
      <c r="U5" s="156">
        <f>U4*-2</f>
        <v>-100</v>
      </c>
      <c r="V5" s="157"/>
      <c r="X5" s="114" t="s">
        <v>65</v>
      </c>
      <c r="Y5" s="158">
        <f>Y4*52</f>
        <v>26</v>
      </c>
      <c r="Z5" s="159"/>
    </row>
    <row r="6" spans="1:26" x14ac:dyDescent="0.25">
      <c r="A6" s="149" t="s">
        <v>87</v>
      </c>
      <c r="B6" s="144">
        <v>0.08</v>
      </c>
      <c r="D6" s="149" t="s">
        <v>20</v>
      </c>
      <c r="E6" s="151">
        <v>57.176762566137576</v>
      </c>
      <c r="F6" s="152"/>
      <c r="H6" s="149" t="s">
        <v>49</v>
      </c>
      <c r="I6" s="158">
        <f>I4*I5</f>
        <v>40</v>
      </c>
      <c r="J6" s="159"/>
      <c r="P6" s="149" t="s">
        <v>73</v>
      </c>
      <c r="Q6" s="28">
        <v>0.01</v>
      </c>
      <c r="R6" s="154" t="s">
        <v>158</v>
      </c>
    </row>
    <row r="7" spans="1:26" x14ac:dyDescent="0.25">
      <c r="A7" s="149" t="s">
        <v>94</v>
      </c>
      <c r="B7" s="144">
        <v>5.0000000000000001E-3</v>
      </c>
      <c r="D7" s="149" t="s">
        <v>21</v>
      </c>
      <c r="E7" s="151">
        <v>76.398220899470914</v>
      </c>
      <c r="F7" s="152"/>
      <c r="P7" s="149" t="s">
        <v>81</v>
      </c>
      <c r="Q7" s="28">
        <v>350</v>
      </c>
      <c r="R7" s="154" t="s">
        <v>159</v>
      </c>
      <c r="X7" s="193" t="s">
        <v>170</v>
      </c>
      <c r="Y7" s="193"/>
      <c r="Z7" s="193"/>
    </row>
    <row r="8" spans="1:26" x14ac:dyDescent="0.25">
      <c r="A8" s="149" t="s">
        <v>301</v>
      </c>
      <c r="B8" s="27">
        <v>-0.49794524633516474</v>
      </c>
      <c r="D8" s="149" t="s">
        <v>3</v>
      </c>
      <c r="E8" s="151">
        <f>E4/100</f>
        <v>1.2583701360544217</v>
      </c>
      <c r="F8" s="152"/>
      <c r="H8" s="197" t="s">
        <v>50</v>
      </c>
      <c r="I8" s="197"/>
      <c r="J8" s="197"/>
      <c r="P8" s="149" t="s">
        <v>173</v>
      </c>
      <c r="Q8" s="28">
        <v>500</v>
      </c>
      <c r="R8" s="154" t="s">
        <v>160</v>
      </c>
      <c r="X8" s="197" t="s">
        <v>57</v>
      </c>
      <c r="Y8" s="197"/>
      <c r="Z8" s="197"/>
    </row>
    <row r="9" spans="1:26" x14ac:dyDescent="0.25">
      <c r="A9" s="149" t="s">
        <v>39</v>
      </c>
      <c r="B9" s="27">
        <v>0.15842058236367898</v>
      </c>
      <c r="D9" s="149" t="s">
        <v>4</v>
      </c>
      <c r="E9" s="151">
        <f>E5/100</f>
        <v>0.99464329931972784</v>
      </c>
      <c r="F9" s="152"/>
      <c r="H9" s="149" t="s">
        <v>51</v>
      </c>
      <c r="I9" s="28">
        <v>0.5</v>
      </c>
      <c r="J9" s="151" t="s">
        <v>150</v>
      </c>
      <c r="P9" s="149" t="s">
        <v>82</v>
      </c>
      <c r="Q9" s="28">
        <v>850</v>
      </c>
      <c r="R9" s="154" t="s">
        <v>161</v>
      </c>
      <c r="X9" s="149" t="s">
        <v>56</v>
      </c>
      <c r="Y9" s="30">
        <v>-22</v>
      </c>
      <c r="Z9" s="153" t="s">
        <v>290</v>
      </c>
    </row>
    <row r="10" spans="1:26" x14ac:dyDescent="0.25">
      <c r="A10" s="149" t="s">
        <v>28</v>
      </c>
      <c r="B10" s="27">
        <v>0</v>
      </c>
      <c r="D10" s="149" t="s">
        <v>1</v>
      </c>
      <c r="E10" s="151">
        <f>E6/100</f>
        <v>0.57176762566137573</v>
      </c>
      <c r="F10" s="152"/>
      <c r="H10" s="149" t="s">
        <v>52</v>
      </c>
      <c r="I10" s="28">
        <v>0.22500000000000001</v>
      </c>
      <c r="J10" s="151" t="s">
        <v>151</v>
      </c>
      <c r="P10" s="149" t="s">
        <v>74</v>
      </c>
      <c r="Q10" s="29">
        <v>2.2599999999999998</v>
      </c>
      <c r="R10" s="153" t="s">
        <v>162</v>
      </c>
      <c r="X10" s="149" t="s">
        <v>58</v>
      </c>
      <c r="Y10" s="30">
        <v>-20</v>
      </c>
      <c r="Z10" s="153" t="s">
        <v>152</v>
      </c>
    </row>
    <row r="11" spans="1:26" x14ac:dyDescent="0.25">
      <c r="A11" s="149" t="s">
        <v>29</v>
      </c>
      <c r="B11" s="27">
        <v>4.77602865385931E-2</v>
      </c>
      <c r="D11" s="149" t="s">
        <v>2</v>
      </c>
      <c r="E11" s="151">
        <f>E7/100</f>
        <v>0.76398220899470914</v>
      </c>
      <c r="F11" s="152"/>
      <c r="H11" s="149" t="s">
        <v>79</v>
      </c>
      <c r="I11" s="28">
        <v>20</v>
      </c>
      <c r="J11" s="151" t="s">
        <v>152</v>
      </c>
      <c r="P11" s="149" t="s">
        <v>93</v>
      </c>
      <c r="Q11" s="29">
        <v>1.56</v>
      </c>
      <c r="R11" s="153" t="s">
        <v>163</v>
      </c>
      <c r="X11" s="149" t="s">
        <v>59</v>
      </c>
      <c r="Y11" s="156">
        <f>Y10+Y9</f>
        <v>-42</v>
      </c>
      <c r="Z11" s="157"/>
    </row>
    <row r="12" spans="1:26" x14ac:dyDescent="0.25">
      <c r="A12" s="149" t="s">
        <v>302</v>
      </c>
      <c r="B12" s="27">
        <v>3.5081877265399949E-2</v>
      </c>
      <c r="H12" s="149" t="s">
        <v>80</v>
      </c>
      <c r="I12" s="28">
        <v>26</v>
      </c>
      <c r="J12" s="151" t="s">
        <v>153</v>
      </c>
      <c r="P12" s="149" t="s">
        <v>75</v>
      </c>
      <c r="Q12" s="29">
        <v>1.8</v>
      </c>
      <c r="R12" s="153" t="s">
        <v>164</v>
      </c>
    </row>
    <row r="13" spans="1:26" x14ac:dyDescent="0.25">
      <c r="A13" s="149" t="s">
        <v>32</v>
      </c>
      <c r="B13" s="27">
        <v>0.75</v>
      </c>
      <c r="H13" s="149" t="s">
        <v>60</v>
      </c>
      <c r="I13" s="29">
        <v>4.5999999999999996</v>
      </c>
      <c r="J13" s="155" t="s">
        <v>154</v>
      </c>
      <c r="P13" s="149" t="s">
        <v>78</v>
      </c>
      <c r="Q13" s="163">
        <f>Q4*Q7*Q10+Q5*Q8*Q11+Q6*Q9*Q12</f>
        <v>98.024999999999991</v>
      </c>
      <c r="R13" s="152"/>
    </row>
    <row r="14" spans="1:26" x14ac:dyDescent="0.25">
      <c r="A14" s="149" t="s">
        <v>33</v>
      </c>
      <c r="B14" s="27">
        <v>0.14285714285714285</v>
      </c>
      <c r="H14" s="149" t="s">
        <v>61</v>
      </c>
      <c r="I14" s="29">
        <v>3.3</v>
      </c>
      <c r="J14" s="155" t="s">
        <v>155</v>
      </c>
    </row>
    <row r="15" spans="1:26" x14ac:dyDescent="0.25">
      <c r="A15" s="149" t="s">
        <v>26</v>
      </c>
      <c r="B15" s="27">
        <v>6.2292046982130733</v>
      </c>
      <c r="H15" s="149" t="s">
        <v>53</v>
      </c>
      <c r="I15" s="158">
        <f>I9*I11*I13+I10*I12*I14</f>
        <v>65.305000000000007</v>
      </c>
      <c r="J15" s="159"/>
      <c r="P15" s="197" t="s">
        <v>77</v>
      </c>
      <c r="Q15" s="197"/>
      <c r="R15" s="197"/>
    </row>
    <row r="16" spans="1:26" x14ac:dyDescent="0.25">
      <c r="A16" s="149" t="s">
        <v>27</v>
      </c>
      <c r="B16" s="27">
        <v>2.6398198045765004E-2</v>
      </c>
      <c r="P16" s="149" t="s">
        <v>181</v>
      </c>
      <c r="Q16" s="31">
        <v>-3</v>
      </c>
      <c r="R16" s="154" t="s">
        <v>165</v>
      </c>
    </row>
    <row r="17" spans="1:21" x14ac:dyDescent="0.25">
      <c r="A17" s="164" t="s">
        <v>303</v>
      </c>
      <c r="B17" s="27">
        <v>0.10764786988436786</v>
      </c>
      <c r="H17" s="196" t="s">
        <v>54</v>
      </c>
      <c r="I17" s="196"/>
      <c r="J17" s="196"/>
      <c r="P17" s="149" t="s">
        <v>89</v>
      </c>
      <c r="Q17" s="31">
        <v>-3</v>
      </c>
      <c r="R17" s="154" t="s">
        <v>165</v>
      </c>
    </row>
    <row r="18" spans="1:21" x14ac:dyDescent="0.25">
      <c r="A18" s="149" t="s">
        <v>36</v>
      </c>
      <c r="B18" s="27">
        <v>2.569257670522835E-2</v>
      </c>
      <c r="H18" s="149" t="s">
        <v>90</v>
      </c>
      <c r="I18" s="165">
        <f>-0.08*I15</f>
        <v>-5.224400000000001</v>
      </c>
      <c r="J18" s="166"/>
      <c r="P18" s="149" t="s">
        <v>88</v>
      </c>
      <c r="Q18" s="31">
        <v>-2.5</v>
      </c>
      <c r="R18" s="154" t="s">
        <v>166</v>
      </c>
      <c r="U18" s="167"/>
    </row>
    <row r="19" spans="1:21" x14ac:dyDescent="0.25">
      <c r="A19" s="149" t="s">
        <v>37</v>
      </c>
      <c r="B19" s="27">
        <v>0.15335050027792246</v>
      </c>
      <c r="H19" s="149" t="s">
        <v>177</v>
      </c>
      <c r="I19" s="30">
        <v>-16</v>
      </c>
      <c r="J19" s="168" t="s">
        <v>178</v>
      </c>
      <c r="P19" s="149" t="s">
        <v>180</v>
      </c>
      <c r="Q19" s="31">
        <v>-1</v>
      </c>
      <c r="R19" s="169" t="s">
        <v>182</v>
      </c>
    </row>
    <row r="20" spans="1:21" x14ac:dyDescent="0.25">
      <c r="A20" s="149" t="s">
        <v>34</v>
      </c>
      <c r="B20" s="27">
        <v>-1.6231872599735155</v>
      </c>
      <c r="H20" s="149" t="s">
        <v>181</v>
      </c>
      <c r="I20" s="30">
        <v>-7</v>
      </c>
      <c r="J20" s="168" t="s">
        <v>179</v>
      </c>
      <c r="P20" s="149" t="s">
        <v>90</v>
      </c>
      <c r="Q20" s="156">
        <f>-0.08*Q13</f>
        <v>-7.8419999999999996</v>
      </c>
      <c r="R20" s="157"/>
    </row>
    <row r="21" spans="1:21" x14ac:dyDescent="0.25">
      <c r="A21" s="149" t="s">
        <v>35</v>
      </c>
      <c r="B21" s="27">
        <v>0.28279924273397272</v>
      </c>
      <c r="H21" s="149" t="s">
        <v>91</v>
      </c>
      <c r="I21" s="165">
        <f>I20+I18+I19</f>
        <v>-28.224400000000003</v>
      </c>
      <c r="J21" s="166"/>
      <c r="L21" s="167"/>
      <c r="P21" s="149" t="s">
        <v>55</v>
      </c>
      <c r="Q21" s="170">
        <f>SUM(Q16:Q20)</f>
        <v>-17.341999999999999</v>
      </c>
      <c r="R21" s="171"/>
    </row>
    <row r="22" spans="1:21" x14ac:dyDescent="0.25">
      <c r="A22" s="164" t="s">
        <v>304</v>
      </c>
      <c r="B22" s="27">
        <v>1.3351588464711015E-2</v>
      </c>
      <c r="I22" s="172"/>
      <c r="J22" s="173"/>
    </row>
    <row r="23" spans="1:21" x14ac:dyDescent="0.25">
      <c r="A23" s="164" t="s">
        <v>305</v>
      </c>
      <c r="B23" s="27">
        <v>1.2126281659613786E-2</v>
      </c>
      <c r="H23" s="174" t="s">
        <v>71</v>
      </c>
      <c r="I23" s="172">
        <f>I6+I15+I21</f>
        <v>77.080600000000004</v>
      </c>
      <c r="J23" s="173"/>
      <c r="P23" s="174" t="s">
        <v>71</v>
      </c>
      <c r="Q23" s="167">
        <f>Q13+Q21</f>
        <v>80.682999999999993</v>
      </c>
    </row>
    <row r="24" spans="1:21" x14ac:dyDescent="0.25">
      <c r="L24" s="175"/>
    </row>
    <row r="25" spans="1:21" x14ac:dyDescent="0.25">
      <c r="A25" s="148" t="s">
        <v>42</v>
      </c>
      <c r="B25" s="148"/>
      <c r="L25" s="175"/>
    </row>
    <row r="26" spans="1:21" x14ac:dyDescent="0.25">
      <c r="A26" s="149" t="s">
        <v>43</v>
      </c>
      <c r="B26" s="27">
        <v>7.0000000000000007E-2</v>
      </c>
      <c r="C26" s="149" t="s">
        <v>167</v>
      </c>
    </row>
    <row r="27" spans="1:21" x14ac:dyDescent="0.25">
      <c r="A27" s="149" t="s">
        <v>44</v>
      </c>
      <c r="B27" s="27">
        <v>0.8</v>
      </c>
    </row>
    <row r="28" spans="1:21" x14ac:dyDescent="0.25">
      <c r="A28" s="149" t="s">
        <v>45</v>
      </c>
      <c r="B28" s="27">
        <v>0.45</v>
      </c>
      <c r="H28" s="172"/>
    </row>
    <row r="29" spans="1:21" x14ac:dyDescent="0.25">
      <c r="L29" s="167"/>
    </row>
    <row r="31" spans="1:21" x14ac:dyDescent="0.25">
      <c r="F31" s="176"/>
    </row>
    <row r="32" spans="1:21" x14ac:dyDescent="0.25">
      <c r="F32" s="176"/>
    </row>
    <row r="33" spans="4:6" x14ac:dyDescent="0.25">
      <c r="F33" s="176"/>
    </row>
    <row r="47" spans="4:6" hidden="1" x14ac:dyDescent="0.25"/>
    <row r="48" spans="4:6" hidden="1" x14ac:dyDescent="0.25">
      <c r="D48" s="149" t="s">
        <v>120</v>
      </c>
      <c r="E48" s="161">
        <f>E49/2</f>
        <v>3.1</v>
      </c>
      <c r="F48" s="162" t="s">
        <v>318</v>
      </c>
    </row>
    <row r="49" spans="4:6" hidden="1" x14ac:dyDescent="0.25">
      <c r="D49" s="149" t="s">
        <v>108</v>
      </c>
      <c r="E49" s="161">
        <v>6.2</v>
      </c>
      <c r="F49" s="177" t="s">
        <v>317</v>
      </c>
    </row>
    <row r="50" spans="4:6" hidden="1" x14ac:dyDescent="0.25">
      <c r="D50" s="149" t="s">
        <v>25</v>
      </c>
      <c r="E50" s="162">
        <f>E49*2.3</f>
        <v>14.26</v>
      </c>
    </row>
    <row r="51" spans="4:6" hidden="1" x14ac:dyDescent="0.25"/>
    <row r="52" spans="4:6" hidden="1" x14ac:dyDescent="0.25"/>
    <row r="53" spans="4:6" hidden="1" x14ac:dyDescent="0.25"/>
    <row r="54" spans="4:6" hidden="1" x14ac:dyDescent="0.25"/>
  </sheetData>
  <sheetProtection algorithmName="SHA-512" hashValue="IgTBuWsR3niXJIN2WRlNCNoRPYViNOR7QzCqQhbc6ZSCSpsIjR+JGIlgHv0vbViiPcEToyTeo7erIGyGpvQtaQ==" saltValue="oZ0ynDdUBmFHsNz+scUV7g==" spinCount="100000" sheet="1" objects="1" scenarios="1" selectLockedCells="1"/>
  <mergeCells count="17">
    <mergeCell ref="T3:V3"/>
    <mergeCell ref="P2:V2"/>
    <mergeCell ref="A1:E1"/>
    <mergeCell ref="A2:B2"/>
    <mergeCell ref="D2:E2"/>
    <mergeCell ref="H17:J17"/>
    <mergeCell ref="H1:Z1"/>
    <mergeCell ref="P3:R3"/>
    <mergeCell ref="P15:R15"/>
    <mergeCell ref="L3:N3"/>
    <mergeCell ref="H2:N2"/>
    <mergeCell ref="H3:J3"/>
    <mergeCell ref="H8:J8"/>
    <mergeCell ref="X8:Z8"/>
    <mergeCell ref="X7:Z7"/>
    <mergeCell ref="X2:Z2"/>
    <mergeCell ref="X3:Z3"/>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theme="4" tint="-0.249977111117893"/>
  </sheetPr>
  <dimension ref="A1:AC489"/>
  <sheetViews>
    <sheetView workbookViewId="0">
      <selection activeCell="K17" sqref="K17"/>
    </sheetView>
  </sheetViews>
  <sheetFormatPr defaultRowHeight="15" x14ac:dyDescent="0.25"/>
  <cols>
    <col min="1" max="1" width="10.7109375" style="13" bestFit="1" customWidth="1"/>
    <col min="2" max="2" width="8.42578125" style="13" customWidth="1"/>
    <col min="3" max="3" width="4.85546875" style="13" bestFit="1" customWidth="1"/>
    <col min="4" max="4" width="6.5703125" style="13" bestFit="1" customWidth="1"/>
    <col min="5" max="5" width="8.5703125" style="13" bestFit="1" customWidth="1"/>
    <col min="6" max="6" width="8.5703125" style="13" customWidth="1"/>
    <col min="7" max="7" width="7.28515625" style="25" bestFit="1" customWidth="1"/>
    <col min="8" max="8" width="6" style="13" bestFit="1" customWidth="1"/>
    <col min="9" max="9" width="10.28515625" style="17" bestFit="1" customWidth="1"/>
    <col min="10" max="10" width="11.28515625" style="25" bestFit="1" customWidth="1"/>
    <col min="11" max="11" width="12.7109375" style="17" bestFit="1" customWidth="1"/>
    <col min="12" max="12" width="11.140625" style="17" bestFit="1" customWidth="1"/>
    <col min="13" max="13" width="12" style="17" bestFit="1" customWidth="1"/>
    <col min="14" max="14" width="12" style="17" customWidth="1"/>
    <col min="15" max="15" width="12.42578125" style="17" bestFit="1" customWidth="1"/>
    <col min="16" max="17" width="13.7109375" style="17" bestFit="1" customWidth="1"/>
    <col min="18" max="19" width="13.7109375" style="17" customWidth="1"/>
    <col min="20" max="20" width="19.28515625" style="25" bestFit="1" customWidth="1"/>
    <col min="21" max="21" width="19.7109375" style="17" bestFit="1" customWidth="1"/>
    <col min="22" max="22" width="13.85546875" style="25" bestFit="1" customWidth="1"/>
    <col min="23" max="23" width="13.5703125" style="17" bestFit="1" customWidth="1"/>
    <col min="24" max="24" width="14.42578125" style="13" bestFit="1" customWidth="1"/>
    <col min="25" max="25" width="19.85546875" style="13" bestFit="1" customWidth="1"/>
    <col min="26" max="26" width="10.28515625" style="13" bestFit="1" customWidth="1"/>
    <col min="27" max="27" width="11.85546875" style="13" bestFit="1" customWidth="1"/>
    <col min="28" max="28" width="11.5703125" style="25" bestFit="1" customWidth="1"/>
    <col min="29" max="31" width="9.140625" style="13"/>
    <col min="32" max="32" width="10.7109375" style="13" bestFit="1" customWidth="1"/>
    <col min="33" max="16384" width="9.140625" style="13"/>
  </cols>
  <sheetData>
    <row r="1" spans="1:28" ht="15.75" thickBot="1" x14ac:dyDescent="0.3">
      <c r="A1" s="133" t="s">
        <v>119</v>
      </c>
      <c r="B1" s="134" t="str">
        <f>'Model comparison'!B3</f>
        <v>390GL</v>
      </c>
      <c r="C1" s="135"/>
      <c r="D1" s="135"/>
      <c r="E1" s="136"/>
      <c r="F1" s="137" t="b">
        <f>'Model comparison'!B4</f>
        <v>1</v>
      </c>
      <c r="G1" s="138">
        <f>'Model comparison'!B5</f>
        <v>0.7367784268635158</v>
      </c>
      <c r="H1" s="138">
        <f>'Model comparison'!B7</f>
        <v>1</v>
      </c>
      <c r="I1" s="138">
        <f>'Model comparison'!B8</f>
        <v>1</v>
      </c>
      <c r="J1" s="139">
        <f>'Model comparison'!B9</f>
        <v>1</v>
      </c>
    </row>
    <row r="3" spans="1:28" ht="15.75" thickBot="1" x14ac:dyDescent="0.3">
      <c r="A3" s="5"/>
      <c r="B3" s="5"/>
      <c r="C3" s="7" t="s">
        <v>9</v>
      </c>
      <c r="D3" s="7" t="s">
        <v>0</v>
      </c>
      <c r="E3" s="7" t="s">
        <v>17</v>
      </c>
      <c r="F3" s="7" t="s">
        <v>298</v>
      </c>
      <c r="G3" s="8" t="s">
        <v>107</v>
      </c>
      <c r="H3" s="7" t="s">
        <v>7</v>
      </c>
      <c r="I3" s="9" t="s">
        <v>10</v>
      </c>
      <c r="J3" s="8" t="s">
        <v>11</v>
      </c>
      <c r="K3" s="9" t="s">
        <v>12</v>
      </c>
      <c r="L3" s="9" t="s">
        <v>14</v>
      </c>
      <c r="M3" s="9" t="s">
        <v>13</v>
      </c>
      <c r="N3" s="9" t="s">
        <v>31</v>
      </c>
      <c r="O3" s="9" t="s">
        <v>15</v>
      </c>
      <c r="P3" s="9" t="s">
        <v>16</v>
      </c>
      <c r="Q3" s="9" t="s">
        <v>30</v>
      </c>
      <c r="R3" s="9" t="s">
        <v>299</v>
      </c>
      <c r="S3" s="9" t="s">
        <v>300</v>
      </c>
      <c r="T3" s="8" t="s">
        <v>43</v>
      </c>
      <c r="U3" s="9" t="s">
        <v>44</v>
      </c>
      <c r="V3" s="8" t="s">
        <v>84</v>
      </c>
      <c r="W3" s="9" t="s">
        <v>85</v>
      </c>
      <c r="X3" s="9" t="s">
        <v>68</v>
      </c>
      <c r="Y3" s="9" t="s">
        <v>86</v>
      </c>
      <c r="Z3" s="9" t="s">
        <v>63</v>
      </c>
      <c r="AA3" s="9" t="s">
        <v>69</v>
      </c>
      <c r="AB3" s="8" t="s">
        <v>70</v>
      </c>
    </row>
    <row r="4" spans="1:28" x14ac:dyDescent="0.25">
      <c r="A4" s="61">
        <f>'Water runs'!C11</f>
        <v>2343</v>
      </c>
      <c r="B4" s="61" t="str">
        <f>'Water runs'!B11</f>
        <v>Autumn</v>
      </c>
      <c r="C4" s="54">
        <f>'Water runs'!D11/100</f>
        <v>0.64319999999999988</v>
      </c>
      <c r="D4" s="108">
        <f>VLOOKUP(ROW(D4)+4,'Water runs'!$BS$3:$CF$423,MATCH($B$1,Scenarios,0)+1)</f>
        <v>4.1446883981662561E-2</v>
      </c>
      <c r="E4" s="54">
        <f>IF(B4=Variables!$D$8,C4-Variables!$E$8,IF(B4=Variables!$D$9,C4-Variables!$E$9,IF(B4=Variables!$D$10,C4-Variables!$E$10,IF(B4=Variables!$D$11,C4-Variables!$E$11,"ELSE"))))</f>
        <v>-0.35144329931972795</v>
      </c>
      <c r="F4" s="108">
        <f>VLOOKUP(ROW(F4)+4,'Water runs'!$CH$3:$CU$423,MATCH($B$1,Scenarios,0)+1)</f>
        <v>0</v>
      </c>
      <c r="G4" s="56"/>
      <c r="H4" s="57"/>
      <c r="I4" s="57"/>
      <c r="J4" s="66"/>
      <c r="K4" s="57"/>
      <c r="L4" s="57"/>
      <c r="M4" s="57"/>
      <c r="N4" s="57"/>
      <c r="O4" s="57"/>
      <c r="P4" s="57"/>
      <c r="Q4" s="57"/>
      <c r="R4" s="57"/>
      <c r="S4" s="57"/>
      <c r="T4" s="66"/>
      <c r="U4" s="57"/>
      <c r="V4" s="66"/>
      <c r="W4" s="57"/>
      <c r="X4" s="57"/>
      <c r="Y4" s="57"/>
      <c r="Z4" s="57"/>
      <c r="AA4" s="57"/>
      <c r="AB4" s="68"/>
    </row>
    <row r="5" spans="1:28" x14ac:dyDescent="0.25">
      <c r="A5" s="61">
        <f>'Water runs'!C12</f>
        <v>2435</v>
      </c>
      <c r="B5" s="61" t="str">
        <f>'Water runs'!B12</f>
        <v>Winter</v>
      </c>
      <c r="C5" s="54">
        <f>'Water runs'!D12/100</f>
        <v>0.61060000000000003</v>
      </c>
      <c r="D5" s="108">
        <f>VLOOKUP(ROW(D5)+4,'Water runs'!$BS$3:$CF$423,MATCH($B$1,Scenarios,0)+1)</f>
        <v>0</v>
      </c>
      <c r="E5" s="54">
        <f>IF(B5=Variables!$D$8,C5-Variables!$E$8,IF(B5=Variables!$D$9,C5-Variables!$E$9,IF(B5=Variables!$D$10,C5-Variables!$E$10,IF(B5=Variables!$D$11,C5-Variables!$E$11,"ELSE"))))</f>
        <v>3.8832374338624298E-2</v>
      </c>
      <c r="F5" s="108">
        <f>VLOOKUP(ROW(F5)+4,'Water runs'!$CH$3:$CU$423,MATCH($B$1,Scenarios,0)+1)</f>
        <v>0</v>
      </c>
      <c r="G5" s="58"/>
      <c r="H5" s="17"/>
      <c r="X5" s="17"/>
      <c r="Y5" s="17"/>
      <c r="Z5" s="17"/>
      <c r="AA5" s="17"/>
      <c r="AB5" s="69"/>
    </row>
    <row r="6" spans="1:28" x14ac:dyDescent="0.25">
      <c r="A6" s="61">
        <f>'Water runs'!C13</f>
        <v>2526</v>
      </c>
      <c r="B6" s="61" t="str">
        <f>'Water runs'!B13</f>
        <v>Spring</v>
      </c>
      <c r="C6" s="54">
        <f>'Water runs'!D13/100</f>
        <v>1.4602000000000002</v>
      </c>
      <c r="D6" s="108">
        <f>VLOOKUP(ROW(D6)+4,'Water runs'!$BS$3:$CF$423,MATCH($B$1,Scenarios,0)+1)</f>
        <v>0</v>
      </c>
      <c r="E6" s="54">
        <f>IF(B6=Variables!$D$8,C6-Variables!$E$8,IF(B6=Variables!$D$9,C6-Variables!$E$9,IF(B6=Variables!$D$10,C6-Variables!$E$10,IF(B6=Variables!$D$11,C6-Variables!$E$11,"ELSE"))))</f>
        <v>0.69621779100529102</v>
      </c>
      <c r="F6" s="108">
        <f>VLOOKUP(ROW(F6)+4,'Water runs'!$CH$3:$CU$423,MATCH($B$1,Scenarios,0)+1)</f>
        <v>0</v>
      </c>
      <c r="G6" s="58"/>
      <c r="H6" s="17"/>
      <c r="X6" s="17"/>
      <c r="Y6" s="17"/>
      <c r="Z6" s="17"/>
      <c r="AA6" s="17"/>
      <c r="AB6" s="69"/>
    </row>
    <row r="7" spans="1:28" x14ac:dyDescent="0.25">
      <c r="A7" s="61">
        <f>'Water runs'!C14</f>
        <v>2616</v>
      </c>
      <c r="B7" s="61" t="str">
        <f>'Water runs'!B14</f>
        <v>Summer</v>
      </c>
      <c r="C7" s="54">
        <f>'Water runs'!D14/100</f>
        <v>1.9091999999999998</v>
      </c>
      <c r="D7" s="108">
        <f>VLOOKUP(ROW(D7)+4,'Water runs'!$BS$3:$CF$423,MATCH($B$1,Scenarios,0)+1)</f>
        <v>1.2074521571825589E-4</v>
      </c>
      <c r="E7" s="54">
        <f>IF(B7=Variables!$D$8,C7-Variables!$E$8,IF(B7=Variables!$D$9,C7-Variables!$E$9,IF(B7=Variables!$D$10,C7-Variables!$E$10,IF(B7=Variables!$D$11,C7-Variables!$E$11,"ELSE"))))</f>
        <v>0.65082986394557807</v>
      </c>
      <c r="F7" s="108">
        <f>VLOOKUP(ROW(F7)+4,'Water runs'!$CH$3:$CU$423,MATCH($B$1,Scenarios,0)+1)</f>
        <v>0</v>
      </c>
      <c r="G7" s="58"/>
      <c r="H7" s="17"/>
      <c r="X7" s="17"/>
      <c r="Y7" s="17"/>
      <c r="Z7" s="17"/>
      <c r="AA7" s="17"/>
      <c r="AB7" s="69"/>
    </row>
    <row r="8" spans="1:28" x14ac:dyDescent="0.25">
      <c r="A8" s="61">
        <f>'Water runs'!C15</f>
        <v>2708</v>
      </c>
      <c r="B8" s="61" t="str">
        <f>'Water runs'!B15</f>
        <v>Autumn</v>
      </c>
      <c r="C8" s="54">
        <f>'Water runs'!D15/100</f>
        <v>0.53560000000000008</v>
      </c>
      <c r="D8" s="108">
        <f>VLOOKUP(ROW(D8)+4,'Water runs'!$BS$3:$CF$423,MATCH($B$1,Scenarios,0)+1)</f>
        <v>0</v>
      </c>
      <c r="E8" s="54">
        <f>IF(B8=Variables!$D$8,C8-Variables!$E$8,IF(B8=Variables!$D$9,C8-Variables!$E$9,IF(B8=Variables!$D$10,C8-Variables!$E$10,IF(B8=Variables!$D$11,C8-Variables!$E$11,"ELSE"))))</f>
        <v>-0.45904329931972776</v>
      </c>
      <c r="F8" s="108">
        <f>VLOOKUP(ROW(F8)+4,'Water runs'!$CH$3:$CU$423,MATCH($B$1,Scenarios,0)+1)</f>
        <v>0</v>
      </c>
      <c r="G8" s="58"/>
      <c r="H8" s="17"/>
      <c r="X8" s="17"/>
      <c r="Y8" s="17"/>
      <c r="Z8" s="17"/>
      <c r="AA8" s="17"/>
      <c r="AB8" s="69"/>
    </row>
    <row r="9" spans="1:28" x14ac:dyDescent="0.25">
      <c r="A9" s="61">
        <f>'Water runs'!C16</f>
        <v>2800</v>
      </c>
      <c r="B9" s="61" t="str">
        <f>'Water runs'!B16</f>
        <v>Winter</v>
      </c>
      <c r="C9" s="54">
        <f>'Water runs'!D16/100</f>
        <v>0.87340000000000007</v>
      </c>
      <c r="D9" s="108">
        <f>VLOOKUP(ROW(D9)+4,'Water runs'!$BS$3:$CF$423,MATCH($B$1,Scenarios,0)+1)</f>
        <v>0</v>
      </c>
      <c r="E9" s="54">
        <f>IF(B9=Variables!$D$8,C9-Variables!$E$8,IF(B9=Variables!$D$9,C9-Variables!$E$9,IF(B9=Variables!$D$10,C9-Variables!$E$10,IF(B9=Variables!$D$11,C9-Variables!$E$11,"ELSE"))))</f>
        <v>0.30163237433862433</v>
      </c>
      <c r="F9" s="108">
        <f>VLOOKUP(ROW(F9)+4,'Water runs'!$CH$3:$CU$423,MATCH($B$1,Scenarios,0)+1)</f>
        <v>0</v>
      </c>
      <c r="G9" s="58"/>
      <c r="H9" s="17"/>
      <c r="X9" s="17"/>
      <c r="Y9" s="17"/>
      <c r="Z9" s="17"/>
      <c r="AA9" s="17"/>
      <c r="AB9" s="69"/>
    </row>
    <row r="10" spans="1:28" x14ac:dyDescent="0.25">
      <c r="A10" s="61">
        <f>'Water runs'!C17</f>
        <v>2891</v>
      </c>
      <c r="B10" s="61" t="str">
        <f>'Water runs'!B17</f>
        <v>Spring</v>
      </c>
      <c r="C10" s="54">
        <f>'Water runs'!D17/100</f>
        <v>0.57999999999999996</v>
      </c>
      <c r="D10" s="108">
        <f>VLOOKUP(ROW(D10)+4,'Water runs'!$BS$3:$CF$423,MATCH($B$1,Scenarios,0)+1)</f>
        <v>0</v>
      </c>
      <c r="E10" s="54">
        <f>IF(B10=Variables!$D$8,C10-Variables!$E$8,IF(B10=Variables!$D$9,C10-Variables!$E$9,IF(B10=Variables!$D$10,C10-Variables!$E$10,IF(B10=Variables!$D$11,C10-Variables!$E$11,"ELSE"))))</f>
        <v>-0.18398220899470918</v>
      </c>
      <c r="F10" s="108">
        <f>VLOOKUP(ROW(F10)+4,'Water runs'!$CH$3:$CU$423,MATCH($B$1,Scenarios,0)+1)</f>
        <v>0</v>
      </c>
      <c r="G10" s="58"/>
      <c r="H10" s="17"/>
      <c r="X10" s="17"/>
      <c r="Y10" s="17"/>
      <c r="Z10" s="17"/>
      <c r="AA10" s="17"/>
      <c r="AB10" s="69"/>
    </row>
    <row r="11" spans="1:28" x14ac:dyDescent="0.25">
      <c r="A11" s="61">
        <f>'Water runs'!C18</f>
        <v>2981</v>
      </c>
      <c r="B11" s="61" t="str">
        <f>'Water runs'!B18</f>
        <v>Summer</v>
      </c>
      <c r="C11" s="54">
        <f>'Water runs'!D18/100</f>
        <v>1.4974000000000001</v>
      </c>
      <c r="D11" s="108">
        <f>VLOOKUP(ROW(D11)+4,'Water runs'!$BS$3:$CF$423,MATCH($B$1,Scenarios,0)+1)</f>
        <v>7.1964148568080507E-4</v>
      </c>
      <c r="E11" s="54">
        <f>IF(B11=Variables!$D$8,C11-Variables!$E$8,IF(B11=Variables!$D$9,C11-Variables!$E$9,IF(B11=Variables!$D$10,C11-Variables!$E$10,IF(B11=Variables!$D$11,C11-Variables!$E$11,"ELSE"))))</f>
        <v>0.23902986394557835</v>
      </c>
      <c r="F11" s="108">
        <f>VLOOKUP(ROW(F11)+4,'Water runs'!$CH$3:$CU$423,MATCH($B$1,Scenarios,0)+1)</f>
        <v>0</v>
      </c>
      <c r="G11" s="58"/>
      <c r="H11" s="17"/>
      <c r="X11" s="17"/>
      <c r="Y11" s="17"/>
      <c r="Z11" s="17"/>
      <c r="AA11" s="17"/>
      <c r="AB11" s="69"/>
    </row>
    <row r="12" spans="1:28" x14ac:dyDescent="0.25">
      <c r="A12" s="61">
        <f>'Water runs'!C19</f>
        <v>3074</v>
      </c>
      <c r="B12" s="61" t="str">
        <f>'Water runs'!B19</f>
        <v>Autumn</v>
      </c>
      <c r="C12" s="54">
        <f>'Water runs'!D19/100</f>
        <v>0.72120000000000006</v>
      </c>
      <c r="D12" s="108">
        <f>VLOOKUP(ROW(D12)+4,'Water runs'!$BS$3:$CF$423,MATCH($B$1,Scenarios,0)+1)</f>
        <v>0.24683766300604121</v>
      </c>
      <c r="E12" s="54">
        <f>IF(B12=Variables!$D$8,C12-Variables!$E$8,IF(B12=Variables!$D$9,C12-Variables!$E$9,IF(B12=Variables!$D$10,C12-Variables!$E$10,IF(B12=Variables!$D$11,C12-Variables!$E$11,"ELSE"))))</f>
        <v>-0.27344329931972777</v>
      </c>
      <c r="F12" s="108">
        <f>VLOOKUP(ROW(F12)+4,'Water runs'!$CH$3:$CU$423,MATCH($B$1,Scenarios,0)+1)</f>
        <v>0</v>
      </c>
      <c r="G12" s="58"/>
      <c r="H12" s="17"/>
      <c r="X12" s="17"/>
      <c r="Y12" s="17"/>
      <c r="Z12" s="17"/>
      <c r="AA12" s="17"/>
      <c r="AB12" s="69"/>
    </row>
    <row r="13" spans="1:28" x14ac:dyDescent="0.25">
      <c r="A13" s="61">
        <f>'Water runs'!C20</f>
        <v>3166</v>
      </c>
      <c r="B13" s="61" t="str">
        <f>'Water runs'!B20</f>
        <v>Winter</v>
      </c>
      <c r="C13" s="54">
        <f>'Water runs'!D20/100</f>
        <v>0.33539999999999998</v>
      </c>
      <c r="D13" s="108">
        <f>VLOOKUP(ROW(D13)+4,'Water runs'!$BS$3:$CF$423,MATCH($B$1,Scenarios,0)+1)</f>
        <v>0</v>
      </c>
      <c r="E13" s="54">
        <f>IF(B13=Variables!$D$8,C13-Variables!$E$8,IF(B13=Variables!$D$9,C13-Variables!$E$9,IF(B13=Variables!$D$10,C13-Variables!$E$10,IF(B13=Variables!$D$11,C13-Variables!$E$11,"ELSE"))))</f>
        <v>-0.23636762566137576</v>
      </c>
      <c r="F13" s="108">
        <f>VLOOKUP(ROW(F13)+4,'Water runs'!$CH$3:$CU$423,MATCH($B$1,Scenarios,0)+1)</f>
        <v>0</v>
      </c>
      <c r="G13" s="58"/>
      <c r="H13" s="17"/>
      <c r="X13" s="17"/>
      <c r="Y13" s="17"/>
      <c r="Z13" s="17"/>
      <c r="AA13" s="17"/>
      <c r="AB13" s="69"/>
    </row>
    <row r="14" spans="1:28" ht="15.75" thickBot="1" x14ac:dyDescent="0.3">
      <c r="A14" s="61">
        <f>'Water runs'!C21</f>
        <v>3257</v>
      </c>
      <c r="B14" s="61" t="str">
        <f>'Water runs'!B21</f>
        <v>Spring</v>
      </c>
      <c r="C14" s="54">
        <f>'Water runs'!D21/100</f>
        <v>0.55120000000000002</v>
      </c>
      <c r="D14" s="108">
        <f>VLOOKUP(ROW(D14)+4,'Water runs'!$BS$3:$CF$423,MATCH($B$1,Scenarios,0)+1)</f>
        <v>0</v>
      </c>
      <c r="E14" s="54">
        <f>IF(B14=Variables!$D$8,C14-Variables!$E$8,IF(B14=Variables!$D$9,C14-Variables!$E$9,IF(B14=Variables!$D$10,C14-Variables!$E$10,IF(B14=Variables!$D$11,C14-Variables!$E$11,"ELSE"))))</f>
        <v>-0.21278220899470912</v>
      </c>
      <c r="F14" s="108">
        <f>VLOOKUP(ROW(F14)+4,'Water runs'!$CH$3:$CU$423,MATCH($B$1,Scenarios,0)+1)</f>
        <v>0</v>
      </c>
      <c r="G14" s="59"/>
      <c r="H14" s="60"/>
      <c r="I14" s="60"/>
      <c r="J14" s="67"/>
      <c r="K14" s="60"/>
      <c r="L14" s="60"/>
      <c r="M14" s="60"/>
      <c r="N14" s="60"/>
      <c r="O14" s="60"/>
      <c r="P14" s="60"/>
      <c r="Q14" s="60"/>
      <c r="R14" s="60"/>
      <c r="S14" s="60"/>
      <c r="T14" s="67"/>
      <c r="U14" s="60"/>
      <c r="V14" s="67"/>
      <c r="W14" s="60"/>
      <c r="X14" s="17"/>
      <c r="Y14" s="60"/>
      <c r="Z14" s="60"/>
      <c r="AA14" s="60"/>
      <c r="AB14" s="70"/>
    </row>
    <row r="15" spans="1:28" x14ac:dyDescent="0.25">
      <c r="A15" s="61">
        <f>'Water runs'!C22</f>
        <v>3347</v>
      </c>
      <c r="B15" s="61" t="str">
        <f>'Water runs'!B22</f>
        <v>Summer</v>
      </c>
      <c r="C15" s="54">
        <f>'Water runs'!D22/100</f>
        <v>1.774</v>
      </c>
      <c r="D15" s="108">
        <f>VLOOKUP(ROW(D15)+4,'Water runs'!$BS$3:$CF$423,MATCH($B$1,Scenarios,0)+1)</f>
        <v>0</v>
      </c>
      <c r="E15" s="54">
        <f>IF(B15=Variables!$D$8,C15-Variables!$E$8,IF(B15=Variables!$D$9,C15-Variables!$E$9,IF(B15=Variables!$D$10,C15-Variables!$E$10,IF(B15=Variables!$D$11,C15-Variables!$E$11,"ELSE"))))</f>
        <v>0.5156298639455783</v>
      </c>
      <c r="F15" s="108">
        <f>VLOOKUP(ROW(F15)+4,'Water runs'!$CH$3:$CU$423,MATCH($B$1,Scenarios,0)+1)</f>
        <v>0</v>
      </c>
      <c r="G15" s="71">
        <f>H15/Variables!$E$49</f>
        <v>0.5</v>
      </c>
      <c r="H15" s="72">
        <f>Variables!E48</f>
        <v>3.1</v>
      </c>
      <c r="I15" s="73">
        <v>0</v>
      </c>
      <c r="J15" s="74">
        <f>IF(SUM(E11:E14)&lt;Variables!$B$3,-H14,0)</f>
        <v>0</v>
      </c>
      <c r="K15" s="73">
        <f>IF(AND(H14&lt;Variables!$B$6*Variables!$E$50,OR(SUM(D12:D15)&gt;Variables!$B$5,SUM(E12:E15)&gt;Variables!$B$4)),Variables!$B$6*Variables!$E$50+Variables!$B$7*$G$1*Variables!$E$50*SUM(D12:D15),0)</f>
        <v>1.1537669506173704</v>
      </c>
      <c r="L15" s="73">
        <f>IF(B15="Winter",Variables!$B$8*H14,0)</f>
        <v>0</v>
      </c>
      <c r="M15" s="73">
        <f>IF(AND(B15="Spring",AND(NOT(H14=0),H14&lt;(Variables!$B$9*Variables!$E$50))),(Variables!$B$10*Variables!$E$50+Variables!$B$11*Variables!$E$50*SUM(E12:E15)+$G$1*SUM(D14:D15)*Variables!$E$50*Variables!$B$12),0)</f>
        <v>0</v>
      </c>
      <c r="N15" s="73">
        <f>IF(AND(B15="Spring",AND(SUM(D12:D15)&gt;Variables!$B$13,SUM(D8:D11)&gt;Variables!$B$13)),-Variables!$B$14*Variables!$E$50,0)</f>
        <v>0</v>
      </c>
      <c r="O15" s="73">
        <f>IF(AND(B15="Summer",SUM(C11:D15)&gt;Variables!$B$15),(Variables!$B$16*Variables!$E$50*SUM(C11:C15)+$G$1*Variables!$B$16*Variables!$E$50*SUM(D11:D15)+$G$1*Variables!$E$50*Variables!$B$17*F15),0)</f>
        <v>0</v>
      </c>
      <c r="P15" s="73">
        <f>IF(AND(AND(B15="Autumn",SUM(D14:E15)&gt;0),NOT(H14=0)),Variables!$B$18*Variables!$E$50+Variables!$B$19*Variables!$E$50*SUM(E14:E15)+$G$1*Variables!$B$19*Variables!$E$50*SUM(D14:D15),0)</f>
        <v>0</v>
      </c>
      <c r="Q15" s="73">
        <f>IF(AND(B15="Autumn",AND((E15+E14)&lt;Variables!$B$20,(D14+D15)=0)),-Variables!$B$21*Variables!$E$50,0)</f>
        <v>0</v>
      </c>
      <c r="R15" s="73">
        <f>IF(B15="Autumn",(SUM(F14:F15)*$G$1*Variables!$B$22*Variables!$E$50),0)</f>
        <v>0</v>
      </c>
      <c r="S15" s="73">
        <f>IF(B15="Spring",($G$1*Variables!$E$50*SUM('Guts (option 1)'!F14:F15)*Variables!$B$23),0)</f>
        <v>0</v>
      </c>
      <c r="T15" s="74">
        <f>IF((H14+SUM(J15:Q15))&lt;(Variables!$B$26*Variables!$E$50),$F$1*((Variables!$B$26*Variables!$E$50)-H14-SUM(J15:Q15)),0)</f>
        <v>0</v>
      </c>
      <c r="U15" s="73">
        <f>IF(AND(AND(B15="Autumn",SUM(D12:E15)&gt;Variables!$B$27),SUM(J15:Q15)&lt;Variables!$B$28*H14),$F$1*(Variables!$B$28*H14-SUM(J15:Q15)),0)</f>
        <v>0</v>
      </c>
      <c r="V15" s="92">
        <f>IF(AND((J15+K15)=0,(Q15+T15)=0),$H$1*H15*Variables!$I$23*0.25,0)</f>
        <v>0</v>
      </c>
      <c r="W15" s="93">
        <f>IF(AND((K15+J15)=0,(T15+Q15)=0),$I$1*H15*Variables!$Q$23*0.25,0)</f>
        <v>0</v>
      </c>
      <c r="X15" s="94">
        <f>IF(AND(NOT(K15=0),(H15-H14)&gt;0),(H15-H14)*(Variables!$M$5*$H$1+Variables!$U$5*$I$1),0)+IF(AND(NOT((J15+N15+Q15)=0),(H14-H15)&gt;0),(H14-H15)*(Variables!$M$4*$H$1+Variables!$U$4*$I$1),0)</f>
        <v>-775</v>
      </c>
      <c r="Y15" s="94">
        <f>IF(SUM(T15,U14:U15)&gt;0,H15*Variables!$Y$11*0.25*(1-$J$1),0)</f>
        <v>0</v>
      </c>
      <c r="Z15" s="94">
        <f>IF(T15=0,H15*$J$1*Variables!$Y$5*0.25,0)</f>
        <v>20.150000000000002</v>
      </c>
      <c r="AA15" s="94">
        <f>SUM(V15:Z15)</f>
        <v>-754.85</v>
      </c>
      <c r="AB15" s="90">
        <f>AA15/Variables!$E$49</f>
        <v>-121.75</v>
      </c>
    </row>
    <row r="16" spans="1:28" x14ac:dyDescent="0.25">
      <c r="A16" s="61">
        <f>'Water runs'!C23</f>
        <v>3439</v>
      </c>
      <c r="B16" s="61" t="str">
        <f>'Water runs'!B23</f>
        <v>Autumn</v>
      </c>
      <c r="C16" s="54">
        <f>'Water runs'!D23/100</f>
        <v>0.30780000000000002</v>
      </c>
      <c r="D16" s="108">
        <f>VLOOKUP(ROW(D16)+4,'Water runs'!$BS$3:$CF$423,MATCH($B$1,Scenarios,0)+1)</f>
        <v>0</v>
      </c>
      <c r="E16" s="54">
        <f>IF(B16=Variables!$D$8,C16-Variables!$E$8,IF(B16=Variables!$D$9,C16-Variables!$E$9,IF(B16=Variables!$D$10,C16-Variables!$E$10,IF(B16=Variables!$D$11,C16-Variables!$E$11,"ELSE"))))</f>
        <v>-0.68684329931972776</v>
      </c>
      <c r="F16" s="108">
        <f>VLOOKUP(ROW(F16)+4,'Water runs'!$CH$3:$CU$423,MATCH($B$1,Scenarios,0)+1)</f>
        <v>0</v>
      </c>
      <c r="G16" s="65">
        <f>H16/Variables!$E$49</f>
        <v>0.5</v>
      </c>
      <c r="H16" s="62">
        <f>IF((H15+I16)&gt;(1.1*Variables!$E$50),(1.1*Variables!$E$50),IF((H15+I16)&gt;0,H15+I16,0))</f>
        <v>3.1</v>
      </c>
      <c r="I16" s="64">
        <f>SUM(J16:U16)</f>
        <v>0</v>
      </c>
      <c r="J16" s="63">
        <f>IF(SUM(E12:E15)&lt;Variables!$B$3,-H15,0)</f>
        <v>0</v>
      </c>
      <c r="K16" s="64">
        <f>IF(AND(H15&lt;Variables!$B$6*Variables!$E$50,OR(SUM(D13:D16)&gt;Variables!$B$5,SUM(E13:E16)&gt;Variables!$B$4)),Variables!$B$6*Variables!$E$50+Variables!$B$7*$G$1*Variables!$E$50*SUM(D13:D16),0)</f>
        <v>0</v>
      </c>
      <c r="L16" s="64">
        <f>IF(B16="Winter",Variables!$B$8*H15,0)</f>
        <v>0</v>
      </c>
      <c r="M16" s="64">
        <f>IF(AND(B16="Spring",AND(NOT(H15=0),H15&lt;(Variables!$B$9*Variables!$E$50))),(Variables!$B$10*Variables!$E$50+Variables!$B$11*Variables!$E$50*SUM(E13:E16)+$G$1*SUM(D15:D16)*Variables!$E$50*Variables!$B$12),0)</f>
        <v>0</v>
      </c>
      <c r="N16" s="64">
        <f>IF(AND(B16="Spring",AND(SUM(D13:D16)&gt;Variables!$B$13,SUM(D9:D12)&gt;Variables!$B$13)),-Variables!$B$14*Variables!$E$50,0)</f>
        <v>0</v>
      </c>
      <c r="O16" s="64">
        <f>IF(AND(B16="Summer",SUM(C12:D16)&gt;Variables!$B$15),(Variables!$B$16*Variables!$E$50*SUM(C12:C16)+$G$1*Variables!$B$16*Variables!$E$50*SUM(D12:D16)+$G$1*Variables!$E$50*Variables!$B$17*F16),0)</f>
        <v>0</v>
      </c>
      <c r="P16" s="64">
        <f>IF(AND(AND(B16="Autumn",SUM(D15:E16)&gt;0),NOT(H15=0)),Variables!$B$18*Variables!$E$50+Variables!$B$19*Variables!$E$50*SUM(E15:E16)+$G$1*Variables!$B$19*Variables!$E$50*SUM(D15:D16),0)</f>
        <v>0</v>
      </c>
      <c r="Q16" s="64">
        <f>IF(AND(B16="Autumn",AND((E16+E15)&lt;Variables!$B$20,(D15+D16)=0)),-Variables!$B$21*Variables!$E$50,0)</f>
        <v>0</v>
      </c>
      <c r="R16" s="64">
        <f>IF(B16="Autumn",(SUM(F15:F16)*$G$1*Variables!$B$22*Variables!$E$50),0)</f>
        <v>0</v>
      </c>
      <c r="S16" s="64">
        <f>IF(B16="Spring",($G$1*Variables!$E$50*SUM('Guts (option 1)'!F15:F16)*Variables!$B$23),0)</f>
        <v>0</v>
      </c>
      <c r="T16" s="63">
        <f>IF((H15+SUM(J16:Q16))&lt;(Variables!$B$26*Variables!$E$50),$F$1*((Variables!$B$26*Variables!$E$50)-H15-SUM(J16:Q16)),0)</f>
        <v>0</v>
      </c>
      <c r="U16" s="64">
        <f>IF(AND(AND(B16="Autumn",SUM(D13:E16)&gt;Variables!$B$27),SUM(J16:Q16)&lt;Variables!$B$28*H15),$F$1*(Variables!$B$28*H15-SUM(J16:Q16)),0)</f>
        <v>0</v>
      </c>
      <c r="V16" s="96">
        <f>IF(AND((J16+K16)=0,(Q16+T16)=0),$H$1*H16*Variables!$I$23*0.25,0)</f>
        <v>59.737465000000007</v>
      </c>
      <c r="W16" s="97">
        <f>IF(AND((K16+J16)=0,(T16+Q16)=0),$I$1*H16*Variables!$Q$23*0.25,0)</f>
        <v>62.529324999999993</v>
      </c>
      <c r="X16" s="95">
        <f>IF(AND(NOT(K16=0),(H16-H15)&gt;0),(H16-H15)*(Variables!$M$5*$H$1+Variables!$U$5*$I$1),0)+IF(AND(NOT((J16+N16+Q16)=0),(H15-H16)&gt;0),(H15-H16)*(Variables!$M$4*$H$1+Variables!$U$4*$I$1),0)</f>
        <v>0</v>
      </c>
      <c r="Y16" s="95">
        <f>IF(SUM(T16,U15:U16)&gt;0,H16*Variables!$Y$11*0.25*(1-$J$1),0)</f>
        <v>0</v>
      </c>
      <c r="Z16" s="95">
        <f>IF(T16=0,H16*$J$1*Variables!$Y$5*0.25,0)</f>
        <v>20.150000000000002</v>
      </c>
      <c r="AA16" s="95">
        <f t="shared" ref="AA16:AA79" si="0">SUM(V16:Z16)</f>
        <v>142.41678999999999</v>
      </c>
      <c r="AB16" s="91">
        <f>AA16/Variables!$E$49</f>
        <v>22.97045</v>
      </c>
    </row>
    <row r="17" spans="1:29" x14ac:dyDescent="0.25">
      <c r="A17" s="61">
        <f>'Water runs'!C24</f>
        <v>3531</v>
      </c>
      <c r="B17" s="61" t="str">
        <f>'Water runs'!B24</f>
        <v>Winter</v>
      </c>
      <c r="C17" s="54">
        <f>'Water runs'!D24/100</f>
        <v>1.2172000000000001</v>
      </c>
      <c r="D17" s="108">
        <f>VLOOKUP(ROW(D17)+4,'Water runs'!$BS$3:$CF$423,MATCH($B$1,Scenarios,0)+1)</f>
        <v>0</v>
      </c>
      <c r="E17" s="54">
        <f>IF(B17=Variables!$D$8,C17-Variables!$E$8,IF(B17=Variables!$D$9,C17-Variables!$E$9,IF(B17=Variables!$D$10,C17-Variables!$E$10,IF(B17=Variables!$D$11,C17-Variables!$E$11,"ELSE"))))</f>
        <v>0.64543237433862433</v>
      </c>
      <c r="F17" s="108">
        <f>VLOOKUP(ROW(F17)+4,'Water runs'!$CH$3:$CU$423,MATCH($B$1,Scenarios,0)+1)</f>
        <v>0</v>
      </c>
      <c r="G17" s="65">
        <f>H17/Variables!$E$49</f>
        <v>0.25102737683241766</v>
      </c>
      <c r="H17" s="62">
        <f>IF((H16+I17)&gt;(1.1*Variables!$E$50),(1.1*Variables!$E$50),IF((H16+I17)&gt;0,H16+I17,0))</f>
        <v>1.5563697363609894</v>
      </c>
      <c r="I17" s="64">
        <f>SUM(J17:U17)</f>
        <v>-1.5436302636390107</v>
      </c>
      <c r="J17" s="63">
        <f>IF(SUM(E13:E16)&lt;Variables!$B$3,-H16,0)</f>
        <v>0</v>
      </c>
      <c r="K17" s="64">
        <f>IF(AND(H16&lt;Variables!$B$6*Variables!$E$50,OR(SUM(D14:D17)&gt;Variables!$B$5,SUM(E14:E17)&gt;Variables!$B$4)),Variables!$B$6*Variables!$E$50+Variables!$B$7*$G$1*Variables!$E$50*SUM(D14:D17),0)</f>
        <v>0</v>
      </c>
      <c r="L17" s="64">
        <f>IF(B17="Winter",Variables!$B$8*H16,0)</f>
        <v>-1.5436302636390107</v>
      </c>
      <c r="M17" s="64">
        <f>IF(AND(B17="Spring",AND(NOT(H16=0),H16&lt;(Variables!$B$9*Variables!$E$50))),(Variables!$B$10*Variables!$E$50+Variables!$B$11*Variables!$E$50*SUM(E14:E17)+$G$1*SUM(D16:D17)*Variables!$E$50*Variables!$B$12),0)</f>
        <v>0</v>
      </c>
      <c r="N17" s="64">
        <f>IF(AND(B17="Spring",AND(SUM(D14:D17)&gt;Variables!$B$13,SUM(D10:D13)&gt;Variables!$B$13)),-Variables!$B$14*Variables!$E$50,0)</f>
        <v>0</v>
      </c>
      <c r="O17" s="64">
        <f>IF(AND(B17="Summer",SUM(C13:D17)&gt;Variables!$B$15),(Variables!$B$16*Variables!$E$50*SUM(C13:C17)+$G$1*Variables!$B$16*Variables!$E$50*SUM(D13:D17)+$G$1*Variables!$E$50*Variables!$B$17*F17),0)</f>
        <v>0</v>
      </c>
      <c r="P17" s="64">
        <f>IF(AND(AND(B17="Autumn",SUM(D16:E17)&gt;0),NOT(H16=0)),Variables!$B$18*Variables!$E$50+Variables!$B$19*Variables!$E$50*SUM(E16:E17)+$G$1*Variables!$B$19*Variables!$E$50*SUM(D16:D17),0)</f>
        <v>0</v>
      </c>
      <c r="Q17" s="64">
        <f>IF(AND(B17="Autumn",AND((E17+E16)&lt;Variables!$B$20,(D16+D17)=0)),-Variables!$B$21*Variables!$E$50,0)</f>
        <v>0</v>
      </c>
      <c r="R17" s="64">
        <f>IF(B17="Autumn",(SUM(F16:F17)*$G$1*Variables!$B$22*Variables!$E$50),0)</f>
        <v>0</v>
      </c>
      <c r="S17" s="64">
        <f>IF(B17="Spring",($G$1*Variables!$E$50*SUM('Guts (option 1)'!F16:F17)*Variables!$B$23),0)</f>
        <v>0</v>
      </c>
      <c r="T17" s="63">
        <f>IF((H16+SUM(J17:Q17))&lt;(Variables!$B$26*Variables!$E$50),$F$1*((Variables!$B$26*Variables!$E$50)-H16-SUM(J17:Q17)),0)</f>
        <v>0</v>
      </c>
      <c r="U17" s="64">
        <f>IF(AND(AND(B17="Autumn",SUM(D14:E17)&gt;Variables!$B$27),SUM(J17:Q17)&lt;Variables!$B$28*H16),$F$1*(Variables!$B$28*H16-SUM(J17:Q17)),0)</f>
        <v>0</v>
      </c>
      <c r="V17" s="96">
        <f>IF(AND((J17+K17)=0,(Q17+T17)=0),$H$1*H17*Variables!$I$23*0.25,0)</f>
        <v>29.991478275136721</v>
      </c>
      <c r="W17" s="97">
        <f>IF(AND((K17+J17)=0,(T17+Q17)=0),$I$1*H17*Variables!$Q$23*0.25,0)</f>
        <v>31.393144859703423</v>
      </c>
      <c r="X17" s="95">
        <f>IF(AND(NOT(K17=0),(H17-H16)&gt;0),(H17-H16)*(Variables!$M$5*$H$1+Variables!$U$5*$I$1),0)+IF(AND(NOT((J17+N17+Q17)=0),(H16-H17)&gt;0),(H16-H17)*(Variables!$M$4*$H$1+Variables!$U$4*$I$1),0)</f>
        <v>0</v>
      </c>
      <c r="Y17" s="95">
        <f>IF(SUM(T17,U16:U17)&gt;0,H17*Variables!$Y$11*0.25*(1-$J$1),0)</f>
        <v>0</v>
      </c>
      <c r="Z17" s="95">
        <f>IF(T17=0,H17*$J$1*Variables!$Y$5*0.25,0)</f>
        <v>10.116403286346431</v>
      </c>
      <c r="AA17" s="95">
        <f t="shared" si="0"/>
        <v>71.501026421186566</v>
      </c>
      <c r="AB17" s="91">
        <f>AA17/Variables!$E$49</f>
        <v>11.532423616320413</v>
      </c>
    </row>
    <row r="18" spans="1:29" x14ac:dyDescent="0.25">
      <c r="A18" s="61">
        <f>'Water runs'!C25</f>
        <v>3622</v>
      </c>
      <c r="B18" s="61" t="str">
        <f>'Water runs'!B25</f>
        <v>Spring</v>
      </c>
      <c r="C18" s="54">
        <f>'Water runs'!D25/100</f>
        <v>0.34600000000000003</v>
      </c>
      <c r="D18" s="108">
        <f>VLOOKUP(ROW(D18)+4,'Water runs'!$BS$3:$CF$423,MATCH($B$1,Scenarios,0)+1)</f>
        <v>0</v>
      </c>
      <c r="E18" s="54">
        <f>IF(B18=Variables!$D$8,C18-Variables!$E$8,IF(B18=Variables!$D$9,C18-Variables!$E$9,IF(B18=Variables!$D$10,C18-Variables!$E$10,IF(B18=Variables!$D$11,C18-Variables!$E$11,"ELSE"))))</f>
        <v>-0.41798220899470911</v>
      </c>
      <c r="F18" s="108">
        <f>VLOOKUP(ROW(F18)+4,'Water runs'!$CH$3:$CU$423,MATCH($B$1,Scenarios,0)+1)</f>
        <v>0</v>
      </c>
      <c r="G18" s="65">
        <f>H18/Variables!$E$49</f>
        <v>0.25720490620832148</v>
      </c>
      <c r="H18" s="62">
        <f>IF((H17+I18)&gt;(1.1*Variables!$E$50),(1.1*Variables!$E$50),IF((H17+I18)&gt;0,H17+I18,0))</f>
        <v>1.5946704184915932</v>
      </c>
      <c r="I18" s="64">
        <f t="shared" ref="I18:I81" si="1">SUM(J18:U18)</f>
        <v>3.8300682130603843E-2</v>
      </c>
      <c r="J18" s="63">
        <f>IF(SUM(E14:E17)&lt;Variables!$B$3,-H17,0)</f>
        <v>0</v>
      </c>
      <c r="K18" s="64">
        <f>IF(AND(H17&lt;Variables!$B$6*Variables!$E$50,OR(SUM(D15:D18)&gt;Variables!$B$5,SUM(E15:E18)&gt;Variables!$B$4)),Variables!$B$6*Variables!$E$50+Variables!$B$7*$G$1*Variables!$E$50*SUM(D15:D18),0)</f>
        <v>0</v>
      </c>
      <c r="L18" s="64">
        <f>IF(B18="Winter",Variables!$B$8*H17,0)</f>
        <v>0</v>
      </c>
      <c r="M18" s="64">
        <f>IF(AND(B18="Spring",AND(NOT(H17=0),H17&lt;(Variables!$B$9*Variables!$E$50))),(Variables!$B$10*Variables!$E$50+Variables!$B$11*Variables!$E$50*SUM(E15:E18)+$G$1*SUM(D17:D18)*Variables!$E$50*Variables!$B$12),0)</f>
        <v>3.8300682130603843E-2</v>
      </c>
      <c r="N18" s="64">
        <f>IF(AND(B18="Spring",AND(SUM(D15:D18)&gt;Variables!$B$13,SUM(D11:D14)&gt;Variables!$B$13)),-Variables!$B$14*Variables!$E$50,0)</f>
        <v>0</v>
      </c>
      <c r="O18" s="64">
        <f>IF(AND(B18="Summer",SUM(C14:D18)&gt;Variables!$B$15),(Variables!$B$16*Variables!$E$50*SUM(C14:C18)+$G$1*Variables!$B$16*Variables!$E$50*SUM(D14:D18)+$G$1*Variables!$E$50*Variables!$B$17*F18),0)</f>
        <v>0</v>
      </c>
      <c r="P18" s="64">
        <f>IF(AND(AND(B18="Autumn",SUM(D17:E18)&gt;0),NOT(H17=0)),Variables!$B$18*Variables!$E$50+Variables!$B$19*Variables!$E$50*SUM(E17:E18)+$G$1*Variables!$B$19*Variables!$E$50*SUM(D17:D18),0)</f>
        <v>0</v>
      </c>
      <c r="Q18" s="64">
        <f>IF(AND(B18="Autumn",AND((E18+E17)&lt;Variables!$B$20,(D17+D18)=0)),-Variables!$B$21*Variables!$E$50,0)</f>
        <v>0</v>
      </c>
      <c r="R18" s="64">
        <f>IF(B18="Autumn",(SUM(F17:F18)*$G$1*Variables!$B$22*Variables!$E$50),0)</f>
        <v>0</v>
      </c>
      <c r="S18" s="64">
        <f>IF(B18="Spring",($G$1*Variables!$E$50*SUM('Guts (option 1)'!F17:F18)*Variables!$B$23),0)</f>
        <v>0</v>
      </c>
      <c r="T18" s="63">
        <f>IF((H17+SUM(J18:Q18))&lt;(Variables!$B$26*Variables!$E$50),$F$1*((Variables!$B$26*Variables!$E$50)-H17-SUM(J18:Q18)),0)</f>
        <v>0</v>
      </c>
      <c r="U18" s="64">
        <f>IF(AND(AND(B18="Autumn",SUM(D15:E18)&gt;Variables!$B$27),SUM(J18:Q18)&lt;Variables!$B$28*H17),$F$1*(Variables!$B$28*H17-SUM(J18:Q18)),0)</f>
        <v>0</v>
      </c>
      <c r="V18" s="96">
        <f>IF(AND((J18+K18)=0,(Q18+T18)=0),$H$1*H18*Variables!$I$23*0.25,0)</f>
        <v>30.729538164895775</v>
      </c>
      <c r="W18" s="97">
        <f>IF(AND((K18+J18)=0,(T18+Q18)=0),$I$1*H18*Variables!$Q$23*0.25,0)</f>
        <v>32.165698343789302</v>
      </c>
      <c r="X18" s="95">
        <f>IF(AND(NOT(K18=0),(H18-H17)&gt;0),(H18-H17)*(Variables!$M$5*$H$1+Variables!$U$5*$I$1),0)+IF(AND(NOT((J18+N18+Q18)=0),(H17-H18)&gt;0),(H17-H18)*(Variables!$M$4*$H$1+Variables!$U$4*$I$1),0)</f>
        <v>0</v>
      </c>
      <c r="Y18" s="95">
        <f>IF(SUM(T18,U17:U18)&gt;0,H18*Variables!$Y$11*0.25*(1-$J$1),0)</f>
        <v>0</v>
      </c>
      <c r="Z18" s="95">
        <f>IF(T18=0,H18*$J$1*Variables!$Y$5*0.25,0)</f>
        <v>10.365357720195355</v>
      </c>
      <c r="AA18" s="95">
        <f t="shared" si="0"/>
        <v>73.260594228880421</v>
      </c>
      <c r="AB18" s="91">
        <f>AA18/Variables!$E$49</f>
        <v>11.816224875625874</v>
      </c>
    </row>
    <row r="19" spans="1:29" x14ac:dyDescent="0.25">
      <c r="A19" s="61">
        <f>'Water runs'!C26</f>
        <v>3712</v>
      </c>
      <c r="B19" s="61" t="str">
        <f>'Water runs'!B26</f>
        <v>Summer</v>
      </c>
      <c r="C19" s="54">
        <f>'Water runs'!D26/100</f>
        <v>0.86199999999999999</v>
      </c>
      <c r="D19" s="108">
        <f>VLOOKUP(ROW(D19)+4,'Water runs'!$BS$3:$CF$423,MATCH($B$1,Scenarios,0)+1)</f>
        <v>0.10302773576987942</v>
      </c>
      <c r="E19" s="54">
        <f>IF(B19=Variables!$D$8,C19-Variables!$E$8,IF(B19=Variables!$D$9,C19-Variables!$E$9,IF(B19=Variables!$D$10,C19-Variables!$E$10,IF(B19=Variables!$D$11,C19-Variables!$E$11,"ELSE"))))</f>
        <v>-0.39637013605442173</v>
      </c>
      <c r="F19" s="108">
        <f>VLOOKUP(ROW(F19)+4,'Water runs'!$CH$3:$CU$423,MATCH($B$1,Scenarios,0)+1)</f>
        <v>3.307516290706973E-2</v>
      </c>
      <c r="G19" s="65">
        <f>H19/Variables!$E$49</f>
        <v>0.25720490620832148</v>
      </c>
      <c r="H19" s="62">
        <f>IF((H18+I19)&gt;(1.1*Variables!$E$50),(1.1*Variables!$E$50),IF((H18+I19)&gt;0,H18+I19,0))</f>
        <v>1.5946704184915932</v>
      </c>
      <c r="I19" s="64">
        <f t="shared" si="1"/>
        <v>0</v>
      </c>
      <c r="J19" s="63">
        <f>IF(SUM(E15:E18)&lt;Variables!$B$3,-H18,0)</f>
        <v>0</v>
      </c>
      <c r="K19" s="64">
        <f>IF(AND(H18&lt;Variables!$B$6*Variables!$E$50,OR(SUM(D16:D19)&gt;Variables!$B$5,SUM(E16:E19)&gt;Variables!$B$4)),Variables!$B$6*Variables!$E$50+Variables!$B$7*$G$1*Variables!$E$50*SUM(D16:D19),0)</f>
        <v>0</v>
      </c>
      <c r="L19" s="64">
        <f>IF(B19="Winter",Variables!$B$8*H18,0)</f>
        <v>0</v>
      </c>
      <c r="M19" s="64">
        <f>IF(AND(B19="Spring",AND(NOT(H18=0),H18&lt;(Variables!$B$9*Variables!$E$50))),(Variables!$B$10*Variables!$E$50+Variables!$B$11*Variables!$E$50*SUM(E16:E19)+$G$1*SUM(D18:D19)*Variables!$E$50*Variables!$B$12),0)</f>
        <v>0</v>
      </c>
      <c r="N19" s="64">
        <f>IF(AND(B19="Spring",AND(SUM(D16:D19)&gt;Variables!$B$13,SUM(D12:D15)&gt;Variables!$B$13)),-Variables!$B$14*Variables!$E$50,0)</f>
        <v>0</v>
      </c>
      <c r="O19" s="64">
        <f>IF(AND(B19="Summer",SUM(C15:D19)&gt;Variables!$B$15),(Variables!$B$16*Variables!$E$50*SUM(C15:C19)+$G$1*Variables!$B$16*Variables!$E$50*SUM(D15:D19)+$G$1*Variables!$E$50*Variables!$B$17*F19),0)</f>
        <v>0</v>
      </c>
      <c r="P19" s="64">
        <f>IF(AND(AND(B19="Autumn",SUM(D18:E19)&gt;0),NOT(H18=0)),Variables!$B$18*Variables!$E$50+Variables!$B$19*Variables!$E$50*SUM(E18:E19)+$G$1*Variables!$B$19*Variables!$E$50*SUM(D18:D19),0)</f>
        <v>0</v>
      </c>
      <c r="Q19" s="64">
        <f>IF(AND(B19="Autumn",AND((E19+E18)&lt;Variables!$B$20,(D18+D19)=0)),-Variables!$B$21*Variables!$E$50,0)</f>
        <v>0</v>
      </c>
      <c r="R19" s="64">
        <f>IF(B19="Autumn",(SUM(F18:F19)*$G$1*Variables!$B$22*Variables!$E$50),0)</f>
        <v>0</v>
      </c>
      <c r="S19" s="64">
        <f>IF(B19="Spring",($G$1*Variables!$E$50*SUM('Guts (option 1)'!F18:F19)*Variables!$B$23),0)</f>
        <v>0</v>
      </c>
      <c r="T19" s="63">
        <f>IF((H18+SUM(J19:Q19))&lt;(Variables!$B$26*Variables!$E$50),$F$1*((Variables!$B$26*Variables!$E$50)-H18-SUM(J19:Q19)),0)</f>
        <v>0</v>
      </c>
      <c r="U19" s="64">
        <f>IF(AND(AND(B19="Autumn",SUM(D16:E19)&gt;Variables!$B$27),SUM(J19:Q19)&lt;Variables!$B$28*H18),$F$1*(Variables!$B$28*H18-SUM(J19:Q19)),0)</f>
        <v>0</v>
      </c>
      <c r="V19" s="96">
        <f>IF(AND((J19+K19)=0,(Q19+T19)=0),$H$1*H19*Variables!$I$23*0.25,0)</f>
        <v>30.729538164895775</v>
      </c>
      <c r="W19" s="97">
        <f>IF(AND((K19+J19)=0,(T19+Q19)=0),$I$1*H19*Variables!$Q$23*0.25,0)</f>
        <v>32.165698343789302</v>
      </c>
      <c r="X19" s="95">
        <f>IF(AND(NOT(K19=0),(H19-H18)&gt;0),(H19-H18)*(Variables!$M$5*$H$1+Variables!$U$5*$I$1),0)+IF(AND(NOT((J19+N19+Q19)=0),(H18-H19)&gt;0),(H18-H19)*(Variables!$M$4*$H$1+Variables!$U$4*$I$1),0)</f>
        <v>0</v>
      </c>
      <c r="Y19" s="95">
        <f>IF(SUM(T19,U18:U19)&gt;0,H19*Variables!$Y$11*0.25*(1-$J$1),0)</f>
        <v>0</v>
      </c>
      <c r="Z19" s="95">
        <f>IF(T19=0,H19*$J$1*Variables!$Y$5*0.25,0)</f>
        <v>10.365357720195355</v>
      </c>
      <c r="AA19" s="95">
        <f t="shared" si="0"/>
        <v>73.260594228880421</v>
      </c>
      <c r="AB19" s="91">
        <f>AA19/Variables!$E$49</f>
        <v>11.816224875625874</v>
      </c>
      <c r="AC19" s="15"/>
    </row>
    <row r="20" spans="1:29" x14ac:dyDescent="0.25">
      <c r="A20" s="61">
        <f>'Water runs'!C27</f>
        <v>3804</v>
      </c>
      <c r="B20" s="61" t="str">
        <f>'Water runs'!B27</f>
        <v>Autumn</v>
      </c>
      <c r="C20" s="54">
        <f>'Water runs'!D27/100</f>
        <v>0.55359999999999998</v>
      </c>
      <c r="D20" s="108">
        <f>VLOOKUP(ROW(D20)+4,'Water runs'!$BS$3:$CF$423,MATCH($B$1,Scenarios,0)+1)</f>
        <v>8.67306154443028E-2</v>
      </c>
      <c r="E20" s="54">
        <f>IF(B20=Variables!$D$8,C20-Variables!$E$8,IF(B20=Variables!$D$9,C20-Variables!$E$9,IF(B20=Variables!$D$10,C20-Variables!$E$10,IF(B20=Variables!$D$11,C20-Variables!$E$11,"ELSE"))))</f>
        <v>-0.44104329931972786</v>
      </c>
      <c r="F20" s="108">
        <f>VLOOKUP(ROW(F20)+4,'Water runs'!$CH$3:$CU$423,MATCH($B$1,Scenarios,0)+1)</f>
        <v>0</v>
      </c>
      <c r="G20" s="65">
        <f>H20/Variables!$E$49</f>
        <v>0.25795324742667314</v>
      </c>
      <c r="H20" s="62">
        <f>IF((H19+I20)&gt;(1.1*Variables!$E$50),(1.1*Variables!$E$50),IF((H19+I20)&gt;0,H19+I20,0))</f>
        <v>1.5993101340453735</v>
      </c>
      <c r="I20" s="64">
        <f t="shared" si="1"/>
        <v>4.6397155537803419E-3</v>
      </c>
      <c r="J20" s="63">
        <f>IF(SUM(E16:E19)&lt;Variables!$B$3,-H19,0)</f>
        <v>0</v>
      </c>
      <c r="K20" s="64">
        <f>IF(AND(H19&lt;Variables!$B$6*Variables!$E$50,OR(SUM(D17:D20)&gt;Variables!$B$5,SUM(E17:E20)&gt;Variables!$B$4)),Variables!$B$6*Variables!$E$50+Variables!$B$7*$G$1*Variables!$E$50*SUM(D17:D20),0)</f>
        <v>0</v>
      </c>
      <c r="L20" s="64">
        <f>IF(B20="Winter",Variables!$B$8*H19,0)</f>
        <v>0</v>
      </c>
      <c r="M20" s="64">
        <f>IF(AND(B20="Spring",AND(NOT(H19=0),H19&lt;(Variables!$B$9*Variables!$E$50))),(Variables!$B$10*Variables!$E$50+Variables!$B$11*Variables!$E$50*SUM(E17:E20)+$G$1*SUM(D19:D20)*Variables!$E$50*Variables!$B$12),0)</f>
        <v>0</v>
      </c>
      <c r="N20" s="64">
        <f>IF(AND(B20="Spring",AND(SUM(D17:D20)&gt;Variables!$B$13,SUM(D13:D16)&gt;Variables!$B$13)),-Variables!$B$14*Variables!$E$50,0)</f>
        <v>0</v>
      </c>
      <c r="O20" s="64">
        <f>IF(AND(B20="Summer",SUM(C16:D20)&gt;Variables!$B$15),(Variables!$B$16*Variables!$E$50*SUM(C16:C20)+$G$1*Variables!$B$16*Variables!$E$50*SUM(D16:D20)+$G$1*Variables!$E$50*Variables!$B$17*F20),0)</f>
        <v>0</v>
      </c>
      <c r="P20" s="64">
        <f>IF(AND(AND(B20="Autumn",SUM(D19:E20)&gt;0),NOT(H19=0)),Variables!$B$18*Variables!$E$50+Variables!$B$19*Variables!$E$50*SUM(E19:E20)+$G$1*Variables!$B$19*Variables!$E$50*SUM(D19:D20),0)</f>
        <v>0</v>
      </c>
      <c r="Q20" s="64">
        <f>IF(AND(B20="Autumn",AND((E20+E19)&lt;Variables!$B$20,(D19+D20)=0)),-Variables!$B$21*Variables!$E$50,0)</f>
        <v>0</v>
      </c>
      <c r="R20" s="64">
        <f>IF(B20="Autumn",(SUM(F19:F20)*$G$1*Variables!$B$22*Variables!$E$50),0)</f>
        <v>4.6397155537803419E-3</v>
      </c>
      <c r="S20" s="64">
        <f>IF(B20="Spring",($G$1*Variables!$E$50*SUM('Guts (option 1)'!F19:F20)*Variables!$B$23),0)</f>
        <v>0</v>
      </c>
      <c r="T20" s="63">
        <f>IF((H19+SUM(J20:Q20))&lt;(Variables!$B$26*Variables!$E$50),$F$1*((Variables!$B$26*Variables!$E$50)-H19-SUM(J20:Q20)),0)</f>
        <v>0</v>
      </c>
      <c r="U20" s="64">
        <f>IF(AND(AND(B20="Autumn",SUM(D17:E20)&gt;Variables!$B$27),SUM(J20:Q20)&lt;Variables!$B$28*H19),$F$1*(Variables!$B$28*H19-SUM(J20:Q20)),0)</f>
        <v>0</v>
      </c>
      <c r="V20" s="96">
        <f>IF(AND((J20+K20)=0,(Q20+T20)=0),$H$1*H20*Variables!$I$23*0.25,0)</f>
        <v>30.818946179574457</v>
      </c>
      <c r="W20" s="97">
        <f>IF(AND((K20+J20)=0,(T20+Q20)=0),$I$1*H20*Variables!$Q$23*0.25,0)</f>
        <v>32.259284886295717</v>
      </c>
      <c r="X20" s="95">
        <f>IF(AND(NOT(K20=0),(H20-H19)&gt;0),(H20-H19)*(Variables!$M$5*$H$1+Variables!$U$5*$I$1),0)+IF(AND(NOT((J20+N20+Q20)=0),(H19-H20)&gt;0),(H19-H20)*(Variables!$M$4*$H$1+Variables!$U$4*$I$1),0)</f>
        <v>0</v>
      </c>
      <c r="Y20" s="95">
        <f>IF(SUM(T20,U19:U20)&gt;0,H20*Variables!$Y$11*0.25*(1-$J$1),0)</f>
        <v>0</v>
      </c>
      <c r="Z20" s="95">
        <f>IF(T20=0,H20*$J$1*Variables!$Y$5*0.25,0)</f>
        <v>10.395515871294927</v>
      </c>
      <c r="AA20" s="95">
        <f t="shared" si="0"/>
        <v>73.473746937165103</v>
      </c>
      <c r="AB20" s="91">
        <f>AA20/Variables!$E$49</f>
        <v>11.850604344704049</v>
      </c>
    </row>
    <row r="21" spans="1:29" x14ac:dyDescent="0.25">
      <c r="A21" s="61">
        <f>'Water runs'!C28</f>
        <v>3896</v>
      </c>
      <c r="B21" s="61" t="str">
        <f>'Water runs'!B28</f>
        <v>Winter</v>
      </c>
      <c r="C21" s="54">
        <f>'Water runs'!D28/100</f>
        <v>0.92620000000000002</v>
      </c>
      <c r="D21" s="108">
        <f>VLOOKUP(ROW(D21)+4,'Water runs'!$BS$3:$CF$423,MATCH($B$1,Scenarios,0)+1)</f>
        <v>3.6613749910925662E-2</v>
      </c>
      <c r="E21" s="54">
        <f>IF(B21=Variables!$D$8,C21-Variables!$E$8,IF(B21=Variables!$D$9,C21-Variables!$E$9,IF(B21=Variables!$D$10,C21-Variables!$E$10,IF(B21=Variables!$D$11,C21-Variables!$E$11,"ELSE"))))</f>
        <v>0.35443237433862429</v>
      </c>
      <c r="F21" s="108">
        <f>VLOOKUP(ROW(F21)+4,'Water runs'!$CH$3:$CU$423,MATCH($B$1,Scenarios,0)+1)</f>
        <v>0</v>
      </c>
      <c r="G21" s="65">
        <f>H21/Variables!$E$49</f>
        <v>0.161</v>
      </c>
      <c r="H21" s="62">
        <f>IF((H20+I21)&gt;(1.1*Variables!$E$50),(1.1*Variables!$E$50),IF((H20+I21)&gt;0,H20+I21,0))</f>
        <v>0.99820000000000009</v>
      </c>
      <c r="I21" s="64">
        <f t="shared" si="1"/>
        <v>-0.60111013404537339</v>
      </c>
      <c r="J21" s="63">
        <f>IF(SUM(E17:E20)&lt;Variables!$B$3,-H20,0)</f>
        <v>0</v>
      </c>
      <c r="K21" s="64">
        <f>IF(AND(H20&lt;Variables!$B$6*Variables!$E$50,OR(SUM(D18:D21)&gt;Variables!$B$5,SUM(E18:E21)&gt;Variables!$B$4)),Variables!$B$6*Variables!$E$50+Variables!$B$7*$G$1*Variables!$E$50*SUM(D18:D21),0)</f>
        <v>0</v>
      </c>
      <c r="L21" s="64">
        <f>IF(B21="Winter",Variables!$B$8*H20,0)</f>
        <v>-0.79636887866354888</v>
      </c>
      <c r="M21" s="64">
        <f>IF(AND(B21="Spring",AND(NOT(H20=0),H20&lt;(Variables!$B$9*Variables!$E$50))),(Variables!$B$10*Variables!$E$50+Variables!$B$11*Variables!$E$50*SUM(E18:E21)+$G$1*SUM(D20:D21)*Variables!$E$50*Variables!$B$12),0)</f>
        <v>0</v>
      </c>
      <c r="N21" s="64">
        <f>IF(AND(B21="Spring",AND(SUM(D18:D21)&gt;Variables!$B$13,SUM(D14:D17)&gt;Variables!$B$13)),-Variables!$B$14*Variables!$E$50,0)</f>
        <v>0</v>
      </c>
      <c r="O21" s="64">
        <f>IF(AND(B21="Summer",SUM(C17:D21)&gt;Variables!$B$15),(Variables!$B$16*Variables!$E$50*SUM(C17:C21)+$G$1*Variables!$B$16*Variables!$E$50*SUM(D17:D21)+$G$1*Variables!$E$50*Variables!$B$17*F21),0)</f>
        <v>0</v>
      </c>
      <c r="P21" s="64">
        <f>IF(AND(AND(B21="Autumn",SUM(D20:E21)&gt;0),NOT(H20=0)),Variables!$B$18*Variables!$E$50+Variables!$B$19*Variables!$E$50*SUM(E20:E21)+$G$1*Variables!$B$19*Variables!$E$50*SUM(D20:D21),0)</f>
        <v>0</v>
      </c>
      <c r="Q21" s="64">
        <f>IF(AND(B21="Autumn",AND((E21+E20)&lt;Variables!$B$20,(D20+D21)=0)),-Variables!$B$21*Variables!$E$50,0)</f>
        <v>0</v>
      </c>
      <c r="R21" s="64">
        <f>IF(B21="Autumn",(SUM(F20:F21)*$G$1*Variables!$B$22*Variables!$E$50),0)</f>
        <v>0</v>
      </c>
      <c r="S21" s="64">
        <f>IF(B21="Spring",($G$1*Variables!$E$50*SUM('Guts (option 1)'!F20:F21)*Variables!$B$23),0)</f>
        <v>0</v>
      </c>
      <c r="T21" s="63">
        <f>IF((H20+SUM(J21:Q21))&lt;(Variables!$B$26*Variables!$E$50),$F$1*((Variables!$B$26*Variables!$E$50)-H20-SUM(J21:Q21)),0)</f>
        <v>0.19525874461817549</v>
      </c>
      <c r="U21" s="64">
        <f>IF(AND(AND(B21="Autumn",SUM(D18:E21)&gt;Variables!$B$27),SUM(J21:Q21)&lt;Variables!$B$28*H20),$F$1*(Variables!$B$28*H20-SUM(J21:Q21)),0)</f>
        <v>0</v>
      </c>
      <c r="V21" s="96">
        <f>IF(AND((J21+K21)=0,(Q21+T21)=0),$H$1*H21*Variables!$I$23*0.25,0)</f>
        <v>0</v>
      </c>
      <c r="W21" s="97">
        <f>IF(AND((K21+J21)=0,(T21+Q21)=0),$I$1*H21*Variables!$Q$23*0.25,0)</f>
        <v>0</v>
      </c>
      <c r="X21" s="95">
        <f>IF(AND(NOT(K21=0),(H21-H20)&gt;0),(H21-H20)*(Variables!$M$5*$H$1+Variables!$U$5*$I$1),0)+IF(AND(NOT((J21+N21+Q21)=0),(H20-H21)&gt;0),(H20-H21)*(Variables!$M$4*$H$1+Variables!$U$4*$I$1),0)</f>
        <v>0</v>
      </c>
      <c r="Y21" s="95">
        <f>IF(SUM(T21,U20:U21)&gt;0,H21*Variables!$Y$11*0.25*(1-$J$1),0)</f>
        <v>0</v>
      </c>
      <c r="Z21" s="95">
        <f>IF(T21=0,H21*$J$1*Variables!$Y$5*0.25,0)</f>
        <v>0</v>
      </c>
      <c r="AA21" s="95">
        <f t="shared" si="0"/>
        <v>0</v>
      </c>
      <c r="AB21" s="91">
        <f>AA21/Variables!$E$49</f>
        <v>0</v>
      </c>
    </row>
    <row r="22" spans="1:29" x14ac:dyDescent="0.25">
      <c r="A22" s="61">
        <f>'Water runs'!C29</f>
        <v>3987</v>
      </c>
      <c r="B22" s="61" t="str">
        <f>'Water runs'!B29</f>
        <v>Spring</v>
      </c>
      <c r="C22" s="54">
        <f>'Water runs'!D29/100</f>
        <v>0.70400000000000007</v>
      </c>
      <c r="D22" s="108">
        <f>VLOOKUP(ROW(D22)+4,'Water runs'!$BS$3:$CF$423,MATCH($B$1,Scenarios,0)+1)</f>
        <v>0</v>
      </c>
      <c r="E22" s="54">
        <f>IF(B22=Variables!$D$8,C22-Variables!$E$8,IF(B22=Variables!$D$9,C22-Variables!$E$9,IF(B22=Variables!$D$10,C22-Variables!$E$10,IF(B22=Variables!$D$11,C22-Variables!$E$11,"ELSE"))))</f>
        <v>-5.9982208994709074E-2</v>
      </c>
      <c r="F22" s="108">
        <f>VLOOKUP(ROW(F22)+4,'Water runs'!$CH$3:$CU$423,MATCH($B$1,Scenarios,0)+1)</f>
        <v>0</v>
      </c>
      <c r="G22" s="65">
        <f>H22/Variables!$E$49</f>
        <v>0.28945091870182504</v>
      </c>
      <c r="H22" s="62">
        <f>IF((H21+I22)&gt;(1.1*Variables!$E$50),(1.1*Variables!$E$50),IF((H21+I22)&gt;0,H21+I22,0))</f>
        <v>1.7945956959513154</v>
      </c>
      <c r="I22" s="64">
        <f t="shared" si="1"/>
        <v>0.79639569595131543</v>
      </c>
      <c r="J22" s="63">
        <f>IF(SUM(E18:E21)&lt;Variables!$B$3,-H21,0)</f>
        <v>0</v>
      </c>
      <c r="K22" s="64">
        <f>IF(AND(H21&lt;Variables!$B$6*Variables!$E$50,OR(SUM(D19:D22)&gt;Variables!$B$5,SUM(E19:E22)&gt;Variables!$B$4)),Variables!$B$6*Variables!$E$50+Variables!$B$7*$G$1*Variables!$E$50*SUM(D19:D22),0)</f>
        <v>1.1526918475434107</v>
      </c>
      <c r="L22" s="64">
        <f>IF(B22="Winter",Variables!$B$8*H21,0)</f>
        <v>0</v>
      </c>
      <c r="M22" s="64">
        <f>IF(AND(B22="Spring",AND(NOT(H21=0),H21&lt;(Variables!$B$9*Variables!$E$50))),(Variables!$B$10*Variables!$E$50+Variables!$B$11*Variables!$E$50*SUM(E19:E22)+$G$1*SUM(D21:D22)*Variables!$E$50*Variables!$B$12),0)</f>
        <v>-0.35629615159209527</v>
      </c>
      <c r="N22" s="64">
        <f>IF(AND(B22="Spring",AND(SUM(D19:D22)&gt;Variables!$B$13,SUM(D15:D18)&gt;Variables!$B$13)),-Variables!$B$14*Variables!$E$50,0)</f>
        <v>0</v>
      </c>
      <c r="O22" s="64">
        <f>IF(AND(B22="Summer",SUM(C18:D22)&gt;Variables!$B$15),(Variables!$B$16*Variables!$E$50*SUM(C18:C22)+$G$1*Variables!$B$16*Variables!$E$50*SUM(D18:D22)+$G$1*Variables!$E$50*Variables!$B$17*F22),0)</f>
        <v>0</v>
      </c>
      <c r="P22" s="64">
        <f>IF(AND(AND(B22="Autumn",SUM(D21:E22)&gt;0),NOT(H21=0)),Variables!$B$18*Variables!$E$50+Variables!$B$19*Variables!$E$50*SUM(E21:E22)+$G$1*Variables!$B$19*Variables!$E$50*SUM(D21:D22),0)</f>
        <v>0</v>
      </c>
      <c r="Q22" s="64">
        <f>IF(AND(B22="Autumn",AND((E22+E21)&lt;Variables!$B$20,(D21+D22)=0)),-Variables!$B$21*Variables!$E$50,0)</f>
        <v>0</v>
      </c>
      <c r="R22" s="64">
        <f>IF(B22="Autumn",(SUM(F21:F22)*$G$1*Variables!$B$22*Variables!$E$50),0)</f>
        <v>0</v>
      </c>
      <c r="S22" s="64">
        <f>IF(B22="Spring",($G$1*Variables!$E$50*SUM('Guts (option 1)'!F21:F22)*Variables!$B$23),0)</f>
        <v>0</v>
      </c>
      <c r="T22" s="63">
        <f>IF((H21+SUM(J22:Q22))&lt;(Variables!$B$26*Variables!$E$50),$F$1*((Variables!$B$26*Variables!$E$50)-H21-SUM(J22:Q22)),0)</f>
        <v>0</v>
      </c>
      <c r="U22" s="64">
        <f>IF(AND(AND(B22="Autumn",SUM(D19:E22)&gt;Variables!$B$27),SUM(J22:Q22)&lt;Variables!$B$28*H21),$F$1*(Variables!$B$28*H21-SUM(J22:Q22)),0)</f>
        <v>0</v>
      </c>
      <c r="V22" s="96">
        <f>IF(AND((J22+K22)=0,(Q22+T22)=0),$H$1*H22*Variables!$I$23*0.25,0)</f>
        <v>0</v>
      </c>
      <c r="W22" s="97">
        <f>IF(AND((K22+J22)=0,(T22+Q22)=0),$I$1*H22*Variables!$Q$23*0.25,0)</f>
        <v>0</v>
      </c>
      <c r="X22" s="95">
        <f>IF(AND(NOT(K22=0),(H22-H21)&gt;0),(H22-H21)*(Variables!$M$5*$H$1+Variables!$U$5*$I$1),0)+IF(AND(NOT((J22+N22+Q22)=0),(H21-H22)&gt;0),(H21-H22)*(Variables!$M$4*$H$1+Variables!$U$4*$I$1),0)</f>
        <v>-199.09892398782884</v>
      </c>
      <c r="Y22" s="95">
        <f>IF(SUM(T22,U21:U22)&gt;0,H22*Variables!$Y$11*0.25*(1-$J$1),0)</f>
        <v>0</v>
      </c>
      <c r="Z22" s="95">
        <f>IF(T22=0,H22*$J$1*Variables!$Y$5*0.25,0)</f>
        <v>11.66487202368355</v>
      </c>
      <c r="AA22" s="95">
        <f t="shared" si="0"/>
        <v>-187.43405196414528</v>
      </c>
      <c r="AB22" s="91">
        <f>AA22/Variables!$E$49</f>
        <v>-30.231298703894399</v>
      </c>
    </row>
    <row r="23" spans="1:29" x14ac:dyDescent="0.25">
      <c r="A23" s="61">
        <f>'Water runs'!C30</f>
        <v>4077</v>
      </c>
      <c r="B23" s="61" t="str">
        <f>'Water runs'!B30</f>
        <v>Summer</v>
      </c>
      <c r="C23" s="54">
        <f>'Water runs'!D30/100</f>
        <v>2.1475999999999997</v>
      </c>
      <c r="D23" s="108">
        <f>VLOOKUP(ROW(D23)+4,'Water runs'!$BS$3:$CF$423,MATCH($B$1,Scenarios,0)+1)</f>
        <v>0.41577858890410846</v>
      </c>
      <c r="E23" s="54">
        <f>IF(B23=Variables!$D$8,C23-Variables!$E$8,IF(B23=Variables!$D$9,C23-Variables!$E$9,IF(B23=Variables!$D$10,C23-Variables!$E$10,IF(B23=Variables!$D$11,C23-Variables!$E$11,"ELSE"))))</f>
        <v>0.88922986394557801</v>
      </c>
      <c r="F23" s="108">
        <f>VLOOKUP(ROW(F23)+4,'Water runs'!$CH$3:$CU$423,MATCH($B$1,Scenarios,0)+1)</f>
        <v>0.28915640662238024</v>
      </c>
      <c r="G23" s="65">
        <f>H23/Variables!$E$49</f>
        <v>0.28945091870182504</v>
      </c>
      <c r="H23" s="62">
        <f>IF((H22+I23)&gt;(1.1*Variables!$E$50),(1.1*Variables!$E$50),IF((H22+I23)&gt;0,H22+I23,0))</f>
        <v>1.7945956959513154</v>
      </c>
      <c r="I23" s="64">
        <f t="shared" si="1"/>
        <v>0</v>
      </c>
      <c r="J23" s="63">
        <f>IF(SUM(E19:E22)&lt;Variables!$B$3,-H22,0)</f>
        <v>0</v>
      </c>
      <c r="K23" s="64">
        <f>IF(AND(H22&lt;Variables!$B$6*Variables!$E$50,OR(SUM(D20:D23)&gt;Variables!$B$5,SUM(E20:E23)&gt;Variables!$B$4)),Variables!$B$6*Variables!$E$50+Variables!$B$7*$G$1*Variables!$E$50*SUM(D20:D23),0)</f>
        <v>0</v>
      </c>
      <c r="L23" s="64">
        <f>IF(B23="Winter",Variables!$B$8*H22,0)</f>
        <v>0</v>
      </c>
      <c r="M23" s="64">
        <f>IF(AND(B23="Spring",AND(NOT(H22=0),H22&lt;(Variables!$B$9*Variables!$E$50))),(Variables!$B$10*Variables!$E$50+Variables!$B$11*Variables!$E$50*SUM(E20:E23)+$G$1*SUM(D22:D23)*Variables!$E$50*Variables!$B$12),0)</f>
        <v>0</v>
      </c>
      <c r="N23" s="64">
        <f>IF(AND(B23="Spring",AND(SUM(D20:D23)&gt;Variables!$B$13,SUM(D16:D19)&gt;Variables!$B$13)),-Variables!$B$14*Variables!$E$50,0)</f>
        <v>0</v>
      </c>
      <c r="O23" s="64">
        <f>IF(AND(B23="Summer",SUM(C19:D23)&gt;Variables!$B$15),(Variables!$B$16*Variables!$E$50*SUM(C19:C23)+$G$1*Variables!$B$16*Variables!$E$50*SUM(D19:D23)+$G$1*Variables!$E$50*Variables!$B$17*F23),0)</f>
        <v>0</v>
      </c>
      <c r="P23" s="64">
        <f>IF(AND(AND(B23="Autumn",SUM(D22:E23)&gt;0),NOT(H22=0)),Variables!$B$18*Variables!$E$50+Variables!$B$19*Variables!$E$50*SUM(E22:E23)+$G$1*Variables!$B$19*Variables!$E$50*SUM(D22:D23),0)</f>
        <v>0</v>
      </c>
      <c r="Q23" s="64">
        <f>IF(AND(B23="Autumn",AND((E23+E22)&lt;Variables!$B$20,(D22+D23)=0)),-Variables!$B$21*Variables!$E$50,0)</f>
        <v>0</v>
      </c>
      <c r="R23" s="64">
        <f>IF(B23="Autumn",(SUM(F22:F23)*$G$1*Variables!$B$22*Variables!$E$50),0)</f>
        <v>0</v>
      </c>
      <c r="S23" s="64">
        <f>IF(B23="Spring",($G$1*Variables!$E$50*SUM('Guts (option 1)'!F22:F23)*Variables!$B$23),0)</f>
        <v>0</v>
      </c>
      <c r="T23" s="63">
        <f>IF((H22+SUM(J23:Q23))&lt;(Variables!$B$26*Variables!$E$50),$F$1*((Variables!$B$26*Variables!$E$50)-H22-SUM(J23:Q23)),0)</f>
        <v>0</v>
      </c>
      <c r="U23" s="64">
        <f>IF(AND(AND(B23="Autumn",SUM(D20:E23)&gt;Variables!$B$27),SUM(J23:Q23)&lt;Variables!$B$28*H22),$F$1*(Variables!$B$28*H22-SUM(J23:Q23)),0)</f>
        <v>0</v>
      </c>
      <c r="V23" s="96">
        <f>IF(AND((J23+K23)=0,(Q23+T23)=0),$H$1*H23*Variables!$I$23*0.25,0)</f>
        <v>34.58212825033624</v>
      </c>
      <c r="W23" s="97">
        <f>IF(AND((K23+J23)=0,(T23+Q23)=0),$I$1*H23*Variables!$Q$23*0.25,0)</f>
        <v>36.198341134109995</v>
      </c>
      <c r="X23" s="95">
        <f>IF(AND(NOT(K23=0),(H23-H22)&gt;0),(H23-H22)*(Variables!$M$5*$H$1+Variables!$U$5*$I$1),0)+IF(AND(NOT((J23+N23+Q23)=0),(H22-H23)&gt;0),(H22-H23)*(Variables!$M$4*$H$1+Variables!$U$4*$I$1),0)</f>
        <v>0</v>
      </c>
      <c r="Y23" s="95">
        <f>IF(SUM(T23,U22:U23)&gt;0,H23*Variables!$Y$11*0.25*(1-$J$1),0)</f>
        <v>0</v>
      </c>
      <c r="Z23" s="95">
        <f>IF(T23=0,H23*$J$1*Variables!$Y$5*0.25,0)</f>
        <v>11.66487202368355</v>
      </c>
      <c r="AA23" s="95">
        <f t="shared" si="0"/>
        <v>82.445341408129792</v>
      </c>
      <c r="AB23" s="91">
        <f>AA23/Variables!$E$49</f>
        <v>13.297635710988676</v>
      </c>
      <c r="AC23" s="15"/>
    </row>
    <row r="24" spans="1:29" x14ac:dyDescent="0.25">
      <c r="A24" s="61">
        <f>'Water runs'!C31</f>
        <v>4169</v>
      </c>
      <c r="B24" s="61" t="str">
        <f>'Water runs'!B31</f>
        <v>Autumn</v>
      </c>
      <c r="C24" s="54">
        <f>'Water runs'!D31/100</f>
        <v>0.82220000000000004</v>
      </c>
      <c r="D24" s="108">
        <f>VLOOKUP(ROW(D24)+4,'Water runs'!$BS$3:$CF$423,MATCH($B$1,Scenarios,0)+1)</f>
        <v>3.0022169613377777E-2</v>
      </c>
      <c r="E24" s="54">
        <f>IF(B24=Variables!$D$8,C24-Variables!$E$8,IF(B24=Variables!$D$9,C24-Variables!$E$9,IF(B24=Variables!$D$10,C24-Variables!$E$10,IF(B24=Variables!$D$11,C24-Variables!$E$11,"ELSE"))))</f>
        <v>-0.17244329931972779</v>
      </c>
      <c r="F24" s="108">
        <f>VLOOKUP(ROW(F24)+4,'Water runs'!$CH$3:$CU$423,MATCH($B$1,Scenarios,0)+1)</f>
        <v>0.28915640662238024</v>
      </c>
      <c r="G24" s="65">
        <f>H24/Variables!$E$49</f>
        <v>0.73029206232352439</v>
      </c>
      <c r="H24" s="62">
        <f>IF((H23+I24)&gt;(1.1*Variables!$E$50),(1.1*Variables!$E$50),IF((H23+I24)&gt;0,H23+I24,0))</f>
        <v>4.5278107864058512</v>
      </c>
      <c r="I24" s="64">
        <f t="shared" si="1"/>
        <v>2.7332150904545363</v>
      </c>
      <c r="J24" s="63">
        <f>IF(SUM(E20:E23)&lt;Variables!$B$3,-H23,0)</f>
        <v>0</v>
      </c>
      <c r="K24" s="64">
        <f>IF(AND(H23&lt;Variables!$B$6*Variables!$E$50,OR(SUM(D21:D24)&gt;Variables!$B$5,SUM(E21:E24)&gt;Variables!$B$4)),Variables!$B$6*Variables!$E$50+Variables!$B$7*$G$1*Variables!$E$50*SUM(D21:D24),0)</f>
        <v>0</v>
      </c>
      <c r="L24" s="64">
        <f>IF(B24="Winter",Variables!$B$8*H23,0)</f>
        <v>0</v>
      </c>
      <c r="M24" s="64">
        <f>IF(AND(B24="Spring",AND(NOT(H23=0),H23&lt;(Variables!$B$9*Variables!$E$50))),(Variables!$B$10*Variables!$E$50+Variables!$B$11*Variables!$E$50*SUM(E21:E24)+$G$1*SUM(D23:D24)*Variables!$E$50*Variables!$B$12),0)</f>
        <v>0</v>
      </c>
      <c r="N24" s="64">
        <f>IF(AND(B24="Spring",AND(SUM(D21:D24)&gt;Variables!$B$13,SUM(D17:D20)&gt;Variables!$B$13)),-Variables!$B$14*Variables!$E$50,0)</f>
        <v>0</v>
      </c>
      <c r="O24" s="64">
        <f>IF(AND(B24="Summer",SUM(C20:D24)&gt;Variables!$B$15),(Variables!$B$16*Variables!$E$50*SUM(C20:C24)+$G$1*Variables!$B$16*Variables!$E$50*SUM(D20:D24)+$G$1*Variables!$E$50*Variables!$B$17*F24),0)</f>
        <v>0</v>
      </c>
      <c r="P24" s="64">
        <f>IF(AND(AND(B24="Autumn",SUM(D23:E24)&gt;0),NOT(H23=0)),Variables!$B$18*Variables!$E$50+Variables!$B$19*Variables!$E$50*SUM(E23:E24)+$G$1*Variables!$B$19*Variables!$E$50*SUM(D23:D24),0)</f>
        <v>2.6520905632042515</v>
      </c>
      <c r="Q24" s="64">
        <f>IF(AND(B24="Autumn",AND((E24+E23)&lt;Variables!$B$20,(D23+D24)=0)),-Variables!$B$21*Variables!$E$50,0)</f>
        <v>0</v>
      </c>
      <c r="R24" s="64">
        <f>IF(B24="Autumn",(SUM(F23:F24)*$G$1*Variables!$B$22*Variables!$E$50),0)</f>
        <v>8.1124527250284628E-2</v>
      </c>
      <c r="S24" s="64">
        <f>IF(B24="Spring",($G$1*Variables!$E$50*SUM('Guts (option 1)'!F23:F24)*Variables!$B$23),0)</f>
        <v>0</v>
      </c>
      <c r="T24" s="63">
        <f>IF((H23+SUM(J24:Q24))&lt;(Variables!$B$26*Variables!$E$50),$F$1*((Variables!$B$26*Variables!$E$50)-H23-SUM(J24:Q24)),0)</f>
        <v>0</v>
      </c>
      <c r="U24" s="64">
        <f>IF(AND(AND(B24="Autumn",SUM(D21:E24)&gt;Variables!$B$27),SUM(J24:Q24)&lt;Variables!$B$28*H23),$F$1*(Variables!$B$28*H23-SUM(J24:Q24)),0)</f>
        <v>0</v>
      </c>
      <c r="V24" s="96">
        <f>IF(AND((J24+K24)=0,(Q24+T24)=0),$H$1*H24*Variables!$I$23*0.25,0)</f>
        <v>87.251593025658721</v>
      </c>
      <c r="W24" s="97">
        <f>IF(AND((K24+J24)=0,(T24+Q24)=0),$I$1*H24*Variables!$Q$23*0.25,0)</f>
        <v>91.329339419895817</v>
      </c>
      <c r="X24" s="95">
        <f>IF(AND(NOT(K24=0),(H24-H23)&gt;0),(H24-H23)*(Variables!$M$5*$H$1+Variables!$U$5*$I$1),0)+IF(AND(NOT((J24+N24+Q24)=0),(H23-H24)&gt;0),(H23-H24)*(Variables!$M$4*$H$1+Variables!$U$4*$I$1),0)</f>
        <v>0</v>
      </c>
      <c r="Y24" s="95">
        <f>IF(SUM(T24,U23:U24)&gt;0,H24*Variables!$Y$11*0.25*(1-$J$1),0)</f>
        <v>0</v>
      </c>
      <c r="Z24" s="95">
        <f>IF(T24=0,H24*$J$1*Variables!$Y$5*0.25,0)</f>
        <v>29.430770111638033</v>
      </c>
      <c r="AA24" s="95">
        <f t="shared" si="0"/>
        <v>208.01170255719256</v>
      </c>
      <c r="AB24" s="91">
        <f>AA24/Variables!$E$49</f>
        <v>33.550274605998801</v>
      </c>
    </row>
    <row r="25" spans="1:29" x14ac:dyDescent="0.25">
      <c r="A25" s="61">
        <f>'Water runs'!C32</f>
        <v>4261</v>
      </c>
      <c r="B25" s="61" t="str">
        <f>'Water runs'!B32</f>
        <v>Winter</v>
      </c>
      <c r="C25" s="54">
        <f>'Water runs'!D32/100</f>
        <v>0.05</v>
      </c>
      <c r="D25" s="108">
        <f>VLOOKUP(ROW(D25)+4,'Water runs'!$BS$3:$CF$423,MATCH($B$1,Scenarios,0)+1)</f>
        <v>0</v>
      </c>
      <c r="E25" s="54">
        <f>IF(B25=Variables!$D$8,C25-Variables!$E$8,IF(B25=Variables!$D$9,C25-Variables!$E$9,IF(B25=Variables!$D$10,C25-Variables!$E$10,IF(B25=Variables!$D$11,C25-Variables!$E$11,"ELSE"))))</f>
        <v>-0.52176762566137569</v>
      </c>
      <c r="F25" s="108">
        <f>VLOOKUP(ROW(F25)+4,'Water runs'!$CH$3:$CU$423,MATCH($B$1,Scenarios,0)+1)</f>
        <v>0</v>
      </c>
      <c r="G25" s="65">
        <f>H25/Variables!$E$49</f>
        <v>0.36664660145322153</v>
      </c>
      <c r="H25" s="62">
        <f>IF((H24+I25)&gt;(1.1*Variables!$E$50),(1.1*Variables!$E$50),IF((H24+I25)&gt;0,H24+I25,0))</f>
        <v>2.2732089290099737</v>
      </c>
      <c r="I25" s="64">
        <f t="shared" si="1"/>
        <v>-2.2546018573958775</v>
      </c>
      <c r="J25" s="63">
        <f>IF(SUM(E21:E24)&lt;Variables!$B$3,-H24,0)</f>
        <v>0</v>
      </c>
      <c r="K25" s="64">
        <f>IF(AND(H24&lt;Variables!$B$6*Variables!$E$50,OR(SUM(D22:D25)&gt;Variables!$B$5,SUM(E22:E25)&gt;Variables!$B$4)),Variables!$B$6*Variables!$E$50+Variables!$B$7*$G$1*Variables!$E$50*SUM(D22:D25),0)</f>
        <v>0</v>
      </c>
      <c r="L25" s="64">
        <f>IF(B25="Winter",Variables!$B$8*H24,0)</f>
        <v>-2.2546018573958775</v>
      </c>
      <c r="M25" s="64">
        <f>IF(AND(B25="Spring",AND(NOT(H24=0),H24&lt;(Variables!$B$9*Variables!$E$50))),(Variables!$B$10*Variables!$E$50+Variables!$B$11*Variables!$E$50*SUM(E22:E25)+$G$1*SUM(D24:D25)*Variables!$E$50*Variables!$B$12),0)</f>
        <v>0</v>
      </c>
      <c r="N25" s="64">
        <f>IF(AND(B25="Spring",AND(SUM(D22:D25)&gt;Variables!$B$13,SUM(D18:D21)&gt;Variables!$B$13)),-Variables!$B$14*Variables!$E$50,0)</f>
        <v>0</v>
      </c>
      <c r="O25" s="64">
        <f>IF(AND(B25="Summer",SUM(C21:D25)&gt;Variables!$B$15),(Variables!$B$16*Variables!$E$50*SUM(C21:C25)+$G$1*Variables!$B$16*Variables!$E$50*SUM(D21:D25)+$G$1*Variables!$E$50*Variables!$B$17*F25),0)</f>
        <v>0</v>
      </c>
      <c r="P25" s="64">
        <f>IF(AND(AND(B25="Autumn",SUM(D24:E25)&gt;0),NOT(H24=0)),Variables!$B$18*Variables!$E$50+Variables!$B$19*Variables!$E$50*SUM(E24:E25)+$G$1*Variables!$B$19*Variables!$E$50*SUM(D24:D25),0)</f>
        <v>0</v>
      </c>
      <c r="Q25" s="64">
        <f>IF(AND(B25="Autumn",AND((E25+E24)&lt;Variables!$B$20,(D24+D25)=0)),-Variables!$B$21*Variables!$E$50,0)</f>
        <v>0</v>
      </c>
      <c r="R25" s="64">
        <f>IF(B25="Autumn",(SUM(F24:F25)*$G$1*Variables!$B$22*Variables!$E$50),0)</f>
        <v>0</v>
      </c>
      <c r="S25" s="64">
        <f>IF(B25="Spring",($G$1*Variables!$E$50*SUM('Guts (option 1)'!F24:F25)*Variables!$B$23),0)</f>
        <v>0</v>
      </c>
      <c r="T25" s="63">
        <f>IF((H24+SUM(J25:Q25))&lt;(Variables!$B$26*Variables!$E$50),$F$1*((Variables!$B$26*Variables!$E$50)-H24-SUM(J25:Q25)),0)</f>
        <v>0</v>
      </c>
      <c r="U25" s="64">
        <f>IF(AND(AND(B25="Autumn",SUM(D22:E25)&gt;Variables!$B$27),SUM(J25:Q25)&lt;Variables!$B$28*H24),$F$1*(Variables!$B$28*H24-SUM(J25:Q25)),0)</f>
        <v>0</v>
      </c>
      <c r="V25" s="96">
        <f>IF(AND((J25+K25)=0,(Q25+T25)=0),$H$1*H25*Variables!$I$23*0.25,0)</f>
        <v>43.80507704336155</v>
      </c>
      <c r="W25" s="97">
        <f>IF(AND((K25+J25)=0,(T25+Q25)=0),$I$1*H25*Variables!$Q$23*0.25,0)</f>
        <v>45.852329004827922</v>
      </c>
      <c r="X25" s="95">
        <f>IF(AND(NOT(K25=0),(H25-H24)&gt;0),(H25-H24)*(Variables!$M$5*$H$1+Variables!$U$5*$I$1),0)+IF(AND(NOT((J25+N25+Q25)=0),(H24-H25)&gt;0),(H24-H25)*(Variables!$M$4*$H$1+Variables!$U$4*$I$1),0)</f>
        <v>0</v>
      </c>
      <c r="Y25" s="95">
        <f>IF(SUM(T25,U24:U25)&gt;0,H25*Variables!$Y$11*0.25*(1-$J$1),0)</f>
        <v>0</v>
      </c>
      <c r="Z25" s="95">
        <f>IF(T25=0,H25*$J$1*Variables!$Y$5*0.25,0)</f>
        <v>14.775858038564829</v>
      </c>
      <c r="AA25" s="95">
        <f t="shared" si="0"/>
        <v>104.43326408675431</v>
      </c>
      <c r="AB25" s="91">
        <f>AA25/Variables!$E$49</f>
        <v>16.844074852702306</v>
      </c>
    </row>
    <row r="26" spans="1:29" x14ac:dyDescent="0.25">
      <c r="A26" s="61">
        <f>'Water runs'!C33</f>
        <v>4352</v>
      </c>
      <c r="B26" s="61" t="str">
        <f>'Water runs'!B33</f>
        <v>Spring</v>
      </c>
      <c r="C26" s="54">
        <f>'Water runs'!D33/100</f>
        <v>0.35</v>
      </c>
      <c r="D26" s="108">
        <f>VLOOKUP(ROW(D26)+4,'Water runs'!$BS$3:$CF$423,MATCH($B$1,Scenarios,0)+1)</f>
        <v>0</v>
      </c>
      <c r="E26" s="54">
        <f>IF(B26=Variables!$D$8,C26-Variables!$E$8,IF(B26=Variables!$D$9,C26-Variables!$E$9,IF(B26=Variables!$D$10,C26-Variables!$E$10,IF(B26=Variables!$D$11,C26-Variables!$E$11,"ELSE"))))</f>
        <v>-0.41398220899470917</v>
      </c>
      <c r="F26" s="108">
        <f>VLOOKUP(ROW(F26)+4,'Water runs'!$CH$3:$CU$423,MATCH($B$1,Scenarios,0)+1)</f>
        <v>0</v>
      </c>
      <c r="G26" s="65">
        <f>H26/Variables!$E$49</f>
        <v>0.36664660145322153</v>
      </c>
      <c r="H26" s="62">
        <f>IF((H25+I26)&gt;(1.1*Variables!$E$50),(1.1*Variables!$E$50),IF((H25+I26)&gt;0,H25+I26,0))</f>
        <v>2.2732089290099737</v>
      </c>
      <c r="I26" s="64">
        <f t="shared" si="1"/>
        <v>0</v>
      </c>
      <c r="J26" s="63">
        <f>IF(SUM(E22:E25)&lt;Variables!$B$3,-H25,0)</f>
        <v>0</v>
      </c>
      <c r="K26" s="64">
        <f>IF(AND(H25&lt;Variables!$B$6*Variables!$E$50,OR(SUM(D23:D26)&gt;Variables!$B$5,SUM(E23:E26)&gt;Variables!$B$4)),Variables!$B$6*Variables!$E$50+Variables!$B$7*$G$1*Variables!$E$50*SUM(D23:D26),0)</f>
        <v>0</v>
      </c>
      <c r="L26" s="64">
        <f>IF(B26="Winter",Variables!$B$8*H25,0)</f>
        <v>0</v>
      </c>
      <c r="M26" s="64">
        <f>IF(AND(B26="Spring",AND(NOT(H25=0),H25&lt;(Variables!$B$9*Variables!$E$50))),(Variables!$B$10*Variables!$E$50+Variables!$B$11*Variables!$E$50*SUM(E23:E26)+$G$1*SUM(D25:D26)*Variables!$E$50*Variables!$B$12),0)</f>
        <v>0</v>
      </c>
      <c r="N26" s="64">
        <f>IF(AND(B26="Spring",AND(SUM(D23:D26)&gt;Variables!$B$13,SUM(D19:D22)&gt;Variables!$B$13)),-Variables!$B$14*Variables!$E$50,0)</f>
        <v>0</v>
      </c>
      <c r="O26" s="64">
        <f>IF(AND(B26="Summer",SUM(C22:D26)&gt;Variables!$B$15),(Variables!$B$16*Variables!$E$50*SUM(C22:C26)+$G$1*Variables!$B$16*Variables!$E$50*SUM(D22:D26)+$G$1*Variables!$E$50*Variables!$B$17*F26),0)</f>
        <v>0</v>
      </c>
      <c r="P26" s="64">
        <f>IF(AND(AND(B26="Autumn",SUM(D25:E26)&gt;0),NOT(H25=0)),Variables!$B$18*Variables!$E$50+Variables!$B$19*Variables!$E$50*SUM(E25:E26)+$G$1*Variables!$B$19*Variables!$E$50*SUM(D25:D26),0)</f>
        <v>0</v>
      </c>
      <c r="Q26" s="64">
        <f>IF(AND(B26="Autumn",AND((E26+E25)&lt;Variables!$B$20,(D25+D26)=0)),-Variables!$B$21*Variables!$E$50,0)</f>
        <v>0</v>
      </c>
      <c r="R26" s="64">
        <f>IF(B26="Autumn",(SUM(F25:F26)*$G$1*Variables!$B$22*Variables!$E$50),0)</f>
        <v>0</v>
      </c>
      <c r="S26" s="64">
        <f>IF(B26="Spring",($G$1*Variables!$E$50*SUM('Guts (option 1)'!F25:F26)*Variables!$B$23),0)</f>
        <v>0</v>
      </c>
      <c r="T26" s="63">
        <f>IF((H25+SUM(J26:Q26))&lt;(Variables!$B$26*Variables!$E$50),$F$1*((Variables!$B$26*Variables!$E$50)-H25-SUM(J26:Q26)),0)</f>
        <v>0</v>
      </c>
      <c r="U26" s="64">
        <f>IF(AND(AND(B26="Autumn",SUM(D23:E26)&gt;Variables!$B$27),SUM(J26:Q26)&lt;Variables!$B$28*H25),$F$1*(Variables!$B$28*H25-SUM(J26:Q26)),0)</f>
        <v>0</v>
      </c>
      <c r="V26" s="96">
        <f>IF(AND((J26+K26)=0,(Q26+T26)=0),$H$1*H26*Variables!$I$23*0.25,0)</f>
        <v>43.80507704336155</v>
      </c>
      <c r="W26" s="97">
        <f>IF(AND((K26+J26)=0,(T26+Q26)=0),$I$1*H26*Variables!$Q$23*0.25,0)</f>
        <v>45.852329004827922</v>
      </c>
      <c r="X26" s="95">
        <f>IF(AND(NOT(K26=0),(H26-H25)&gt;0),(H26-H25)*(Variables!$M$5*$H$1+Variables!$U$5*$I$1),0)+IF(AND(NOT((J26+N26+Q26)=0),(H25-H26)&gt;0),(H25-H26)*(Variables!$M$4*$H$1+Variables!$U$4*$I$1),0)</f>
        <v>0</v>
      </c>
      <c r="Y26" s="95">
        <f>IF(SUM(T26,U25:U26)&gt;0,H26*Variables!$Y$11*0.25*(1-$J$1),0)</f>
        <v>0</v>
      </c>
      <c r="Z26" s="95">
        <f>IF(T26=0,H26*$J$1*Variables!$Y$5*0.25,0)</f>
        <v>14.775858038564829</v>
      </c>
      <c r="AA26" s="95">
        <f t="shared" si="0"/>
        <v>104.43326408675431</v>
      </c>
      <c r="AB26" s="91">
        <f>AA26/Variables!$E$49</f>
        <v>16.844074852702306</v>
      </c>
    </row>
    <row r="27" spans="1:29" x14ac:dyDescent="0.25">
      <c r="A27" s="61">
        <f>'Water runs'!C34</f>
        <v>4442</v>
      </c>
      <c r="B27" s="61" t="str">
        <f>'Water runs'!B34</f>
        <v>Summer</v>
      </c>
      <c r="C27" s="54">
        <f>'Water runs'!D34/100</f>
        <v>0.48100000000000004</v>
      </c>
      <c r="D27" s="108">
        <f>VLOOKUP(ROW(D27)+4,'Water runs'!$BS$3:$CF$423,MATCH($B$1,Scenarios,0)+1)</f>
        <v>0</v>
      </c>
      <c r="E27" s="54">
        <f>IF(B27=Variables!$D$8,C27-Variables!$E$8,IF(B27=Variables!$D$9,C27-Variables!$E$9,IF(B27=Variables!$D$10,C27-Variables!$E$10,IF(B27=Variables!$D$11,C27-Variables!$E$11,"ELSE"))))</f>
        <v>-0.77737013605442162</v>
      </c>
      <c r="F27" s="108">
        <f>VLOOKUP(ROW(F27)+4,'Water runs'!$CH$3:$CU$423,MATCH($B$1,Scenarios,0)+1)</f>
        <v>0</v>
      </c>
      <c r="G27" s="65">
        <f>H27/Variables!$E$49</f>
        <v>0.36664660145322153</v>
      </c>
      <c r="H27" s="62">
        <f>IF((H26+I27)&gt;(1.1*Variables!$E$50),(1.1*Variables!$E$50),IF((H26+I27)&gt;0,H26+I27,0))</f>
        <v>2.2732089290099737</v>
      </c>
      <c r="I27" s="64">
        <f t="shared" si="1"/>
        <v>0</v>
      </c>
      <c r="J27" s="63">
        <f>IF(SUM(E23:E26)&lt;Variables!$B$3,-H26,0)</f>
        <v>0</v>
      </c>
      <c r="K27" s="64">
        <f>IF(AND(H26&lt;Variables!$B$6*Variables!$E$50,OR(SUM(D24:D27)&gt;Variables!$B$5,SUM(E24:E27)&gt;Variables!$B$4)),Variables!$B$6*Variables!$E$50+Variables!$B$7*$G$1*Variables!$E$50*SUM(D24:D27),0)</f>
        <v>0</v>
      </c>
      <c r="L27" s="64">
        <f>IF(B27="Winter",Variables!$B$8*H26,0)</f>
        <v>0</v>
      </c>
      <c r="M27" s="64">
        <f>IF(AND(B27="Spring",AND(NOT(H26=0),H26&lt;(Variables!$B$9*Variables!$E$50))),(Variables!$B$10*Variables!$E$50+Variables!$B$11*Variables!$E$50*SUM(E24:E27)+$G$1*SUM(D26:D27)*Variables!$E$50*Variables!$B$12),0)</f>
        <v>0</v>
      </c>
      <c r="N27" s="64">
        <f>IF(AND(B27="Spring",AND(SUM(D24:D27)&gt;Variables!$B$13,SUM(D20:D23)&gt;Variables!$B$13)),-Variables!$B$14*Variables!$E$50,0)</f>
        <v>0</v>
      </c>
      <c r="O27" s="64">
        <f>IF(AND(B27="Summer",SUM(C23:D27)&gt;Variables!$B$15),(Variables!$B$16*Variables!$E$50*SUM(C23:C27)+$G$1*Variables!$B$16*Variables!$E$50*SUM(D23:D27)+$G$1*Variables!$E$50*Variables!$B$17*F27),0)</f>
        <v>0</v>
      </c>
      <c r="P27" s="64">
        <f>IF(AND(AND(B27="Autumn",SUM(D26:E27)&gt;0),NOT(H26=0)),Variables!$B$18*Variables!$E$50+Variables!$B$19*Variables!$E$50*SUM(E26:E27)+$G$1*Variables!$B$19*Variables!$E$50*SUM(D26:D27),0)</f>
        <v>0</v>
      </c>
      <c r="Q27" s="64">
        <f>IF(AND(B27="Autumn",AND((E27+E26)&lt;Variables!$B$20,(D26+D27)=0)),-Variables!$B$21*Variables!$E$50,0)</f>
        <v>0</v>
      </c>
      <c r="R27" s="64">
        <f>IF(B27="Autumn",(SUM(F26:F27)*$G$1*Variables!$B$22*Variables!$E$50),0)</f>
        <v>0</v>
      </c>
      <c r="S27" s="64">
        <f>IF(B27="Spring",($G$1*Variables!$E$50*SUM('Guts (option 1)'!F26:F27)*Variables!$B$23),0)</f>
        <v>0</v>
      </c>
      <c r="T27" s="63">
        <f>IF((H26+SUM(J27:Q27))&lt;(Variables!$B$26*Variables!$E$50),$F$1*((Variables!$B$26*Variables!$E$50)-H26-SUM(J27:Q27)),0)</f>
        <v>0</v>
      </c>
      <c r="U27" s="64">
        <f>IF(AND(AND(B27="Autumn",SUM(D24:E27)&gt;Variables!$B$27),SUM(J27:Q27)&lt;Variables!$B$28*H26),$F$1*(Variables!$B$28*H26-SUM(J27:Q27)),0)</f>
        <v>0</v>
      </c>
      <c r="V27" s="96">
        <f>IF(AND((J27+K27)=0,(Q27+T27)=0),$H$1*H27*Variables!$I$23*0.25,0)</f>
        <v>43.80507704336155</v>
      </c>
      <c r="W27" s="97">
        <f>IF(AND((K27+J27)=0,(T27+Q27)=0),$I$1*H27*Variables!$Q$23*0.25,0)</f>
        <v>45.852329004827922</v>
      </c>
      <c r="X27" s="95">
        <f>IF(AND(NOT(K27=0),(H27-H26)&gt;0),(H27-H26)*(Variables!$M$5*$H$1+Variables!$U$5*$I$1),0)+IF(AND(NOT((J27+N27+Q27)=0),(H26-H27)&gt;0),(H26-H27)*(Variables!$M$4*$H$1+Variables!$U$4*$I$1),0)</f>
        <v>0</v>
      </c>
      <c r="Y27" s="95">
        <f>IF(SUM(T27,U26:U27)&gt;0,H27*Variables!$Y$11*0.25*(1-$J$1),0)</f>
        <v>0</v>
      </c>
      <c r="Z27" s="95">
        <f>IF(T27=0,H27*$J$1*Variables!$Y$5*0.25,0)</f>
        <v>14.775858038564829</v>
      </c>
      <c r="AA27" s="95">
        <f t="shared" si="0"/>
        <v>104.43326408675431</v>
      </c>
      <c r="AB27" s="91">
        <f>AA27/Variables!$E$49</f>
        <v>16.844074852702306</v>
      </c>
      <c r="AC27" s="15"/>
    </row>
    <row r="28" spans="1:29" x14ac:dyDescent="0.25">
      <c r="A28" s="61">
        <f>'Water runs'!C35</f>
        <v>4535</v>
      </c>
      <c r="B28" s="61" t="str">
        <f>'Water runs'!B35</f>
        <v>Autumn</v>
      </c>
      <c r="C28" s="54">
        <f>'Water runs'!D35/100</f>
        <v>9.7200000000000009E-2</v>
      </c>
      <c r="D28" s="108">
        <f>VLOOKUP(ROW(D28)+4,'Water runs'!$BS$3:$CF$423,MATCH($B$1,Scenarios,0)+1)</f>
        <v>0</v>
      </c>
      <c r="E28" s="54">
        <f>IF(B28=Variables!$D$8,C28-Variables!$E$8,IF(B28=Variables!$D$9,C28-Variables!$E$9,IF(B28=Variables!$D$10,C28-Variables!$E$10,IF(B28=Variables!$D$11,C28-Variables!$E$11,"ELSE"))))</f>
        <v>-0.89744329931972788</v>
      </c>
      <c r="F28" s="108">
        <f>VLOOKUP(ROW(F28)+4,'Water runs'!$CH$3:$CU$423,MATCH($B$1,Scenarios,0)+1)</f>
        <v>0</v>
      </c>
      <c r="G28" s="65">
        <f>H28/Variables!$E$49</f>
        <v>0.16100000000000003</v>
      </c>
      <c r="H28" s="62">
        <f>IF((H27+I28)&gt;(1.1*Variables!$E$50),(1.1*Variables!$E$50),IF((H27+I28)&gt;0,H27+I28,0))</f>
        <v>0.9982000000000002</v>
      </c>
      <c r="I28" s="64">
        <f t="shared" si="1"/>
        <v>-1.2750089290099735</v>
      </c>
      <c r="J28" s="63">
        <f>IF(SUM(E24:E27)&lt;Variables!$B$3,-H27,0)</f>
        <v>-2.2732089290099737</v>
      </c>
      <c r="K28" s="64">
        <f>IF(AND(H27&lt;Variables!$B$6*Variables!$E$50,OR(SUM(D25:D28)&gt;Variables!$B$5,SUM(E25:E28)&gt;Variables!$B$4)),Variables!$B$6*Variables!$E$50+Variables!$B$7*$G$1*Variables!$E$50*SUM(D25:D28),0)</f>
        <v>0</v>
      </c>
      <c r="L28" s="64">
        <f>IF(B28="Winter",Variables!$B$8*H27,0)</f>
        <v>0</v>
      </c>
      <c r="M28" s="64">
        <f>IF(AND(B28="Spring",AND(NOT(H27=0),H27&lt;(Variables!$B$9*Variables!$E$50))),(Variables!$B$10*Variables!$E$50+Variables!$B$11*Variables!$E$50*SUM(E25:E28)+$G$1*SUM(D27:D28)*Variables!$E$50*Variables!$B$12),0)</f>
        <v>0</v>
      </c>
      <c r="N28" s="64">
        <f>IF(AND(B28="Spring",AND(SUM(D25:D28)&gt;Variables!$B$13,SUM(D21:D24)&gt;Variables!$B$13)),-Variables!$B$14*Variables!$E$50,0)</f>
        <v>0</v>
      </c>
      <c r="O28" s="64">
        <f>IF(AND(B28="Summer",SUM(C24:D28)&gt;Variables!$B$15),(Variables!$B$16*Variables!$E$50*SUM(C24:C28)+$G$1*Variables!$B$16*Variables!$E$50*SUM(D24:D28)+$G$1*Variables!$E$50*Variables!$B$17*F28),0)</f>
        <v>0</v>
      </c>
      <c r="P28" s="64">
        <f>IF(AND(AND(B28="Autumn",SUM(D27:E28)&gt;0),NOT(H27=0)),Variables!$B$18*Variables!$E$50+Variables!$B$19*Variables!$E$50*SUM(E27:E28)+$G$1*Variables!$B$19*Variables!$E$50*SUM(D27:D28),0)</f>
        <v>0</v>
      </c>
      <c r="Q28" s="64">
        <f>IF(AND(B28="Autumn",AND((E28+E27)&lt;Variables!$B$20,(D27+D28)=0)),-Variables!$B$21*Variables!$E$50,0)</f>
        <v>-4.0327172013864514</v>
      </c>
      <c r="R28" s="64">
        <f>IF(B28="Autumn",(SUM(F27:F28)*$G$1*Variables!$B$22*Variables!$E$50),0)</f>
        <v>0</v>
      </c>
      <c r="S28" s="64">
        <f>IF(B28="Spring",($G$1*Variables!$E$50*SUM('Guts (option 1)'!F27:F28)*Variables!$B$23),0)</f>
        <v>0</v>
      </c>
      <c r="T28" s="63">
        <f>IF((H27+SUM(J28:Q28))&lt;(Variables!$B$26*Variables!$E$50),$F$1*((Variables!$B$26*Variables!$E$50)-H27-SUM(J28:Q28)),0)</f>
        <v>5.030917201386452</v>
      </c>
      <c r="U28" s="64">
        <f>IF(AND(AND(B28="Autumn",SUM(D25:E28)&gt;Variables!$B$27),SUM(J28:Q28)&lt;Variables!$B$28*H27),$F$1*(Variables!$B$28*H27-SUM(J28:Q28)),0)</f>
        <v>0</v>
      </c>
      <c r="V28" s="96">
        <f>IF(AND((J28+K28)=0,(Q28+T28)=0),$H$1*H28*Variables!$I$23*0.25,0)</f>
        <v>0</v>
      </c>
      <c r="W28" s="97">
        <f>IF(AND((K28+J28)=0,(T28+Q28)=0),$I$1*H28*Variables!$Q$23*0.25,0)</f>
        <v>0</v>
      </c>
      <c r="X28" s="95">
        <f>IF(AND(NOT(K28=0),(H28-H27)&gt;0),(H28-H27)*(Variables!$M$5*$H$1+Variables!$U$5*$I$1),0)+IF(AND(NOT((J28+N28+Q28)=0),(H27-H28)&gt;0),(H27-H28)*(Variables!$M$4*$H$1+Variables!$U$4*$I$1),0)</f>
        <v>159.3761161262467</v>
      </c>
      <c r="Y28" s="95">
        <f>IF(SUM(T28,U27:U28)&gt;0,H28*Variables!$Y$11*0.25*(1-$J$1),0)</f>
        <v>0</v>
      </c>
      <c r="Z28" s="95">
        <f>IF(T28=0,H28*$J$1*Variables!$Y$5*0.25,0)</f>
        <v>0</v>
      </c>
      <c r="AA28" s="95">
        <f t="shared" si="0"/>
        <v>159.3761161262467</v>
      </c>
      <c r="AB28" s="91">
        <f>AA28/Variables!$E$49</f>
        <v>25.705825181652692</v>
      </c>
    </row>
    <row r="29" spans="1:29" x14ac:dyDescent="0.25">
      <c r="A29" s="61">
        <f>'Water runs'!C36</f>
        <v>4627</v>
      </c>
      <c r="B29" s="61" t="str">
        <f>'Water runs'!B36</f>
        <v>Winter</v>
      </c>
      <c r="C29" s="54">
        <f>'Water runs'!D36/100</f>
        <v>1.2716000000000001</v>
      </c>
      <c r="D29" s="108">
        <f>VLOOKUP(ROW(D29)+4,'Water runs'!$BS$3:$CF$423,MATCH($B$1,Scenarios,0)+1)</f>
        <v>0.23607795786189911</v>
      </c>
      <c r="E29" s="54">
        <f>IF(B29=Variables!$D$8,C29-Variables!$E$8,IF(B29=Variables!$D$9,C29-Variables!$E$9,IF(B29=Variables!$D$10,C29-Variables!$E$10,IF(B29=Variables!$D$11,C29-Variables!$E$11,"ELSE"))))</f>
        <v>0.69983237433862433</v>
      </c>
      <c r="F29" s="108">
        <f>VLOOKUP(ROW(F29)+4,'Water runs'!$CH$3:$CU$423,MATCH($B$1,Scenarios,0)+1)</f>
        <v>7.7792619102289018E-2</v>
      </c>
      <c r="G29" s="65">
        <f>H29/Variables!$E$49</f>
        <v>0.161</v>
      </c>
      <c r="H29" s="62">
        <f>IF((H28+I29)&gt;(1.1*Variables!$E$50),(1.1*Variables!$E$50),IF((H28+I29)&gt;0,H28+I29,0))</f>
        <v>0.99820000000000009</v>
      </c>
      <c r="I29" s="64">
        <f t="shared" si="1"/>
        <v>-1.1102230246251565E-16</v>
      </c>
      <c r="J29" s="63">
        <f>IF(SUM(E25:E28)&lt;Variables!$B$3,-H28,0)</f>
        <v>-0.9982000000000002</v>
      </c>
      <c r="K29" s="64">
        <f>IF(AND(H28&lt;Variables!$B$6*Variables!$E$50,OR(SUM(D26:D29)&gt;Variables!$B$5,SUM(E26:E29)&gt;Variables!$B$4)),Variables!$B$6*Variables!$E$50+Variables!$B$7*$G$1*Variables!$E$50*SUM(D26:D29),0)</f>
        <v>1.1532017185390788</v>
      </c>
      <c r="L29" s="64">
        <f>IF(B29="Winter",Variables!$B$8*H28,0)</f>
        <v>-0.49704894489176155</v>
      </c>
      <c r="M29" s="64">
        <f>IF(AND(B29="Spring",AND(NOT(H28=0),H28&lt;(Variables!$B$9*Variables!$E$50))),(Variables!$B$10*Variables!$E$50+Variables!$B$11*Variables!$E$50*SUM(E26:E29)+$G$1*SUM(D28:D29)*Variables!$E$50*Variables!$B$12),0)</f>
        <v>0</v>
      </c>
      <c r="N29" s="64">
        <f>IF(AND(B29="Spring",AND(SUM(D26:D29)&gt;Variables!$B$13,SUM(D22:D25)&gt;Variables!$B$13)),-Variables!$B$14*Variables!$E$50,0)</f>
        <v>0</v>
      </c>
      <c r="O29" s="64">
        <f>IF(AND(B29="Summer",SUM(C25:D29)&gt;Variables!$B$15),(Variables!$B$16*Variables!$E$50*SUM(C25:C29)+$G$1*Variables!$B$16*Variables!$E$50*SUM(D25:D29)+$G$1*Variables!$E$50*Variables!$B$17*F29),0)</f>
        <v>0</v>
      </c>
      <c r="P29" s="64">
        <f>IF(AND(AND(B29="Autumn",SUM(D28:E29)&gt;0),NOT(H28=0)),Variables!$B$18*Variables!$E$50+Variables!$B$19*Variables!$E$50*SUM(E28:E29)+$G$1*Variables!$B$19*Variables!$E$50*SUM(D28:D29),0)</f>
        <v>0</v>
      </c>
      <c r="Q29" s="64">
        <f>IF(AND(B29="Autumn",AND((E29+E28)&lt;Variables!$B$20,(D28+D29)=0)),-Variables!$B$21*Variables!$E$50,0)</f>
        <v>0</v>
      </c>
      <c r="R29" s="64">
        <f>IF(B29="Autumn",(SUM(F28:F29)*$G$1*Variables!$B$22*Variables!$E$50),0)</f>
        <v>0</v>
      </c>
      <c r="S29" s="64">
        <f>IF(B29="Spring",($G$1*Variables!$E$50*SUM('Guts (option 1)'!F28:F29)*Variables!$B$23),0)</f>
        <v>0</v>
      </c>
      <c r="T29" s="63">
        <f>IF((H28+SUM(J29:Q29))&lt;(Variables!$B$26*Variables!$E$50),$F$1*((Variables!$B$26*Variables!$E$50)-H28-SUM(J29:Q29)),0)</f>
        <v>0.34204722635268281</v>
      </c>
      <c r="U29" s="64">
        <f>IF(AND(AND(B29="Autumn",SUM(D26:E29)&gt;Variables!$B$27),SUM(J29:Q29)&lt;Variables!$B$28*H28),$F$1*(Variables!$B$28*H28-SUM(J29:Q29)),0)</f>
        <v>0</v>
      </c>
      <c r="V29" s="96">
        <f>IF(AND((J29+K29)=0,(Q29+T29)=0),$H$1*H29*Variables!$I$23*0.25,0)</f>
        <v>0</v>
      </c>
      <c r="W29" s="97">
        <f>IF(AND((K29+J29)=0,(T29+Q29)=0),$I$1*H29*Variables!$Q$23*0.25,0)</f>
        <v>0</v>
      </c>
      <c r="X29" s="95">
        <f>IF(AND(NOT(K29=0),(H29-H28)&gt;0),(H29-H28)*(Variables!$M$5*$H$1+Variables!$U$5*$I$1),0)+IF(AND(NOT((J29+N29+Q29)=0),(H28-H29)&gt;0),(H28-H29)*(Variables!$M$4*$H$1+Variables!$U$4*$I$1),0)</f>
        <v>1.3877787807814457E-14</v>
      </c>
      <c r="Y29" s="95">
        <f>IF(SUM(T29,U28:U29)&gt;0,H29*Variables!$Y$11*0.25*(1-$J$1),0)</f>
        <v>0</v>
      </c>
      <c r="Z29" s="95">
        <f>IF(T29=0,H29*$J$1*Variables!$Y$5*0.25,0)</f>
        <v>0</v>
      </c>
      <c r="AA29" s="95">
        <f t="shared" si="0"/>
        <v>1.3877787807814457E-14</v>
      </c>
      <c r="AB29" s="91">
        <f>AA29/Variables!$E$49</f>
        <v>2.2383528722281381E-15</v>
      </c>
    </row>
    <row r="30" spans="1:29" x14ac:dyDescent="0.25">
      <c r="A30" s="61">
        <f>'Water runs'!C37</f>
        <v>4718</v>
      </c>
      <c r="B30" s="61" t="str">
        <f>'Water runs'!B37</f>
        <v>Spring</v>
      </c>
      <c r="C30" s="54">
        <f>'Water runs'!D37/100</f>
        <v>0.55100000000000005</v>
      </c>
      <c r="D30" s="108">
        <f>VLOOKUP(ROW(D30)+4,'Water runs'!$BS$3:$CF$423,MATCH($B$1,Scenarios,0)+1)</f>
        <v>0</v>
      </c>
      <c r="E30" s="54">
        <f>IF(B30=Variables!$D$8,C30-Variables!$E$8,IF(B30=Variables!$D$9,C30-Variables!$E$9,IF(B30=Variables!$D$10,C30-Variables!$E$10,IF(B30=Variables!$D$11,C30-Variables!$E$11,"ELSE"))))</f>
        <v>-0.2129822089947091</v>
      </c>
      <c r="F30" s="108">
        <f>VLOOKUP(ROW(F30)+4,'Water runs'!$CH$3:$CU$423,MATCH($B$1,Scenarios,0)+1)</f>
        <v>0</v>
      </c>
      <c r="G30" s="65">
        <f>H30/Variables!$E$49</f>
        <v>0.23213736748895103</v>
      </c>
      <c r="H30" s="62">
        <f>IF((H29+I30)&gt;(1.1*Variables!$E$50),(1.1*Variables!$E$50),IF((H29+I30)&gt;0,H29+I30,0))</f>
        <v>1.4392516784314964</v>
      </c>
      <c r="I30" s="64">
        <f t="shared" si="1"/>
        <v>0.4410516784314964</v>
      </c>
      <c r="J30" s="63">
        <f>IF(SUM(E26:E29)&lt;Variables!$B$3,-H29,0)</f>
        <v>0</v>
      </c>
      <c r="K30" s="64">
        <f>IF(AND(H29&lt;Variables!$B$6*Variables!$E$50,OR(SUM(D27:D30)&gt;Variables!$B$5,SUM(E27:E30)&gt;Variables!$B$4)),Variables!$B$6*Variables!$E$50+Variables!$B$7*$G$1*Variables!$E$50*SUM(D27:D30),0)</f>
        <v>1.1532017185390788</v>
      </c>
      <c r="L30" s="64">
        <f>IF(B30="Winter",Variables!$B$8*H29,0)</f>
        <v>0</v>
      </c>
      <c r="M30" s="64">
        <f>IF(AND(B30="Spring",AND(NOT(H29=0),H29&lt;(Variables!$B$9*Variables!$E$50))),(Variables!$B$10*Variables!$E$50+Variables!$B$11*Variables!$E$50*SUM(E27:E30)+$G$1*SUM(D29:D30)*Variables!$E$50*Variables!$B$12),0)</f>
        <v>-0.72206115410718519</v>
      </c>
      <c r="N30" s="64">
        <f>IF(AND(B30="Spring",AND(SUM(D27:D30)&gt;Variables!$B$13,SUM(D23:D26)&gt;Variables!$B$13)),-Variables!$B$14*Variables!$E$50,0)</f>
        <v>0</v>
      </c>
      <c r="O30" s="64">
        <f>IF(AND(B30="Summer",SUM(C26:D30)&gt;Variables!$B$15),(Variables!$B$16*Variables!$E$50*SUM(C26:C30)+$G$1*Variables!$B$16*Variables!$E$50*SUM(D26:D30)+$G$1*Variables!$E$50*Variables!$B$17*F30),0)</f>
        <v>0</v>
      </c>
      <c r="P30" s="64">
        <f>IF(AND(AND(B30="Autumn",SUM(D29:E30)&gt;0),NOT(H29=0)),Variables!$B$18*Variables!$E$50+Variables!$B$19*Variables!$E$50*SUM(E29:E30)+$G$1*Variables!$B$19*Variables!$E$50*SUM(D29:D30),0)</f>
        <v>0</v>
      </c>
      <c r="Q30" s="64">
        <f>IF(AND(B30="Autumn",AND((E30+E29)&lt;Variables!$B$20,(D29+D30)=0)),-Variables!$B$21*Variables!$E$50,0)</f>
        <v>0</v>
      </c>
      <c r="R30" s="64">
        <f>IF(B30="Autumn",(SUM(F29:F30)*$G$1*Variables!$B$22*Variables!$E$50),0)</f>
        <v>0</v>
      </c>
      <c r="S30" s="64">
        <f>IF(B30="Spring",($G$1*Variables!$E$50*SUM('Guts (option 1)'!F29:F30)*Variables!$B$23),0)</f>
        <v>9.9111139996027348E-3</v>
      </c>
      <c r="T30" s="63">
        <f>IF((H29+SUM(J30:Q30))&lt;(Variables!$B$26*Variables!$E$50),$F$1*((Variables!$B$26*Variables!$E$50)-H29-SUM(J30:Q30)),0)</f>
        <v>0</v>
      </c>
      <c r="U30" s="64">
        <f>IF(AND(AND(B30="Autumn",SUM(D27:E30)&gt;Variables!$B$27),SUM(J30:Q30)&lt;Variables!$B$28*H29),$F$1*(Variables!$B$28*H29-SUM(J30:Q30)),0)</f>
        <v>0</v>
      </c>
      <c r="V30" s="96">
        <f>IF(AND((J30+K30)=0,(Q30+T30)=0),$H$1*H30*Variables!$I$23*0.25,0)</f>
        <v>0</v>
      </c>
      <c r="W30" s="97">
        <f>IF(AND((K30+J30)=0,(T30+Q30)=0),$I$1*H30*Variables!$Q$23*0.25,0)</f>
        <v>0</v>
      </c>
      <c r="X30" s="95">
        <f>IF(AND(NOT(K30=0),(H30-H29)&gt;0),(H30-H29)*(Variables!$M$5*$H$1+Variables!$U$5*$I$1),0)+IF(AND(NOT((J30+N30+Q30)=0),(H29-H30)&gt;0),(H29-H30)*(Variables!$M$4*$H$1+Variables!$U$4*$I$1),0)</f>
        <v>-110.26291960787407</v>
      </c>
      <c r="Y30" s="95">
        <f>IF(SUM(T30,U29:U30)&gt;0,H30*Variables!$Y$11*0.25*(1-$J$1),0)</f>
        <v>0</v>
      </c>
      <c r="Z30" s="95">
        <f>IF(T30=0,H30*$J$1*Variables!$Y$5*0.25,0)</f>
        <v>9.3551359098047264</v>
      </c>
      <c r="AA30" s="95">
        <f t="shared" si="0"/>
        <v>-100.90778369806934</v>
      </c>
      <c r="AB30" s="91">
        <f>AA30/Variables!$E$49</f>
        <v>-16.275448983559571</v>
      </c>
    </row>
    <row r="31" spans="1:29" x14ac:dyDescent="0.25">
      <c r="A31" s="61">
        <f>'Water runs'!C38</f>
        <v>4808</v>
      </c>
      <c r="B31" s="61" t="str">
        <f>'Water runs'!B38</f>
        <v>Summer</v>
      </c>
      <c r="C31" s="54">
        <f>'Water runs'!D38/100</f>
        <v>0.85560000000000003</v>
      </c>
      <c r="D31" s="108">
        <f>VLOOKUP(ROW(D31)+4,'Water runs'!$BS$3:$CF$423,MATCH($B$1,Scenarios,0)+1)</f>
        <v>0</v>
      </c>
      <c r="E31" s="54">
        <f>IF(B31=Variables!$D$8,C31-Variables!$E$8,IF(B31=Variables!$D$9,C31-Variables!$E$9,IF(B31=Variables!$D$10,C31-Variables!$E$10,IF(B31=Variables!$D$11,C31-Variables!$E$11,"ELSE"))))</f>
        <v>-0.40277013605442169</v>
      </c>
      <c r="F31" s="108">
        <f>VLOOKUP(ROW(F31)+4,'Water runs'!$CH$3:$CU$423,MATCH($B$1,Scenarios,0)+1)</f>
        <v>0</v>
      </c>
      <c r="G31" s="65">
        <f>H31/Variables!$E$49</f>
        <v>0.23213736748895103</v>
      </c>
      <c r="H31" s="62">
        <f>IF((H30+I31)&gt;(1.1*Variables!$E$50),(1.1*Variables!$E$50),IF((H30+I31)&gt;0,H30+I31,0))</f>
        <v>1.4392516784314964</v>
      </c>
      <c r="I31" s="64">
        <f t="shared" si="1"/>
        <v>0</v>
      </c>
      <c r="J31" s="63">
        <f>IF(SUM(E27:E30)&lt;Variables!$B$3,-H30,0)</f>
        <v>0</v>
      </c>
      <c r="K31" s="64">
        <f>IF(AND(H30&lt;Variables!$B$6*Variables!$E$50,OR(SUM(D28:D31)&gt;Variables!$B$5,SUM(E28:E31)&gt;Variables!$B$4)),Variables!$B$6*Variables!$E$50+Variables!$B$7*$G$1*Variables!$E$50*SUM(D28:D31),0)</f>
        <v>0</v>
      </c>
      <c r="L31" s="64">
        <f>IF(B31="Winter",Variables!$B$8*H30,0)</f>
        <v>0</v>
      </c>
      <c r="M31" s="64">
        <f>IF(AND(B31="Spring",AND(NOT(H30=0),H30&lt;(Variables!$B$9*Variables!$E$50))),(Variables!$B$10*Variables!$E$50+Variables!$B$11*Variables!$E$50*SUM(E28:E31)+$G$1*SUM(D30:D31)*Variables!$E$50*Variables!$B$12),0)</f>
        <v>0</v>
      </c>
      <c r="N31" s="64">
        <f>IF(AND(B31="Spring",AND(SUM(D28:D31)&gt;Variables!$B$13,SUM(D24:D27)&gt;Variables!$B$13)),-Variables!$B$14*Variables!$E$50,0)</f>
        <v>0</v>
      </c>
      <c r="O31" s="64">
        <f>IF(AND(B31="Summer",SUM(C27:D31)&gt;Variables!$B$15),(Variables!$B$16*Variables!$E$50*SUM(C27:C31)+$G$1*Variables!$B$16*Variables!$E$50*SUM(D27:D31)+$G$1*Variables!$E$50*Variables!$B$17*F31),0)</f>
        <v>0</v>
      </c>
      <c r="P31" s="64">
        <f>IF(AND(AND(B31="Autumn",SUM(D30:E31)&gt;0),NOT(H30=0)),Variables!$B$18*Variables!$E$50+Variables!$B$19*Variables!$E$50*SUM(E30:E31)+$G$1*Variables!$B$19*Variables!$E$50*SUM(D30:D31),0)</f>
        <v>0</v>
      </c>
      <c r="Q31" s="64">
        <f>IF(AND(B31="Autumn",AND((E31+E30)&lt;Variables!$B$20,(D30+D31)=0)),-Variables!$B$21*Variables!$E$50,0)</f>
        <v>0</v>
      </c>
      <c r="R31" s="64">
        <f>IF(B31="Autumn",(SUM(F30:F31)*$G$1*Variables!$B$22*Variables!$E$50),0)</f>
        <v>0</v>
      </c>
      <c r="S31" s="64">
        <f>IF(B31="Spring",($G$1*Variables!$E$50*SUM('Guts (option 1)'!F30:F31)*Variables!$B$23),0)</f>
        <v>0</v>
      </c>
      <c r="T31" s="63">
        <f>IF((H30+SUM(J31:Q31))&lt;(Variables!$B$26*Variables!$E$50),$F$1*((Variables!$B$26*Variables!$E$50)-H30-SUM(J31:Q31)),0)</f>
        <v>0</v>
      </c>
      <c r="U31" s="64">
        <f>IF(AND(AND(B31="Autumn",SUM(D28:E31)&gt;Variables!$B$27),SUM(J31:Q31)&lt;Variables!$B$28*H30),$F$1*(Variables!$B$28*H30-SUM(J31:Q31)),0)</f>
        <v>0</v>
      </c>
      <c r="V31" s="96">
        <f>IF(AND((J31+K31)=0,(Q31+T31)=0),$H$1*H31*Variables!$I$23*0.25,0)</f>
        <v>27.734595731126703</v>
      </c>
      <c r="W31" s="97">
        <f>IF(AND((K31+J31)=0,(T31+Q31)=0),$I$1*H31*Variables!$Q$23*0.25,0)</f>
        <v>29.030785792722103</v>
      </c>
      <c r="X31" s="95">
        <f>IF(AND(NOT(K31=0),(H31-H30)&gt;0),(H31-H30)*(Variables!$M$5*$H$1+Variables!$U$5*$I$1),0)+IF(AND(NOT((J31+N31+Q31)=0),(H30-H31)&gt;0),(H30-H31)*(Variables!$M$4*$H$1+Variables!$U$4*$I$1),0)</f>
        <v>0</v>
      </c>
      <c r="Y31" s="95">
        <f>IF(SUM(T31,U30:U31)&gt;0,H31*Variables!$Y$11*0.25*(1-$J$1),0)</f>
        <v>0</v>
      </c>
      <c r="Z31" s="95">
        <f>IF(T31=0,H31*$J$1*Variables!$Y$5*0.25,0)</f>
        <v>9.3551359098047264</v>
      </c>
      <c r="AA31" s="95">
        <f t="shared" si="0"/>
        <v>66.120517433653532</v>
      </c>
      <c r="AB31" s="91">
        <f>AA31/Variables!$E$49</f>
        <v>10.66459958607315</v>
      </c>
      <c r="AC31" s="15"/>
    </row>
    <row r="32" spans="1:29" x14ac:dyDescent="0.25">
      <c r="A32" s="61">
        <f>'Water runs'!C39</f>
        <v>4900</v>
      </c>
      <c r="B32" s="61" t="str">
        <f>'Water runs'!B39</f>
        <v>Autumn</v>
      </c>
      <c r="C32" s="54">
        <f>'Water runs'!D39/100</f>
        <v>1.6786000000000001</v>
      </c>
      <c r="D32" s="108">
        <f>VLOOKUP(ROW(D32)+4,'Water runs'!$BS$3:$CF$423,MATCH($B$1,Scenarios,0)+1)</f>
        <v>0</v>
      </c>
      <c r="E32" s="54">
        <f>IF(B32=Variables!$D$8,C32-Variables!$E$8,IF(B32=Variables!$D$9,C32-Variables!$E$9,IF(B32=Variables!$D$10,C32-Variables!$E$10,IF(B32=Variables!$D$11,C32-Variables!$E$11,"ELSE"))))</f>
        <v>0.68395670068027226</v>
      </c>
      <c r="F32" s="108">
        <f>VLOOKUP(ROW(F32)+4,'Water runs'!$CH$3:$CU$423,MATCH($B$1,Scenarios,0)+1)</f>
        <v>0</v>
      </c>
      <c r="G32" s="65">
        <f>H32/Variables!$E$49</f>
        <v>0.39040652473162674</v>
      </c>
      <c r="H32" s="62">
        <f>IF((H31+I32)&gt;(1.1*Variables!$E$50),(1.1*Variables!$E$50),IF((H31+I32)&gt;0,H31+I32,0))</f>
        <v>2.4205204533360858</v>
      </c>
      <c r="I32" s="64">
        <f t="shared" si="1"/>
        <v>0.9812687749045893</v>
      </c>
      <c r="J32" s="63">
        <f>IF(SUM(E28:E31)&lt;Variables!$B$3,-H31,0)</f>
        <v>0</v>
      </c>
      <c r="K32" s="64">
        <f>IF(AND(H31&lt;Variables!$B$6*Variables!$E$50,OR(SUM(D29:D32)&gt;Variables!$B$5,SUM(E29:E32)&gt;Variables!$B$4)),Variables!$B$6*Variables!$E$50+Variables!$B$7*$G$1*Variables!$E$50*SUM(D29:D32),0)</f>
        <v>0</v>
      </c>
      <c r="L32" s="64">
        <f>IF(B32="Winter",Variables!$B$8*H31,0)</f>
        <v>0</v>
      </c>
      <c r="M32" s="64">
        <f>IF(AND(B32="Spring",AND(NOT(H31=0),H31&lt;(Variables!$B$9*Variables!$E$50))),(Variables!$B$10*Variables!$E$50+Variables!$B$11*Variables!$E$50*SUM(E29:E32)+$G$1*SUM(D31:D32)*Variables!$E$50*Variables!$B$12),0)</f>
        <v>0</v>
      </c>
      <c r="N32" s="64">
        <f>IF(AND(B32="Spring",AND(SUM(D29:D32)&gt;Variables!$B$13,SUM(D25:D28)&gt;Variables!$B$13)),-Variables!$B$14*Variables!$E$50,0)</f>
        <v>0</v>
      </c>
      <c r="O32" s="64">
        <f>IF(AND(B32="Summer",SUM(C28:D32)&gt;Variables!$B$15),(Variables!$B$16*Variables!$E$50*SUM(C28:C32)+$G$1*Variables!$B$16*Variables!$E$50*SUM(D28:D32)+$G$1*Variables!$E$50*Variables!$B$17*F32),0)</f>
        <v>0</v>
      </c>
      <c r="P32" s="64">
        <f>IF(AND(AND(B32="Autumn",SUM(D31:E32)&gt;0),NOT(H31=0)),Variables!$B$18*Variables!$E$50+Variables!$B$19*Variables!$E$50*SUM(E31:E32)+$G$1*Variables!$B$19*Variables!$E$50*SUM(D31:D32),0)</f>
        <v>0.9812687749045893</v>
      </c>
      <c r="Q32" s="64">
        <f>IF(AND(B32="Autumn",AND((E32+E31)&lt;Variables!$B$20,(D31+D32)=0)),-Variables!$B$21*Variables!$E$50,0)</f>
        <v>0</v>
      </c>
      <c r="R32" s="64">
        <f>IF(B32="Autumn",(SUM(F31:F32)*$G$1*Variables!$B$22*Variables!$E$50),0)</f>
        <v>0</v>
      </c>
      <c r="S32" s="64">
        <f>IF(B32="Spring",($G$1*Variables!$E$50*SUM('Guts (option 1)'!F31:F32)*Variables!$B$23),0)</f>
        <v>0</v>
      </c>
      <c r="T32" s="63">
        <f>IF((H31+SUM(J32:Q32))&lt;(Variables!$B$26*Variables!$E$50),$F$1*((Variables!$B$26*Variables!$E$50)-H31-SUM(J32:Q32)),0)</f>
        <v>0</v>
      </c>
      <c r="U32" s="64">
        <f>IF(AND(AND(B32="Autumn",SUM(D29:E32)&gt;Variables!$B$27),SUM(J32:Q32)&lt;Variables!$B$28*H31),$F$1*(Variables!$B$28*H31-SUM(J32:Q32)),0)</f>
        <v>0</v>
      </c>
      <c r="V32" s="96">
        <f>IF(AND((J32+K32)=0,(Q32+T32)=0),$H$1*H32*Variables!$I$23*0.25,0)</f>
        <v>46.643792213854375</v>
      </c>
      <c r="W32" s="97">
        <f>IF(AND((K32+J32)=0,(T32+Q32)=0),$I$1*H32*Variables!$Q$23*0.25,0)</f>
        <v>48.823712934128849</v>
      </c>
      <c r="X32" s="95">
        <f>IF(AND(NOT(K32=0),(H32-H31)&gt;0),(H32-H31)*(Variables!$M$5*$H$1+Variables!$U$5*$I$1),0)+IF(AND(NOT((J32+N32+Q32)=0),(H31-H32)&gt;0),(H31-H32)*(Variables!$M$4*$H$1+Variables!$U$4*$I$1),0)</f>
        <v>0</v>
      </c>
      <c r="Y32" s="95">
        <f>IF(SUM(T32,U31:U32)&gt;0,H32*Variables!$Y$11*0.25*(1-$J$1),0)</f>
        <v>0</v>
      </c>
      <c r="Z32" s="95">
        <f>IF(T32=0,H32*$J$1*Variables!$Y$5*0.25,0)</f>
        <v>15.733382946684557</v>
      </c>
      <c r="AA32" s="95">
        <f t="shared" si="0"/>
        <v>111.20088809466777</v>
      </c>
      <c r="AB32" s="91">
        <f>AA32/Variables!$E$49</f>
        <v>17.935627112043189</v>
      </c>
    </row>
    <row r="33" spans="1:29" x14ac:dyDescent="0.25">
      <c r="A33" s="61">
        <f>'Water runs'!C40</f>
        <v>4992</v>
      </c>
      <c r="B33" s="61" t="str">
        <f>'Water runs'!B40</f>
        <v>Winter</v>
      </c>
      <c r="C33" s="54">
        <f>'Water runs'!D40/100</f>
        <v>0.46279999999999999</v>
      </c>
      <c r="D33" s="108">
        <f>VLOOKUP(ROW(D33)+4,'Water runs'!$BS$3:$CF$423,MATCH($B$1,Scenarios,0)+1)</f>
        <v>1.09270857251443E-2</v>
      </c>
      <c r="E33" s="54">
        <f>IF(B33=Variables!$D$8,C33-Variables!$E$8,IF(B33=Variables!$D$9,C33-Variables!$E$9,IF(B33=Variables!$D$10,C33-Variables!$E$10,IF(B33=Variables!$D$11,C33-Variables!$E$11,"ELSE"))))</f>
        <v>-0.10896762566137574</v>
      </c>
      <c r="F33" s="108">
        <f>VLOOKUP(ROW(F33)+4,'Water runs'!$CH$3:$CU$423,MATCH($B$1,Scenarios,0)+1)</f>
        <v>0</v>
      </c>
      <c r="G33" s="65">
        <f>H33/Variables!$E$49</f>
        <v>0.19600545160328128</v>
      </c>
      <c r="H33" s="62">
        <f>IF((H32+I33)&gt;(1.1*Variables!$E$50),(1.1*Variables!$E$50),IF((H32+I33)&gt;0,H32+I33,0))</f>
        <v>1.215233799940344</v>
      </c>
      <c r="I33" s="64">
        <f t="shared" si="1"/>
        <v>-1.2052866533957418</v>
      </c>
      <c r="J33" s="63">
        <f>IF(SUM(E29:E32)&lt;Variables!$B$3,-H32,0)</f>
        <v>0</v>
      </c>
      <c r="K33" s="64">
        <f>IF(AND(H32&lt;Variables!$B$6*Variables!$E$50,OR(SUM(D30:D33)&gt;Variables!$B$5,SUM(E30:E33)&gt;Variables!$B$4)),Variables!$B$6*Variables!$E$50+Variables!$B$7*$G$1*Variables!$E$50*SUM(D30:D33),0)</f>
        <v>0</v>
      </c>
      <c r="L33" s="64">
        <f>IF(B33="Winter",Variables!$B$8*H32,0)</f>
        <v>-1.2052866533957418</v>
      </c>
      <c r="M33" s="64">
        <f>IF(AND(B33="Spring",AND(NOT(H32=0),H32&lt;(Variables!$B$9*Variables!$E$50))),(Variables!$B$10*Variables!$E$50+Variables!$B$11*Variables!$E$50*SUM(E30:E33)+$G$1*SUM(D32:D33)*Variables!$E$50*Variables!$B$12),0)</f>
        <v>0</v>
      </c>
      <c r="N33" s="64">
        <f>IF(AND(B33="Spring",AND(SUM(D30:D33)&gt;Variables!$B$13,SUM(D26:D29)&gt;Variables!$B$13)),-Variables!$B$14*Variables!$E$50,0)</f>
        <v>0</v>
      </c>
      <c r="O33" s="64">
        <f>IF(AND(B33="Summer",SUM(C29:D33)&gt;Variables!$B$15),(Variables!$B$16*Variables!$E$50*SUM(C29:C33)+$G$1*Variables!$B$16*Variables!$E$50*SUM(D29:D33)+$G$1*Variables!$E$50*Variables!$B$17*F33),0)</f>
        <v>0</v>
      </c>
      <c r="P33" s="64">
        <f>IF(AND(AND(B33="Autumn",SUM(D32:E33)&gt;0),NOT(H32=0)),Variables!$B$18*Variables!$E$50+Variables!$B$19*Variables!$E$50*SUM(E32:E33)+$G$1*Variables!$B$19*Variables!$E$50*SUM(D32:D33),0)</f>
        <v>0</v>
      </c>
      <c r="Q33" s="64">
        <f>IF(AND(B33="Autumn",AND((E33+E32)&lt;Variables!$B$20,(D32+D33)=0)),-Variables!$B$21*Variables!$E$50,0)</f>
        <v>0</v>
      </c>
      <c r="R33" s="64">
        <f>IF(B33="Autumn",(SUM(F32:F33)*$G$1*Variables!$B$22*Variables!$E$50),0)</f>
        <v>0</v>
      </c>
      <c r="S33" s="64">
        <f>IF(B33="Spring",($G$1*Variables!$E$50*SUM('Guts (option 1)'!F32:F33)*Variables!$B$23),0)</f>
        <v>0</v>
      </c>
      <c r="T33" s="63">
        <f>IF((H32+SUM(J33:Q33))&lt;(Variables!$B$26*Variables!$E$50),$F$1*((Variables!$B$26*Variables!$E$50)-H32-SUM(J33:Q33)),0)</f>
        <v>0</v>
      </c>
      <c r="U33" s="64">
        <f>IF(AND(AND(B33="Autumn",SUM(D30:E33)&gt;Variables!$B$27),SUM(J33:Q33)&lt;Variables!$B$28*H32),$F$1*(Variables!$B$28*H32-SUM(J33:Q33)),0)</f>
        <v>0</v>
      </c>
      <c r="V33" s="96">
        <f>IF(AND((J33+K33)=0,(Q33+T33)=0),$H$1*H33*Variables!$I$23*0.25,0)</f>
        <v>23.417737609920419</v>
      </c>
      <c r="W33" s="97">
        <f>IF(AND((K33+J33)=0,(T33+Q33)=0),$I$1*H33*Variables!$Q$23*0.25,0)</f>
        <v>24.512177170146693</v>
      </c>
      <c r="X33" s="95">
        <f>IF(AND(NOT(K33=0),(H33-H32)&gt;0),(H33-H32)*(Variables!$M$5*$H$1+Variables!$U$5*$I$1),0)+IF(AND(NOT((J33+N33+Q33)=0),(H32-H33)&gt;0),(H32-H33)*(Variables!$M$4*$H$1+Variables!$U$4*$I$1),0)</f>
        <v>0</v>
      </c>
      <c r="Y33" s="95">
        <f>IF(SUM(T33,U32:U33)&gt;0,H33*Variables!$Y$11*0.25*(1-$J$1),0)</f>
        <v>0</v>
      </c>
      <c r="Z33" s="95">
        <f>IF(T33=0,H33*$J$1*Variables!$Y$5*0.25,0)</f>
        <v>7.8990196996122357</v>
      </c>
      <c r="AA33" s="95">
        <f t="shared" si="0"/>
        <v>55.828934479679347</v>
      </c>
      <c r="AB33" s="91">
        <f>AA33/Variables!$E$49</f>
        <v>9.0046668515611845</v>
      </c>
    </row>
    <row r="34" spans="1:29" x14ac:dyDescent="0.25">
      <c r="A34" s="61">
        <f>'Water runs'!C41</f>
        <v>5083</v>
      </c>
      <c r="B34" s="61" t="str">
        <f>'Water runs'!B41</f>
        <v>Spring</v>
      </c>
      <c r="C34" s="54">
        <f>'Water runs'!D41/100</f>
        <v>0.15160000000000001</v>
      </c>
      <c r="D34" s="108">
        <f>VLOOKUP(ROW(D34)+4,'Water runs'!$BS$3:$CF$423,MATCH($B$1,Scenarios,0)+1)</f>
        <v>0</v>
      </c>
      <c r="E34" s="54">
        <f>IF(B34=Variables!$D$8,C34-Variables!$E$8,IF(B34=Variables!$D$9,C34-Variables!$E$9,IF(B34=Variables!$D$10,C34-Variables!$E$10,IF(B34=Variables!$D$11,C34-Variables!$E$11,"ELSE"))))</f>
        <v>-0.61238220899470908</v>
      </c>
      <c r="F34" s="108">
        <f>VLOOKUP(ROW(F34)+4,'Water runs'!$CH$3:$CU$423,MATCH($B$1,Scenarios,0)+1)</f>
        <v>0</v>
      </c>
      <c r="G34" s="65">
        <f>H34/Variables!$E$49</f>
        <v>0.161</v>
      </c>
      <c r="H34" s="62">
        <f>IF((H33+I34)&gt;(1.1*Variables!$E$50),(1.1*Variables!$E$50),IF((H33+I34)&gt;0,H33+I34,0))</f>
        <v>0.99820000000000009</v>
      </c>
      <c r="I34" s="64">
        <f t="shared" si="1"/>
        <v>-0.21703379994034389</v>
      </c>
      <c r="J34" s="63">
        <f>IF(SUM(E30:E33)&lt;Variables!$B$3,-H33,0)</f>
        <v>0</v>
      </c>
      <c r="K34" s="64">
        <f>IF(AND(H33&lt;Variables!$B$6*Variables!$E$50,OR(SUM(D31:D34)&gt;Variables!$B$5,SUM(E31:E34)&gt;Variables!$B$4)),Variables!$B$6*Variables!$E$50+Variables!$B$7*$G$1*Variables!$E$50*SUM(D31:D34),0)</f>
        <v>0</v>
      </c>
      <c r="L34" s="64">
        <f>IF(B34="Winter",Variables!$B$8*H33,0)</f>
        <v>0</v>
      </c>
      <c r="M34" s="64">
        <f>IF(AND(B34="Spring",AND(NOT(H33=0),H33&lt;(Variables!$B$9*Variables!$E$50))),(Variables!$B$10*Variables!$E$50+Variables!$B$11*Variables!$E$50*SUM(E31:E34)+$G$1*SUM(D33:D34)*Variables!$E$50*Variables!$B$12),0)</f>
        <v>-0.29575076414247092</v>
      </c>
      <c r="N34" s="64">
        <f>IF(AND(B34="Spring",AND(SUM(D31:D34)&gt;Variables!$B$13,SUM(D27:D30)&gt;Variables!$B$13)),-Variables!$B$14*Variables!$E$50,0)</f>
        <v>0</v>
      </c>
      <c r="O34" s="64">
        <f>IF(AND(B34="Summer",SUM(C30:D34)&gt;Variables!$B$15),(Variables!$B$16*Variables!$E$50*SUM(C30:C34)+$G$1*Variables!$B$16*Variables!$E$50*SUM(D30:D34)+$G$1*Variables!$E$50*Variables!$B$17*F34),0)</f>
        <v>0</v>
      </c>
      <c r="P34" s="64">
        <f>IF(AND(AND(B34="Autumn",SUM(D33:E34)&gt;0),NOT(H33=0)),Variables!$B$18*Variables!$E$50+Variables!$B$19*Variables!$E$50*SUM(E33:E34)+$G$1*Variables!$B$19*Variables!$E$50*SUM(D33:D34),0)</f>
        <v>0</v>
      </c>
      <c r="Q34" s="64">
        <f>IF(AND(B34="Autumn",AND((E34+E33)&lt;Variables!$B$20,(D33+D34)=0)),-Variables!$B$21*Variables!$E$50,0)</f>
        <v>0</v>
      </c>
      <c r="R34" s="64">
        <f>IF(B34="Autumn",(SUM(F33:F34)*$G$1*Variables!$B$22*Variables!$E$50),0)</f>
        <v>0</v>
      </c>
      <c r="S34" s="64">
        <f>IF(B34="Spring",($G$1*Variables!$E$50*SUM('Guts (option 1)'!F33:F34)*Variables!$B$23),0)</f>
        <v>0</v>
      </c>
      <c r="T34" s="63">
        <f>IF((H33+SUM(J34:Q34))&lt;(Variables!$B$26*Variables!$E$50),$F$1*((Variables!$B$26*Variables!$E$50)-H33-SUM(J34:Q34)),0)</f>
        <v>7.8716964202127038E-2</v>
      </c>
      <c r="U34" s="64">
        <f>IF(AND(AND(B34="Autumn",SUM(D31:E34)&gt;Variables!$B$27),SUM(J34:Q34)&lt;Variables!$B$28*H33),$F$1*(Variables!$B$28*H33-SUM(J34:Q34)),0)</f>
        <v>0</v>
      </c>
      <c r="V34" s="96">
        <f>IF(AND((J34+K34)=0,(Q34+T34)=0),$H$1*H34*Variables!$I$23*0.25,0)</f>
        <v>0</v>
      </c>
      <c r="W34" s="97">
        <f>IF(AND((K34+J34)=0,(T34+Q34)=0),$I$1*H34*Variables!$Q$23*0.25,0)</f>
        <v>0</v>
      </c>
      <c r="X34" s="95">
        <f>IF(AND(NOT(K34=0),(H34-H33)&gt;0),(H34-H33)*(Variables!$M$5*$H$1+Variables!$U$5*$I$1),0)+IF(AND(NOT((J34+N34+Q34)=0),(H33-H34)&gt;0),(H33-H34)*(Variables!$M$4*$H$1+Variables!$U$4*$I$1),0)</f>
        <v>0</v>
      </c>
      <c r="Y34" s="95">
        <f>IF(SUM(T34,U33:U34)&gt;0,H34*Variables!$Y$11*0.25*(1-$J$1),0)</f>
        <v>0</v>
      </c>
      <c r="Z34" s="95">
        <f>IF(T34=0,H34*$J$1*Variables!$Y$5*0.25,0)</f>
        <v>0</v>
      </c>
      <c r="AA34" s="95">
        <f t="shared" si="0"/>
        <v>0</v>
      </c>
      <c r="AB34" s="91">
        <f>AA34/Variables!$E$49</f>
        <v>0</v>
      </c>
    </row>
    <row r="35" spans="1:29" x14ac:dyDescent="0.25">
      <c r="A35" s="61">
        <f>'Water runs'!C42</f>
        <v>5173</v>
      </c>
      <c r="B35" s="61" t="str">
        <f>'Water runs'!B42</f>
        <v>Summer</v>
      </c>
      <c r="C35" s="54">
        <f>'Water runs'!D42/100</f>
        <v>1.214</v>
      </c>
      <c r="D35" s="108">
        <f>VLOOKUP(ROW(D35)+4,'Water runs'!$BS$3:$CF$423,MATCH($B$1,Scenarios,0)+1)</f>
        <v>0</v>
      </c>
      <c r="E35" s="54">
        <f>IF(B35=Variables!$D$8,C35-Variables!$E$8,IF(B35=Variables!$D$9,C35-Variables!$E$9,IF(B35=Variables!$D$10,C35-Variables!$E$10,IF(B35=Variables!$D$11,C35-Variables!$E$11,"ELSE"))))</f>
        <v>-4.4370136054421749E-2</v>
      </c>
      <c r="F35" s="108">
        <f>VLOOKUP(ROW(F35)+4,'Water runs'!$CH$3:$CU$423,MATCH($B$1,Scenarios,0)+1)</f>
        <v>0</v>
      </c>
      <c r="G35" s="65">
        <f>H35/Variables!$E$49</f>
        <v>0.34509258467185389</v>
      </c>
      <c r="H35" s="62">
        <f>IF((H34+I35)&gt;(1.1*Variables!$E$50),(1.1*Variables!$E$50),IF((H34+I35)&gt;0,H34+I35,0))</f>
        <v>2.1395740249654942</v>
      </c>
      <c r="I35" s="64">
        <f t="shared" si="1"/>
        <v>1.1413740249654942</v>
      </c>
      <c r="J35" s="63">
        <f>IF(SUM(E31:E34)&lt;Variables!$B$3,-H34,0)</f>
        <v>0</v>
      </c>
      <c r="K35" s="64">
        <f>IF(AND(H34&lt;Variables!$B$6*Variables!$E$50,OR(SUM(D32:D35)&gt;Variables!$B$5,SUM(E32:E35)&gt;Variables!$B$4)),Variables!$B$6*Variables!$E$50+Variables!$B$7*$G$1*Variables!$E$50*SUM(D32:D35),0)</f>
        <v>1.1413740249654942</v>
      </c>
      <c r="L35" s="64">
        <f>IF(B35="Winter",Variables!$B$8*H34,0)</f>
        <v>0</v>
      </c>
      <c r="M35" s="64">
        <f>IF(AND(B35="Spring",AND(NOT(H34=0),H34&lt;(Variables!$B$9*Variables!$E$50))),(Variables!$B$10*Variables!$E$50+Variables!$B$11*Variables!$E$50*SUM(E32:E35)+$G$1*SUM(D34:D35)*Variables!$E$50*Variables!$B$12),0)</f>
        <v>0</v>
      </c>
      <c r="N35" s="64">
        <f>IF(AND(B35="Spring",AND(SUM(D32:D35)&gt;Variables!$B$13,SUM(D28:D31)&gt;Variables!$B$13)),-Variables!$B$14*Variables!$E$50,0)</f>
        <v>0</v>
      </c>
      <c r="O35" s="64">
        <f>IF(AND(B35="Summer",SUM(C31:D35)&gt;Variables!$B$15),(Variables!$B$16*Variables!$E$50*SUM(C31:C35)+$G$1*Variables!$B$16*Variables!$E$50*SUM(D31:D35)+$G$1*Variables!$E$50*Variables!$B$17*F35),0)</f>
        <v>0</v>
      </c>
      <c r="P35" s="64">
        <f>IF(AND(AND(B35="Autumn",SUM(D34:E35)&gt;0),NOT(H34=0)),Variables!$B$18*Variables!$E$50+Variables!$B$19*Variables!$E$50*SUM(E34:E35)+$G$1*Variables!$B$19*Variables!$E$50*SUM(D34:D35),0)</f>
        <v>0</v>
      </c>
      <c r="Q35" s="64">
        <f>IF(AND(B35="Autumn",AND((E35+E34)&lt;Variables!$B$20,(D34+D35)=0)),-Variables!$B$21*Variables!$E$50,0)</f>
        <v>0</v>
      </c>
      <c r="R35" s="64">
        <f>IF(B35="Autumn",(SUM(F34:F35)*$G$1*Variables!$B$22*Variables!$E$50),0)</f>
        <v>0</v>
      </c>
      <c r="S35" s="64">
        <f>IF(B35="Spring",($G$1*Variables!$E$50*SUM('Guts (option 1)'!F34:F35)*Variables!$B$23),0)</f>
        <v>0</v>
      </c>
      <c r="T35" s="63">
        <f>IF((H34+SUM(J35:Q35))&lt;(Variables!$B$26*Variables!$E$50),$F$1*((Variables!$B$26*Variables!$E$50)-H34-SUM(J35:Q35)),0)</f>
        <v>0</v>
      </c>
      <c r="U35" s="64">
        <f>IF(AND(AND(B35="Autumn",SUM(D32:E35)&gt;Variables!$B$27),SUM(J35:Q35)&lt;Variables!$B$28*H34),$F$1*(Variables!$B$28*H34-SUM(J35:Q35)),0)</f>
        <v>0</v>
      </c>
      <c r="V35" s="96">
        <f>IF(AND((J35+K35)=0,(Q35+T35)=0),$H$1*H35*Variables!$I$23*0.25,0)</f>
        <v>0</v>
      </c>
      <c r="W35" s="97">
        <f>IF(AND((K35+J35)=0,(T35+Q35)=0),$I$1*H35*Variables!$Q$23*0.25,0)</f>
        <v>0</v>
      </c>
      <c r="X35" s="95">
        <f>IF(AND(NOT(K35=0),(H35-H34)&gt;0),(H35-H34)*(Variables!$M$5*$H$1+Variables!$U$5*$I$1),0)+IF(AND(NOT((J35+N35+Q35)=0),(H34-H35)&gt;0),(H34-H35)*(Variables!$M$4*$H$1+Variables!$U$4*$I$1),0)</f>
        <v>-285.34350624137352</v>
      </c>
      <c r="Y35" s="95">
        <f>IF(SUM(T35,U34:U35)&gt;0,H35*Variables!$Y$11*0.25*(1-$J$1),0)</f>
        <v>0</v>
      </c>
      <c r="Z35" s="95">
        <f>IF(T35=0,H35*$J$1*Variables!$Y$5*0.25,0)</f>
        <v>13.907231162275712</v>
      </c>
      <c r="AA35" s="95">
        <f t="shared" si="0"/>
        <v>-271.43627507909781</v>
      </c>
      <c r="AB35" s="91">
        <f>AA35/Variables!$E$49</f>
        <v>-43.780044367596417</v>
      </c>
      <c r="AC35" s="15"/>
    </row>
    <row r="36" spans="1:29" x14ac:dyDescent="0.25">
      <c r="A36" s="61">
        <f>'Water runs'!C43</f>
        <v>5265</v>
      </c>
      <c r="B36" s="61" t="str">
        <f>'Water runs'!B43</f>
        <v>Autumn</v>
      </c>
      <c r="C36" s="54">
        <f>'Water runs'!D43/100</f>
        <v>0.56440000000000001</v>
      </c>
      <c r="D36" s="108">
        <f>VLOOKUP(ROW(D36)+4,'Water runs'!$BS$3:$CF$423,MATCH($B$1,Scenarios,0)+1)</f>
        <v>3.4227507739570382E-3</v>
      </c>
      <c r="E36" s="54">
        <f>IF(B36=Variables!$D$8,C36-Variables!$E$8,IF(B36=Variables!$D$9,C36-Variables!$E$9,IF(B36=Variables!$D$10,C36-Variables!$E$10,IF(B36=Variables!$D$11,C36-Variables!$E$11,"ELSE"))))</f>
        <v>-0.43024329931972782</v>
      </c>
      <c r="F36" s="108">
        <f>VLOOKUP(ROW(F36)+4,'Water runs'!$CH$3:$CU$423,MATCH($B$1,Scenarios,0)+1)</f>
        <v>0</v>
      </c>
      <c r="G36" s="65">
        <f>H36/Variables!$E$49</f>
        <v>0.34509258467185389</v>
      </c>
      <c r="H36" s="62">
        <f>IF((H35+I36)&gt;(1.1*Variables!$E$50),(1.1*Variables!$E$50),IF((H35+I36)&gt;0,H35+I36,0))</f>
        <v>2.1395740249654942</v>
      </c>
      <c r="I36" s="64">
        <f t="shared" si="1"/>
        <v>0</v>
      </c>
      <c r="J36" s="63">
        <f>IF(SUM(E32:E35)&lt;Variables!$B$3,-H35,0)</f>
        <v>0</v>
      </c>
      <c r="K36" s="64">
        <f>IF(AND(H35&lt;Variables!$B$6*Variables!$E$50,OR(SUM(D33:D36)&gt;Variables!$B$5,SUM(E33:E36)&gt;Variables!$B$4)),Variables!$B$6*Variables!$E$50+Variables!$B$7*$G$1*Variables!$E$50*SUM(D33:D36),0)</f>
        <v>0</v>
      </c>
      <c r="L36" s="64">
        <f>IF(B36="Winter",Variables!$B$8*H35,0)</f>
        <v>0</v>
      </c>
      <c r="M36" s="64">
        <f>IF(AND(B36="Spring",AND(NOT(H35=0),H35&lt;(Variables!$B$9*Variables!$E$50))),(Variables!$B$10*Variables!$E$50+Variables!$B$11*Variables!$E$50*SUM(E33:E36)+$G$1*SUM(D35:D36)*Variables!$E$50*Variables!$B$12),0)</f>
        <v>0</v>
      </c>
      <c r="N36" s="64">
        <f>IF(AND(B36="Spring",AND(SUM(D33:D36)&gt;Variables!$B$13,SUM(D29:D32)&gt;Variables!$B$13)),-Variables!$B$14*Variables!$E$50,0)</f>
        <v>0</v>
      </c>
      <c r="O36" s="64">
        <f>IF(AND(B36="Summer",SUM(C32:D36)&gt;Variables!$B$15),(Variables!$B$16*Variables!$E$50*SUM(C32:C36)+$G$1*Variables!$B$16*Variables!$E$50*SUM(D32:D36)+$G$1*Variables!$E$50*Variables!$B$17*F36),0)</f>
        <v>0</v>
      </c>
      <c r="P36" s="64">
        <f>IF(AND(AND(B36="Autumn",SUM(D35:E36)&gt;0),NOT(H35=0)),Variables!$B$18*Variables!$E$50+Variables!$B$19*Variables!$E$50*SUM(E35:E36)+$G$1*Variables!$B$19*Variables!$E$50*SUM(D35:D36),0)</f>
        <v>0</v>
      </c>
      <c r="Q36" s="64">
        <f>IF(AND(B36="Autumn",AND((E36+E35)&lt;Variables!$B$20,(D35+D36)=0)),-Variables!$B$21*Variables!$E$50,0)</f>
        <v>0</v>
      </c>
      <c r="R36" s="64">
        <f>IF(B36="Autumn",(SUM(F35:F36)*$G$1*Variables!$B$22*Variables!$E$50),0)</f>
        <v>0</v>
      </c>
      <c r="S36" s="64">
        <f>IF(B36="Spring",($G$1*Variables!$E$50*SUM('Guts (option 1)'!F35:F36)*Variables!$B$23),0)</f>
        <v>0</v>
      </c>
      <c r="T36" s="63">
        <f>IF((H35+SUM(J36:Q36))&lt;(Variables!$B$26*Variables!$E$50),$F$1*((Variables!$B$26*Variables!$E$50)-H35-SUM(J36:Q36)),0)</f>
        <v>0</v>
      </c>
      <c r="U36" s="64">
        <f>IF(AND(AND(B36="Autumn",SUM(D33:E36)&gt;Variables!$B$27),SUM(J36:Q36)&lt;Variables!$B$28*H35),$F$1*(Variables!$B$28*H35-SUM(J36:Q36)),0)</f>
        <v>0</v>
      </c>
      <c r="V36" s="96">
        <f>IF(AND((J36+K36)=0,(Q36+T36)=0),$H$1*H36*Variables!$I$23*0.25,0)</f>
        <v>41.229912397188819</v>
      </c>
      <c r="W36" s="97">
        <f>IF(AND((K36+J36)=0,(T36+Q36)=0),$I$1*H36*Variables!$Q$23*0.25,0)</f>
        <v>43.15681276407274</v>
      </c>
      <c r="X36" s="95">
        <f>IF(AND(NOT(K36=0),(H36-H35)&gt;0),(H36-H35)*(Variables!$M$5*$H$1+Variables!$U$5*$I$1),0)+IF(AND(NOT((J36+N36+Q36)=0),(H35-H36)&gt;0),(H35-H36)*(Variables!$M$4*$H$1+Variables!$U$4*$I$1),0)</f>
        <v>0</v>
      </c>
      <c r="Y36" s="95">
        <f>IF(SUM(T36,U35:U36)&gt;0,H36*Variables!$Y$11*0.25*(1-$J$1),0)</f>
        <v>0</v>
      </c>
      <c r="Z36" s="95">
        <f>IF(T36=0,H36*$J$1*Variables!$Y$5*0.25,0)</f>
        <v>13.907231162275712</v>
      </c>
      <c r="AA36" s="95">
        <f t="shared" si="0"/>
        <v>98.293956323537259</v>
      </c>
      <c r="AB36" s="91">
        <f>AA36/Variables!$E$49</f>
        <v>15.85386392315117</v>
      </c>
    </row>
    <row r="37" spans="1:29" x14ac:dyDescent="0.25">
      <c r="A37" s="61">
        <f>'Water runs'!C44</f>
        <v>5357</v>
      </c>
      <c r="B37" s="61" t="str">
        <f>'Water runs'!B44</f>
        <v>Winter</v>
      </c>
      <c r="C37" s="54">
        <f>'Water runs'!D44/100</f>
        <v>0.49740000000000001</v>
      </c>
      <c r="D37" s="108">
        <f>VLOOKUP(ROW(D37)+4,'Water runs'!$BS$3:$CF$423,MATCH($B$1,Scenarios,0)+1)</f>
        <v>0</v>
      </c>
      <c r="E37" s="54">
        <f>IF(B37=Variables!$D$8,C37-Variables!$E$8,IF(B37=Variables!$D$9,C37-Variables!$E$9,IF(B37=Variables!$D$10,C37-Variables!$E$10,IF(B37=Variables!$D$11,C37-Variables!$E$11,"ELSE"))))</f>
        <v>-7.4367625661375725E-2</v>
      </c>
      <c r="F37" s="108">
        <f>VLOOKUP(ROW(F37)+4,'Water runs'!$CH$3:$CU$423,MATCH($B$1,Scenarios,0)+1)</f>
        <v>0</v>
      </c>
      <c r="G37" s="65">
        <f>H37/Variables!$E$49</f>
        <v>0.1732553725889889</v>
      </c>
      <c r="H37" s="62">
        <f>IF((H36+I37)&gt;(1.1*Variables!$E$50),(1.1*Variables!$E$50),IF((H36+I37)&gt;0,H36+I37,0))</f>
        <v>1.0741833100517313</v>
      </c>
      <c r="I37" s="64">
        <f t="shared" si="1"/>
        <v>-1.0653907149137629</v>
      </c>
      <c r="J37" s="63">
        <f>IF(SUM(E33:E36)&lt;Variables!$B$3,-H36,0)</f>
        <v>0</v>
      </c>
      <c r="K37" s="64">
        <f>IF(AND(H36&lt;Variables!$B$6*Variables!$E$50,OR(SUM(D34:D37)&gt;Variables!$B$5,SUM(E34:E37)&gt;Variables!$B$4)),Variables!$B$6*Variables!$E$50+Variables!$B$7*$G$1*Variables!$E$50*SUM(D34:D37),0)</f>
        <v>0</v>
      </c>
      <c r="L37" s="64">
        <f>IF(B37="Winter",Variables!$B$8*H36,0)</f>
        <v>-1.0653907149137629</v>
      </c>
      <c r="M37" s="64">
        <f>IF(AND(B37="Spring",AND(NOT(H36=0),H36&lt;(Variables!$B$9*Variables!$E$50))),(Variables!$B$10*Variables!$E$50+Variables!$B$11*Variables!$E$50*SUM(E34:E37)+$G$1*SUM(D36:D37)*Variables!$E$50*Variables!$B$12),0)</f>
        <v>0</v>
      </c>
      <c r="N37" s="64">
        <f>IF(AND(B37="Spring",AND(SUM(D34:D37)&gt;Variables!$B$13,SUM(D30:D33)&gt;Variables!$B$13)),-Variables!$B$14*Variables!$E$50,0)</f>
        <v>0</v>
      </c>
      <c r="O37" s="64">
        <f>IF(AND(B37="Summer",SUM(C33:D37)&gt;Variables!$B$15),(Variables!$B$16*Variables!$E$50*SUM(C33:C37)+$G$1*Variables!$B$16*Variables!$E$50*SUM(D33:D37)+$G$1*Variables!$E$50*Variables!$B$17*F37),0)</f>
        <v>0</v>
      </c>
      <c r="P37" s="64">
        <f>IF(AND(AND(B37="Autumn",SUM(D36:E37)&gt;0),NOT(H36=0)),Variables!$B$18*Variables!$E$50+Variables!$B$19*Variables!$E$50*SUM(E36:E37)+$G$1*Variables!$B$19*Variables!$E$50*SUM(D36:D37),0)</f>
        <v>0</v>
      </c>
      <c r="Q37" s="64">
        <f>IF(AND(B37="Autumn",AND((E37+E36)&lt;Variables!$B$20,(D36+D37)=0)),-Variables!$B$21*Variables!$E$50,0)</f>
        <v>0</v>
      </c>
      <c r="R37" s="64">
        <f>IF(B37="Autumn",(SUM(F36:F37)*$G$1*Variables!$B$22*Variables!$E$50),0)</f>
        <v>0</v>
      </c>
      <c r="S37" s="64">
        <f>IF(B37="Spring",($G$1*Variables!$E$50*SUM('Guts (option 1)'!F36:F37)*Variables!$B$23),0)</f>
        <v>0</v>
      </c>
      <c r="T37" s="63">
        <f>IF((H36+SUM(J37:Q37))&lt;(Variables!$B$26*Variables!$E$50),$F$1*((Variables!$B$26*Variables!$E$50)-H36-SUM(J37:Q37)),0)</f>
        <v>0</v>
      </c>
      <c r="U37" s="64">
        <f>IF(AND(AND(B37="Autumn",SUM(D34:E37)&gt;Variables!$B$27),SUM(J37:Q37)&lt;Variables!$B$28*H36),$F$1*(Variables!$B$28*H36-SUM(J37:Q37)),0)</f>
        <v>0</v>
      </c>
      <c r="V37" s="96">
        <f>IF(AND((J37+K37)=0,(Q37+T37)=0),$H$1*H37*Variables!$I$23*0.25,0)</f>
        <v>20.699673512193371</v>
      </c>
      <c r="W37" s="97">
        <f>IF(AND((K37+J37)=0,(T37+Q37)=0),$I$1*H37*Variables!$Q$23*0.25,0)</f>
        <v>21.667083001225958</v>
      </c>
      <c r="X37" s="95">
        <f>IF(AND(NOT(K37=0),(H37-H36)&gt;0),(H37-H36)*(Variables!$M$5*$H$1+Variables!$U$5*$I$1),0)+IF(AND(NOT((J37+N37+Q37)=0),(H36-H37)&gt;0),(H36-H37)*(Variables!$M$4*$H$1+Variables!$U$4*$I$1),0)</f>
        <v>0</v>
      </c>
      <c r="Y37" s="95">
        <f>IF(SUM(T37,U36:U37)&gt;0,H37*Variables!$Y$11*0.25*(1-$J$1),0)</f>
        <v>0</v>
      </c>
      <c r="Z37" s="95">
        <f>IF(T37=0,H37*$J$1*Variables!$Y$5*0.25,0)</f>
        <v>6.982191515336253</v>
      </c>
      <c r="AA37" s="95">
        <f t="shared" si="0"/>
        <v>49.348948028755586</v>
      </c>
      <c r="AB37" s="91">
        <f>AA37/Variables!$E$49</f>
        <v>7.9595077465734816</v>
      </c>
    </row>
    <row r="38" spans="1:29" x14ac:dyDescent="0.25">
      <c r="A38" s="61">
        <f>'Water runs'!C45</f>
        <v>5448</v>
      </c>
      <c r="B38" s="61" t="str">
        <f>'Water runs'!B45</f>
        <v>Spring</v>
      </c>
      <c r="C38" s="54">
        <f>'Water runs'!D45/100</f>
        <v>0.98580000000000001</v>
      </c>
      <c r="D38" s="108">
        <f>VLOOKUP(ROW(D38)+4,'Water runs'!$BS$3:$CF$423,MATCH($B$1,Scenarios,0)+1)</f>
        <v>0</v>
      </c>
      <c r="E38" s="54">
        <f>IF(B38=Variables!$D$8,C38-Variables!$E$8,IF(B38=Variables!$D$9,C38-Variables!$E$9,IF(B38=Variables!$D$10,C38-Variables!$E$10,IF(B38=Variables!$D$11,C38-Variables!$E$11,"ELSE"))))</f>
        <v>0.22181779100529087</v>
      </c>
      <c r="F38" s="108">
        <f>VLOOKUP(ROW(F38)+4,'Water runs'!$CH$3:$CU$423,MATCH($B$1,Scenarios,0)+1)</f>
        <v>0</v>
      </c>
      <c r="G38" s="65">
        <f>H38/Variables!$E$49</f>
        <v>0.32134592689213454</v>
      </c>
      <c r="H38" s="62">
        <f>IF((H37+I38)&gt;(1.1*Variables!$E$50),(1.1*Variables!$E$50),IF((H37+I38)&gt;0,H37+I38,0))</f>
        <v>1.9923447467312343</v>
      </c>
      <c r="I38" s="64">
        <f t="shared" si="1"/>
        <v>0.91816143667950312</v>
      </c>
      <c r="J38" s="63">
        <f>IF(SUM(E34:E37)&lt;Variables!$B$3,-H37,0)</f>
        <v>0</v>
      </c>
      <c r="K38" s="64">
        <f>IF(AND(H37&lt;Variables!$B$6*Variables!$E$50,OR(SUM(D35:D38)&gt;Variables!$B$5,SUM(E35:E38)&gt;Variables!$B$4)),Variables!$B$6*Variables!$E$50+Variables!$B$7*$G$1*Variables!$E$50*SUM(D35:D38),0)</f>
        <v>1.1409798049767648</v>
      </c>
      <c r="L38" s="64">
        <f>IF(B38="Winter",Variables!$B$8*H37,0)</f>
        <v>0</v>
      </c>
      <c r="M38" s="64">
        <f>IF(AND(B38="Spring",AND(NOT(H37=0),H37&lt;(Variables!$B$9*Variables!$E$50))),(Variables!$B$10*Variables!$E$50+Variables!$B$11*Variables!$E$50*SUM(E35:E38)+$G$1*SUM(D37:D38)*Variables!$E$50*Variables!$B$12),0)</f>
        <v>-0.22281836829726168</v>
      </c>
      <c r="N38" s="64">
        <f>IF(AND(B38="Spring",AND(SUM(D35:D38)&gt;Variables!$B$13,SUM(D31:D34)&gt;Variables!$B$13)),-Variables!$B$14*Variables!$E$50,0)</f>
        <v>0</v>
      </c>
      <c r="O38" s="64">
        <f>IF(AND(B38="Summer",SUM(C34:D38)&gt;Variables!$B$15),(Variables!$B$16*Variables!$E$50*SUM(C34:C38)+$G$1*Variables!$B$16*Variables!$E$50*SUM(D34:D38)+$G$1*Variables!$E$50*Variables!$B$17*F38),0)</f>
        <v>0</v>
      </c>
      <c r="P38" s="64">
        <f>IF(AND(AND(B38="Autumn",SUM(D37:E38)&gt;0),NOT(H37=0)),Variables!$B$18*Variables!$E$50+Variables!$B$19*Variables!$E$50*SUM(E37:E38)+$G$1*Variables!$B$19*Variables!$E$50*SUM(D37:D38),0)</f>
        <v>0</v>
      </c>
      <c r="Q38" s="64">
        <f>IF(AND(B38="Autumn",AND((E38+E37)&lt;Variables!$B$20,(D37+D38)=0)),-Variables!$B$21*Variables!$E$50,0)</f>
        <v>0</v>
      </c>
      <c r="R38" s="64">
        <f>IF(B38="Autumn",(SUM(F37:F38)*$G$1*Variables!$B$22*Variables!$E$50),0)</f>
        <v>0</v>
      </c>
      <c r="S38" s="64">
        <f>IF(B38="Spring",($G$1*Variables!$E$50*SUM('Guts (option 1)'!F37:F38)*Variables!$B$23),0)</f>
        <v>0</v>
      </c>
      <c r="T38" s="63">
        <f>IF((H37+SUM(J38:Q38))&lt;(Variables!$B$26*Variables!$E$50),$F$1*((Variables!$B$26*Variables!$E$50)-H37-SUM(J38:Q38)),0)</f>
        <v>0</v>
      </c>
      <c r="U38" s="64">
        <f>IF(AND(AND(B38="Autumn",SUM(D35:E38)&gt;Variables!$B$27),SUM(J38:Q38)&lt;Variables!$B$28*H37),$F$1*(Variables!$B$28*H37-SUM(J38:Q38)),0)</f>
        <v>0</v>
      </c>
      <c r="V38" s="96">
        <f>IF(AND((J38+K38)=0,(Q38+T38)=0),$H$1*H38*Variables!$I$23*0.25,0)</f>
        <v>0</v>
      </c>
      <c r="W38" s="97">
        <f>IF(AND((K38+J38)=0,(T38+Q38)=0),$I$1*H38*Variables!$Q$23*0.25,0)</f>
        <v>0</v>
      </c>
      <c r="X38" s="95">
        <f>IF(AND(NOT(K38=0),(H38-H37)&gt;0),(H38-H37)*(Variables!$M$5*$H$1+Variables!$U$5*$I$1),0)+IF(AND(NOT((J38+N38+Q38)=0),(H37-H38)&gt;0),(H37-H38)*(Variables!$M$4*$H$1+Variables!$U$4*$I$1),0)</f>
        <v>-229.54035916987576</v>
      </c>
      <c r="Y38" s="95">
        <f>IF(SUM(T38,U37:U38)&gt;0,H38*Variables!$Y$11*0.25*(1-$J$1),0)</f>
        <v>0</v>
      </c>
      <c r="Z38" s="95">
        <f>IF(T38=0,H38*$J$1*Variables!$Y$5*0.25,0)</f>
        <v>12.950240853753023</v>
      </c>
      <c r="AA38" s="95">
        <f t="shared" si="0"/>
        <v>-216.59011831612273</v>
      </c>
      <c r="AB38" s="91">
        <f>AA38/Variables!$E$49</f>
        <v>-34.933890050987536</v>
      </c>
    </row>
    <row r="39" spans="1:29" x14ac:dyDescent="0.25">
      <c r="A39" s="61">
        <f>'Water runs'!C46</f>
        <v>5538</v>
      </c>
      <c r="B39" s="61" t="str">
        <f>'Water runs'!B46</f>
        <v>Summer</v>
      </c>
      <c r="C39" s="54">
        <f>'Water runs'!D46/100</f>
        <v>0.71439999999999992</v>
      </c>
      <c r="D39" s="108">
        <f>VLOOKUP(ROW(D39)+4,'Water runs'!$BS$3:$CF$423,MATCH($B$1,Scenarios,0)+1)</f>
        <v>0</v>
      </c>
      <c r="E39" s="54">
        <f>IF(B39=Variables!$D$8,C39-Variables!$E$8,IF(B39=Variables!$D$9,C39-Variables!$E$9,IF(B39=Variables!$D$10,C39-Variables!$E$10,IF(B39=Variables!$D$11,C39-Variables!$E$11,"ELSE"))))</f>
        <v>-0.54397013605442179</v>
      </c>
      <c r="F39" s="108">
        <f>VLOOKUP(ROW(F39)+4,'Water runs'!$CH$3:$CU$423,MATCH($B$1,Scenarios,0)+1)</f>
        <v>0</v>
      </c>
      <c r="G39" s="65">
        <f>H39/Variables!$E$49</f>
        <v>0.32134592689213454</v>
      </c>
      <c r="H39" s="62">
        <f>IF((H38+I39)&gt;(1.1*Variables!$E$50),(1.1*Variables!$E$50),IF((H38+I39)&gt;0,H38+I39,0))</f>
        <v>1.9923447467312343</v>
      </c>
      <c r="I39" s="64">
        <f t="shared" si="1"/>
        <v>0</v>
      </c>
      <c r="J39" s="63">
        <f>IF(SUM(E35:E38)&lt;Variables!$B$3,-H38,0)</f>
        <v>0</v>
      </c>
      <c r="K39" s="64">
        <f>IF(AND(H38&lt;Variables!$B$6*Variables!$E$50,OR(SUM(D36:D39)&gt;Variables!$B$5,SUM(E36:E39)&gt;Variables!$B$4)),Variables!$B$6*Variables!$E$50+Variables!$B$7*$G$1*Variables!$E$50*SUM(D36:D39),0)</f>
        <v>0</v>
      </c>
      <c r="L39" s="64">
        <f>IF(B39="Winter",Variables!$B$8*H38,0)</f>
        <v>0</v>
      </c>
      <c r="M39" s="64">
        <f>IF(AND(B39="Spring",AND(NOT(H38=0),H38&lt;(Variables!$B$9*Variables!$E$50))),(Variables!$B$10*Variables!$E$50+Variables!$B$11*Variables!$E$50*SUM(E36:E39)+$G$1*SUM(D38:D39)*Variables!$E$50*Variables!$B$12),0)</f>
        <v>0</v>
      </c>
      <c r="N39" s="64">
        <f>IF(AND(B39="Spring",AND(SUM(D36:D39)&gt;Variables!$B$13,SUM(D32:D35)&gt;Variables!$B$13)),-Variables!$B$14*Variables!$E$50,0)</f>
        <v>0</v>
      </c>
      <c r="O39" s="64">
        <f>IF(AND(B39="Summer",SUM(C35:D39)&gt;Variables!$B$15),(Variables!$B$16*Variables!$E$50*SUM(C35:C39)+$G$1*Variables!$B$16*Variables!$E$50*SUM(D35:D39)+$G$1*Variables!$E$50*Variables!$B$17*F39),0)</f>
        <v>0</v>
      </c>
      <c r="P39" s="64">
        <f>IF(AND(AND(B39="Autumn",SUM(D38:E39)&gt;0),NOT(H38=0)),Variables!$B$18*Variables!$E$50+Variables!$B$19*Variables!$E$50*SUM(E38:E39)+$G$1*Variables!$B$19*Variables!$E$50*SUM(D38:D39),0)</f>
        <v>0</v>
      </c>
      <c r="Q39" s="64">
        <f>IF(AND(B39="Autumn",AND((E39+E38)&lt;Variables!$B$20,(D38+D39)=0)),-Variables!$B$21*Variables!$E$50,0)</f>
        <v>0</v>
      </c>
      <c r="R39" s="64">
        <f>IF(B39="Autumn",(SUM(F38:F39)*$G$1*Variables!$B$22*Variables!$E$50),0)</f>
        <v>0</v>
      </c>
      <c r="S39" s="64">
        <f>IF(B39="Spring",($G$1*Variables!$E$50*SUM('Guts (option 1)'!F38:F39)*Variables!$B$23),0)</f>
        <v>0</v>
      </c>
      <c r="T39" s="63">
        <f>IF((H38+SUM(J39:Q39))&lt;(Variables!$B$26*Variables!$E$50),$F$1*((Variables!$B$26*Variables!$E$50)-H38-SUM(J39:Q39)),0)</f>
        <v>0</v>
      </c>
      <c r="U39" s="64">
        <f>IF(AND(AND(B39="Autumn",SUM(D36:E39)&gt;Variables!$B$27),SUM(J39:Q39)&lt;Variables!$B$28*H38),$F$1*(Variables!$B$28*H38-SUM(J39:Q39)),0)</f>
        <v>0</v>
      </c>
      <c r="V39" s="96">
        <f>IF(AND((J39+K39)=0,(Q39+T39)=0),$H$1*H39*Variables!$I$23*0.25,0)</f>
        <v>38.392782121222893</v>
      </c>
      <c r="W39" s="97">
        <f>IF(AND((K39+J39)=0,(T39+Q39)=0),$I$1*H39*Variables!$Q$23*0.25,0)</f>
        <v>40.187087800129042</v>
      </c>
      <c r="X39" s="95">
        <f>IF(AND(NOT(K39=0),(H39-H38)&gt;0),(H39-H38)*(Variables!$M$5*$H$1+Variables!$U$5*$I$1),0)+IF(AND(NOT((J39+N39+Q39)=0),(H38-H39)&gt;0),(H38-H39)*(Variables!$M$4*$H$1+Variables!$U$4*$I$1),0)</f>
        <v>0</v>
      </c>
      <c r="Y39" s="95">
        <f>IF(SUM(T39,U38:U39)&gt;0,H39*Variables!$Y$11*0.25*(1-$J$1),0)</f>
        <v>0</v>
      </c>
      <c r="Z39" s="95">
        <f>IF(T39=0,H39*$J$1*Variables!$Y$5*0.25,0)</f>
        <v>12.950240853753023</v>
      </c>
      <c r="AA39" s="95">
        <f t="shared" si="0"/>
        <v>91.530110775104959</v>
      </c>
      <c r="AB39" s="91">
        <f>AA39/Variables!$E$49</f>
        <v>14.762921092758864</v>
      </c>
      <c r="AC39" s="15"/>
    </row>
    <row r="40" spans="1:29" x14ac:dyDescent="0.25">
      <c r="A40" s="61">
        <f>'Water runs'!C47</f>
        <v>5630</v>
      </c>
      <c r="B40" s="61" t="str">
        <f>'Water runs'!B47</f>
        <v>Autumn</v>
      </c>
      <c r="C40" s="54">
        <f>'Water runs'!D47/100</f>
        <v>0.32520000000000004</v>
      </c>
      <c r="D40" s="108">
        <f>VLOOKUP(ROW(D40)+4,'Water runs'!$BS$3:$CF$423,MATCH($B$1,Scenarios,0)+1)</f>
        <v>0</v>
      </c>
      <c r="E40" s="54">
        <f>IF(B40=Variables!$D$8,C40-Variables!$E$8,IF(B40=Variables!$D$9,C40-Variables!$E$9,IF(B40=Variables!$D$10,C40-Variables!$E$10,IF(B40=Variables!$D$11,C40-Variables!$E$11,"ELSE"))))</f>
        <v>-0.66944329931972779</v>
      </c>
      <c r="F40" s="108">
        <f>VLOOKUP(ROW(F40)+4,'Water runs'!$CH$3:$CU$423,MATCH($B$1,Scenarios,0)+1)</f>
        <v>0</v>
      </c>
      <c r="G40" s="65">
        <f>H40/Variables!$E$49</f>
        <v>0.32134592689213454</v>
      </c>
      <c r="H40" s="62">
        <f>IF((H39+I40)&gt;(1.1*Variables!$E$50),(1.1*Variables!$E$50),IF((H39+I40)&gt;0,H39+I40,0))</f>
        <v>1.9923447467312343</v>
      </c>
      <c r="I40" s="64">
        <f t="shared" si="1"/>
        <v>0</v>
      </c>
      <c r="J40" s="63">
        <f>IF(SUM(E36:E39)&lt;Variables!$B$3,-H39,0)</f>
        <v>0</v>
      </c>
      <c r="K40" s="64">
        <f>IF(AND(H39&lt;Variables!$B$6*Variables!$E$50,OR(SUM(D37:D40)&gt;Variables!$B$5,SUM(E37:E40)&gt;Variables!$B$4)),Variables!$B$6*Variables!$E$50+Variables!$B$7*$G$1*Variables!$E$50*SUM(D37:D40),0)</f>
        <v>0</v>
      </c>
      <c r="L40" s="64">
        <f>IF(B40="Winter",Variables!$B$8*H39,0)</f>
        <v>0</v>
      </c>
      <c r="M40" s="64">
        <f>IF(AND(B40="Spring",AND(NOT(H39=0),H39&lt;(Variables!$B$9*Variables!$E$50))),(Variables!$B$10*Variables!$E$50+Variables!$B$11*Variables!$E$50*SUM(E37:E40)+$G$1*SUM(D39:D40)*Variables!$E$50*Variables!$B$12),0)</f>
        <v>0</v>
      </c>
      <c r="N40" s="64">
        <f>IF(AND(B40="Spring",AND(SUM(D37:D40)&gt;Variables!$B$13,SUM(D33:D36)&gt;Variables!$B$13)),-Variables!$B$14*Variables!$E$50,0)</f>
        <v>0</v>
      </c>
      <c r="O40" s="64">
        <f>IF(AND(B40="Summer",SUM(C36:D40)&gt;Variables!$B$15),(Variables!$B$16*Variables!$E$50*SUM(C36:C40)+$G$1*Variables!$B$16*Variables!$E$50*SUM(D36:D40)+$G$1*Variables!$E$50*Variables!$B$17*F40),0)</f>
        <v>0</v>
      </c>
      <c r="P40" s="64">
        <f>IF(AND(AND(B40="Autumn",SUM(D39:E40)&gt;0),NOT(H39=0)),Variables!$B$18*Variables!$E$50+Variables!$B$19*Variables!$E$50*SUM(E39:E40)+$G$1*Variables!$B$19*Variables!$E$50*SUM(D39:D40),0)</f>
        <v>0</v>
      </c>
      <c r="Q40" s="64">
        <f>IF(AND(B40="Autumn",AND((E40+E39)&lt;Variables!$B$20,(D39+D40)=0)),-Variables!$B$21*Variables!$E$50,0)</f>
        <v>0</v>
      </c>
      <c r="R40" s="64">
        <f>IF(B40="Autumn",(SUM(F39:F40)*$G$1*Variables!$B$22*Variables!$E$50),0)</f>
        <v>0</v>
      </c>
      <c r="S40" s="64">
        <f>IF(B40="Spring",($G$1*Variables!$E$50*SUM('Guts (option 1)'!F39:F40)*Variables!$B$23),0)</f>
        <v>0</v>
      </c>
      <c r="T40" s="63">
        <f>IF((H39+SUM(J40:Q40))&lt;(Variables!$B$26*Variables!$E$50),$F$1*((Variables!$B$26*Variables!$E$50)-H39-SUM(J40:Q40)),0)</f>
        <v>0</v>
      </c>
      <c r="U40" s="64">
        <f>IF(AND(AND(B40="Autumn",SUM(D37:E40)&gt;Variables!$B$27),SUM(J40:Q40)&lt;Variables!$B$28*H39),$F$1*(Variables!$B$28*H39-SUM(J40:Q40)),0)</f>
        <v>0</v>
      </c>
      <c r="V40" s="96">
        <f>IF(AND((J40+K40)=0,(Q40+T40)=0),$H$1*H40*Variables!$I$23*0.25,0)</f>
        <v>38.392782121222893</v>
      </c>
      <c r="W40" s="97">
        <f>IF(AND((K40+J40)=0,(T40+Q40)=0),$I$1*H40*Variables!$Q$23*0.25,0)</f>
        <v>40.187087800129042</v>
      </c>
      <c r="X40" s="95">
        <f>IF(AND(NOT(K40=0),(H40-H39)&gt;0),(H40-H39)*(Variables!$M$5*$H$1+Variables!$U$5*$I$1),0)+IF(AND(NOT((J40+N40+Q40)=0),(H39-H40)&gt;0),(H39-H40)*(Variables!$M$4*$H$1+Variables!$U$4*$I$1),0)</f>
        <v>0</v>
      </c>
      <c r="Y40" s="95">
        <f>IF(SUM(T40,U39:U40)&gt;0,H40*Variables!$Y$11*0.25*(1-$J$1),0)</f>
        <v>0</v>
      </c>
      <c r="Z40" s="95">
        <f>IF(T40=0,H40*$J$1*Variables!$Y$5*0.25,0)</f>
        <v>12.950240853753023</v>
      </c>
      <c r="AA40" s="95">
        <f t="shared" si="0"/>
        <v>91.530110775104959</v>
      </c>
      <c r="AB40" s="91">
        <f>AA40/Variables!$E$49</f>
        <v>14.762921092758864</v>
      </c>
    </row>
    <row r="41" spans="1:29" x14ac:dyDescent="0.25">
      <c r="A41" s="61">
        <f>'Water runs'!C48</f>
        <v>5722</v>
      </c>
      <c r="B41" s="61" t="str">
        <f>'Water runs'!B48</f>
        <v>Winter</v>
      </c>
      <c r="C41" s="54">
        <f>'Water runs'!D48/100</f>
        <v>0.41619999999999996</v>
      </c>
      <c r="D41" s="108">
        <f>VLOOKUP(ROW(D41)+4,'Water runs'!$BS$3:$CF$423,MATCH($B$1,Scenarios,0)+1)</f>
        <v>0</v>
      </c>
      <c r="E41" s="54">
        <f>IF(B41=Variables!$D$8,C41-Variables!$E$8,IF(B41=Variables!$D$9,C41-Variables!$E$9,IF(B41=Variables!$D$10,C41-Variables!$E$10,IF(B41=Variables!$D$11,C41-Variables!$E$11,"ELSE"))))</f>
        <v>-0.15556762566137577</v>
      </c>
      <c r="F41" s="108">
        <f>VLOOKUP(ROW(F41)+4,'Water runs'!$CH$3:$CU$423,MATCH($B$1,Scenarios,0)+1)</f>
        <v>0</v>
      </c>
      <c r="G41" s="65">
        <f>H41/Variables!$E$49</f>
        <v>0.16133325016702879</v>
      </c>
      <c r="H41" s="62">
        <f>IF((H40+I41)&gt;(1.1*Variables!$E$50),(1.1*Variables!$E$50),IF((H40+I41)&gt;0,H40+I41,0))</f>
        <v>1.0002661510355786</v>
      </c>
      <c r="I41" s="64">
        <f t="shared" si="1"/>
        <v>-0.99207859569565582</v>
      </c>
      <c r="J41" s="63">
        <f>IF(SUM(E37:E40)&lt;Variables!$B$3,-H40,0)</f>
        <v>0</v>
      </c>
      <c r="K41" s="64">
        <f>IF(AND(H40&lt;Variables!$B$6*Variables!$E$50,OR(SUM(D38:D41)&gt;Variables!$B$5,SUM(E38:E41)&gt;Variables!$B$4)),Variables!$B$6*Variables!$E$50+Variables!$B$7*$G$1*Variables!$E$50*SUM(D38:D41),0)</f>
        <v>0</v>
      </c>
      <c r="L41" s="64">
        <f>IF(B41="Winter",Variables!$B$8*H40,0)</f>
        <v>-0.99207859569565582</v>
      </c>
      <c r="M41" s="64">
        <f>IF(AND(B41="Spring",AND(NOT(H40=0),H40&lt;(Variables!$B$9*Variables!$E$50))),(Variables!$B$10*Variables!$E$50+Variables!$B$11*Variables!$E$50*SUM(E38:E41)+$G$1*SUM(D40:D41)*Variables!$E$50*Variables!$B$12),0)</f>
        <v>0</v>
      </c>
      <c r="N41" s="64">
        <f>IF(AND(B41="Spring",AND(SUM(D38:D41)&gt;Variables!$B$13,SUM(D34:D37)&gt;Variables!$B$13)),-Variables!$B$14*Variables!$E$50,0)</f>
        <v>0</v>
      </c>
      <c r="O41" s="64">
        <f>IF(AND(B41="Summer",SUM(C37:D41)&gt;Variables!$B$15),(Variables!$B$16*Variables!$E$50*SUM(C37:C41)+$G$1*Variables!$B$16*Variables!$E$50*SUM(D37:D41)+$G$1*Variables!$E$50*Variables!$B$17*F41),0)</f>
        <v>0</v>
      </c>
      <c r="P41" s="64">
        <f>IF(AND(AND(B41="Autumn",SUM(D40:E41)&gt;0),NOT(H40=0)),Variables!$B$18*Variables!$E$50+Variables!$B$19*Variables!$E$50*SUM(E40:E41)+$G$1*Variables!$B$19*Variables!$E$50*SUM(D40:D41),0)</f>
        <v>0</v>
      </c>
      <c r="Q41" s="64">
        <f>IF(AND(B41="Autumn",AND((E41+E40)&lt;Variables!$B$20,(D40+D41)=0)),-Variables!$B$21*Variables!$E$50,0)</f>
        <v>0</v>
      </c>
      <c r="R41" s="64">
        <f>IF(B41="Autumn",(SUM(F40:F41)*$G$1*Variables!$B$22*Variables!$E$50),0)</f>
        <v>0</v>
      </c>
      <c r="S41" s="64">
        <f>IF(B41="Spring",($G$1*Variables!$E$50*SUM('Guts (option 1)'!F40:F41)*Variables!$B$23),0)</f>
        <v>0</v>
      </c>
      <c r="T41" s="63">
        <f>IF((H40+SUM(J41:Q41))&lt;(Variables!$B$26*Variables!$E$50),$F$1*((Variables!$B$26*Variables!$E$50)-H40-SUM(J41:Q41)),0)</f>
        <v>0</v>
      </c>
      <c r="U41" s="64">
        <f>IF(AND(AND(B41="Autumn",SUM(D38:E41)&gt;Variables!$B$27),SUM(J41:Q41)&lt;Variables!$B$28*H40),$F$1*(Variables!$B$28*H40-SUM(J41:Q41)),0)</f>
        <v>0</v>
      </c>
      <c r="V41" s="96">
        <f>IF(AND((J41+K41)=0,(Q41+T41)=0),$H$1*H41*Variables!$I$23*0.25,0)</f>
        <v>19.275278770378257</v>
      </c>
      <c r="W41" s="97">
        <f>IF(AND((K41+J41)=0,(T41+Q41)=0),$I$1*H41*Variables!$Q$23*0.25,0)</f>
        <v>20.176118466000894</v>
      </c>
      <c r="X41" s="95">
        <f>IF(AND(NOT(K41=0),(H41-H40)&gt;0),(H41-H40)*(Variables!$M$5*$H$1+Variables!$U$5*$I$1),0)+IF(AND(NOT((J41+N41+Q41)=0),(H40-H41)&gt;0),(H40-H41)*(Variables!$M$4*$H$1+Variables!$U$4*$I$1),0)</f>
        <v>0</v>
      </c>
      <c r="Y41" s="95">
        <f>IF(SUM(T41,U40:U41)&gt;0,H41*Variables!$Y$11*0.25*(1-$J$1),0)</f>
        <v>0</v>
      </c>
      <c r="Z41" s="95">
        <f>IF(T41=0,H41*$J$1*Variables!$Y$5*0.25,0)</f>
        <v>6.5017299817312608</v>
      </c>
      <c r="AA41" s="95">
        <f t="shared" si="0"/>
        <v>45.95312721811041</v>
      </c>
      <c r="AB41" s="91">
        <f>AA41/Variables!$E$49</f>
        <v>7.4117947125984527</v>
      </c>
    </row>
    <row r="42" spans="1:29" x14ac:dyDescent="0.25">
      <c r="A42" s="61">
        <f>'Water runs'!C49</f>
        <v>5813</v>
      </c>
      <c r="B42" s="61" t="str">
        <f>'Water runs'!B49</f>
        <v>Spring</v>
      </c>
      <c r="C42" s="54">
        <f>'Water runs'!D49/100</f>
        <v>0.20860000000000001</v>
      </c>
      <c r="D42" s="108">
        <f>VLOOKUP(ROW(D42)+4,'Water runs'!$BS$3:$CF$423,MATCH($B$1,Scenarios,0)+1)</f>
        <v>0</v>
      </c>
      <c r="E42" s="54">
        <f>IF(B42=Variables!$D$8,C42-Variables!$E$8,IF(B42=Variables!$D$9,C42-Variables!$E$9,IF(B42=Variables!$D$10,C42-Variables!$E$10,IF(B42=Variables!$D$11,C42-Variables!$E$11,"ELSE"))))</f>
        <v>-0.55538220899470914</v>
      </c>
      <c r="F42" s="108">
        <f>VLOOKUP(ROW(F42)+4,'Water runs'!$CH$3:$CU$423,MATCH($B$1,Scenarios,0)+1)</f>
        <v>0</v>
      </c>
      <c r="G42" s="65">
        <f>H42/Variables!$E$49</f>
        <v>0.161</v>
      </c>
      <c r="H42" s="62">
        <f>IF((H41+I42)&gt;(1.1*Variables!$E$50),(1.1*Variables!$E$50),IF((H41+I42)&gt;0,H41+I42,0))</f>
        <v>0.99819999999999998</v>
      </c>
      <c r="I42" s="64">
        <f t="shared" si="1"/>
        <v>-2.0661510355786117E-3</v>
      </c>
      <c r="J42" s="63">
        <f>IF(SUM(E38:E41)&lt;Variables!$B$3,-H41,0)</f>
        <v>0</v>
      </c>
      <c r="K42" s="64">
        <f>IF(AND(H41&lt;Variables!$B$6*Variables!$E$50,OR(SUM(D39:D42)&gt;Variables!$B$5,SUM(E39:E42)&gt;Variables!$B$4)),Variables!$B$6*Variables!$E$50+Variables!$B$7*$G$1*Variables!$E$50*SUM(D39:D42),0)</f>
        <v>0</v>
      </c>
      <c r="L42" s="64">
        <f>IF(B42="Winter",Variables!$B$8*H41,0)</f>
        <v>0</v>
      </c>
      <c r="M42" s="64">
        <f>IF(AND(B42="Spring",AND(NOT(H41=0),H41&lt;(Variables!$B$9*Variables!$E$50))),(Variables!$B$10*Variables!$E$50+Variables!$B$11*Variables!$E$50*SUM(E39:E42)+$G$1*SUM(D41:D42)*Variables!$E$50*Variables!$B$12),0)</f>
        <v>-1.3106100932408891</v>
      </c>
      <c r="N42" s="64">
        <f>IF(AND(B42="Spring",AND(SUM(D39:D42)&gt;Variables!$B$13,SUM(D35:D38)&gt;Variables!$B$13)),-Variables!$B$14*Variables!$E$50,0)</f>
        <v>0</v>
      </c>
      <c r="O42" s="64">
        <f>IF(AND(B42="Summer",SUM(C38:D42)&gt;Variables!$B$15),(Variables!$B$16*Variables!$E$50*SUM(C38:C42)+$G$1*Variables!$B$16*Variables!$E$50*SUM(D38:D42)+$G$1*Variables!$E$50*Variables!$B$17*F42),0)</f>
        <v>0</v>
      </c>
      <c r="P42" s="64">
        <f>IF(AND(AND(B42="Autumn",SUM(D41:E42)&gt;0),NOT(H41=0)),Variables!$B$18*Variables!$E$50+Variables!$B$19*Variables!$E$50*SUM(E41:E42)+$G$1*Variables!$B$19*Variables!$E$50*SUM(D41:D42),0)</f>
        <v>0</v>
      </c>
      <c r="Q42" s="64">
        <f>IF(AND(B42="Autumn",AND((E42+E41)&lt;Variables!$B$20,(D41+D42)=0)),-Variables!$B$21*Variables!$E$50,0)</f>
        <v>0</v>
      </c>
      <c r="R42" s="64">
        <f>IF(B42="Autumn",(SUM(F41:F42)*$G$1*Variables!$B$22*Variables!$E$50),0)</f>
        <v>0</v>
      </c>
      <c r="S42" s="64">
        <f>IF(B42="Spring",($G$1*Variables!$E$50*SUM('Guts (option 1)'!F41:F42)*Variables!$B$23),0)</f>
        <v>0</v>
      </c>
      <c r="T42" s="63">
        <f>IF((H41+SUM(J42:Q42))&lt;(Variables!$B$26*Variables!$E$50),$F$1*((Variables!$B$26*Variables!$E$50)-H41-SUM(J42:Q42)),0)</f>
        <v>1.3085439422053105</v>
      </c>
      <c r="U42" s="64">
        <f>IF(AND(AND(B42="Autumn",SUM(D39:E42)&gt;Variables!$B$27),SUM(J42:Q42)&lt;Variables!$B$28*H41),$F$1*(Variables!$B$28*H41-SUM(J42:Q42)),0)</f>
        <v>0</v>
      </c>
      <c r="V42" s="96">
        <f>IF(AND((J42+K42)=0,(Q42+T42)=0),$H$1*H42*Variables!$I$23*0.25,0)</f>
        <v>0</v>
      </c>
      <c r="W42" s="97">
        <f>IF(AND((K42+J42)=0,(T42+Q42)=0),$I$1*H42*Variables!$Q$23*0.25,0)</f>
        <v>0</v>
      </c>
      <c r="X42" s="95">
        <f>IF(AND(NOT(K42=0),(H42-H41)&gt;0),(H42-H41)*(Variables!$M$5*$H$1+Variables!$U$5*$I$1),0)+IF(AND(NOT((J42+N42+Q42)=0),(H41-H42)&gt;0),(H41-H42)*(Variables!$M$4*$H$1+Variables!$U$4*$I$1),0)</f>
        <v>0</v>
      </c>
      <c r="Y42" s="95">
        <f>IF(SUM(T42,U41:U42)&gt;0,H42*Variables!$Y$11*0.25*(1-$J$1),0)</f>
        <v>0</v>
      </c>
      <c r="Z42" s="95">
        <f>IF(T42=0,H42*$J$1*Variables!$Y$5*0.25,0)</f>
        <v>0</v>
      </c>
      <c r="AA42" s="95">
        <f t="shared" si="0"/>
        <v>0</v>
      </c>
      <c r="AB42" s="91">
        <f>AA42/Variables!$E$49</f>
        <v>0</v>
      </c>
    </row>
    <row r="43" spans="1:29" x14ac:dyDescent="0.25">
      <c r="A43" s="61">
        <f>'Water runs'!C50</f>
        <v>5903</v>
      </c>
      <c r="B43" s="61" t="str">
        <f>'Water runs'!B50</f>
        <v>Summer</v>
      </c>
      <c r="C43" s="54">
        <f>'Water runs'!D50/100</f>
        <v>0.59660000000000002</v>
      </c>
      <c r="D43" s="108">
        <f>VLOOKUP(ROW(D43)+4,'Water runs'!$BS$3:$CF$423,MATCH($B$1,Scenarios,0)+1)</f>
        <v>0</v>
      </c>
      <c r="E43" s="54">
        <f>IF(B43=Variables!$D$8,C43-Variables!$E$8,IF(B43=Variables!$D$9,C43-Variables!$E$9,IF(B43=Variables!$D$10,C43-Variables!$E$10,IF(B43=Variables!$D$11,C43-Variables!$E$11,"ELSE"))))</f>
        <v>-0.6617701360544217</v>
      </c>
      <c r="F43" s="108">
        <f>VLOOKUP(ROW(F43)+4,'Water runs'!$CH$3:$CU$423,MATCH($B$1,Scenarios,0)+1)</f>
        <v>0</v>
      </c>
      <c r="G43" s="65">
        <f>H43/Variables!$E$49</f>
        <v>0.161</v>
      </c>
      <c r="H43" s="62">
        <f>IF((H42+I43)&gt;(1.1*Variables!$E$50),(1.1*Variables!$E$50),IF((H42+I43)&gt;0,H42+I43,0))</f>
        <v>0.99820000000000009</v>
      </c>
      <c r="I43" s="64">
        <f t="shared" si="1"/>
        <v>1.1102230246251565E-16</v>
      </c>
      <c r="J43" s="63">
        <f>IF(SUM(E39:E42)&lt;Variables!$B$3,-H42,0)</f>
        <v>-0.99819999999999998</v>
      </c>
      <c r="K43" s="64">
        <f>IF(AND(H42&lt;Variables!$B$6*Variables!$E$50,OR(SUM(D40:D43)&gt;Variables!$B$5,SUM(E40:E43)&gt;Variables!$B$4)),Variables!$B$6*Variables!$E$50+Variables!$B$7*$G$1*Variables!$E$50*SUM(D40:D43),0)</f>
        <v>0</v>
      </c>
      <c r="L43" s="64">
        <f>IF(B43="Winter",Variables!$B$8*H42,0)</f>
        <v>0</v>
      </c>
      <c r="M43" s="64">
        <f>IF(AND(B43="Spring",AND(NOT(H42=0),H42&lt;(Variables!$B$9*Variables!$E$50))),(Variables!$B$10*Variables!$E$50+Variables!$B$11*Variables!$E$50*SUM(E40:E43)+$G$1*SUM(D42:D43)*Variables!$E$50*Variables!$B$12),0)</f>
        <v>0</v>
      </c>
      <c r="N43" s="64">
        <f>IF(AND(B43="Spring",AND(SUM(D40:D43)&gt;Variables!$B$13,SUM(D36:D39)&gt;Variables!$B$13)),-Variables!$B$14*Variables!$E$50,0)</f>
        <v>0</v>
      </c>
      <c r="O43" s="64">
        <f>IF(AND(B43="Summer",SUM(C39:D43)&gt;Variables!$B$15),(Variables!$B$16*Variables!$E$50*SUM(C39:C43)+$G$1*Variables!$B$16*Variables!$E$50*SUM(D39:D43)+$G$1*Variables!$E$50*Variables!$B$17*F43),0)</f>
        <v>0</v>
      </c>
      <c r="P43" s="64">
        <f>IF(AND(AND(B43="Autumn",SUM(D42:E43)&gt;0),NOT(H42=0)),Variables!$B$18*Variables!$E$50+Variables!$B$19*Variables!$E$50*SUM(E42:E43)+$G$1*Variables!$B$19*Variables!$E$50*SUM(D42:D43),0)</f>
        <v>0</v>
      </c>
      <c r="Q43" s="64">
        <f>IF(AND(B43="Autumn",AND((E43+E42)&lt;Variables!$B$20,(D42+D43)=0)),-Variables!$B$21*Variables!$E$50,0)</f>
        <v>0</v>
      </c>
      <c r="R43" s="64">
        <f>IF(B43="Autumn",(SUM(F42:F43)*$G$1*Variables!$B$22*Variables!$E$50),0)</f>
        <v>0</v>
      </c>
      <c r="S43" s="64">
        <f>IF(B43="Spring",($G$1*Variables!$E$50*SUM('Guts (option 1)'!F42:F43)*Variables!$B$23),0)</f>
        <v>0</v>
      </c>
      <c r="T43" s="63">
        <f>IF((H42+SUM(J43:Q43))&lt;(Variables!$B$26*Variables!$E$50),$F$1*((Variables!$B$26*Variables!$E$50)-H42-SUM(J43:Q43)),0)</f>
        <v>0.99820000000000009</v>
      </c>
      <c r="U43" s="64">
        <f>IF(AND(AND(B43="Autumn",SUM(D40:E43)&gt;Variables!$B$27),SUM(J43:Q43)&lt;Variables!$B$28*H42),$F$1*(Variables!$B$28*H42-SUM(J43:Q43)),0)</f>
        <v>0</v>
      </c>
      <c r="V43" s="96">
        <f>IF(AND((J43+K43)=0,(Q43+T43)=0),$H$1*H43*Variables!$I$23*0.25,0)</f>
        <v>0</v>
      </c>
      <c r="W43" s="97">
        <f>IF(AND((K43+J43)=0,(T43+Q43)=0),$I$1*H43*Variables!$Q$23*0.25,0)</f>
        <v>0</v>
      </c>
      <c r="X43" s="95">
        <f>IF(AND(NOT(K43=0),(H43-H42)&gt;0),(H43-H42)*(Variables!$M$5*$H$1+Variables!$U$5*$I$1),0)+IF(AND(NOT((J43+N43+Q43)=0),(H42-H43)&gt;0),(H42-H43)*(Variables!$M$4*$H$1+Variables!$U$4*$I$1),0)</f>
        <v>0</v>
      </c>
      <c r="Y43" s="95">
        <f>IF(SUM(T43,U42:U43)&gt;0,H43*Variables!$Y$11*0.25*(1-$J$1),0)</f>
        <v>0</v>
      </c>
      <c r="Z43" s="95">
        <f>IF(T43=0,H43*$J$1*Variables!$Y$5*0.25,0)</f>
        <v>0</v>
      </c>
      <c r="AA43" s="95">
        <f t="shared" si="0"/>
        <v>0</v>
      </c>
      <c r="AB43" s="91">
        <f>AA43/Variables!$E$49</f>
        <v>0</v>
      </c>
      <c r="AC43" s="15"/>
    </row>
    <row r="44" spans="1:29" x14ac:dyDescent="0.25">
      <c r="A44" s="61">
        <f>'Water runs'!C51</f>
        <v>5996</v>
      </c>
      <c r="B44" s="61" t="str">
        <f>'Water runs'!B51</f>
        <v>Autumn</v>
      </c>
      <c r="C44" s="54">
        <f>'Water runs'!D51/100</f>
        <v>0.56600000000000006</v>
      </c>
      <c r="D44" s="108">
        <f>VLOOKUP(ROW(D44)+4,'Water runs'!$BS$3:$CF$423,MATCH($B$1,Scenarios,0)+1)</f>
        <v>0</v>
      </c>
      <c r="E44" s="54">
        <f>IF(B44=Variables!$D$8,C44-Variables!$E$8,IF(B44=Variables!$D$9,C44-Variables!$E$9,IF(B44=Variables!$D$10,C44-Variables!$E$10,IF(B44=Variables!$D$11,C44-Variables!$E$11,"ELSE"))))</f>
        <v>-0.42864329931972778</v>
      </c>
      <c r="F44" s="108">
        <f>VLOOKUP(ROW(F44)+4,'Water runs'!$CH$3:$CU$423,MATCH($B$1,Scenarios,0)+1)</f>
        <v>0</v>
      </c>
      <c r="G44" s="65">
        <f>H44/Variables!$E$49</f>
        <v>0.161</v>
      </c>
      <c r="H44" s="62">
        <f>IF((H43+I44)&gt;(1.1*Variables!$E$50),(1.1*Variables!$E$50),IF((H43+I44)&gt;0,H43+I44,0))</f>
        <v>0.99820000000000009</v>
      </c>
      <c r="I44" s="64">
        <f t="shared" si="1"/>
        <v>0</v>
      </c>
      <c r="J44" s="63">
        <f>IF(SUM(E40:E43)&lt;Variables!$B$3,-H43,0)</f>
        <v>-0.99820000000000009</v>
      </c>
      <c r="K44" s="64">
        <f>IF(AND(H43&lt;Variables!$B$6*Variables!$E$50,OR(SUM(D41:D44)&gt;Variables!$B$5,SUM(E41:E44)&gt;Variables!$B$4)),Variables!$B$6*Variables!$E$50+Variables!$B$7*$G$1*Variables!$E$50*SUM(D41:D44),0)</f>
        <v>0</v>
      </c>
      <c r="L44" s="64">
        <f>IF(B44="Winter",Variables!$B$8*H43,0)</f>
        <v>0</v>
      </c>
      <c r="M44" s="64">
        <f>IF(AND(B44="Spring",AND(NOT(H43=0),H43&lt;(Variables!$B$9*Variables!$E$50))),(Variables!$B$10*Variables!$E$50+Variables!$B$11*Variables!$E$50*SUM(E41:E44)+$G$1*SUM(D43:D44)*Variables!$E$50*Variables!$B$12),0)</f>
        <v>0</v>
      </c>
      <c r="N44" s="64">
        <f>IF(AND(B44="Spring",AND(SUM(D41:D44)&gt;Variables!$B$13,SUM(D37:D40)&gt;Variables!$B$13)),-Variables!$B$14*Variables!$E$50,0)</f>
        <v>0</v>
      </c>
      <c r="O44" s="64">
        <f>IF(AND(B44="Summer",SUM(C40:D44)&gt;Variables!$B$15),(Variables!$B$16*Variables!$E$50*SUM(C40:C44)+$G$1*Variables!$B$16*Variables!$E$50*SUM(D40:D44)+$G$1*Variables!$E$50*Variables!$B$17*F44),0)</f>
        <v>0</v>
      </c>
      <c r="P44" s="64">
        <f>IF(AND(AND(B44="Autumn",SUM(D43:E44)&gt;0),NOT(H43=0)),Variables!$B$18*Variables!$E$50+Variables!$B$19*Variables!$E$50*SUM(E43:E44)+$G$1*Variables!$B$19*Variables!$E$50*SUM(D43:D44),0)</f>
        <v>0</v>
      </c>
      <c r="Q44" s="64">
        <f>IF(AND(B44="Autumn",AND((E44+E43)&lt;Variables!$B$20,(D43+D44)=0)),-Variables!$B$21*Variables!$E$50,0)</f>
        <v>0</v>
      </c>
      <c r="R44" s="64">
        <f>IF(B44="Autumn",(SUM(F43:F44)*$G$1*Variables!$B$22*Variables!$E$50),0)</f>
        <v>0</v>
      </c>
      <c r="S44" s="64">
        <f>IF(B44="Spring",($G$1*Variables!$E$50*SUM('Guts (option 1)'!F43:F44)*Variables!$B$23),0)</f>
        <v>0</v>
      </c>
      <c r="T44" s="63">
        <f>IF((H43+SUM(J44:Q44))&lt;(Variables!$B$26*Variables!$E$50),$F$1*((Variables!$B$26*Variables!$E$50)-H43-SUM(J44:Q44)),0)</f>
        <v>0.99820000000000009</v>
      </c>
      <c r="U44" s="64">
        <f>IF(AND(AND(B44="Autumn",SUM(D41:E44)&gt;Variables!$B$27),SUM(J44:Q44)&lt;Variables!$B$28*H43),$F$1*(Variables!$B$28*H43-SUM(J44:Q44)),0)</f>
        <v>0</v>
      </c>
      <c r="V44" s="96">
        <f>IF(AND((J44+K44)=0,(Q44+T44)=0),$H$1*H44*Variables!$I$23*0.25,0)</f>
        <v>0</v>
      </c>
      <c r="W44" s="97">
        <f>IF(AND((K44+J44)=0,(T44+Q44)=0),$I$1*H44*Variables!$Q$23*0.25,0)</f>
        <v>0</v>
      </c>
      <c r="X44" s="95">
        <f>IF(AND(NOT(K44=0),(H44-H43)&gt;0),(H44-H43)*(Variables!$M$5*$H$1+Variables!$U$5*$I$1),0)+IF(AND(NOT((J44+N44+Q44)=0),(H43-H44)&gt;0),(H43-H44)*(Variables!$M$4*$H$1+Variables!$U$4*$I$1),0)</f>
        <v>0</v>
      </c>
      <c r="Y44" s="95">
        <f>IF(SUM(T44,U43:U44)&gt;0,H44*Variables!$Y$11*0.25*(1-$J$1),0)</f>
        <v>0</v>
      </c>
      <c r="Z44" s="95">
        <f>IF(T44=0,H44*$J$1*Variables!$Y$5*0.25,0)</f>
        <v>0</v>
      </c>
      <c r="AA44" s="95">
        <f t="shared" si="0"/>
        <v>0</v>
      </c>
      <c r="AB44" s="91">
        <f>AA44/Variables!$E$49</f>
        <v>0</v>
      </c>
    </row>
    <row r="45" spans="1:29" x14ac:dyDescent="0.25">
      <c r="A45" s="61">
        <f>'Water runs'!C52</f>
        <v>6088</v>
      </c>
      <c r="B45" s="61" t="str">
        <f>'Water runs'!B52</f>
        <v>Winter</v>
      </c>
      <c r="C45" s="54">
        <f>'Water runs'!D52/100</f>
        <v>1.4982</v>
      </c>
      <c r="D45" s="108">
        <f>VLOOKUP(ROW(D45)+4,'Water runs'!$BS$3:$CF$423,MATCH($B$1,Scenarios,0)+1)</f>
        <v>2.3864005257365458E-3</v>
      </c>
      <c r="E45" s="54">
        <f>IF(B45=Variables!$D$8,C45-Variables!$E$8,IF(B45=Variables!$D$9,C45-Variables!$E$9,IF(B45=Variables!$D$10,C45-Variables!$E$10,IF(B45=Variables!$D$11,C45-Variables!$E$11,"ELSE"))))</f>
        <v>0.92643237433862424</v>
      </c>
      <c r="F45" s="108">
        <f>VLOOKUP(ROW(F45)+4,'Water runs'!$CH$3:$CU$423,MATCH($B$1,Scenarios,0)+1)</f>
        <v>0</v>
      </c>
      <c r="G45" s="65">
        <f>H45/Variables!$E$49</f>
        <v>0.161</v>
      </c>
      <c r="H45" s="62">
        <f>IF((H44+I45)&gt;(1.1*Variables!$E$50),(1.1*Variables!$E$50),IF((H44+I45)&gt;0,H44+I45,0))</f>
        <v>0.99820000000000009</v>
      </c>
      <c r="I45" s="64">
        <f t="shared" si="1"/>
        <v>0</v>
      </c>
      <c r="J45" s="63">
        <f>IF(SUM(E41:E44)&lt;Variables!$B$3,-H44,0)</f>
        <v>-0.99820000000000009</v>
      </c>
      <c r="K45" s="64">
        <f>IF(AND(H44&lt;Variables!$B$6*Variables!$E$50,OR(SUM(D42:D45)&gt;Variables!$B$5,SUM(E42:E45)&gt;Variables!$B$4)),Variables!$B$6*Variables!$E$50+Variables!$B$7*$G$1*Variables!$E$50*SUM(D42:D45),0)</f>
        <v>0</v>
      </c>
      <c r="L45" s="64">
        <f>IF(B45="Winter",Variables!$B$8*H44,0)</f>
        <v>-0.49704894489176149</v>
      </c>
      <c r="M45" s="64">
        <f>IF(AND(B45="Spring",AND(NOT(H44=0),H44&lt;(Variables!$B$9*Variables!$E$50))),(Variables!$B$10*Variables!$E$50+Variables!$B$11*Variables!$E$50*SUM(E42:E45)+$G$1*SUM(D44:D45)*Variables!$E$50*Variables!$B$12),0)</f>
        <v>0</v>
      </c>
      <c r="N45" s="64">
        <f>IF(AND(B45="Spring",AND(SUM(D42:D45)&gt;Variables!$B$13,SUM(D38:D41)&gt;Variables!$B$13)),-Variables!$B$14*Variables!$E$50,0)</f>
        <v>0</v>
      </c>
      <c r="O45" s="64">
        <f>IF(AND(B45="Summer",SUM(C41:D45)&gt;Variables!$B$15),(Variables!$B$16*Variables!$E$50*SUM(C41:C45)+$G$1*Variables!$B$16*Variables!$E$50*SUM(D41:D45)+$G$1*Variables!$E$50*Variables!$B$17*F45),0)</f>
        <v>0</v>
      </c>
      <c r="P45" s="64">
        <f>IF(AND(AND(B45="Autumn",SUM(D44:E45)&gt;0),NOT(H44=0)),Variables!$B$18*Variables!$E$50+Variables!$B$19*Variables!$E$50*SUM(E44:E45)+$G$1*Variables!$B$19*Variables!$E$50*SUM(D44:D45),0)</f>
        <v>0</v>
      </c>
      <c r="Q45" s="64">
        <f>IF(AND(B45="Autumn",AND((E45+E44)&lt;Variables!$B$20,(D44+D45)=0)),-Variables!$B$21*Variables!$E$50,0)</f>
        <v>0</v>
      </c>
      <c r="R45" s="64">
        <f>IF(B45="Autumn",(SUM(F44:F45)*$G$1*Variables!$B$22*Variables!$E$50),0)</f>
        <v>0</v>
      </c>
      <c r="S45" s="64">
        <f>IF(B45="Spring",($G$1*Variables!$E$50*SUM('Guts (option 1)'!F44:F45)*Variables!$B$23),0)</f>
        <v>0</v>
      </c>
      <c r="T45" s="63">
        <f>IF((H44+SUM(J45:Q45))&lt;(Variables!$B$26*Variables!$E$50),$F$1*((Variables!$B$26*Variables!$E$50)-H44-SUM(J45:Q45)),0)</f>
        <v>1.4952489448917616</v>
      </c>
      <c r="U45" s="64">
        <f>IF(AND(AND(B45="Autumn",SUM(D42:E45)&gt;Variables!$B$27),SUM(J45:Q45)&lt;Variables!$B$28*H44),$F$1*(Variables!$B$28*H44-SUM(J45:Q45)),0)</f>
        <v>0</v>
      </c>
      <c r="V45" s="96">
        <f>IF(AND((J45+K45)=0,(Q45+T45)=0),$H$1*H45*Variables!$I$23*0.25,0)</f>
        <v>0</v>
      </c>
      <c r="W45" s="97">
        <f>IF(AND((K45+J45)=0,(T45+Q45)=0),$I$1*H45*Variables!$Q$23*0.25,0)</f>
        <v>0</v>
      </c>
      <c r="X45" s="95">
        <f>IF(AND(NOT(K45=0),(H45-H44)&gt;0),(H45-H44)*(Variables!$M$5*$H$1+Variables!$U$5*$I$1),0)+IF(AND(NOT((J45+N45+Q45)=0),(H44-H45)&gt;0),(H44-H45)*(Variables!$M$4*$H$1+Variables!$U$4*$I$1),0)</f>
        <v>0</v>
      </c>
      <c r="Y45" s="95">
        <f>IF(SUM(T45,U44:U45)&gt;0,H45*Variables!$Y$11*0.25*(1-$J$1),0)</f>
        <v>0</v>
      </c>
      <c r="Z45" s="95">
        <f>IF(T45=0,H45*$J$1*Variables!$Y$5*0.25,0)</f>
        <v>0</v>
      </c>
      <c r="AA45" s="95">
        <f t="shared" si="0"/>
        <v>0</v>
      </c>
      <c r="AB45" s="91">
        <f>AA45/Variables!$E$49</f>
        <v>0</v>
      </c>
    </row>
    <row r="46" spans="1:29" x14ac:dyDescent="0.25">
      <c r="A46" s="61">
        <f>'Water runs'!C53</f>
        <v>6179</v>
      </c>
      <c r="B46" s="61" t="str">
        <f>'Water runs'!B53</f>
        <v>Spring</v>
      </c>
      <c r="C46" s="54">
        <f>'Water runs'!D53/100</f>
        <v>1.1978</v>
      </c>
      <c r="D46" s="108">
        <f>VLOOKUP(ROW(D46)+4,'Water runs'!$BS$3:$CF$423,MATCH($B$1,Scenarios,0)+1)</f>
        <v>4.7355085946840427E-3</v>
      </c>
      <c r="E46" s="54">
        <f>IF(B46=Variables!$D$8,C46-Variables!$E$8,IF(B46=Variables!$D$9,C46-Variables!$E$9,IF(B46=Variables!$D$10,C46-Variables!$E$10,IF(B46=Variables!$D$11,C46-Variables!$E$11,"ELSE"))))</f>
        <v>0.43381779100529083</v>
      </c>
      <c r="F46" s="108">
        <f>VLOOKUP(ROW(F46)+4,'Water runs'!$CH$3:$CU$423,MATCH($B$1,Scenarios,0)+1)</f>
        <v>0</v>
      </c>
      <c r="G46" s="65">
        <f>H46/Variables!$E$49</f>
        <v>0.37512493984808432</v>
      </c>
      <c r="H46" s="62">
        <f>IF((H45+I46)&gt;(1.1*Variables!$E$50),(1.1*Variables!$E$50),IF((H45+I46)&gt;0,H45+I46,0))</f>
        <v>2.3257746270581228</v>
      </c>
      <c r="I46" s="64">
        <f t="shared" si="1"/>
        <v>1.3275746270581226</v>
      </c>
      <c r="J46" s="63">
        <f>IF(SUM(E42:E45)&lt;Variables!$B$3,-H45,0)</f>
        <v>0</v>
      </c>
      <c r="K46" s="64">
        <f>IF(AND(H45&lt;Variables!$B$6*Variables!$E$50,OR(SUM(D43:D46)&gt;Variables!$B$5,SUM(E43:E46)&gt;Variables!$B$4)),Variables!$B$6*Variables!$E$50+Variables!$B$7*$G$1*Variables!$E$50*SUM(D43:D46),0)</f>
        <v>1.1411741302795579</v>
      </c>
      <c r="L46" s="64">
        <f>IF(B46="Winter",Variables!$B$8*H45,0)</f>
        <v>0</v>
      </c>
      <c r="M46" s="64">
        <f>IF(AND(B46="Spring",AND(NOT(H45=0),H45&lt;(Variables!$B$9*Variables!$E$50))),(Variables!$B$10*Variables!$E$50+Variables!$B$11*Variables!$E$50*SUM(E43:E46)+$G$1*SUM(D45:D46)*Variables!$E$50*Variables!$B$12),0)</f>
        <v>0.18640049677856457</v>
      </c>
      <c r="N46" s="64">
        <f>IF(AND(B46="Spring",AND(SUM(D43:D46)&gt;Variables!$B$13,SUM(D39:D42)&gt;Variables!$B$13)),-Variables!$B$14*Variables!$E$50,0)</f>
        <v>0</v>
      </c>
      <c r="O46" s="64">
        <f>IF(AND(B46="Summer",SUM(C42:D46)&gt;Variables!$B$15),(Variables!$B$16*Variables!$E$50*SUM(C42:C46)+$G$1*Variables!$B$16*Variables!$E$50*SUM(D42:D46)+$G$1*Variables!$E$50*Variables!$B$17*F46),0)</f>
        <v>0</v>
      </c>
      <c r="P46" s="64">
        <f>IF(AND(AND(B46="Autumn",SUM(D45:E46)&gt;0),NOT(H45=0)),Variables!$B$18*Variables!$E$50+Variables!$B$19*Variables!$E$50*SUM(E45:E46)+$G$1*Variables!$B$19*Variables!$E$50*SUM(D45:D46),0)</f>
        <v>0</v>
      </c>
      <c r="Q46" s="64">
        <f>IF(AND(B46="Autumn",AND((E46+E45)&lt;Variables!$B$20,(D45+D46)=0)),-Variables!$B$21*Variables!$E$50,0)</f>
        <v>0</v>
      </c>
      <c r="R46" s="64">
        <f>IF(B46="Autumn",(SUM(F45:F46)*$G$1*Variables!$B$22*Variables!$E$50),0)</f>
        <v>0</v>
      </c>
      <c r="S46" s="64">
        <f>IF(B46="Spring",($G$1*Variables!$E$50*SUM('Guts (option 1)'!F45:F46)*Variables!$B$23),0)</f>
        <v>0</v>
      </c>
      <c r="T46" s="63">
        <f>IF((H45+SUM(J46:Q46))&lt;(Variables!$B$26*Variables!$E$50),$F$1*((Variables!$B$26*Variables!$E$50)-H45-SUM(J46:Q46)),0)</f>
        <v>0</v>
      </c>
      <c r="U46" s="64">
        <f>IF(AND(AND(B46="Autumn",SUM(D43:E46)&gt;Variables!$B$27),SUM(J46:Q46)&lt;Variables!$B$28*H45),$F$1*(Variables!$B$28*H45-SUM(J46:Q46)),0)</f>
        <v>0</v>
      </c>
      <c r="V46" s="96">
        <f>IF(AND((J46+K46)=0,(Q46+T46)=0),$H$1*H46*Variables!$I$23*0.25,0)</f>
        <v>0</v>
      </c>
      <c r="W46" s="97">
        <f>IF(AND((K46+J46)=0,(T46+Q46)=0),$I$1*H46*Variables!$Q$23*0.25,0)</f>
        <v>0</v>
      </c>
      <c r="X46" s="95">
        <f>IF(AND(NOT(K46=0),(H46-H45)&gt;0),(H46-H45)*(Variables!$M$5*$H$1+Variables!$U$5*$I$1),0)+IF(AND(NOT((J46+N46+Q46)=0),(H45-H46)&gt;0),(H45-H46)*(Variables!$M$4*$H$1+Variables!$U$4*$I$1),0)</f>
        <v>-331.89365676453065</v>
      </c>
      <c r="Y46" s="95">
        <f>IF(SUM(T46,U45:U46)&gt;0,H46*Variables!$Y$11*0.25*(1-$J$1),0)</f>
        <v>0</v>
      </c>
      <c r="Z46" s="95">
        <f>IF(T46=0,H46*$J$1*Variables!$Y$5*0.25,0)</f>
        <v>15.117535075877798</v>
      </c>
      <c r="AA46" s="95">
        <f t="shared" si="0"/>
        <v>-316.77612168865284</v>
      </c>
      <c r="AB46" s="91">
        <f>AA46/Variables!$E$49</f>
        <v>-51.092922853008524</v>
      </c>
    </row>
    <row r="47" spans="1:29" x14ac:dyDescent="0.25">
      <c r="A47" s="61">
        <f>'Water runs'!C54</f>
        <v>6269</v>
      </c>
      <c r="B47" s="61" t="str">
        <f>'Water runs'!B54</f>
        <v>Summer</v>
      </c>
      <c r="C47" s="54">
        <f>'Water runs'!D54/100</f>
        <v>2.0525500000000001</v>
      </c>
      <c r="D47" s="108">
        <f>VLOOKUP(ROW(D47)+4,'Water runs'!$BS$3:$CF$423,MATCH($B$1,Scenarios,0)+1)</f>
        <v>0.10523685856578438</v>
      </c>
      <c r="E47" s="54">
        <f>IF(B47=Variables!$D$8,C47-Variables!$E$8,IF(B47=Variables!$D$9,C47-Variables!$E$9,IF(B47=Variables!$D$10,C47-Variables!$E$10,IF(B47=Variables!$D$11,C47-Variables!$E$11,"ELSE"))))</f>
        <v>0.79417986394557838</v>
      </c>
      <c r="F47" s="108">
        <f>VLOOKUP(ROW(F47)+4,'Water runs'!$CH$3:$CU$423,MATCH($B$1,Scenarios,0)+1)</f>
        <v>7.574216739641644E-2</v>
      </c>
      <c r="G47" s="65">
        <f>H47/Variables!$E$49</f>
        <v>0.37512493984808432</v>
      </c>
      <c r="H47" s="62">
        <f>IF((H46+I47)&gt;(1.1*Variables!$E$50),(1.1*Variables!$E$50),IF((H46+I47)&gt;0,H46+I47,0))</f>
        <v>2.3257746270581228</v>
      </c>
      <c r="I47" s="64">
        <f t="shared" si="1"/>
        <v>0</v>
      </c>
      <c r="J47" s="63">
        <f>IF(SUM(E43:E46)&lt;Variables!$B$3,-H46,0)</f>
        <v>0</v>
      </c>
      <c r="K47" s="64">
        <f>IF(AND(H46&lt;Variables!$B$6*Variables!$E$50,OR(SUM(D44:D47)&gt;Variables!$B$5,SUM(E44:E47)&gt;Variables!$B$4)),Variables!$B$6*Variables!$E$50+Variables!$B$7*$G$1*Variables!$E$50*SUM(D44:D47),0)</f>
        <v>0</v>
      </c>
      <c r="L47" s="64">
        <f>IF(B47="Winter",Variables!$B$8*H46,0)</f>
        <v>0</v>
      </c>
      <c r="M47" s="64">
        <f>IF(AND(B47="Spring",AND(NOT(H46=0),H46&lt;(Variables!$B$9*Variables!$E$50))),(Variables!$B$10*Variables!$E$50+Variables!$B$11*Variables!$E$50*SUM(E44:E47)+$G$1*SUM(D46:D47)*Variables!$E$50*Variables!$B$12),0)</f>
        <v>0</v>
      </c>
      <c r="N47" s="64">
        <f>IF(AND(B47="Spring",AND(SUM(D44:D47)&gt;Variables!$B$13,SUM(D40:D43)&gt;Variables!$B$13)),-Variables!$B$14*Variables!$E$50,0)</f>
        <v>0</v>
      </c>
      <c r="O47" s="64">
        <f>IF(AND(B47="Summer",SUM(C43:D47)&gt;Variables!$B$15),(Variables!$B$16*Variables!$E$50*SUM(C43:C47)+$G$1*Variables!$B$16*Variables!$E$50*SUM(D43:D47)+$G$1*Variables!$E$50*Variables!$B$17*F47),0)</f>
        <v>0</v>
      </c>
      <c r="P47" s="64">
        <f>IF(AND(AND(B47="Autumn",SUM(D46:E47)&gt;0),NOT(H46=0)),Variables!$B$18*Variables!$E$50+Variables!$B$19*Variables!$E$50*SUM(E46:E47)+$G$1*Variables!$B$19*Variables!$E$50*SUM(D46:D47),0)</f>
        <v>0</v>
      </c>
      <c r="Q47" s="64">
        <f>IF(AND(B47="Autumn",AND((E47+E46)&lt;Variables!$B$20,(D46+D47)=0)),-Variables!$B$21*Variables!$E$50,0)</f>
        <v>0</v>
      </c>
      <c r="R47" s="64">
        <f>IF(B47="Autumn",(SUM(F46:F47)*$G$1*Variables!$B$22*Variables!$E$50),0)</f>
        <v>0</v>
      </c>
      <c r="S47" s="64">
        <f>IF(B47="Spring",($G$1*Variables!$E$50*SUM('Guts (option 1)'!F46:F47)*Variables!$B$23),0)</f>
        <v>0</v>
      </c>
      <c r="T47" s="63">
        <f>IF((H46+SUM(J47:Q47))&lt;(Variables!$B$26*Variables!$E$50),$F$1*((Variables!$B$26*Variables!$E$50)-H46-SUM(J47:Q47)),0)</f>
        <v>0</v>
      </c>
      <c r="U47" s="64">
        <f>IF(AND(AND(B47="Autumn",SUM(D44:E47)&gt;Variables!$B$27),SUM(J47:Q47)&lt;Variables!$B$28*H46),$F$1*(Variables!$B$28*H46-SUM(J47:Q47)),0)</f>
        <v>0</v>
      </c>
      <c r="V47" s="96">
        <f>IF(AND((J47+K47)=0,(Q47+T47)=0),$H$1*H47*Variables!$I$23*0.25,0)</f>
        <v>44.81802592960409</v>
      </c>
      <c r="W47" s="97">
        <f>IF(AND((K47+J47)=0,(T47+Q47)=0),$I$1*H47*Variables!$Q$23*0.25,0)</f>
        <v>46.912618558732625</v>
      </c>
      <c r="X47" s="95">
        <f>IF(AND(NOT(K47=0),(H47-H46)&gt;0),(H47-H46)*(Variables!$M$5*$H$1+Variables!$U$5*$I$1),0)+IF(AND(NOT((J47+N47+Q47)=0),(H46-H47)&gt;0),(H46-H47)*(Variables!$M$4*$H$1+Variables!$U$4*$I$1),0)</f>
        <v>0</v>
      </c>
      <c r="Y47" s="95">
        <f>IF(SUM(T47,U46:U47)&gt;0,H47*Variables!$Y$11*0.25*(1-$J$1),0)</f>
        <v>0</v>
      </c>
      <c r="Z47" s="95">
        <f>IF(T47=0,H47*$J$1*Variables!$Y$5*0.25,0)</f>
        <v>15.117535075877798</v>
      </c>
      <c r="AA47" s="95">
        <f t="shared" si="0"/>
        <v>106.8481795642145</v>
      </c>
      <c r="AB47" s="91">
        <f>AA47/Variables!$E$49</f>
        <v>17.233577349066856</v>
      </c>
      <c r="AC47" s="15"/>
    </row>
    <row r="48" spans="1:29" x14ac:dyDescent="0.25">
      <c r="A48" s="61">
        <f>'Water runs'!C55</f>
        <v>6361</v>
      </c>
      <c r="B48" s="61" t="str">
        <f>'Water runs'!B55</f>
        <v>Autumn</v>
      </c>
      <c r="C48" s="54">
        <f>'Water runs'!D55/100</f>
        <v>0.23600000000000002</v>
      </c>
      <c r="D48" s="108">
        <f>VLOOKUP(ROW(D48)+4,'Water runs'!$BS$3:$CF$423,MATCH($B$1,Scenarios,0)+1)</f>
        <v>6.0279178774178734E-3</v>
      </c>
      <c r="E48" s="54">
        <f>IF(B48=Variables!$D$8,C48-Variables!$E$8,IF(B48=Variables!$D$9,C48-Variables!$E$9,IF(B48=Variables!$D$10,C48-Variables!$E$10,IF(B48=Variables!$D$11,C48-Variables!$E$11,"ELSE"))))</f>
        <v>-0.75864329931972785</v>
      </c>
      <c r="F48" s="108">
        <f>VLOOKUP(ROW(F48)+4,'Water runs'!$CH$3:$CU$423,MATCH($B$1,Scenarios,0)+1)</f>
        <v>0</v>
      </c>
      <c r="G48" s="65">
        <f>H48/Variables!$E$49</f>
        <v>0.54564486517294353</v>
      </c>
      <c r="H48" s="62">
        <f>IF((H47+I48)&gt;(1.1*Variables!$E$50),(1.1*Variables!$E$50),IF((H47+I48)&gt;0,H47+I48,0))</f>
        <v>3.3829981640722502</v>
      </c>
      <c r="I48" s="64">
        <f t="shared" si="1"/>
        <v>1.0572235370141274</v>
      </c>
      <c r="J48" s="63">
        <f>IF(SUM(E44:E47)&lt;Variables!$B$3,-H47,0)</f>
        <v>0</v>
      </c>
      <c r="K48" s="64">
        <f>IF(AND(H47&lt;Variables!$B$6*Variables!$E$50,OR(SUM(D45:D48)&gt;Variables!$B$5,SUM(E45:E48)&gt;Variables!$B$4)),Variables!$B$6*Variables!$E$50+Variables!$B$7*$G$1*Variables!$E$50*SUM(D45:D48),0)</f>
        <v>0</v>
      </c>
      <c r="L48" s="64">
        <f>IF(B48="Winter",Variables!$B$8*H47,0)</f>
        <v>0</v>
      </c>
      <c r="M48" s="64">
        <f>IF(AND(B48="Spring",AND(NOT(H47=0),H47&lt;(Variables!$B$9*Variables!$E$50))),(Variables!$B$10*Variables!$E$50+Variables!$B$11*Variables!$E$50*SUM(E45:E48)+$G$1*SUM(D47:D48)*Variables!$E$50*Variables!$B$12),0)</f>
        <v>0</v>
      </c>
      <c r="N48" s="64">
        <f>IF(AND(B48="Spring",AND(SUM(D45:D48)&gt;Variables!$B$13,SUM(D41:D44)&gt;Variables!$B$13)),-Variables!$B$14*Variables!$E$50,0)</f>
        <v>0</v>
      </c>
      <c r="O48" s="64">
        <f>IF(AND(B48="Summer",SUM(C44:D48)&gt;Variables!$B$15),(Variables!$B$16*Variables!$E$50*SUM(C44:C48)+$G$1*Variables!$B$16*Variables!$E$50*SUM(D44:D48)+$G$1*Variables!$E$50*Variables!$B$17*F48),0)</f>
        <v>0</v>
      </c>
      <c r="P48" s="64">
        <f>IF(AND(AND(B48="Autumn",SUM(D47:E48)&gt;0),NOT(H47=0)),Variables!$B$18*Variables!$E$50+Variables!$B$19*Variables!$E$50*SUM(E47:E48)+$G$1*Variables!$B$19*Variables!$E$50*SUM(D47:D48),0)</f>
        <v>0.62335330224292074</v>
      </c>
      <c r="Q48" s="64">
        <f>IF(AND(B48="Autumn",AND((E48+E47)&lt;Variables!$B$20,(D47+D48)=0)),-Variables!$B$21*Variables!$E$50,0)</f>
        <v>0</v>
      </c>
      <c r="R48" s="64">
        <f>IF(B48="Autumn",(SUM(F47:F48)*$G$1*Variables!$B$22*Variables!$E$50),0)</f>
        <v>1.0624954837972154E-2</v>
      </c>
      <c r="S48" s="64">
        <f>IF(B48="Spring",($G$1*Variables!$E$50*SUM('Guts (option 1)'!F47:F48)*Variables!$B$23),0)</f>
        <v>0</v>
      </c>
      <c r="T48" s="63">
        <f>IF((H47+SUM(J48:Q48))&lt;(Variables!$B$26*Variables!$E$50),$F$1*((Variables!$B$26*Variables!$E$50)-H47-SUM(J48:Q48)),0)</f>
        <v>0</v>
      </c>
      <c r="U48" s="64">
        <f>IF(AND(AND(B48="Autumn",SUM(D45:E48)&gt;Variables!$B$27),SUM(J48:Q48)&lt;Variables!$B$28*H47),$F$1*(Variables!$B$28*H47-SUM(J48:Q48)),0)</f>
        <v>0.42324527993323446</v>
      </c>
      <c r="V48" s="96">
        <f>IF(AND((J48+K48)=0,(Q48+T48)=0),$H$1*H48*Variables!$I$23*0.25,0)</f>
        <v>65.190882071396871</v>
      </c>
      <c r="W48" s="97">
        <f>IF(AND((K48+J48)=0,(T48+Q48)=0),$I$1*H48*Variables!$Q$23*0.25,0)</f>
        <v>68.237610217960338</v>
      </c>
      <c r="X48" s="95">
        <f>IF(AND(NOT(K48=0),(H48-H47)&gt;0),(H48-H47)*(Variables!$M$5*$H$1+Variables!$U$5*$I$1),0)+IF(AND(NOT((J48+N48+Q48)=0),(H47-H48)&gt;0),(H47-H48)*(Variables!$M$4*$H$1+Variables!$U$4*$I$1),0)</f>
        <v>0</v>
      </c>
      <c r="Y48" s="95">
        <f>IF(SUM(T48,U47:U48)&gt;0,H48*Variables!$Y$11*0.25*(1-$J$1),0)</f>
        <v>0</v>
      </c>
      <c r="Z48" s="95">
        <f>IF(T48=0,H48*$J$1*Variables!$Y$5*0.25,0)</f>
        <v>21.989488066469626</v>
      </c>
      <c r="AA48" s="95">
        <f t="shared" si="0"/>
        <v>155.41798035582684</v>
      </c>
      <c r="AB48" s="91">
        <f>AA48/Variables!$E$49</f>
        <v>25.067416186423685</v>
      </c>
    </row>
    <row r="49" spans="1:29" x14ac:dyDescent="0.25">
      <c r="A49" s="61">
        <f>'Water runs'!C56</f>
        <v>6453</v>
      </c>
      <c r="B49" s="61" t="str">
        <f>'Water runs'!B56</f>
        <v>Winter</v>
      </c>
      <c r="C49" s="54">
        <f>'Water runs'!D56/100</f>
        <v>0.53125</v>
      </c>
      <c r="D49" s="108">
        <f>VLOOKUP(ROW(D49)+4,'Water runs'!$BS$3:$CF$423,MATCH($B$1,Scenarios,0)+1)</f>
        <v>0</v>
      </c>
      <c r="E49" s="54">
        <f>IF(B49=Variables!$D$8,C49-Variables!$E$8,IF(B49=Variables!$D$9,C49-Variables!$E$9,IF(B49=Variables!$D$10,C49-Variables!$E$10,IF(B49=Variables!$D$11,C49-Variables!$E$11,"ELSE"))))</f>
        <v>-4.0517625661375734E-2</v>
      </c>
      <c r="F49" s="108">
        <f>VLOOKUP(ROW(F49)+4,'Water runs'!$CH$3:$CU$423,MATCH($B$1,Scenarios,0)+1)</f>
        <v>0</v>
      </c>
      <c r="G49" s="65">
        <f>H49/Variables!$E$49</f>
        <v>0.27394359837288446</v>
      </c>
      <c r="H49" s="62">
        <f>IF((H48+I49)&gt;(1.1*Variables!$E$50),(1.1*Variables!$E$50),IF((H48+I49)&gt;0,H48+I49,0))</f>
        <v>1.6984503099118835</v>
      </c>
      <c r="I49" s="64">
        <f t="shared" si="1"/>
        <v>-1.6845478541603667</v>
      </c>
      <c r="J49" s="63">
        <f>IF(SUM(E45:E48)&lt;Variables!$B$3,-H48,0)</f>
        <v>0</v>
      </c>
      <c r="K49" s="64">
        <f>IF(AND(H48&lt;Variables!$B$6*Variables!$E$50,OR(SUM(D46:D49)&gt;Variables!$B$5,SUM(E46:E49)&gt;Variables!$B$4)),Variables!$B$6*Variables!$E$50+Variables!$B$7*$G$1*Variables!$E$50*SUM(D46:D49),0)</f>
        <v>0</v>
      </c>
      <c r="L49" s="64">
        <f>IF(B49="Winter",Variables!$B$8*H48,0)</f>
        <v>-1.6845478541603667</v>
      </c>
      <c r="M49" s="64">
        <f>IF(AND(B49="Spring",AND(NOT(H48=0),H48&lt;(Variables!$B$9*Variables!$E$50))),(Variables!$B$10*Variables!$E$50+Variables!$B$11*Variables!$E$50*SUM(E46:E49)+$G$1*SUM(D48:D49)*Variables!$E$50*Variables!$B$12),0)</f>
        <v>0</v>
      </c>
      <c r="N49" s="64">
        <f>IF(AND(B49="Spring",AND(SUM(D46:D49)&gt;Variables!$B$13,SUM(D42:D45)&gt;Variables!$B$13)),-Variables!$B$14*Variables!$E$50,0)</f>
        <v>0</v>
      </c>
      <c r="O49" s="64">
        <f>IF(AND(B49="Summer",SUM(C45:D49)&gt;Variables!$B$15),(Variables!$B$16*Variables!$E$50*SUM(C45:C49)+$G$1*Variables!$B$16*Variables!$E$50*SUM(D45:D49)+$G$1*Variables!$E$50*Variables!$B$17*F49),0)</f>
        <v>0</v>
      </c>
      <c r="P49" s="64">
        <f>IF(AND(AND(B49="Autumn",SUM(D48:E49)&gt;0),NOT(H48=0)),Variables!$B$18*Variables!$E$50+Variables!$B$19*Variables!$E$50*SUM(E48:E49)+$G$1*Variables!$B$19*Variables!$E$50*SUM(D48:D49),0)</f>
        <v>0</v>
      </c>
      <c r="Q49" s="64">
        <f>IF(AND(B49="Autumn",AND((E49+E48)&lt;Variables!$B$20,(D48+D49)=0)),-Variables!$B$21*Variables!$E$50,0)</f>
        <v>0</v>
      </c>
      <c r="R49" s="64">
        <f>IF(B49="Autumn",(SUM(F48:F49)*$G$1*Variables!$B$22*Variables!$E$50),0)</f>
        <v>0</v>
      </c>
      <c r="S49" s="64">
        <f>IF(B49="Spring",($G$1*Variables!$E$50*SUM('Guts (option 1)'!F48:F49)*Variables!$B$23),0)</f>
        <v>0</v>
      </c>
      <c r="T49" s="63">
        <f>IF((H48+SUM(J49:Q49))&lt;(Variables!$B$26*Variables!$E$50),$F$1*((Variables!$B$26*Variables!$E$50)-H48-SUM(J49:Q49)),0)</f>
        <v>0</v>
      </c>
      <c r="U49" s="64">
        <f>IF(AND(AND(B49="Autumn",SUM(D46:E49)&gt;Variables!$B$27),SUM(J49:Q49)&lt;Variables!$B$28*H48),$F$1*(Variables!$B$28*H48-SUM(J49:Q49)),0)</f>
        <v>0</v>
      </c>
      <c r="V49" s="96">
        <f>IF(AND((J49+K49)=0,(Q49+T49)=0),$H$1*H49*Variables!$I$23*0.25,0)</f>
        <v>32.729392239548481</v>
      </c>
      <c r="W49" s="97">
        <f>IF(AND((K49+J49)=0,(T49+Q49)=0),$I$1*H49*Variables!$Q$23*0.25,0)</f>
        <v>34.259016588655122</v>
      </c>
      <c r="X49" s="95">
        <f>IF(AND(NOT(K49=0),(H49-H48)&gt;0),(H49-H48)*(Variables!$M$5*$H$1+Variables!$U$5*$I$1),0)+IF(AND(NOT((J49+N49+Q49)=0),(H48-H49)&gt;0),(H48-H49)*(Variables!$M$4*$H$1+Variables!$U$4*$I$1),0)</f>
        <v>0</v>
      </c>
      <c r="Y49" s="95">
        <f>IF(SUM(T49,U48:U49)&gt;0,H49*Variables!$Y$11*0.25*(1-$J$1),0)</f>
        <v>0</v>
      </c>
      <c r="Z49" s="95">
        <f>IF(T49=0,H49*$J$1*Variables!$Y$5*0.25,0)</f>
        <v>11.039927014427242</v>
      </c>
      <c r="AA49" s="95">
        <f t="shared" si="0"/>
        <v>78.028335842630838</v>
      </c>
      <c r="AB49" s="91">
        <f>AA49/Variables!$E$49</f>
        <v>12.585215458488845</v>
      </c>
    </row>
    <row r="50" spans="1:29" x14ac:dyDescent="0.25">
      <c r="A50" s="61">
        <f>'Water runs'!C57</f>
        <v>6544</v>
      </c>
      <c r="B50" s="61" t="str">
        <f>'Water runs'!B57</f>
        <v>Spring</v>
      </c>
      <c r="C50" s="54">
        <f>'Water runs'!D57/100</f>
        <v>1.32555</v>
      </c>
      <c r="D50" s="108">
        <f>VLOOKUP(ROW(D50)+4,'Water runs'!$BS$3:$CF$423,MATCH($B$1,Scenarios,0)+1)</f>
        <v>4.9372599941408878E-2</v>
      </c>
      <c r="E50" s="54">
        <f>IF(B50=Variables!$D$8,C50-Variables!$E$8,IF(B50=Variables!$D$9,C50-Variables!$E$9,IF(B50=Variables!$D$10,C50-Variables!$E$10,IF(B50=Variables!$D$11,C50-Variables!$E$11,"ELSE"))))</f>
        <v>0.56156779100529086</v>
      </c>
      <c r="F50" s="108">
        <f>VLOOKUP(ROW(F50)+4,'Water runs'!$CH$3:$CU$423,MATCH($B$1,Scenarios,0)+1)</f>
        <v>0</v>
      </c>
      <c r="G50" s="65">
        <f>H50/Variables!$E$49</f>
        <v>0.33801907632384165</v>
      </c>
      <c r="H50" s="62">
        <f>IF((H49+I50)&gt;(1.1*Variables!$E$50),(1.1*Variables!$E$50),IF((H49+I50)&gt;0,H49+I50,0))</f>
        <v>2.0957182732078183</v>
      </c>
      <c r="I50" s="64">
        <f t="shared" si="1"/>
        <v>0.39726796329593472</v>
      </c>
      <c r="J50" s="63">
        <f>IF(SUM(E46:E49)&lt;Variables!$B$3,-H49,0)</f>
        <v>0</v>
      </c>
      <c r="K50" s="64">
        <f>IF(AND(H49&lt;Variables!$B$6*Variables!$E$50,OR(SUM(D47:D50)&gt;Variables!$B$5,SUM(E47:E50)&gt;Variables!$B$4)),Variables!$B$6*Variables!$E$50+Variables!$B$7*$G$1*Variables!$E$50*SUM(D47:D50),0)</f>
        <v>0</v>
      </c>
      <c r="L50" s="64">
        <f>IF(B50="Winter",Variables!$B$8*H49,0)</f>
        <v>0</v>
      </c>
      <c r="M50" s="64">
        <f>IF(AND(B50="Spring",AND(NOT(H49=0),H49&lt;(Variables!$B$9*Variables!$E$50))),(Variables!$B$10*Variables!$E$50+Variables!$B$11*Variables!$E$50*SUM(E47:E50)+$G$1*SUM(D49:D50)*Variables!$E$50*Variables!$B$12),0)</f>
        <v>0.39726796329593472</v>
      </c>
      <c r="N50" s="64">
        <f>IF(AND(B50="Spring",AND(SUM(D47:D50)&gt;Variables!$B$13,SUM(D43:D46)&gt;Variables!$B$13)),-Variables!$B$14*Variables!$E$50,0)</f>
        <v>0</v>
      </c>
      <c r="O50" s="64">
        <f>IF(AND(B50="Summer",SUM(C46:D50)&gt;Variables!$B$15),(Variables!$B$16*Variables!$E$50*SUM(C46:C50)+$G$1*Variables!$B$16*Variables!$E$50*SUM(D46:D50)+$G$1*Variables!$E$50*Variables!$B$17*F50),0)</f>
        <v>0</v>
      </c>
      <c r="P50" s="64">
        <f>IF(AND(AND(B50="Autumn",SUM(D49:E50)&gt;0),NOT(H49=0)),Variables!$B$18*Variables!$E$50+Variables!$B$19*Variables!$E$50*SUM(E49:E50)+$G$1*Variables!$B$19*Variables!$E$50*SUM(D49:D50),0)</f>
        <v>0</v>
      </c>
      <c r="Q50" s="64">
        <f>IF(AND(B50="Autumn",AND((E50+E49)&lt;Variables!$B$20,(D49+D50)=0)),-Variables!$B$21*Variables!$E$50,0)</f>
        <v>0</v>
      </c>
      <c r="R50" s="64">
        <f>IF(B50="Autumn",(SUM(F49:F50)*$G$1*Variables!$B$22*Variables!$E$50),0)</f>
        <v>0</v>
      </c>
      <c r="S50" s="64">
        <f>IF(B50="Spring",($G$1*Variables!$E$50*SUM('Guts (option 1)'!F49:F50)*Variables!$B$23),0)</f>
        <v>0</v>
      </c>
      <c r="T50" s="63">
        <f>IF((H49+SUM(J50:Q50))&lt;(Variables!$B$26*Variables!$E$50),$F$1*((Variables!$B$26*Variables!$E$50)-H49-SUM(J50:Q50)),0)</f>
        <v>0</v>
      </c>
      <c r="U50" s="64">
        <f>IF(AND(AND(B50="Autumn",SUM(D47:E50)&gt;Variables!$B$27),SUM(J50:Q50)&lt;Variables!$B$28*H49),$F$1*(Variables!$B$28*H49-SUM(J50:Q50)),0)</f>
        <v>0</v>
      </c>
      <c r="V50" s="96">
        <f>IF(AND((J50+K50)=0,(Q50+T50)=0),$H$1*H50*Variables!$I$23*0.25,0)</f>
        <v>40.38480548245564</v>
      </c>
      <c r="W50" s="97">
        <f>IF(AND((K50+J50)=0,(T50+Q50)=0),$I$1*H50*Variables!$Q$23*0.25,0)</f>
        <v>42.272209359306601</v>
      </c>
      <c r="X50" s="95">
        <f>IF(AND(NOT(K50=0),(H50-H49)&gt;0),(H50-H49)*(Variables!$M$5*$H$1+Variables!$U$5*$I$1),0)+IF(AND(NOT((J50+N50+Q50)=0),(H49-H50)&gt;0),(H49-H50)*(Variables!$M$4*$H$1+Variables!$U$4*$I$1),0)</f>
        <v>0</v>
      </c>
      <c r="Y50" s="95">
        <f>IF(SUM(T50,U49:U50)&gt;0,H50*Variables!$Y$11*0.25*(1-$J$1),0)</f>
        <v>0</v>
      </c>
      <c r="Z50" s="95">
        <f>IF(T50=0,H50*$J$1*Variables!$Y$5*0.25,0)</f>
        <v>13.622168775850819</v>
      </c>
      <c r="AA50" s="95">
        <f t="shared" si="0"/>
        <v>96.279183617613072</v>
      </c>
      <c r="AB50" s="91">
        <f>AA50/Variables!$E$49</f>
        <v>15.52890058348598</v>
      </c>
    </row>
    <row r="51" spans="1:29" x14ac:dyDescent="0.25">
      <c r="A51" s="61">
        <f>'Water runs'!C58</f>
        <v>6634</v>
      </c>
      <c r="B51" s="61" t="str">
        <f>'Water runs'!B58</f>
        <v>Summer</v>
      </c>
      <c r="C51" s="54">
        <f>'Water runs'!D58/100</f>
        <v>1.1772499999999999</v>
      </c>
      <c r="D51" s="108">
        <f>VLOOKUP(ROW(D51)+4,'Water runs'!$BS$3:$CF$423,MATCH($B$1,Scenarios,0)+1)</f>
        <v>1.0989794060127159E-4</v>
      </c>
      <c r="E51" s="54">
        <f>IF(B51=Variables!$D$8,C51-Variables!$E$8,IF(B51=Variables!$D$9,C51-Variables!$E$9,IF(B51=Variables!$D$10,C51-Variables!$E$10,IF(B51=Variables!$D$11,C51-Variables!$E$11,"ELSE"))))</f>
        <v>-8.112013605442181E-2</v>
      </c>
      <c r="F51" s="108">
        <f>VLOOKUP(ROW(F51)+4,'Water runs'!$CH$3:$CU$423,MATCH($B$1,Scenarios,0)+1)</f>
        <v>0</v>
      </c>
      <c r="G51" s="65">
        <f>H51/Variables!$E$49</f>
        <v>0.33801907632384165</v>
      </c>
      <c r="H51" s="62">
        <f>IF((H50+I51)&gt;(1.1*Variables!$E$50),(1.1*Variables!$E$50),IF((H50+I51)&gt;0,H50+I51,0))</f>
        <v>2.0957182732078183</v>
      </c>
      <c r="I51" s="64">
        <f t="shared" si="1"/>
        <v>0</v>
      </c>
      <c r="J51" s="63">
        <f>IF(SUM(E47:E50)&lt;Variables!$B$3,-H50,0)</f>
        <v>0</v>
      </c>
      <c r="K51" s="64">
        <f>IF(AND(H50&lt;Variables!$B$6*Variables!$E$50,OR(SUM(D48:D51)&gt;Variables!$B$5,SUM(E48:E51)&gt;Variables!$B$4)),Variables!$B$6*Variables!$E$50+Variables!$B$7*$G$1*Variables!$E$50*SUM(D48:D51),0)</f>
        <v>0</v>
      </c>
      <c r="L51" s="64">
        <f>IF(B51="Winter",Variables!$B$8*H50,0)</f>
        <v>0</v>
      </c>
      <c r="M51" s="64">
        <f>IF(AND(B51="Spring",AND(NOT(H50=0),H50&lt;(Variables!$B$9*Variables!$E$50))),(Variables!$B$10*Variables!$E$50+Variables!$B$11*Variables!$E$50*SUM(E48:E51)+$G$1*SUM(D50:D51)*Variables!$E$50*Variables!$B$12),0)</f>
        <v>0</v>
      </c>
      <c r="N51" s="64">
        <f>IF(AND(B51="Spring",AND(SUM(D48:D51)&gt;Variables!$B$13,SUM(D44:D47)&gt;Variables!$B$13)),-Variables!$B$14*Variables!$E$50,0)</f>
        <v>0</v>
      </c>
      <c r="O51" s="64">
        <f>IF(AND(B51="Summer",SUM(C47:D51)&gt;Variables!$B$15),(Variables!$B$16*Variables!$E$50*SUM(C47:C51)+$G$1*Variables!$B$16*Variables!$E$50*SUM(D47:D51)+$G$1*Variables!$E$50*Variables!$B$17*F51),0)</f>
        <v>0</v>
      </c>
      <c r="P51" s="64">
        <f>IF(AND(AND(B51="Autumn",SUM(D50:E51)&gt;0),NOT(H50=0)),Variables!$B$18*Variables!$E$50+Variables!$B$19*Variables!$E$50*SUM(E50:E51)+$G$1*Variables!$B$19*Variables!$E$50*SUM(D50:D51),0)</f>
        <v>0</v>
      </c>
      <c r="Q51" s="64">
        <f>IF(AND(B51="Autumn",AND((E51+E50)&lt;Variables!$B$20,(D50+D51)=0)),-Variables!$B$21*Variables!$E$50,0)</f>
        <v>0</v>
      </c>
      <c r="R51" s="64">
        <f>IF(B51="Autumn",(SUM(F50:F51)*$G$1*Variables!$B$22*Variables!$E$50),0)</f>
        <v>0</v>
      </c>
      <c r="S51" s="64">
        <f>IF(B51="Spring",($G$1*Variables!$E$50*SUM('Guts (option 1)'!F50:F51)*Variables!$B$23),0)</f>
        <v>0</v>
      </c>
      <c r="T51" s="63">
        <f>IF((H50+SUM(J51:Q51))&lt;(Variables!$B$26*Variables!$E$50),$F$1*((Variables!$B$26*Variables!$E$50)-H50-SUM(J51:Q51)),0)</f>
        <v>0</v>
      </c>
      <c r="U51" s="64">
        <f>IF(AND(AND(B51="Autumn",SUM(D48:E51)&gt;Variables!$B$27),SUM(J51:Q51)&lt;Variables!$B$28*H50),$F$1*(Variables!$B$28*H50-SUM(J51:Q51)),0)</f>
        <v>0</v>
      </c>
      <c r="V51" s="96">
        <f>IF(AND((J51+K51)=0,(Q51+T51)=0),$H$1*H51*Variables!$I$23*0.25,0)</f>
        <v>40.38480548245564</v>
      </c>
      <c r="W51" s="97">
        <f>IF(AND((K51+J51)=0,(T51+Q51)=0),$I$1*H51*Variables!$Q$23*0.25,0)</f>
        <v>42.272209359306601</v>
      </c>
      <c r="X51" s="95">
        <f>IF(AND(NOT(K51=0),(H51-H50)&gt;0),(H51-H50)*(Variables!$M$5*$H$1+Variables!$U$5*$I$1),0)+IF(AND(NOT((J51+N51+Q51)=0),(H50-H51)&gt;0),(H50-H51)*(Variables!$M$4*$H$1+Variables!$U$4*$I$1),0)</f>
        <v>0</v>
      </c>
      <c r="Y51" s="95">
        <f>IF(SUM(T51,U50:U51)&gt;0,H51*Variables!$Y$11*0.25*(1-$J$1),0)</f>
        <v>0</v>
      </c>
      <c r="Z51" s="95">
        <f>IF(T51=0,H51*$J$1*Variables!$Y$5*0.25,0)</f>
        <v>13.622168775850819</v>
      </c>
      <c r="AA51" s="95">
        <f t="shared" si="0"/>
        <v>96.279183617613072</v>
      </c>
      <c r="AB51" s="91">
        <f>AA51/Variables!$E$49</f>
        <v>15.52890058348598</v>
      </c>
      <c r="AC51" s="15"/>
    </row>
    <row r="52" spans="1:29" x14ac:dyDescent="0.25">
      <c r="A52" s="61">
        <f>'Water runs'!C59</f>
        <v>6726</v>
      </c>
      <c r="B52" s="61" t="str">
        <f>'Water runs'!B59</f>
        <v>Autumn</v>
      </c>
      <c r="C52" s="54">
        <f>'Water runs'!D59/100</f>
        <v>0.25340000000000001</v>
      </c>
      <c r="D52" s="108">
        <f>VLOOKUP(ROW(D52)+4,'Water runs'!$BS$3:$CF$423,MATCH($B$1,Scenarios,0)+1)</f>
        <v>0</v>
      </c>
      <c r="E52" s="54">
        <f>IF(B52=Variables!$D$8,C52-Variables!$E$8,IF(B52=Variables!$D$9,C52-Variables!$E$9,IF(B52=Variables!$D$10,C52-Variables!$E$10,IF(B52=Variables!$D$11,C52-Variables!$E$11,"ELSE"))))</f>
        <v>-0.74124329931972777</v>
      </c>
      <c r="F52" s="108">
        <f>VLOOKUP(ROW(F52)+4,'Water runs'!$CH$3:$CU$423,MATCH($B$1,Scenarios,0)+1)</f>
        <v>0</v>
      </c>
      <c r="G52" s="65">
        <f>H52/Variables!$E$49</f>
        <v>0.33801907632384165</v>
      </c>
      <c r="H52" s="62">
        <f>IF((H51+I52)&gt;(1.1*Variables!$E$50),(1.1*Variables!$E$50),IF((H51+I52)&gt;0,H51+I52,0))</f>
        <v>2.0957182732078183</v>
      </c>
      <c r="I52" s="64">
        <f t="shared" si="1"/>
        <v>0</v>
      </c>
      <c r="J52" s="63">
        <f>IF(SUM(E48:E51)&lt;Variables!$B$3,-H51,0)</f>
        <v>0</v>
      </c>
      <c r="K52" s="64">
        <f>IF(AND(H51&lt;Variables!$B$6*Variables!$E$50,OR(SUM(D49:D52)&gt;Variables!$B$5,SUM(E49:E52)&gt;Variables!$B$4)),Variables!$B$6*Variables!$E$50+Variables!$B$7*$G$1*Variables!$E$50*SUM(D49:D52),0)</f>
        <v>0</v>
      </c>
      <c r="L52" s="64">
        <f>IF(B52="Winter",Variables!$B$8*H51,0)</f>
        <v>0</v>
      </c>
      <c r="M52" s="64">
        <f>IF(AND(B52="Spring",AND(NOT(H51=0),H51&lt;(Variables!$B$9*Variables!$E$50))),(Variables!$B$10*Variables!$E$50+Variables!$B$11*Variables!$E$50*SUM(E49:E52)+$G$1*SUM(D51:D52)*Variables!$E$50*Variables!$B$12),0)</f>
        <v>0</v>
      </c>
      <c r="N52" s="64">
        <f>IF(AND(B52="Spring",AND(SUM(D49:D52)&gt;Variables!$B$13,SUM(D45:D48)&gt;Variables!$B$13)),-Variables!$B$14*Variables!$E$50,0)</f>
        <v>0</v>
      </c>
      <c r="O52" s="64">
        <f>IF(AND(B52="Summer",SUM(C48:D52)&gt;Variables!$B$15),(Variables!$B$16*Variables!$E$50*SUM(C48:C52)+$G$1*Variables!$B$16*Variables!$E$50*SUM(D48:D52)+$G$1*Variables!$E$50*Variables!$B$17*F52),0)</f>
        <v>0</v>
      </c>
      <c r="P52" s="64">
        <f>IF(AND(AND(B52="Autumn",SUM(D51:E52)&gt;0),NOT(H51=0)),Variables!$B$18*Variables!$E$50+Variables!$B$19*Variables!$E$50*SUM(E51:E52)+$G$1*Variables!$B$19*Variables!$E$50*SUM(D51:D52),0)</f>
        <v>0</v>
      </c>
      <c r="Q52" s="64">
        <f>IF(AND(B52="Autumn",AND((E52+E51)&lt;Variables!$B$20,(D51+D52)=0)),-Variables!$B$21*Variables!$E$50,0)</f>
        <v>0</v>
      </c>
      <c r="R52" s="64">
        <f>IF(B52="Autumn",(SUM(F51:F52)*$G$1*Variables!$B$22*Variables!$E$50),0)</f>
        <v>0</v>
      </c>
      <c r="S52" s="64">
        <f>IF(B52="Spring",($G$1*Variables!$E$50*SUM('Guts (option 1)'!F51:F52)*Variables!$B$23),0)</f>
        <v>0</v>
      </c>
      <c r="T52" s="63">
        <f>IF((H51+SUM(J52:Q52))&lt;(Variables!$B$26*Variables!$E$50),$F$1*((Variables!$B$26*Variables!$E$50)-H51-SUM(J52:Q52)),0)</f>
        <v>0</v>
      </c>
      <c r="U52" s="64">
        <f>IF(AND(AND(B52="Autumn",SUM(D49:E52)&gt;Variables!$B$27),SUM(J52:Q52)&lt;Variables!$B$28*H51),$F$1*(Variables!$B$28*H51-SUM(J52:Q52)),0)</f>
        <v>0</v>
      </c>
      <c r="V52" s="96">
        <f>IF(AND((J52+K52)=0,(Q52+T52)=0),$H$1*H52*Variables!$I$23*0.25,0)</f>
        <v>40.38480548245564</v>
      </c>
      <c r="W52" s="97">
        <f>IF(AND((K52+J52)=0,(T52+Q52)=0),$I$1*H52*Variables!$Q$23*0.25,0)</f>
        <v>42.272209359306601</v>
      </c>
      <c r="X52" s="95">
        <f>IF(AND(NOT(K52=0),(H52-H51)&gt;0),(H52-H51)*(Variables!$M$5*$H$1+Variables!$U$5*$I$1),0)+IF(AND(NOT((J52+N52+Q52)=0),(H51-H52)&gt;0),(H51-H52)*(Variables!$M$4*$H$1+Variables!$U$4*$I$1),0)</f>
        <v>0</v>
      </c>
      <c r="Y52" s="95">
        <f>IF(SUM(T52,U51:U52)&gt;0,H52*Variables!$Y$11*0.25*(1-$J$1),0)</f>
        <v>0</v>
      </c>
      <c r="Z52" s="95">
        <f>IF(T52=0,H52*$J$1*Variables!$Y$5*0.25,0)</f>
        <v>13.622168775850819</v>
      </c>
      <c r="AA52" s="95">
        <f t="shared" si="0"/>
        <v>96.279183617613072</v>
      </c>
      <c r="AB52" s="91">
        <f>AA52/Variables!$E$49</f>
        <v>15.52890058348598</v>
      </c>
    </row>
    <row r="53" spans="1:29" x14ac:dyDescent="0.25">
      <c r="A53" s="61">
        <f>'Water runs'!C60</f>
        <v>6818</v>
      </c>
      <c r="B53" s="61" t="str">
        <f>'Water runs'!B60</f>
        <v>Winter</v>
      </c>
      <c r="C53" s="54">
        <f>'Water runs'!D60/100</f>
        <v>0.97900000000000009</v>
      </c>
      <c r="D53" s="108">
        <f>VLOOKUP(ROW(D53)+4,'Water runs'!$BS$3:$CF$423,MATCH($B$1,Scenarios,0)+1)</f>
        <v>0</v>
      </c>
      <c r="E53" s="54">
        <f>IF(B53=Variables!$D$8,C53-Variables!$E$8,IF(B53=Variables!$D$9,C53-Variables!$E$9,IF(B53=Variables!$D$10,C53-Variables!$E$10,IF(B53=Variables!$D$11,C53-Variables!$E$11,"ELSE"))))</f>
        <v>0.40723237433862436</v>
      </c>
      <c r="F53" s="108">
        <f>VLOOKUP(ROW(F53)+4,'Water runs'!$CH$3:$CU$423,MATCH($B$1,Scenarios,0)+1)</f>
        <v>0</v>
      </c>
      <c r="G53" s="65">
        <f>H53/Variables!$E$49</f>
        <v>0.16970408409778148</v>
      </c>
      <c r="H53" s="62">
        <f>IF((H52+I53)&gt;(1.1*Variables!$E$50),(1.1*Variables!$E$50),IF((H52+I53)&gt;0,H52+I53,0))</f>
        <v>1.0521653214062452</v>
      </c>
      <c r="I53" s="64">
        <f t="shared" si="1"/>
        <v>-1.0435529518015731</v>
      </c>
      <c r="J53" s="63">
        <f>IF(SUM(E49:E52)&lt;Variables!$B$3,-H52,0)</f>
        <v>0</v>
      </c>
      <c r="K53" s="64">
        <f>IF(AND(H52&lt;Variables!$B$6*Variables!$E$50,OR(SUM(D50:D53)&gt;Variables!$B$5,SUM(E50:E53)&gt;Variables!$B$4)),Variables!$B$6*Variables!$E$50+Variables!$B$7*$G$1*Variables!$E$50*SUM(D50:D53),0)</f>
        <v>0</v>
      </c>
      <c r="L53" s="64">
        <f>IF(B53="Winter",Variables!$B$8*H52,0)</f>
        <v>-1.0435529518015731</v>
      </c>
      <c r="M53" s="64">
        <f>IF(AND(B53="Spring",AND(NOT(H52=0),H52&lt;(Variables!$B$9*Variables!$E$50))),(Variables!$B$10*Variables!$E$50+Variables!$B$11*Variables!$E$50*SUM(E50:E53)+$G$1*SUM(D52:D53)*Variables!$E$50*Variables!$B$12),0)</f>
        <v>0</v>
      </c>
      <c r="N53" s="64">
        <f>IF(AND(B53="Spring",AND(SUM(D50:D53)&gt;Variables!$B$13,SUM(D46:D49)&gt;Variables!$B$13)),-Variables!$B$14*Variables!$E$50,0)</f>
        <v>0</v>
      </c>
      <c r="O53" s="64">
        <f>IF(AND(B53="Summer",SUM(C49:D53)&gt;Variables!$B$15),(Variables!$B$16*Variables!$E$50*SUM(C49:C53)+$G$1*Variables!$B$16*Variables!$E$50*SUM(D49:D53)+$G$1*Variables!$E$50*Variables!$B$17*F53),0)</f>
        <v>0</v>
      </c>
      <c r="P53" s="64">
        <f>IF(AND(AND(B53="Autumn",SUM(D52:E53)&gt;0),NOT(H52=0)),Variables!$B$18*Variables!$E$50+Variables!$B$19*Variables!$E$50*SUM(E52:E53)+$G$1*Variables!$B$19*Variables!$E$50*SUM(D52:D53),0)</f>
        <v>0</v>
      </c>
      <c r="Q53" s="64">
        <f>IF(AND(B53="Autumn",AND((E53+E52)&lt;Variables!$B$20,(D52+D53)=0)),-Variables!$B$21*Variables!$E$50,0)</f>
        <v>0</v>
      </c>
      <c r="R53" s="64">
        <f>IF(B53="Autumn",(SUM(F52:F53)*$G$1*Variables!$B$22*Variables!$E$50),0)</f>
        <v>0</v>
      </c>
      <c r="S53" s="64">
        <f>IF(B53="Spring",($G$1*Variables!$E$50*SUM('Guts (option 1)'!F52:F53)*Variables!$B$23),0)</f>
        <v>0</v>
      </c>
      <c r="T53" s="63">
        <f>IF((H52+SUM(J53:Q53))&lt;(Variables!$B$26*Variables!$E$50),$F$1*((Variables!$B$26*Variables!$E$50)-H52-SUM(J53:Q53)),0)</f>
        <v>0</v>
      </c>
      <c r="U53" s="64">
        <f>IF(AND(AND(B53="Autumn",SUM(D50:E53)&gt;Variables!$B$27),SUM(J53:Q53)&lt;Variables!$B$28*H52),$F$1*(Variables!$B$28*H52-SUM(J53:Q53)),0)</f>
        <v>0</v>
      </c>
      <c r="V53" s="96">
        <f>IF(AND((J53+K53)=0,(Q53+T53)=0),$H$1*H53*Variables!$I$23*0.25,0)</f>
        <v>20.275383568296558</v>
      </c>
      <c r="W53" s="97">
        <f>IF(AND((K53+J53)=0,(T53+Q53)=0),$I$1*H53*Variables!$Q$23*0.25,0)</f>
        <v>21.222963656755017</v>
      </c>
      <c r="X53" s="95">
        <f>IF(AND(NOT(K53=0),(H53-H52)&gt;0),(H53-H52)*(Variables!$M$5*$H$1+Variables!$U$5*$I$1),0)+IF(AND(NOT((J53+N53+Q53)=0),(H52-H53)&gt;0),(H52-H53)*(Variables!$M$4*$H$1+Variables!$U$4*$I$1),0)</f>
        <v>0</v>
      </c>
      <c r="Y53" s="95">
        <f>IF(SUM(T53,U52:U53)&gt;0,H53*Variables!$Y$11*0.25*(1-$J$1),0)</f>
        <v>0</v>
      </c>
      <c r="Z53" s="95">
        <f>IF(T53=0,H53*$J$1*Variables!$Y$5*0.25,0)</f>
        <v>6.8390745891405942</v>
      </c>
      <c r="AA53" s="95">
        <f t="shared" si="0"/>
        <v>48.337421814192169</v>
      </c>
      <c r="AB53" s="91">
        <f>AA53/Variables!$E$49</f>
        <v>7.7963583571277688</v>
      </c>
    </row>
    <row r="54" spans="1:29" x14ac:dyDescent="0.25">
      <c r="A54" s="61">
        <f>'Water runs'!C61</f>
        <v>6909</v>
      </c>
      <c r="B54" s="61" t="str">
        <f>'Water runs'!B61</f>
        <v>Spring</v>
      </c>
      <c r="C54" s="54">
        <f>'Water runs'!D61/100</f>
        <v>0.24879999999999999</v>
      </c>
      <c r="D54" s="108">
        <f>VLOOKUP(ROW(D54)+4,'Water runs'!$BS$3:$CF$423,MATCH($B$1,Scenarios,0)+1)</f>
        <v>0</v>
      </c>
      <c r="E54" s="54">
        <f>IF(B54=Variables!$D$8,C54-Variables!$E$8,IF(B54=Variables!$D$9,C54-Variables!$E$9,IF(B54=Variables!$D$10,C54-Variables!$E$10,IF(B54=Variables!$D$11,C54-Variables!$E$11,"ELSE"))))</f>
        <v>-0.51518220899470912</v>
      </c>
      <c r="F54" s="108">
        <f>VLOOKUP(ROW(F54)+4,'Water runs'!$CH$3:$CU$423,MATCH($B$1,Scenarios,0)+1)</f>
        <v>0</v>
      </c>
      <c r="G54" s="65">
        <f>H54/Variables!$E$49</f>
        <v>0.161</v>
      </c>
      <c r="H54" s="62">
        <f>IF((H53+I54)&gt;(1.1*Variables!$E$50),(1.1*Variables!$E$50),IF((H53+I54)&gt;0,H53+I54,0))</f>
        <v>0.99820000000000009</v>
      </c>
      <c r="I54" s="64">
        <f t="shared" si="1"/>
        <v>-5.3965321406245104E-2</v>
      </c>
      <c r="J54" s="63">
        <f>IF(SUM(E50:E53)&lt;Variables!$B$3,-H53,0)</f>
        <v>0</v>
      </c>
      <c r="K54" s="64">
        <f>IF(AND(H53&lt;Variables!$B$6*Variables!$E$50,OR(SUM(D51:D54)&gt;Variables!$B$5,SUM(E51:E54)&gt;Variables!$B$4)),Variables!$B$6*Variables!$E$50+Variables!$B$7*$G$1*Variables!$E$50*SUM(D51:D54),0)</f>
        <v>0</v>
      </c>
      <c r="L54" s="64">
        <f>IF(B54="Winter",Variables!$B$8*H53,0)</f>
        <v>0</v>
      </c>
      <c r="M54" s="64">
        <f>IF(AND(B54="Spring",AND(NOT(H53=0),H53&lt;(Variables!$B$9*Variables!$E$50))),(Variables!$B$10*Variables!$E$50+Variables!$B$11*Variables!$E$50*SUM(E51:E54)+$G$1*SUM(D53:D54)*Variables!$E$50*Variables!$B$12),0)</f>
        <v>-0.63360072423249125</v>
      </c>
      <c r="N54" s="64">
        <f>IF(AND(B54="Spring",AND(SUM(D51:D54)&gt;Variables!$B$13,SUM(D47:D50)&gt;Variables!$B$13)),-Variables!$B$14*Variables!$E$50,0)</f>
        <v>0</v>
      </c>
      <c r="O54" s="64">
        <f>IF(AND(B54="Summer",SUM(C50:D54)&gt;Variables!$B$15),(Variables!$B$16*Variables!$E$50*SUM(C50:C54)+$G$1*Variables!$B$16*Variables!$E$50*SUM(D50:D54)+$G$1*Variables!$E$50*Variables!$B$17*F54),0)</f>
        <v>0</v>
      </c>
      <c r="P54" s="64">
        <f>IF(AND(AND(B54="Autumn",SUM(D53:E54)&gt;0),NOT(H53=0)),Variables!$B$18*Variables!$E$50+Variables!$B$19*Variables!$E$50*SUM(E53:E54)+$G$1*Variables!$B$19*Variables!$E$50*SUM(D53:D54),0)</f>
        <v>0</v>
      </c>
      <c r="Q54" s="64">
        <f>IF(AND(B54="Autumn",AND((E54+E53)&lt;Variables!$B$20,(D53+D54)=0)),-Variables!$B$21*Variables!$E$50,0)</f>
        <v>0</v>
      </c>
      <c r="R54" s="64">
        <f>IF(B54="Autumn",(SUM(F53:F54)*$G$1*Variables!$B$22*Variables!$E$50),0)</f>
        <v>0</v>
      </c>
      <c r="S54" s="64">
        <f>IF(B54="Spring",($G$1*Variables!$E$50*SUM('Guts (option 1)'!F53:F54)*Variables!$B$23),0)</f>
        <v>0</v>
      </c>
      <c r="T54" s="63">
        <f>IF((H53+SUM(J54:Q54))&lt;(Variables!$B$26*Variables!$E$50),$F$1*((Variables!$B$26*Variables!$E$50)-H53-SUM(J54:Q54)),0)</f>
        <v>0.57963540282624615</v>
      </c>
      <c r="U54" s="64">
        <f>IF(AND(AND(B54="Autumn",SUM(D51:E54)&gt;Variables!$B$27),SUM(J54:Q54)&lt;Variables!$B$28*H53),$F$1*(Variables!$B$28*H53-SUM(J54:Q54)),0)</f>
        <v>0</v>
      </c>
      <c r="V54" s="96">
        <f>IF(AND((J54+K54)=0,(Q54+T54)=0),$H$1*H54*Variables!$I$23*0.25,0)</f>
        <v>0</v>
      </c>
      <c r="W54" s="97">
        <f>IF(AND((K54+J54)=0,(T54+Q54)=0),$I$1*H54*Variables!$Q$23*0.25,0)</f>
        <v>0</v>
      </c>
      <c r="X54" s="95">
        <f>IF(AND(NOT(K54=0),(H54-H53)&gt;0),(H54-H53)*(Variables!$M$5*$H$1+Variables!$U$5*$I$1),0)+IF(AND(NOT((J54+N54+Q54)=0),(H53-H54)&gt;0),(H53-H54)*(Variables!$M$4*$H$1+Variables!$U$4*$I$1),0)</f>
        <v>0</v>
      </c>
      <c r="Y54" s="95">
        <f>IF(SUM(T54,U53:U54)&gt;0,H54*Variables!$Y$11*0.25*(1-$J$1),0)</f>
        <v>0</v>
      </c>
      <c r="Z54" s="95">
        <f>IF(T54=0,H54*$J$1*Variables!$Y$5*0.25,0)</f>
        <v>0</v>
      </c>
      <c r="AA54" s="95">
        <f t="shared" si="0"/>
        <v>0</v>
      </c>
      <c r="AB54" s="91">
        <f>AA54/Variables!$E$49</f>
        <v>0</v>
      </c>
    </row>
    <row r="55" spans="1:29" x14ac:dyDescent="0.25">
      <c r="A55" s="61">
        <f>'Water runs'!C62</f>
        <v>6999</v>
      </c>
      <c r="B55" s="61" t="str">
        <f>'Water runs'!B62</f>
        <v>Summer</v>
      </c>
      <c r="C55" s="54">
        <f>'Water runs'!D62/100</f>
        <v>0.6018</v>
      </c>
      <c r="D55" s="108">
        <f>VLOOKUP(ROW(D55)+4,'Water runs'!$BS$3:$CF$423,MATCH($B$1,Scenarios,0)+1)</f>
        <v>0</v>
      </c>
      <c r="E55" s="54">
        <f>IF(B55=Variables!$D$8,C55-Variables!$E$8,IF(B55=Variables!$D$9,C55-Variables!$E$9,IF(B55=Variables!$D$10,C55-Variables!$E$10,IF(B55=Variables!$D$11,C55-Variables!$E$11,"ELSE"))))</f>
        <v>-0.65657013605442172</v>
      </c>
      <c r="F55" s="108">
        <f>VLOOKUP(ROW(F55)+4,'Water runs'!$CH$3:$CU$423,MATCH($B$1,Scenarios,0)+1)</f>
        <v>0</v>
      </c>
      <c r="G55" s="65">
        <f>H55/Variables!$E$49</f>
        <v>0.161</v>
      </c>
      <c r="H55" s="62">
        <f>IF((H54+I55)&gt;(1.1*Variables!$E$50),(1.1*Variables!$E$50),IF((H54+I55)&gt;0,H54+I55,0))</f>
        <v>0.99820000000000009</v>
      </c>
      <c r="I55" s="64">
        <f t="shared" si="1"/>
        <v>0</v>
      </c>
      <c r="J55" s="63">
        <f>IF(SUM(E51:E54)&lt;Variables!$B$3,-H54,0)</f>
        <v>0</v>
      </c>
      <c r="K55" s="64">
        <f>IF(AND(H54&lt;Variables!$B$6*Variables!$E$50,OR(SUM(D52:D55)&gt;Variables!$B$5,SUM(E52:E55)&gt;Variables!$B$4)),Variables!$B$6*Variables!$E$50+Variables!$B$7*$G$1*Variables!$E$50*SUM(D52:D55),0)</f>
        <v>0</v>
      </c>
      <c r="L55" s="64">
        <f>IF(B55="Winter",Variables!$B$8*H54,0)</f>
        <v>0</v>
      </c>
      <c r="M55" s="64">
        <f>IF(AND(B55="Spring",AND(NOT(H54=0),H54&lt;(Variables!$B$9*Variables!$E$50))),(Variables!$B$10*Variables!$E$50+Variables!$B$11*Variables!$E$50*SUM(E52:E55)+$G$1*SUM(D54:D55)*Variables!$E$50*Variables!$B$12),0)</f>
        <v>0</v>
      </c>
      <c r="N55" s="64">
        <f>IF(AND(B55="Spring",AND(SUM(D52:D55)&gt;Variables!$B$13,SUM(D48:D51)&gt;Variables!$B$13)),-Variables!$B$14*Variables!$E$50,0)</f>
        <v>0</v>
      </c>
      <c r="O55" s="64">
        <f>IF(AND(B55="Summer",SUM(C51:D55)&gt;Variables!$B$15),(Variables!$B$16*Variables!$E$50*SUM(C51:C55)+$G$1*Variables!$B$16*Variables!$E$50*SUM(D51:D55)+$G$1*Variables!$E$50*Variables!$B$17*F55),0)</f>
        <v>0</v>
      </c>
      <c r="P55" s="64">
        <f>IF(AND(AND(B55="Autumn",SUM(D54:E55)&gt;0),NOT(H54=0)),Variables!$B$18*Variables!$E$50+Variables!$B$19*Variables!$E$50*SUM(E54:E55)+$G$1*Variables!$B$19*Variables!$E$50*SUM(D54:D55),0)</f>
        <v>0</v>
      </c>
      <c r="Q55" s="64">
        <f>IF(AND(B55="Autumn",AND((E55+E54)&lt;Variables!$B$20,(D54+D55)=0)),-Variables!$B$21*Variables!$E$50,0)</f>
        <v>0</v>
      </c>
      <c r="R55" s="64">
        <f>IF(B55="Autumn",(SUM(F54:F55)*$G$1*Variables!$B$22*Variables!$E$50),0)</f>
        <v>0</v>
      </c>
      <c r="S55" s="64">
        <f>IF(B55="Spring",($G$1*Variables!$E$50*SUM('Guts (option 1)'!F54:F55)*Variables!$B$23),0)</f>
        <v>0</v>
      </c>
      <c r="T55" s="63">
        <f>IF((H54+SUM(J55:Q55))&lt;(Variables!$B$26*Variables!$E$50),$F$1*((Variables!$B$26*Variables!$E$50)-H54-SUM(J55:Q55)),0)</f>
        <v>0</v>
      </c>
      <c r="U55" s="64">
        <f>IF(AND(AND(B55="Autumn",SUM(D52:E55)&gt;Variables!$B$27),SUM(J55:Q55)&lt;Variables!$B$28*H54),$F$1*(Variables!$B$28*H54-SUM(J55:Q55)),0)</f>
        <v>0</v>
      </c>
      <c r="V55" s="96">
        <f>IF(AND((J55+K55)=0,(Q55+T55)=0),$H$1*H55*Variables!$I$23*0.25,0)</f>
        <v>19.235463730000003</v>
      </c>
      <c r="W55" s="97">
        <f>IF(AND((K55+J55)=0,(T55+Q55)=0),$I$1*H55*Variables!$Q$23*0.25,0)</f>
        <v>20.13444265</v>
      </c>
      <c r="X55" s="95">
        <f>IF(AND(NOT(K55=0),(H55-H54)&gt;0),(H55-H54)*(Variables!$M$5*$H$1+Variables!$U$5*$I$1),0)+IF(AND(NOT((J55+N55+Q55)=0),(H54-H55)&gt;0),(H54-H55)*(Variables!$M$4*$H$1+Variables!$U$4*$I$1),0)</f>
        <v>0</v>
      </c>
      <c r="Y55" s="95">
        <f>IF(SUM(T55,U54:U55)&gt;0,H55*Variables!$Y$11*0.25*(1-$J$1),0)</f>
        <v>0</v>
      </c>
      <c r="Z55" s="95">
        <f>IF(T55=0,H55*$J$1*Variables!$Y$5*0.25,0)</f>
        <v>6.4883000000000006</v>
      </c>
      <c r="AA55" s="95">
        <f t="shared" si="0"/>
        <v>45.858206380000006</v>
      </c>
      <c r="AB55" s="91">
        <f>AA55/Variables!$E$49</f>
        <v>7.3964849000000008</v>
      </c>
      <c r="AC55" s="15"/>
    </row>
    <row r="56" spans="1:29" x14ac:dyDescent="0.25">
      <c r="A56" s="61">
        <f>'Water runs'!C63</f>
        <v>7091</v>
      </c>
      <c r="B56" s="61" t="str">
        <f>'Water runs'!B63</f>
        <v>Autumn</v>
      </c>
      <c r="C56" s="54">
        <f>'Water runs'!D63/100</f>
        <v>0.9516</v>
      </c>
      <c r="D56" s="108">
        <f>VLOOKUP(ROW(D56)+4,'Water runs'!$BS$3:$CF$423,MATCH($B$1,Scenarios,0)+1)</f>
        <v>0</v>
      </c>
      <c r="E56" s="54">
        <f>IF(B56=Variables!$D$8,C56-Variables!$E$8,IF(B56=Variables!$D$9,C56-Variables!$E$9,IF(B56=Variables!$D$10,C56-Variables!$E$10,IF(B56=Variables!$D$11,C56-Variables!$E$11,"ELSE"))))</f>
        <v>-4.3043299319727835E-2</v>
      </c>
      <c r="F56" s="108">
        <f>VLOOKUP(ROW(F56)+4,'Water runs'!$CH$3:$CU$423,MATCH($B$1,Scenarios,0)+1)</f>
        <v>0</v>
      </c>
      <c r="G56" s="65">
        <f>H56/Variables!$E$49</f>
        <v>0.161</v>
      </c>
      <c r="H56" s="62">
        <f>IF((H55+I56)&gt;(1.1*Variables!$E$50),(1.1*Variables!$E$50),IF((H55+I56)&gt;0,H55+I56,0))</f>
        <v>0.99820000000000009</v>
      </c>
      <c r="I56" s="64">
        <f t="shared" si="1"/>
        <v>0</v>
      </c>
      <c r="J56" s="63">
        <f>IF(SUM(E52:E55)&lt;Variables!$B$3,-H55,0)</f>
        <v>0</v>
      </c>
      <c r="K56" s="64">
        <f>IF(AND(H55&lt;Variables!$B$6*Variables!$E$50,OR(SUM(D53:D56)&gt;Variables!$B$5,SUM(E53:E56)&gt;Variables!$B$4)),Variables!$B$6*Variables!$E$50+Variables!$B$7*$G$1*Variables!$E$50*SUM(D53:D56),0)</f>
        <v>0</v>
      </c>
      <c r="L56" s="64">
        <f>IF(B56="Winter",Variables!$B$8*H55,0)</f>
        <v>0</v>
      </c>
      <c r="M56" s="64">
        <f>IF(AND(B56="Spring",AND(NOT(H55=0),H55&lt;(Variables!$B$9*Variables!$E$50))),(Variables!$B$10*Variables!$E$50+Variables!$B$11*Variables!$E$50*SUM(E53:E56)+$G$1*SUM(D55:D56)*Variables!$E$50*Variables!$B$12),0)</f>
        <v>0</v>
      </c>
      <c r="N56" s="64">
        <f>IF(AND(B56="Spring",AND(SUM(D53:D56)&gt;Variables!$B$13,SUM(D49:D52)&gt;Variables!$B$13)),-Variables!$B$14*Variables!$E$50,0)</f>
        <v>0</v>
      </c>
      <c r="O56" s="64">
        <f>IF(AND(B56="Summer",SUM(C52:D56)&gt;Variables!$B$15),(Variables!$B$16*Variables!$E$50*SUM(C52:C56)+$G$1*Variables!$B$16*Variables!$E$50*SUM(D52:D56)+$G$1*Variables!$E$50*Variables!$B$17*F56),0)</f>
        <v>0</v>
      </c>
      <c r="P56" s="64">
        <f>IF(AND(AND(B56="Autumn",SUM(D55:E56)&gt;0),NOT(H55=0)),Variables!$B$18*Variables!$E$50+Variables!$B$19*Variables!$E$50*SUM(E55:E56)+$G$1*Variables!$B$19*Variables!$E$50*SUM(D55:D56),0)</f>
        <v>0</v>
      </c>
      <c r="Q56" s="64">
        <f>IF(AND(B56="Autumn",AND((E56+E55)&lt;Variables!$B$20,(D55+D56)=0)),-Variables!$B$21*Variables!$E$50,0)</f>
        <v>0</v>
      </c>
      <c r="R56" s="64">
        <f>IF(B56="Autumn",(SUM(F55:F56)*$G$1*Variables!$B$22*Variables!$E$50),0)</f>
        <v>0</v>
      </c>
      <c r="S56" s="64">
        <f>IF(B56="Spring",($G$1*Variables!$E$50*SUM('Guts (option 1)'!F55:F56)*Variables!$B$23),0)</f>
        <v>0</v>
      </c>
      <c r="T56" s="63">
        <f>IF((H55+SUM(J56:Q56))&lt;(Variables!$B$26*Variables!$E$50),$F$1*((Variables!$B$26*Variables!$E$50)-H55-SUM(J56:Q56)),0)</f>
        <v>0</v>
      </c>
      <c r="U56" s="64">
        <f>IF(AND(AND(B56="Autumn",SUM(D53:E56)&gt;Variables!$B$27),SUM(J56:Q56)&lt;Variables!$B$28*H55),$F$1*(Variables!$B$28*H55-SUM(J56:Q56)),0)</f>
        <v>0</v>
      </c>
      <c r="V56" s="96">
        <f>IF(AND((J56+K56)=0,(Q56+T56)=0),$H$1*H56*Variables!$I$23*0.25,0)</f>
        <v>19.235463730000003</v>
      </c>
      <c r="W56" s="97">
        <f>IF(AND((K56+J56)=0,(T56+Q56)=0),$I$1*H56*Variables!$Q$23*0.25,0)</f>
        <v>20.13444265</v>
      </c>
      <c r="X56" s="95">
        <f>IF(AND(NOT(K56=0),(H56-H55)&gt;0),(H56-H55)*(Variables!$M$5*$H$1+Variables!$U$5*$I$1),0)+IF(AND(NOT((J56+N56+Q56)=0),(H55-H56)&gt;0),(H55-H56)*(Variables!$M$4*$H$1+Variables!$U$4*$I$1),0)</f>
        <v>0</v>
      </c>
      <c r="Y56" s="95">
        <f>IF(SUM(T56,U55:U56)&gt;0,H56*Variables!$Y$11*0.25*(1-$J$1),0)</f>
        <v>0</v>
      </c>
      <c r="Z56" s="95">
        <f>IF(T56=0,H56*$J$1*Variables!$Y$5*0.25,0)</f>
        <v>6.4883000000000006</v>
      </c>
      <c r="AA56" s="95">
        <f t="shared" si="0"/>
        <v>45.858206380000006</v>
      </c>
      <c r="AB56" s="91">
        <f>AA56/Variables!$E$49</f>
        <v>7.3964849000000008</v>
      </c>
    </row>
    <row r="57" spans="1:29" x14ac:dyDescent="0.25">
      <c r="A57" s="61">
        <f>'Water runs'!C64</f>
        <v>7183</v>
      </c>
      <c r="B57" s="61" t="str">
        <f>'Water runs'!B64</f>
        <v>Winter</v>
      </c>
      <c r="C57" s="54">
        <f>'Water runs'!D64/100</f>
        <v>0.30260000000000004</v>
      </c>
      <c r="D57" s="108">
        <f>VLOOKUP(ROW(D57)+4,'Water runs'!$BS$3:$CF$423,MATCH($B$1,Scenarios,0)+1)</f>
        <v>0</v>
      </c>
      <c r="E57" s="54">
        <f>IF(B57=Variables!$D$8,C57-Variables!$E$8,IF(B57=Variables!$D$9,C57-Variables!$E$9,IF(B57=Variables!$D$10,C57-Variables!$E$10,IF(B57=Variables!$D$11,C57-Variables!$E$11,"ELSE"))))</f>
        <v>-0.2691676256613757</v>
      </c>
      <c r="F57" s="108">
        <f>VLOOKUP(ROW(F57)+4,'Water runs'!$CH$3:$CU$423,MATCH($B$1,Scenarios,0)+1)</f>
        <v>0</v>
      </c>
      <c r="G57" s="65">
        <f>H57/Variables!$E$49</f>
        <v>0.161</v>
      </c>
      <c r="H57" s="62">
        <f>IF((H56+I57)&gt;(1.1*Variables!$E$50),(1.1*Variables!$E$50),IF((H56+I57)&gt;0,H56+I57,0))</f>
        <v>0.99820000000000009</v>
      </c>
      <c r="I57" s="64">
        <f t="shared" si="1"/>
        <v>0</v>
      </c>
      <c r="J57" s="63">
        <f>IF(SUM(E53:E56)&lt;Variables!$B$3,-H56,0)</f>
        <v>0</v>
      </c>
      <c r="K57" s="64">
        <f>IF(AND(H56&lt;Variables!$B$6*Variables!$E$50,OR(SUM(D54:D57)&gt;Variables!$B$5,SUM(E54:E57)&gt;Variables!$B$4)),Variables!$B$6*Variables!$E$50+Variables!$B$7*$G$1*Variables!$E$50*SUM(D54:D57),0)</f>
        <v>0</v>
      </c>
      <c r="L57" s="64">
        <f>IF(B57="Winter",Variables!$B$8*H56,0)</f>
        <v>-0.49704894489176149</v>
      </c>
      <c r="M57" s="64">
        <f>IF(AND(B57="Spring",AND(NOT(H56=0),H56&lt;(Variables!$B$9*Variables!$E$50))),(Variables!$B$10*Variables!$E$50+Variables!$B$11*Variables!$E$50*SUM(E54:E57)+$G$1*SUM(D56:D57)*Variables!$E$50*Variables!$B$12),0)</f>
        <v>0</v>
      </c>
      <c r="N57" s="64">
        <f>IF(AND(B57="Spring",AND(SUM(D54:D57)&gt;Variables!$B$13,SUM(D50:D53)&gt;Variables!$B$13)),-Variables!$B$14*Variables!$E$50,0)</f>
        <v>0</v>
      </c>
      <c r="O57" s="64">
        <f>IF(AND(B57="Summer",SUM(C53:D57)&gt;Variables!$B$15),(Variables!$B$16*Variables!$E$50*SUM(C53:C57)+$G$1*Variables!$B$16*Variables!$E$50*SUM(D53:D57)+$G$1*Variables!$E$50*Variables!$B$17*F57),0)</f>
        <v>0</v>
      </c>
      <c r="P57" s="64">
        <f>IF(AND(AND(B57="Autumn",SUM(D56:E57)&gt;0),NOT(H56=0)),Variables!$B$18*Variables!$E$50+Variables!$B$19*Variables!$E$50*SUM(E56:E57)+$G$1*Variables!$B$19*Variables!$E$50*SUM(D56:D57),0)</f>
        <v>0</v>
      </c>
      <c r="Q57" s="64">
        <f>IF(AND(B57="Autumn",AND((E57+E56)&lt;Variables!$B$20,(D56+D57)=0)),-Variables!$B$21*Variables!$E$50,0)</f>
        <v>0</v>
      </c>
      <c r="R57" s="64">
        <f>IF(B57="Autumn",(SUM(F56:F57)*$G$1*Variables!$B$22*Variables!$E$50),0)</f>
        <v>0</v>
      </c>
      <c r="S57" s="64">
        <f>IF(B57="Spring",($G$1*Variables!$E$50*SUM('Guts (option 1)'!F56:F57)*Variables!$B$23),0)</f>
        <v>0</v>
      </c>
      <c r="T57" s="63">
        <f>IF((H56+SUM(J57:Q57))&lt;(Variables!$B$26*Variables!$E$50),$F$1*((Variables!$B$26*Variables!$E$50)-H56-SUM(J57:Q57)),0)</f>
        <v>0.49704894489176149</v>
      </c>
      <c r="U57" s="64">
        <f>IF(AND(AND(B57="Autumn",SUM(D54:E57)&gt;Variables!$B$27),SUM(J57:Q57)&lt;Variables!$B$28*H56),$F$1*(Variables!$B$28*H56-SUM(J57:Q57)),0)</f>
        <v>0</v>
      </c>
      <c r="V57" s="96">
        <f>IF(AND((J57+K57)=0,(Q57+T57)=0),$H$1*H57*Variables!$I$23*0.25,0)</f>
        <v>0</v>
      </c>
      <c r="W57" s="97">
        <f>IF(AND((K57+J57)=0,(T57+Q57)=0),$I$1*H57*Variables!$Q$23*0.25,0)</f>
        <v>0</v>
      </c>
      <c r="X57" s="95">
        <f>IF(AND(NOT(K57=0),(H57-H56)&gt;0),(H57-H56)*(Variables!$M$5*$H$1+Variables!$U$5*$I$1),0)+IF(AND(NOT((J57+N57+Q57)=0),(H56-H57)&gt;0),(H56-H57)*(Variables!$M$4*$H$1+Variables!$U$4*$I$1),0)</f>
        <v>0</v>
      </c>
      <c r="Y57" s="95">
        <f>IF(SUM(T57,U56:U57)&gt;0,H57*Variables!$Y$11*0.25*(1-$J$1),0)</f>
        <v>0</v>
      </c>
      <c r="Z57" s="95">
        <f>IF(T57=0,H57*$J$1*Variables!$Y$5*0.25,0)</f>
        <v>0</v>
      </c>
      <c r="AA57" s="95">
        <f t="shared" si="0"/>
        <v>0</v>
      </c>
      <c r="AB57" s="91">
        <f>AA57/Variables!$E$49</f>
        <v>0</v>
      </c>
    </row>
    <row r="58" spans="1:29" x14ac:dyDescent="0.25">
      <c r="A58" s="61">
        <f>'Water runs'!C65</f>
        <v>7274</v>
      </c>
      <c r="B58" s="61" t="str">
        <f>'Water runs'!B65</f>
        <v>Spring</v>
      </c>
      <c r="C58" s="54">
        <f>'Water runs'!D65/100</f>
        <v>4.4400000000000002E-2</v>
      </c>
      <c r="D58" s="108">
        <f>VLOOKUP(ROW(D58)+4,'Water runs'!$BS$3:$CF$423,MATCH($B$1,Scenarios,0)+1)</f>
        <v>0</v>
      </c>
      <c r="E58" s="54">
        <f>IF(B58=Variables!$D$8,C58-Variables!$E$8,IF(B58=Variables!$D$9,C58-Variables!$E$9,IF(B58=Variables!$D$10,C58-Variables!$E$10,IF(B58=Variables!$D$11,C58-Variables!$E$11,"ELSE"))))</f>
        <v>-0.71958220899470915</v>
      </c>
      <c r="F58" s="108">
        <f>VLOOKUP(ROW(F58)+4,'Water runs'!$CH$3:$CU$423,MATCH($B$1,Scenarios,0)+1)</f>
        <v>0</v>
      </c>
      <c r="G58" s="65">
        <f>H58/Variables!$E$49</f>
        <v>0.161</v>
      </c>
      <c r="H58" s="62">
        <f>IF((H57+I58)&gt;(1.1*Variables!$E$50),(1.1*Variables!$E$50),IF((H57+I58)&gt;0,H57+I58,0))</f>
        <v>0.99820000000000009</v>
      </c>
      <c r="I58" s="64">
        <f t="shared" si="1"/>
        <v>0</v>
      </c>
      <c r="J58" s="63">
        <f>IF(SUM(E54:E57)&lt;Variables!$B$3,-H57,0)</f>
        <v>0</v>
      </c>
      <c r="K58" s="64">
        <f>IF(AND(H57&lt;Variables!$B$6*Variables!$E$50,OR(SUM(D55:D58)&gt;Variables!$B$5,SUM(E55:E58)&gt;Variables!$B$4)),Variables!$B$6*Variables!$E$50+Variables!$B$7*$G$1*Variables!$E$50*SUM(D55:D58),0)</f>
        <v>0</v>
      </c>
      <c r="L58" s="64">
        <f>IF(B58="Winter",Variables!$B$8*H57,0)</f>
        <v>0</v>
      </c>
      <c r="M58" s="64">
        <f>IF(AND(B58="Spring",AND(NOT(H57=0),H57&lt;(Variables!$B$9*Variables!$E$50))),(Variables!$B$10*Variables!$E$50+Variables!$B$11*Variables!$E$50*SUM(E55:E58)+$G$1*SUM(D57:D58)*Variables!$E$50*Variables!$B$12),0)</f>
        <v>-1.1498795353353692</v>
      </c>
      <c r="N58" s="64">
        <f>IF(AND(B58="Spring",AND(SUM(D55:D58)&gt;Variables!$B$13,SUM(D51:D54)&gt;Variables!$B$13)),-Variables!$B$14*Variables!$E$50,0)</f>
        <v>0</v>
      </c>
      <c r="O58" s="64">
        <f>IF(AND(B58="Summer",SUM(C54:D58)&gt;Variables!$B$15),(Variables!$B$16*Variables!$E$50*SUM(C54:C58)+$G$1*Variables!$B$16*Variables!$E$50*SUM(D54:D58)+$G$1*Variables!$E$50*Variables!$B$17*F58),0)</f>
        <v>0</v>
      </c>
      <c r="P58" s="64">
        <f>IF(AND(AND(B58="Autumn",SUM(D57:E58)&gt;0),NOT(H57=0)),Variables!$B$18*Variables!$E$50+Variables!$B$19*Variables!$E$50*SUM(E57:E58)+$G$1*Variables!$B$19*Variables!$E$50*SUM(D57:D58),0)</f>
        <v>0</v>
      </c>
      <c r="Q58" s="64">
        <f>IF(AND(B58="Autumn",AND((E58+E57)&lt;Variables!$B$20,(D57+D58)=0)),-Variables!$B$21*Variables!$E$50,0)</f>
        <v>0</v>
      </c>
      <c r="R58" s="64">
        <f>IF(B58="Autumn",(SUM(F57:F58)*$G$1*Variables!$B$22*Variables!$E$50),0)</f>
        <v>0</v>
      </c>
      <c r="S58" s="64">
        <f>IF(B58="Spring",($G$1*Variables!$E$50*SUM('Guts (option 1)'!F57:F58)*Variables!$B$23),0)</f>
        <v>0</v>
      </c>
      <c r="T58" s="63">
        <f>IF((H57+SUM(J58:Q58))&lt;(Variables!$B$26*Variables!$E$50),$F$1*((Variables!$B$26*Variables!$E$50)-H57-SUM(J58:Q58)),0)</f>
        <v>1.1498795353353692</v>
      </c>
      <c r="U58" s="64">
        <f>IF(AND(AND(B58="Autumn",SUM(D55:E58)&gt;Variables!$B$27),SUM(J58:Q58)&lt;Variables!$B$28*H57),$F$1*(Variables!$B$28*H57-SUM(J58:Q58)),0)</f>
        <v>0</v>
      </c>
      <c r="V58" s="96">
        <f>IF(AND((J58+K58)=0,(Q58+T58)=0),$H$1*H58*Variables!$I$23*0.25,0)</f>
        <v>0</v>
      </c>
      <c r="W58" s="97">
        <f>IF(AND((K58+J58)=0,(T58+Q58)=0),$I$1*H58*Variables!$Q$23*0.25,0)</f>
        <v>0</v>
      </c>
      <c r="X58" s="95">
        <f>IF(AND(NOT(K58=0),(H58-H57)&gt;0),(H58-H57)*(Variables!$M$5*$H$1+Variables!$U$5*$I$1),0)+IF(AND(NOT((J58+N58+Q58)=0),(H57-H58)&gt;0),(H57-H58)*(Variables!$M$4*$H$1+Variables!$U$4*$I$1),0)</f>
        <v>0</v>
      </c>
      <c r="Y58" s="95">
        <f>IF(SUM(T58,U57:U58)&gt;0,H58*Variables!$Y$11*0.25*(1-$J$1),0)</f>
        <v>0</v>
      </c>
      <c r="Z58" s="95">
        <f>IF(T58=0,H58*$J$1*Variables!$Y$5*0.25,0)</f>
        <v>0</v>
      </c>
      <c r="AA58" s="95">
        <f t="shared" si="0"/>
        <v>0</v>
      </c>
      <c r="AB58" s="91">
        <f>AA58/Variables!$E$49</f>
        <v>0</v>
      </c>
    </row>
    <row r="59" spans="1:29" x14ac:dyDescent="0.25">
      <c r="A59" s="61">
        <f>'Water runs'!C66</f>
        <v>7364</v>
      </c>
      <c r="B59" s="61" t="str">
        <f>'Water runs'!B66</f>
        <v>Summer</v>
      </c>
      <c r="C59" s="54">
        <f>'Water runs'!D66/100</f>
        <v>0.73799999999999999</v>
      </c>
      <c r="D59" s="108">
        <f>VLOOKUP(ROW(D59)+4,'Water runs'!$BS$3:$CF$423,MATCH($B$1,Scenarios,0)+1)</f>
        <v>0</v>
      </c>
      <c r="E59" s="54">
        <f>IF(B59=Variables!$D$8,C59-Variables!$E$8,IF(B59=Variables!$D$9,C59-Variables!$E$9,IF(B59=Variables!$D$10,C59-Variables!$E$10,IF(B59=Variables!$D$11,C59-Variables!$E$11,"ELSE"))))</f>
        <v>-0.52037013605442173</v>
      </c>
      <c r="F59" s="108">
        <f>VLOOKUP(ROW(F59)+4,'Water runs'!$CH$3:$CU$423,MATCH($B$1,Scenarios,0)+1)</f>
        <v>0</v>
      </c>
      <c r="G59" s="65">
        <f>H59/Variables!$E$49</f>
        <v>0.161</v>
      </c>
      <c r="H59" s="62">
        <f>IF((H58+I59)&gt;(1.1*Variables!$E$50),(1.1*Variables!$E$50),IF((H58+I59)&gt;0,H58+I59,0))</f>
        <v>0.99820000000000009</v>
      </c>
      <c r="I59" s="64">
        <f t="shared" si="1"/>
        <v>0</v>
      </c>
      <c r="J59" s="63">
        <f>IF(SUM(E55:E58)&lt;Variables!$B$3,-H58,0)</f>
        <v>-0.99820000000000009</v>
      </c>
      <c r="K59" s="64">
        <f>IF(AND(H58&lt;Variables!$B$6*Variables!$E$50,OR(SUM(D56:D59)&gt;Variables!$B$5,SUM(E56:E59)&gt;Variables!$B$4)),Variables!$B$6*Variables!$E$50+Variables!$B$7*$G$1*Variables!$E$50*SUM(D56:D59),0)</f>
        <v>0</v>
      </c>
      <c r="L59" s="64">
        <f>IF(B59="Winter",Variables!$B$8*H58,0)</f>
        <v>0</v>
      </c>
      <c r="M59" s="64">
        <f>IF(AND(B59="Spring",AND(NOT(H58=0),H58&lt;(Variables!$B$9*Variables!$E$50))),(Variables!$B$10*Variables!$E$50+Variables!$B$11*Variables!$E$50*SUM(E56:E59)+$G$1*SUM(D58:D59)*Variables!$E$50*Variables!$B$12),0)</f>
        <v>0</v>
      </c>
      <c r="N59" s="64">
        <f>IF(AND(B59="Spring",AND(SUM(D56:D59)&gt;Variables!$B$13,SUM(D52:D55)&gt;Variables!$B$13)),-Variables!$B$14*Variables!$E$50,0)</f>
        <v>0</v>
      </c>
      <c r="O59" s="64">
        <f>IF(AND(B59="Summer",SUM(C55:D59)&gt;Variables!$B$15),(Variables!$B$16*Variables!$E$50*SUM(C55:C59)+$G$1*Variables!$B$16*Variables!$E$50*SUM(D55:D59)+$G$1*Variables!$E$50*Variables!$B$17*F59),0)</f>
        <v>0</v>
      </c>
      <c r="P59" s="64">
        <f>IF(AND(AND(B59="Autumn",SUM(D58:E59)&gt;0),NOT(H58=0)),Variables!$B$18*Variables!$E$50+Variables!$B$19*Variables!$E$50*SUM(E58:E59)+$G$1*Variables!$B$19*Variables!$E$50*SUM(D58:D59),0)</f>
        <v>0</v>
      </c>
      <c r="Q59" s="64">
        <f>IF(AND(B59="Autumn",AND((E59+E58)&lt;Variables!$B$20,(D58+D59)=0)),-Variables!$B$21*Variables!$E$50,0)</f>
        <v>0</v>
      </c>
      <c r="R59" s="64">
        <f>IF(B59="Autumn",(SUM(F58:F59)*$G$1*Variables!$B$22*Variables!$E$50),0)</f>
        <v>0</v>
      </c>
      <c r="S59" s="64">
        <f>IF(B59="Spring",($G$1*Variables!$E$50*SUM('Guts (option 1)'!F58:F59)*Variables!$B$23),0)</f>
        <v>0</v>
      </c>
      <c r="T59" s="63">
        <f>IF((H58+SUM(J59:Q59))&lt;(Variables!$B$26*Variables!$E$50),$F$1*((Variables!$B$26*Variables!$E$50)-H58-SUM(J59:Q59)),0)</f>
        <v>0.99820000000000009</v>
      </c>
      <c r="U59" s="64">
        <f>IF(AND(AND(B59="Autumn",SUM(D56:E59)&gt;Variables!$B$27),SUM(J59:Q59)&lt;Variables!$B$28*H58),$F$1*(Variables!$B$28*H58-SUM(J59:Q59)),0)</f>
        <v>0</v>
      </c>
      <c r="V59" s="96">
        <f>IF(AND((J59+K59)=0,(Q59+T59)=0),$H$1*H59*Variables!$I$23*0.25,0)</f>
        <v>0</v>
      </c>
      <c r="W59" s="97">
        <f>IF(AND((K59+J59)=0,(T59+Q59)=0),$I$1*H59*Variables!$Q$23*0.25,0)</f>
        <v>0</v>
      </c>
      <c r="X59" s="95">
        <f>IF(AND(NOT(K59=0),(H59-H58)&gt;0),(H59-H58)*(Variables!$M$5*$H$1+Variables!$U$5*$I$1),0)+IF(AND(NOT((J59+N59+Q59)=0),(H58-H59)&gt;0),(H58-H59)*(Variables!$M$4*$H$1+Variables!$U$4*$I$1),0)</f>
        <v>0</v>
      </c>
      <c r="Y59" s="95">
        <f>IF(SUM(T59,U58:U59)&gt;0,H59*Variables!$Y$11*0.25*(1-$J$1),0)</f>
        <v>0</v>
      </c>
      <c r="Z59" s="95">
        <f>IF(T59=0,H59*$J$1*Variables!$Y$5*0.25,0)</f>
        <v>0</v>
      </c>
      <c r="AA59" s="95">
        <f t="shared" si="0"/>
        <v>0</v>
      </c>
      <c r="AB59" s="91">
        <f>AA59/Variables!$E$49</f>
        <v>0</v>
      </c>
    </row>
    <row r="60" spans="1:29" x14ac:dyDescent="0.25">
      <c r="A60" s="61">
        <f>'Water runs'!C67</f>
        <v>7457</v>
      </c>
      <c r="B60" s="61" t="str">
        <f>'Water runs'!B67</f>
        <v>Autumn</v>
      </c>
      <c r="C60" s="54">
        <f>'Water runs'!D67/100</f>
        <v>0.25679999999999997</v>
      </c>
      <c r="D60" s="108">
        <f>VLOOKUP(ROW(D60)+4,'Water runs'!$BS$3:$CF$423,MATCH($B$1,Scenarios,0)+1)</f>
        <v>0</v>
      </c>
      <c r="E60" s="54">
        <f>IF(B60=Variables!$D$8,C60-Variables!$E$8,IF(B60=Variables!$D$9,C60-Variables!$E$9,IF(B60=Variables!$D$10,C60-Variables!$E$10,IF(B60=Variables!$D$11,C60-Variables!$E$11,"ELSE"))))</f>
        <v>-0.73784329931972792</v>
      </c>
      <c r="F60" s="108">
        <f>VLOOKUP(ROW(F60)+4,'Water runs'!$CH$3:$CU$423,MATCH($B$1,Scenarios,0)+1)</f>
        <v>0</v>
      </c>
      <c r="G60" s="65">
        <f>H60/Variables!$E$49</f>
        <v>0.161</v>
      </c>
      <c r="H60" s="62">
        <f>IF((H59+I60)&gt;(1.1*Variables!$E$50),(1.1*Variables!$E$50),IF((H59+I60)&gt;0,H59+I60,0))</f>
        <v>0.99820000000000009</v>
      </c>
      <c r="I60" s="64">
        <f t="shared" si="1"/>
        <v>0</v>
      </c>
      <c r="J60" s="63">
        <f>IF(SUM(E56:E59)&lt;Variables!$B$3,-H59,0)</f>
        <v>0</v>
      </c>
      <c r="K60" s="64">
        <f>IF(AND(H59&lt;Variables!$B$6*Variables!$E$50,OR(SUM(D57:D60)&gt;Variables!$B$5,SUM(E57:E60)&gt;Variables!$B$4)),Variables!$B$6*Variables!$E$50+Variables!$B$7*$G$1*Variables!$E$50*SUM(D57:D60),0)</f>
        <v>0</v>
      </c>
      <c r="L60" s="64">
        <f>IF(B60="Winter",Variables!$B$8*H59,0)</f>
        <v>0</v>
      </c>
      <c r="M60" s="64">
        <f>IF(AND(B60="Spring",AND(NOT(H59=0),H59&lt;(Variables!$B$9*Variables!$E$50))),(Variables!$B$10*Variables!$E$50+Variables!$B$11*Variables!$E$50*SUM(E57:E60)+$G$1*SUM(D59:D60)*Variables!$E$50*Variables!$B$12),0)</f>
        <v>0</v>
      </c>
      <c r="N60" s="64">
        <f>IF(AND(B60="Spring",AND(SUM(D57:D60)&gt;Variables!$B$13,SUM(D53:D56)&gt;Variables!$B$13)),-Variables!$B$14*Variables!$E$50,0)</f>
        <v>0</v>
      </c>
      <c r="O60" s="64">
        <f>IF(AND(B60="Summer",SUM(C56:D60)&gt;Variables!$B$15),(Variables!$B$16*Variables!$E$50*SUM(C56:C60)+$G$1*Variables!$B$16*Variables!$E$50*SUM(D56:D60)+$G$1*Variables!$E$50*Variables!$B$17*F60),0)</f>
        <v>0</v>
      </c>
      <c r="P60" s="64">
        <f>IF(AND(AND(B60="Autumn",SUM(D59:E60)&gt;0),NOT(H59=0)),Variables!$B$18*Variables!$E$50+Variables!$B$19*Variables!$E$50*SUM(E59:E60)+$G$1*Variables!$B$19*Variables!$E$50*SUM(D59:D60),0)</f>
        <v>0</v>
      </c>
      <c r="Q60" s="64">
        <f>IF(AND(B60="Autumn",AND((E60+E59)&lt;Variables!$B$20,(D59+D60)=0)),-Variables!$B$21*Variables!$E$50,0)</f>
        <v>0</v>
      </c>
      <c r="R60" s="64">
        <f>IF(B60="Autumn",(SUM(F59:F60)*$G$1*Variables!$B$22*Variables!$E$50),0)</f>
        <v>0</v>
      </c>
      <c r="S60" s="64">
        <f>IF(B60="Spring",($G$1*Variables!$E$50*SUM('Guts (option 1)'!F59:F60)*Variables!$B$23),0)</f>
        <v>0</v>
      </c>
      <c r="T60" s="63">
        <f>IF((H59+SUM(J60:Q60))&lt;(Variables!$B$26*Variables!$E$50),$F$1*((Variables!$B$26*Variables!$E$50)-H59-SUM(J60:Q60)),0)</f>
        <v>0</v>
      </c>
      <c r="U60" s="64">
        <f>IF(AND(AND(B60="Autumn",SUM(D57:E60)&gt;Variables!$B$27),SUM(J60:Q60)&lt;Variables!$B$28*H59),$F$1*(Variables!$B$28*H59-SUM(J60:Q60)),0)</f>
        <v>0</v>
      </c>
      <c r="V60" s="96">
        <f>IF(AND((J60+K60)=0,(Q60+T60)=0),$H$1*H60*Variables!$I$23*0.25,0)</f>
        <v>19.235463730000003</v>
      </c>
      <c r="W60" s="97">
        <f>IF(AND((K60+J60)=0,(T60+Q60)=0),$I$1*H60*Variables!$Q$23*0.25,0)</f>
        <v>20.13444265</v>
      </c>
      <c r="X60" s="95">
        <f>IF(AND(NOT(K60=0),(H60-H59)&gt;0),(H60-H59)*(Variables!$M$5*$H$1+Variables!$U$5*$I$1),0)+IF(AND(NOT((J60+N60+Q60)=0),(H59-H60)&gt;0),(H59-H60)*(Variables!$M$4*$H$1+Variables!$U$4*$I$1),0)</f>
        <v>0</v>
      </c>
      <c r="Y60" s="95">
        <f>IF(SUM(T60,U59:U60)&gt;0,H60*Variables!$Y$11*0.25*(1-$J$1),0)</f>
        <v>0</v>
      </c>
      <c r="Z60" s="95">
        <f>IF(T60=0,H60*$J$1*Variables!$Y$5*0.25,0)</f>
        <v>6.4883000000000006</v>
      </c>
      <c r="AA60" s="95">
        <f t="shared" si="0"/>
        <v>45.858206380000006</v>
      </c>
      <c r="AB60" s="91">
        <f>AA60/Variables!$E$49</f>
        <v>7.3964849000000008</v>
      </c>
    </row>
    <row r="61" spans="1:29" x14ac:dyDescent="0.25">
      <c r="A61" s="61">
        <f>'Water runs'!C68</f>
        <v>7549</v>
      </c>
      <c r="B61" s="61" t="str">
        <f>'Water runs'!B68</f>
        <v>Winter</v>
      </c>
      <c r="C61" s="54">
        <f>'Water runs'!D68/100</f>
        <v>2.37995</v>
      </c>
      <c r="D61" s="108">
        <f>VLOOKUP(ROW(D61)+4,'Water runs'!$BS$3:$CF$423,MATCH($B$1,Scenarios,0)+1)</f>
        <v>2.6298703869389307E-2</v>
      </c>
      <c r="E61" s="54">
        <f>IF(B61=Variables!$D$8,C61-Variables!$E$8,IF(B61=Variables!$D$9,C61-Variables!$E$9,IF(B61=Variables!$D$10,C61-Variables!$E$10,IF(B61=Variables!$D$11,C61-Variables!$E$11,"ELSE"))))</f>
        <v>1.8081823743386243</v>
      </c>
      <c r="F61" s="108">
        <f>VLOOKUP(ROW(F61)+4,'Water runs'!$CH$3:$CU$423,MATCH($B$1,Scenarios,0)+1)</f>
        <v>0</v>
      </c>
      <c r="G61" s="65">
        <f>H61/Variables!$E$49</f>
        <v>0.161</v>
      </c>
      <c r="H61" s="62">
        <f>IF((H60+I61)&gt;(1.1*Variables!$E$50),(1.1*Variables!$E$50),IF((H60+I61)&gt;0,H60+I61,0))</f>
        <v>0.99820000000000009</v>
      </c>
      <c r="I61" s="64">
        <f t="shared" si="1"/>
        <v>0</v>
      </c>
      <c r="J61" s="63">
        <f>IF(SUM(E57:E60)&lt;Variables!$B$3,-H60,0)</f>
        <v>-0.99820000000000009</v>
      </c>
      <c r="K61" s="64">
        <f>IF(AND(H60&lt;Variables!$B$6*Variables!$E$50,OR(SUM(D58:D61)&gt;Variables!$B$5,SUM(E58:E61)&gt;Variables!$B$4)),Variables!$B$6*Variables!$E$50+Variables!$B$7*$G$1*Variables!$E$50*SUM(D58:D61),0)</f>
        <v>1.1421815314495458</v>
      </c>
      <c r="L61" s="64">
        <f>IF(B61="Winter",Variables!$B$8*H60,0)</f>
        <v>-0.49704894489176149</v>
      </c>
      <c r="M61" s="64">
        <f>IF(AND(B61="Spring",AND(NOT(H60=0),H60&lt;(Variables!$B$9*Variables!$E$50))),(Variables!$B$10*Variables!$E$50+Variables!$B$11*Variables!$E$50*SUM(E58:E61)+$G$1*SUM(D60:D61)*Variables!$E$50*Variables!$B$12),0)</f>
        <v>0</v>
      </c>
      <c r="N61" s="64">
        <f>IF(AND(B61="Spring",AND(SUM(D58:D61)&gt;Variables!$B$13,SUM(D54:D57)&gt;Variables!$B$13)),-Variables!$B$14*Variables!$E$50,0)</f>
        <v>0</v>
      </c>
      <c r="O61" s="64">
        <f>IF(AND(B61="Summer",SUM(C57:D61)&gt;Variables!$B$15),(Variables!$B$16*Variables!$E$50*SUM(C57:C61)+$G$1*Variables!$B$16*Variables!$E$50*SUM(D57:D61)+$G$1*Variables!$E$50*Variables!$B$17*F61),0)</f>
        <v>0</v>
      </c>
      <c r="P61" s="64">
        <f>IF(AND(AND(B61="Autumn",SUM(D60:E61)&gt;0),NOT(H60=0)),Variables!$B$18*Variables!$E$50+Variables!$B$19*Variables!$E$50*SUM(E60:E61)+$G$1*Variables!$B$19*Variables!$E$50*SUM(D60:D61),0)</f>
        <v>0</v>
      </c>
      <c r="Q61" s="64">
        <f>IF(AND(B61="Autumn",AND((E61+E60)&lt;Variables!$B$20,(D60+D61)=0)),-Variables!$B$21*Variables!$E$50,0)</f>
        <v>0</v>
      </c>
      <c r="R61" s="64">
        <f>IF(B61="Autumn",(SUM(F60:F61)*$G$1*Variables!$B$22*Variables!$E$50),0)</f>
        <v>0</v>
      </c>
      <c r="S61" s="64">
        <f>IF(B61="Spring",($G$1*Variables!$E$50*SUM('Guts (option 1)'!F60:F61)*Variables!$B$23),0)</f>
        <v>0</v>
      </c>
      <c r="T61" s="63">
        <f>IF((H60+SUM(J61:Q61))&lt;(Variables!$B$26*Variables!$E$50),$F$1*((Variables!$B$26*Variables!$E$50)-H60-SUM(J61:Q61)),0)</f>
        <v>0.35306741344221576</v>
      </c>
      <c r="U61" s="64">
        <f>IF(AND(AND(B61="Autumn",SUM(D58:E61)&gt;Variables!$B$27),SUM(J61:Q61)&lt;Variables!$B$28*H60),$F$1*(Variables!$B$28*H60-SUM(J61:Q61)),0)</f>
        <v>0</v>
      </c>
      <c r="V61" s="96">
        <f>IF(AND((J61+K61)=0,(Q61+T61)=0),$H$1*H61*Variables!$I$23*0.25,0)</f>
        <v>0</v>
      </c>
      <c r="W61" s="97">
        <f>IF(AND((K61+J61)=0,(T61+Q61)=0),$I$1*H61*Variables!$Q$23*0.25,0)</f>
        <v>0</v>
      </c>
      <c r="X61" s="95">
        <f>IF(AND(NOT(K61=0),(H61-H60)&gt;0),(H61-H60)*(Variables!$M$5*$H$1+Variables!$U$5*$I$1),0)+IF(AND(NOT((J61+N61+Q61)=0),(H60-H61)&gt;0),(H60-H61)*(Variables!$M$4*$H$1+Variables!$U$4*$I$1),0)</f>
        <v>0</v>
      </c>
      <c r="Y61" s="95">
        <f>IF(SUM(T61,U60:U61)&gt;0,H61*Variables!$Y$11*0.25*(1-$J$1),0)</f>
        <v>0</v>
      </c>
      <c r="Z61" s="95">
        <f>IF(T61=0,H61*$J$1*Variables!$Y$5*0.25,0)</f>
        <v>0</v>
      </c>
      <c r="AA61" s="95">
        <f t="shared" si="0"/>
        <v>0</v>
      </c>
      <c r="AB61" s="91">
        <f>AA61/Variables!$E$49</f>
        <v>0</v>
      </c>
    </row>
    <row r="62" spans="1:29" x14ac:dyDescent="0.25">
      <c r="A62" s="61">
        <f>'Water runs'!C69</f>
        <v>7640</v>
      </c>
      <c r="B62" s="61" t="str">
        <f>'Water runs'!B69</f>
        <v>Spring</v>
      </c>
      <c r="C62" s="54">
        <f>'Water runs'!D69/100</f>
        <v>0.70299999999999996</v>
      </c>
      <c r="D62" s="108">
        <f>VLOOKUP(ROW(D62)+4,'Water runs'!$BS$3:$CF$423,MATCH($B$1,Scenarios,0)+1)</f>
        <v>0</v>
      </c>
      <c r="E62" s="54">
        <f>IF(B62=Variables!$D$8,C62-Variables!$E$8,IF(B62=Variables!$D$9,C62-Variables!$E$9,IF(B62=Variables!$D$10,C62-Variables!$E$10,IF(B62=Variables!$D$11,C62-Variables!$E$11,"ELSE"))))</f>
        <v>-6.0982208994709186E-2</v>
      </c>
      <c r="F62" s="108">
        <f>VLOOKUP(ROW(F62)+4,'Water runs'!$CH$3:$CU$423,MATCH($B$1,Scenarios,0)+1)</f>
        <v>0</v>
      </c>
      <c r="G62" s="65">
        <f>H62/Variables!$E$49</f>
        <v>0.4005008067039284</v>
      </c>
      <c r="H62" s="62">
        <f>IF((H61+I62)&gt;(1.1*Variables!$E$50),(1.1*Variables!$E$50),IF((H61+I62)&gt;0,H61+I62,0))</f>
        <v>2.4831050015643563</v>
      </c>
      <c r="I62" s="64">
        <f t="shared" si="1"/>
        <v>1.4849050015643563</v>
      </c>
      <c r="J62" s="63">
        <f>IF(SUM(E58:E61)&lt;Variables!$B$3,-H61,0)</f>
        <v>0</v>
      </c>
      <c r="K62" s="64">
        <f>IF(AND(H61&lt;Variables!$B$6*Variables!$E$50,OR(SUM(D59:D62)&gt;Variables!$B$5,SUM(E59:E62)&gt;Variables!$B$4)),Variables!$B$6*Variables!$E$50+Variables!$B$7*$G$1*Variables!$E$50*SUM(D59:D62),0)</f>
        <v>1.1421815314495458</v>
      </c>
      <c r="L62" s="64">
        <f>IF(B62="Winter",Variables!$B$8*H61,0)</f>
        <v>0</v>
      </c>
      <c r="M62" s="64">
        <f>IF(AND(B62="Spring",AND(NOT(H61=0),H61&lt;(Variables!$B$9*Variables!$E$50))),(Variables!$B$10*Variables!$E$50+Variables!$B$11*Variables!$E$50*SUM(E59:E62)+$G$1*SUM(D61:D62)*Variables!$E$50*Variables!$B$12),0)</f>
        <v>0.34272347011481047</v>
      </c>
      <c r="N62" s="64">
        <f>IF(AND(B62="Spring",AND(SUM(D59:D62)&gt;Variables!$B$13,SUM(D55:D58)&gt;Variables!$B$13)),-Variables!$B$14*Variables!$E$50,0)</f>
        <v>0</v>
      </c>
      <c r="O62" s="64">
        <f>IF(AND(B62="Summer",SUM(C58:D62)&gt;Variables!$B$15),(Variables!$B$16*Variables!$E$50*SUM(C58:C62)+$G$1*Variables!$B$16*Variables!$E$50*SUM(D58:D62)+$G$1*Variables!$E$50*Variables!$B$17*F62),0)</f>
        <v>0</v>
      </c>
      <c r="P62" s="64">
        <f>IF(AND(AND(B62="Autumn",SUM(D61:E62)&gt;0),NOT(H61=0)),Variables!$B$18*Variables!$E$50+Variables!$B$19*Variables!$E$50*SUM(E61:E62)+$G$1*Variables!$B$19*Variables!$E$50*SUM(D61:D62),0)</f>
        <v>0</v>
      </c>
      <c r="Q62" s="64">
        <f>IF(AND(B62="Autumn",AND((E62+E61)&lt;Variables!$B$20,(D61+D62)=0)),-Variables!$B$21*Variables!$E$50,0)</f>
        <v>0</v>
      </c>
      <c r="R62" s="64">
        <f>IF(B62="Autumn",(SUM(F61:F62)*$G$1*Variables!$B$22*Variables!$E$50),0)</f>
        <v>0</v>
      </c>
      <c r="S62" s="64">
        <f>IF(B62="Spring",($G$1*Variables!$E$50*SUM('Guts (option 1)'!F61:F62)*Variables!$B$23),0)</f>
        <v>0</v>
      </c>
      <c r="T62" s="63">
        <f>IF((H61+SUM(J62:Q62))&lt;(Variables!$B$26*Variables!$E$50),$F$1*((Variables!$B$26*Variables!$E$50)-H61-SUM(J62:Q62)),0)</f>
        <v>0</v>
      </c>
      <c r="U62" s="64">
        <f>IF(AND(AND(B62="Autumn",SUM(D59:E62)&gt;Variables!$B$27),SUM(J62:Q62)&lt;Variables!$B$28*H61),$F$1*(Variables!$B$28*H61-SUM(J62:Q62)),0)</f>
        <v>0</v>
      </c>
      <c r="V62" s="96">
        <f>IF(AND((J62+K62)=0,(Q62+T62)=0),$H$1*H62*Variables!$I$23*0.25,0)</f>
        <v>0</v>
      </c>
      <c r="W62" s="97">
        <f>IF(AND((K62+J62)=0,(T62+Q62)=0),$I$1*H62*Variables!$Q$23*0.25,0)</f>
        <v>0</v>
      </c>
      <c r="X62" s="95">
        <f>IF(AND(NOT(K62=0),(H62-H61)&gt;0),(H62-H61)*(Variables!$M$5*$H$1+Variables!$U$5*$I$1),0)+IF(AND(NOT((J62+N62+Q62)=0),(H61-H62)&gt;0),(H61-H62)*(Variables!$M$4*$H$1+Variables!$U$4*$I$1),0)</f>
        <v>-371.22625039108902</v>
      </c>
      <c r="Y62" s="95">
        <f>IF(SUM(T62,U61:U62)&gt;0,H62*Variables!$Y$11*0.25*(1-$J$1),0)</f>
        <v>0</v>
      </c>
      <c r="Z62" s="95">
        <f>IF(T62=0,H62*$J$1*Variables!$Y$5*0.25,0)</f>
        <v>16.140182510168316</v>
      </c>
      <c r="AA62" s="95">
        <f t="shared" si="0"/>
        <v>-355.08606788092072</v>
      </c>
      <c r="AB62" s="91">
        <f>AA62/Variables!$E$49</f>
        <v>-57.271946432406565</v>
      </c>
    </row>
    <row r="63" spans="1:29" x14ac:dyDescent="0.25">
      <c r="A63" s="61">
        <f>'Water runs'!C70</f>
        <v>7730</v>
      </c>
      <c r="B63" s="61" t="str">
        <f>'Water runs'!B70</f>
        <v>Summer</v>
      </c>
      <c r="C63" s="54">
        <f>'Water runs'!D70/100</f>
        <v>1.3653999999999999</v>
      </c>
      <c r="D63" s="108">
        <f>VLOOKUP(ROW(D63)+4,'Water runs'!$BS$3:$CF$423,MATCH($B$1,Scenarios,0)+1)</f>
        <v>0</v>
      </c>
      <c r="E63" s="54">
        <f>IF(B63=Variables!$D$8,C63-Variables!$E$8,IF(B63=Variables!$D$9,C63-Variables!$E$9,IF(B63=Variables!$D$10,C63-Variables!$E$10,IF(B63=Variables!$D$11,C63-Variables!$E$11,"ELSE"))))</f>
        <v>0.10702986394557823</v>
      </c>
      <c r="F63" s="108">
        <f>VLOOKUP(ROW(F63)+4,'Water runs'!$CH$3:$CU$423,MATCH($B$1,Scenarios,0)+1)</f>
        <v>0</v>
      </c>
      <c r="G63" s="65">
        <f>H63/Variables!$E$49</f>
        <v>0.4005008067039284</v>
      </c>
      <c r="H63" s="62">
        <f>IF((H62+I63)&gt;(1.1*Variables!$E$50),(1.1*Variables!$E$50),IF((H62+I63)&gt;0,H62+I63,0))</f>
        <v>2.4831050015643563</v>
      </c>
      <c r="I63" s="64">
        <f t="shared" si="1"/>
        <v>0</v>
      </c>
      <c r="J63" s="63">
        <f>IF(SUM(E59:E62)&lt;Variables!$B$3,-H62,0)</f>
        <v>0</v>
      </c>
      <c r="K63" s="64">
        <f>IF(AND(H62&lt;Variables!$B$6*Variables!$E$50,OR(SUM(D60:D63)&gt;Variables!$B$5,SUM(E60:E63)&gt;Variables!$B$4)),Variables!$B$6*Variables!$E$50+Variables!$B$7*$G$1*Variables!$E$50*SUM(D60:D63),0)</f>
        <v>0</v>
      </c>
      <c r="L63" s="64">
        <f>IF(B63="Winter",Variables!$B$8*H62,0)</f>
        <v>0</v>
      </c>
      <c r="M63" s="64">
        <f>IF(AND(B63="Spring",AND(NOT(H62=0),H62&lt;(Variables!$B$9*Variables!$E$50))),(Variables!$B$10*Variables!$E$50+Variables!$B$11*Variables!$E$50*SUM(E60:E63)+$G$1*SUM(D62:D63)*Variables!$E$50*Variables!$B$12),0)</f>
        <v>0</v>
      </c>
      <c r="N63" s="64">
        <f>IF(AND(B63="Spring",AND(SUM(D60:D63)&gt;Variables!$B$13,SUM(D56:D59)&gt;Variables!$B$13)),-Variables!$B$14*Variables!$E$50,0)</f>
        <v>0</v>
      </c>
      <c r="O63" s="64">
        <f>IF(AND(B63="Summer",SUM(C59:D63)&gt;Variables!$B$15),(Variables!$B$16*Variables!$E$50*SUM(C59:C63)+$G$1*Variables!$B$16*Variables!$E$50*SUM(D59:D63)+$G$1*Variables!$E$50*Variables!$B$17*F63),0)</f>
        <v>0</v>
      </c>
      <c r="P63" s="64">
        <f>IF(AND(AND(B63="Autumn",SUM(D62:E63)&gt;0),NOT(H62=0)),Variables!$B$18*Variables!$E$50+Variables!$B$19*Variables!$E$50*SUM(E62:E63)+$G$1*Variables!$B$19*Variables!$E$50*SUM(D62:D63),0)</f>
        <v>0</v>
      </c>
      <c r="Q63" s="64">
        <f>IF(AND(B63="Autumn",AND((E63+E62)&lt;Variables!$B$20,(D62+D63)=0)),-Variables!$B$21*Variables!$E$50,0)</f>
        <v>0</v>
      </c>
      <c r="R63" s="64">
        <f>IF(B63="Autumn",(SUM(F62:F63)*$G$1*Variables!$B$22*Variables!$E$50),0)</f>
        <v>0</v>
      </c>
      <c r="S63" s="64">
        <f>IF(B63="Spring",($G$1*Variables!$E$50*SUM('Guts (option 1)'!F62:F63)*Variables!$B$23),0)</f>
        <v>0</v>
      </c>
      <c r="T63" s="63">
        <f>IF((H62+SUM(J63:Q63))&lt;(Variables!$B$26*Variables!$E$50),$F$1*((Variables!$B$26*Variables!$E$50)-H62-SUM(J63:Q63)),0)</f>
        <v>0</v>
      </c>
      <c r="U63" s="64">
        <f>IF(AND(AND(B63="Autumn",SUM(D60:E63)&gt;Variables!$B$27),SUM(J63:Q63)&lt;Variables!$B$28*H62),$F$1*(Variables!$B$28*H62-SUM(J63:Q63)),0)</f>
        <v>0</v>
      </c>
      <c r="V63" s="96">
        <f>IF(AND((J63+K63)=0,(Q63+T63)=0),$H$1*H63*Variables!$I$23*0.25,0)</f>
        <v>47.849805845895382</v>
      </c>
      <c r="W63" s="97">
        <f>IF(AND((K63+J63)=0,(T63+Q63)=0),$I$1*H63*Variables!$Q$23*0.25,0)</f>
        <v>50.086090210304235</v>
      </c>
      <c r="X63" s="95">
        <f>IF(AND(NOT(K63=0),(H63-H62)&gt;0),(H63-H62)*(Variables!$M$5*$H$1+Variables!$U$5*$I$1),0)+IF(AND(NOT((J63+N63+Q63)=0),(H62-H63)&gt;0),(H62-H63)*(Variables!$M$4*$H$1+Variables!$U$4*$I$1),0)</f>
        <v>0</v>
      </c>
      <c r="Y63" s="95">
        <f>IF(SUM(T63,U62:U63)&gt;0,H63*Variables!$Y$11*0.25*(1-$J$1),0)</f>
        <v>0</v>
      </c>
      <c r="Z63" s="95">
        <f>IF(T63=0,H63*$J$1*Variables!$Y$5*0.25,0)</f>
        <v>16.140182510168316</v>
      </c>
      <c r="AA63" s="95">
        <f t="shared" si="0"/>
        <v>114.07607856636794</v>
      </c>
      <c r="AB63" s="91">
        <f>AA63/Variables!$E$49</f>
        <v>18.399367510704504</v>
      </c>
    </row>
    <row r="64" spans="1:29" x14ac:dyDescent="0.25">
      <c r="A64" s="61">
        <f>'Water runs'!C71</f>
        <v>7822</v>
      </c>
      <c r="B64" s="61" t="str">
        <f>'Water runs'!B71</f>
        <v>Autumn</v>
      </c>
      <c r="C64" s="54">
        <f>'Water runs'!D71/100</f>
        <v>1.7924</v>
      </c>
      <c r="D64" s="108">
        <f>VLOOKUP(ROW(D64)+4,'Water runs'!$BS$3:$CF$423,MATCH($B$1,Scenarios,0)+1)</f>
        <v>0</v>
      </c>
      <c r="E64" s="54">
        <f>IF(B64=Variables!$D$8,C64-Variables!$E$8,IF(B64=Variables!$D$9,C64-Variables!$E$9,IF(B64=Variables!$D$10,C64-Variables!$E$10,IF(B64=Variables!$D$11,C64-Variables!$E$11,"ELSE"))))</f>
        <v>0.79775670068027216</v>
      </c>
      <c r="F64" s="108">
        <f>VLOOKUP(ROW(F64)+4,'Water runs'!$CH$3:$CU$423,MATCH($B$1,Scenarios,0)+1)</f>
        <v>0</v>
      </c>
      <c r="G64" s="65">
        <f>H64/Variables!$E$49</f>
        <v>0.77871751948522261</v>
      </c>
      <c r="H64" s="62">
        <f>IF((H63+I64)&gt;(1.1*Variables!$E$50),(1.1*Variables!$E$50),IF((H63+I64)&gt;0,H63+I64,0))</f>
        <v>4.8280486208083806</v>
      </c>
      <c r="I64" s="64">
        <f t="shared" si="1"/>
        <v>2.3449436192440243</v>
      </c>
      <c r="J64" s="63">
        <f>IF(SUM(E60:E63)&lt;Variables!$B$3,-H63,0)</f>
        <v>0</v>
      </c>
      <c r="K64" s="64">
        <f>IF(AND(H63&lt;Variables!$B$6*Variables!$E$50,OR(SUM(D61:D64)&gt;Variables!$B$5,SUM(E61:E64)&gt;Variables!$B$4)),Variables!$B$6*Variables!$E$50+Variables!$B$7*$G$1*Variables!$E$50*SUM(D61:D64),0)</f>
        <v>0</v>
      </c>
      <c r="L64" s="64">
        <f>IF(B64="Winter",Variables!$B$8*H63,0)</f>
        <v>0</v>
      </c>
      <c r="M64" s="64">
        <f>IF(AND(B64="Spring",AND(NOT(H63=0),H63&lt;(Variables!$B$9*Variables!$E$50))),(Variables!$B$10*Variables!$E$50+Variables!$B$11*Variables!$E$50*SUM(E61:E64)+$G$1*SUM(D63:D64)*Variables!$E$50*Variables!$B$12),0)</f>
        <v>0</v>
      </c>
      <c r="N64" s="64">
        <f>IF(AND(B64="Spring",AND(SUM(D61:D64)&gt;Variables!$B$13,SUM(D57:D60)&gt;Variables!$B$13)),-Variables!$B$14*Variables!$E$50,0)</f>
        <v>0</v>
      </c>
      <c r="O64" s="64">
        <f>IF(AND(B64="Summer",SUM(C60:D64)&gt;Variables!$B$15),(Variables!$B$16*Variables!$E$50*SUM(C60:C64)+$G$1*Variables!$B$16*Variables!$E$50*SUM(D60:D64)+$G$1*Variables!$E$50*Variables!$B$17*F64),0)</f>
        <v>0</v>
      </c>
      <c r="P64" s="64">
        <f>IF(AND(AND(B64="Autumn",SUM(D63:E64)&gt;0),NOT(H63=0)),Variables!$B$18*Variables!$E$50+Variables!$B$19*Variables!$E$50*SUM(E63:E64)+$G$1*Variables!$B$19*Variables!$E$50*SUM(D63:D64),0)</f>
        <v>2.3449436192440243</v>
      </c>
      <c r="Q64" s="64">
        <f>IF(AND(B64="Autumn",AND((E64+E63)&lt;Variables!$B$20,(D63+D64)=0)),-Variables!$B$21*Variables!$E$50,0)</f>
        <v>0</v>
      </c>
      <c r="R64" s="64">
        <f>IF(B64="Autumn",(SUM(F63:F64)*$G$1*Variables!$B$22*Variables!$E$50),0)</f>
        <v>0</v>
      </c>
      <c r="S64" s="64">
        <f>IF(B64="Spring",($G$1*Variables!$E$50*SUM('Guts (option 1)'!F63:F64)*Variables!$B$23),0)</f>
        <v>0</v>
      </c>
      <c r="T64" s="63">
        <f>IF((H63+SUM(J64:Q64))&lt;(Variables!$B$26*Variables!$E$50),$F$1*((Variables!$B$26*Variables!$E$50)-H63-SUM(J64:Q64)),0)</f>
        <v>0</v>
      </c>
      <c r="U64" s="64">
        <f>IF(AND(AND(B64="Autumn",SUM(D61:E64)&gt;Variables!$B$27),SUM(J64:Q64)&lt;Variables!$B$28*H63),$F$1*(Variables!$B$28*H63-SUM(J64:Q64)),0)</f>
        <v>0</v>
      </c>
      <c r="V64" s="96">
        <f>IF(AND((J64+K64)=0,(Q64+T64)=0),$H$1*H64*Variables!$I$23*0.25,0)</f>
        <v>93.037221130270623</v>
      </c>
      <c r="W64" s="97">
        <f>IF(AND((K64+J64)=0,(T64+Q64)=0),$I$1*H64*Variables!$Q$23*0.25,0)</f>
        <v>97.385361718170628</v>
      </c>
      <c r="X64" s="95">
        <f>IF(AND(NOT(K64=0),(H64-H63)&gt;0),(H64-H63)*(Variables!$M$5*$H$1+Variables!$U$5*$I$1),0)+IF(AND(NOT((J64+N64+Q64)=0),(H63-H64)&gt;0),(H63-H64)*(Variables!$M$4*$H$1+Variables!$U$4*$I$1),0)</f>
        <v>0</v>
      </c>
      <c r="Y64" s="95">
        <f>IF(SUM(T64,U63:U64)&gt;0,H64*Variables!$Y$11*0.25*(1-$J$1),0)</f>
        <v>0</v>
      </c>
      <c r="Z64" s="95">
        <f>IF(T64=0,H64*$J$1*Variables!$Y$5*0.25,0)</f>
        <v>31.382316035254473</v>
      </c>
      <c r="AA64" s="95">
        <f t="shared" si="0"/>
        <v>221.80489888369573</v>
      </c>
      <c r="AB64" s="91">
        <f>AA64/Variables!$E$49</f>
        <v>35.774983690918667</v>
      </c>
    </row>
    <row r="65" spans="1:28" x14ac:dyDescent="0.25">
      <c r="A65" s="61">
        <f>'Water runs'!C72</f>
        <v>7914</v>
      </c>
      <c r="B65" s="61" t="str">
        <f>'Water runs'!B72</f>
        <v>Winter</v>
      </c>
      <c r="C65" s="54">
        <f>'Water runs'!D72/100</f>
        <v>1.9356</v>
      </c>
      <c r="D65" s="108">
        <f>VLOOKUP(ROW(D65)+4,'Water runs'!$BS$3:$CF$423,MATCH($B$1,Scenarios,0)+1)</f>
        <v>0.18084355378902447</v>
      </c>
      <c r="E65" s="54">
        <f>IF(B65=Variables!$D$8,C65-Variables!$E$8,IF(B65=Variables!$D$9,C65-Variables!$E$9,IF(B65=Variables!$D$10,C65-Variables!$E$10,IF(B65=Variables!$D$11,C65-Variables!$E$11,"ELSE"))))</f>
        <v>1.3638323743386243</v>
      </c>
      <c r="F65" s="108">
        <f>VLOOKUP(ROW(F65)+4,'Water runs'!$CH$3:$CU$423,MATCH($B$1,Scenarios,0)+1)</f>
        <v>0</v>
      </c>
      <c r="G65" s="65">
        <f>H65/Variables!$E$49</f>
        <v>0.39095883241964496</v>
      </c>
      <c r="H65" s="62">
        <f>IF((H64+I65)&gt;(1.1*Variables!$E$50),(1.1*Variables!$E$50),IF((H64+I65)&gt;0,H64+I65,0))</f>
        <v>2.423944761001799</v>
      </c>
      <c r="I65" s="64">
        <f t="shared" si="1"/>
        <v>-2.4041038598065816</v>
      </c>
      <c r="J65" s="63">
        <f>IF(SUM(E61:E64)&lt;Variables!$B$3,-H64,0)</f>
        <v>0</v>
      </c>
      <c r="K65" s="64">
        <f>IF(AND(H64&lt;Variables!$B$6*Variables!$E$50,OR(SUM(D62:D65)&gt;Variables!$B$5,SUM(E62:E65)&gt;Variables!$B$4)),Variables!$B$6*Variables!$E$50+Variables!$B$7*$G$1*Variables!$E$50*SUM(D62:D65),0)</f>
        <v>0</v>
      </c>
      <c r="L65" s="64">
        <f>IF(B65="Winter",Variables!$B$8*H64,0)</f>
        <v>-2.4041038598065816</v>
      </c>
      <c r="M65" s="64">
        <f>IF(AND(B65="Spring",AND(NOT(H64=0),H64&lt;(Variables!$B$9*Variables!$E$50))),(Variables!$B$10*Variables!$E$50+Variables!$B$11*Variables!$E$50*SUM(E62:E65)+$G$1*SUM(D64:D65)*Variables!$E$50*Variables!$B$12),0)</f>
        <v>0</v>
      </c>
      <c r="N65" s="64">
        <f>IF(AND(B65="Spring",AND(SUM(D62:D65)&gt;Variables!$B$13,SUM(D58:D61)&gt;Variables!$B$13)),-Variables!$B$14*Variables!$E$50,0)</f>
        <v>0</v>
      </c>
      <c r="O65" s="64">
        <f>IF(AND(B65="Summer",SUM(C61:D65)&gt;Variables!$B$15),(Variables!$B$16*Variables!$E$50*SUM(C61:C65)+$G$1*Variables!$B$16*Variables!$E$50*SUM(D61:D65)+$G$1*Variables!$E$50*Variables!$B$17*F65),0)</f>
        <v>0</v>
      </c>
      <c r="P65" s="64">
        <f>IF(AND(AND(B65="Autumn",SUM(D64:E65)&gt;0),NOT(H64=0)),Variables!$B$18*Variables!$E$50+Variables!$B$19*Variables!$E$50*SUM(E64:E65)+$G$1*Variables!$B$19*Variables!$E$50*SUM(D64:D65),0)</f>
        <v>0</v>
      </c>
      <c r="Q65" s="64">
        <f>IF(AND(B65="Autumn",AND((E65+E64)&lt;Variables!$B$20,(D64+D65)=0)),-Variables!$B$21*Variables!$E$50,0)</f>
        <v>0</v>
      </c>
      <c r="R65" s="64">
        <f>IF(B65="Autumn",(SUM(F64:F65)*$G$1*Variables!$B$22*Variables!$E$50),0)</f>
        <v>0</v>
      </c>
      <c r="S65" s="64">
        <f>IF(B65="Spring",($G$1*Variables!$E$50*SUM('Guts (option 1)'!F64:F65)*Variables!$B$23),0)</f>
        <v>0</v>
      </c>
      <c r="T65" s="63">
        <f>IF((H64+SUM(J65:Q65))&lt;(Variables!$B$26*Variables!$E$50),$F$1*((Variables!$B$26*Variables!$E$50)-H64-SUM(J65:Q65)),0)</f>
        <v>0</v>
      </c>
      <c r="U65" s="64">
        <f>IF(AND(AND(B65="Autumn",SUM(D62:E65)&gt;Variables!$B$27),SUM(J65:Q65)&lt;Variables!$B$28*H64),$F$1*(Variables!$B$28*H64-SUM(J65:Q65)),0)</f>
        <v>0</v>
      </c>
      <c r="V65" s="96">
        <f>IF(AND((J65+K65)=0,(Q65+T65)=0),$H$1*H65*Variables!$I$23*0.25,0)</f>
        <v>46.70977913621882</v>
      </c>
      <c r="W65" s="97">
        <f>IF(AND((K65+J65)=0,(T65+Q65)=0),$I$1*H65*Variables!$Q$23*0.25,0)</f>
        <v>48.892783787977031</v>
      </c>
      <c r="X65" s="95">
        <f>IF(AND(NOT(K65=0),(H65-H64)&gt;0),(H65-H64)*(Variables!$M$5*$H$1+Variables!$U$5*$I$1),0)+IF(AND(NOT((J65+N65+Q65)=0),(H64-H65)&gt;0),(H64-H65)*(Variables!$M$4*$H$1+Variables!$U$4*$I$1),0)</f>
        <v>0</v>
      </c>
      <c r="Y65" s="95">
        <f>IF(SUM(T65,U64:U65)&gt;0,H65*Variables!$Y$11*0.25*(1-$J$1),0)</f>
        <v>0</v>
      </c>
      <c r="Z65" s="95">
        <f>IF(T65=0,H65*$J$1*Variables!$Y$5*0.25,0)</f>
        <v>15.755640946511694</v>
      </c>
      <c r="AA65" s="95">
        <f t="shared" si="0"/>
        <v>111.35820387070754</v>
      </c>
      <c r="AB65" s="91">
        <f>AA65/Variables!$E$49</f>
        <v>17.961000624307669</v>
      </c>
    </row>
    <row r="66" spans="1:28" x14ac:dyDescent="0.25">
      <c r="A66" s="61">
        <f>'Water runs'!C73</f>
        <v>8005</v>
      </c>
      <c r="B66" s="61" t="str">
        <f>'Water runs'!B73</f>
        <v>Spring</v>
      </c>
      <c r="C66" s="54">
        <f>'Water runs'!D73/100</f>
        <v>1.0287999999999999</v>
      </c>
      <c r="D66" s="108">
        <f>VLOOKUP(ROW(D66)+4,'Water runs'!$BS$3:$CF$423,MATCH($B$1,Scenarios,0)+1)</f>
        <v>0</v>
      </c>
      <c r="E66" s="54">
        <f>IF(B66=Variables!$D$8,C66-Variables!$E$8,IF(B66=Variables!$D$9,C66-Variables!$E$9,IF(B66=Variables!$D$10,C66-Variables!$E$10,IF(B66=Variables!$D$11,C66-Variables!$E$11,"ELSE"))))</f>
        <v>0.26481779100529079</v>
      </c>
      <c r="F66" s="108">
        <f>VLOOKUP(ROW(F66)+4,'Water runs'!$CH$3:$CU$423,MATCH($B$1,Scenarios,0)+1)</f>
        <v>0</v>
      </c>
      <c r="G66" s="65">
        <f>H66/Variables!$E$49</f>
        <v>0.39095883241964496</v>
      </c>
      <c r="H66" s="62">
        <f>IF((H65+I66)&gt;(1.1*Variables!$E$50),(1.1*Variables!$E$50),IF((H65+I66)&gt;0,H65+I66,0))</f>
        <v>2.423944761001799</v>
      </c>
      <c r="I66" s="64">
        <f t="shared" si="1"/>
        <v>0</v>
      </c>
      <c r="J66" s="63">
        <f>IF(SUM(E62:E65)&lt;Variables!$B$3,-H65,0)</f>
        <v>0</v>
      </c>
      <c r="K66" s="64">
        <f>IF(AND(H65&lt;Variables!$B$6*Variables!$E$50,OR(SUM(D63:D66)&gt;Variables!$B$5,SUM(E63:E66)&gt;Variables!$B$4)),Variables!$B$6*Variables!$E$50+Variables!$B$7*$G$1*Variables!$E$50*SUM(D63:D66),0)</f>
        <v>0</v>
      </c>
      <c r="L66" s="64">
        <f>IF(B66="Winter",Variables!$B$8*H65,0)</f>
        <v>0</v>
      </c>
      <c r="M66" s="64">
        <f>IF(AND(B66="Spring",AND(NOT(H65=0),H65&lt;(Variables!$B$9*Variables!$E$50))),(Variables!$B$10*Variables!$E$50+Variables!$B$11*Variables!$E$50*SUM(E63:E66)+$G$1*SUM(D65:D66)*Variables!$E$50*Variables!$B$12),0)</f>
        <v>0</v>
      </c>
      <c r="N66" s="64">
        <f>IF(AND(B66="Spring",AND(SUM(D63:D66)&gt;Variables!$B$13,SUM(D59:D62)&gt;Variables!$B$13)),-Variables!$B$14*Variables!$E$50,0)</f>
        <v>0</v>
      </c>
      <c r="O66" s="64">
        <f>IF(AND(B66="Summer",SUM(C62:D66)&gt;Variables!$B$15),(Variables!$B$16*Variables!$E$50*SUM(C62:C66)+$G$1*Variables!$B$16*Variables!$E$50*SUM(D62:D66)+$G$1*Variables!$E$50*Variables!$B$17*F66),0)</f>
        <v>0</v>
      </c>
      <c r="P66" s="64">
        <f>IF(AND(AND(B66="Autumn",SUM(D65:E66)&gt;0),NOT(H65=0)),Variables!$B$18*Variables!$E$50+Variables!$B$19*Variables!$E$50*SUM(E65:E66)+$G$1*Variables!$B$19*Variables!$E$50*SUM(D65:D66),0)</f>
        <v>0</v>
      </c>
      <c r="Q66" s="64">
        <f>IF(AND(B66="Autumn",AND((E66+E65)&lt;Variables!$B$20,(D65+D66)=0)),-Variables!$B$21*Variables!$E$50,0)</f>
        <v>0</v>
      </c>
      <c r="R66" s="64">
        <f>IF(B66="Autumn",(SUM(F65:F66)*$G$1*Variables!$B$22*Variables!$E$50),0)</f>
        <v>0</v>
      </c>
      <c r="S66" s="64">
        <f>IF(B66="Spring",($G$1*Variables!$E$50*SUM('Guts (option 1)'!F65:F66)*Variables!$B$23),0)</f>
        <v>0</v>
      </c>
      <c r="T66" s="63">
        <f>IF((H65+SUM(J66:Q66))&lt;(Variables!$B$26*Variables!$E$50),$F$1*((Variables!$B$26*Variables!$E$50)-H65-SUM(J66:Q66)),0)</f>
        <v>0</v>
      </c>
      <c r="U66" s="64">
        <f>IF(AND(AND(B66="Autumn",SUM(D63:E66)&gt;Variables!$B$27),SUM(J66:Q66)&lt;Variables!$B$28*H65),$F$1*(Variables!$B$28*H65-SUM(J66:Q66)),0)</f>
        <v>0</v>
      </c>
      <c r="V66" s="96">
        <f>IF(AND((J66+K66)=0,(Q66+T66)=0),$H$1*H66*Variables!$I$23*0.25,0)</f>
        <v>46.70977913621882</v>
      </c>
      <c r="W66" s="97">
        <f>IF(AND((K66+J66)=0,(T66+Q66)=0),$I$1*H66*Variables!$Q$23*0.25,0)</f>
        <v>48.892783787977031</v>
      </c>
      <c r="X66" s="95">
        <f>IF(AND(NOT(K66=0),(H66-H65)&gt;0),(H66-H65)*(Variables!$M$5*$H$1+Variables!$U$5*$I$1),0)+IF(AND(NOT((J66+N66+Q66)=0),(H65-H66)&gt;0),(H65-H66)*(Variables!$M$4*$H$1+Variables!$U$4*$I$1),0)</f>
        <v>0</v>
      </c>
      <c r="Y66" s="95">
        <f>IF(SUM(T66,U65:U66)&gt;0,H66*Variables!$Y$11*0.25*(1-$J$1),0)</f>
        <v>0</v>
      </c>
      <c r="Z66" s="95">
        <f>IF(T66=0,H66*$J$1*Variables!$Y$5*0.25,0)</f>
        <v>15.755640946511694</v>
      </c>
      <c r="AA66" s="95">
        <f t="shared" si="0"/>
        <v>111.35820387070754</v>
      </c>
      <c r="AB66" s="91">
        <f>AA66/Variables!$E$49</f>
        <v>17.961000624307669</v>
      </c>
    </row>
    <row r="67" spans="1:28" x14ac:dyDescent="0.25">
      <c r="A67" s="61">
        <f>'Water runs'!C74</f>
        <v>8095</v>
      </c>
      <c r="B67" s="61" t="str">
        <f>'Water runs'!B74</f>
        <v>Summer</v>
      </c>
      <c r="C67" s="54">
        <f>'Water runs'!D74/100</f>
        <v>1.4490000000000001</v>
      </c>
      <c r="D67" s="108">
        <f>VLOOKUP(ROW(D67)+4,'Water runs'!$BS$3:$CF$423,MATCH($B$1,Scenarios,0)+1)</f>
        <v>0.26486892216090385</v>
      </c>
      <c r="E67" s="54">
        <f>IF(B67=Variables!$D$8,C67-Variables!$E$8,IF(B67=Variables!$D$9,C67-Variables!$E$9,IF(B67=Variables!$D$10,C67-Variables!$E$10,IF(B67=Variables!$D$11,C67-Variables!$E$11,"ELSE"))))</f>
        <v>0.19062986394557835</v>
      </c>
      <c r="F67" s="108">
        <f>VLOOKUP(ROW(F67)+4,'Water runs'!$CH$3:$CU$423,MATCH($B$1,Scenarios,0)+1)</f>
        <v>0.16660274428142741</v>
      </c>
      <c r="G67" s="65">
        <f>H67/Variables!$E$49</f>
        <v>0.90098079207310589</v>
      </c>
      <c r="H67" s="62">
        <f>IF((H66+I67)&gt;(1.1*Variables!$E$50),(1.1*Variables!$E$50),IF((H66+I67)&gt;0,H66+I67,0))</f>
        <v>5.5860809108532568</v>
      </c>
      <c r="I67" s="64">
        <f t="shared" si="1"/>
        <v>3.1621361498514577</v>
      </c>
      <c r="J67" s="63">
        <f>IF(SUM(E63:E66)&lt;Variables!$B$3,-H66,0)</f>
        <v>0</v>
      </c>
      <c r="K67" s="64">
        <f>IF(AND(H66&lt;Variables!$B$6*Variables!$E$50,OR(SUM(D64:D67)&gt;Variables!$B$5,SUM(E64:E67)&gt;Variables!$B$4)),Variables!$B$6*Variables!$E$50+Variables!$B$7*$G$1*Variables!$E$50*SUM(D64:D67),0)</f>
        <v>0</v>
      </c>
      <c r="L67" s="64">
        <f>IF(B67="Winter",Variables!$B$8*H66,0)</f>
        <v>0</v>
      </c>
      <c r="M67" s="64">
        <f>IF(AND(B67="Spring",AND(NOT(H66=0),H66&lt;(Variables!$B$9*Variables!$E$50))),(Variables!$B$10*Variables!$E$50+Variables!$B$11*Variables!$E$50*SUM(E64:E67)+$G$1*SUM(D66:D67)*Variables!$E$50*Variables!$B$12),0)</f>
        <v>0</v>
      </c>
      <c r="N67" s="64">
        <f>IF(AND(B67="Spring",AND(SUM(D64:D67)&gt;Variables!$B$13,SUM(D60:D63)&gt;Variables!$B$13)),-Variables!$B$14*Variables!$E$50,0)</f>
        <v>0</v>
      </c>
      <c r="O67" s="64">
        <f>IF(AND(B67="Summer",SUM(C63:D67)&gt;Variables!$B$15),(Variables!$B$16*Variables!$E$50*SUM(C63:C67)+$G$1*Variables!$B$16*Variables!$E$50*SUM(D63:D67)+$G$1*Variables!$E$50*Variables!$B$17*F67),0)</f>
        <v>3.1621361498514577</v>
      </c>
      <c r="P67" s="64">
        <f>IF(AND(AND(B67="Autumn",SUM(D66:E67)&gt;0),NOT(H66=0)),Variables!$B$18*Variables!$E$50+Variables!$B$19*Variables!$E$50*SUM(E66:E67)+$G$1*Variables!$B$19*Variables!$E$50*SUM(D66:D67),0)</f>
        <v>0</v>
      </c>
      <c r="Q67" s="64">
        <f>IF(AND(B67="Autumn",AND((E67+E66)&lt;Variables!$B$20,(D66+D67)=0)),-Variables!$B$21*Variables!$E$50,0)</f>
        <v>0</v>
      </c>
      <c r="R67" s="64">
        <f>IF(B67="Autumn",(SUM(F66:F67)*$G$1*Variables!$B$22*Variables!$E$50),0)</f>
        <v>0</v>
      </c>
      <c r="S67" s="64">
        <f>IF(B67="Spring",($G$1*Variables!$E$50*SUM('Guts (option 1)'!F66:F67)*Variables!$B$23),0)</f>
        <v>0</v>
      </c>
      <c r="T67" s="63">
        <f>IF((H66+SUM(J67:Q67))&lt;(Variables!$B$26*Variables!$E$50),$F$1*((Variables!$B$26*Variables!$E$50)-H66-SUM(J67:Q67)),0)</f>
        <v>0</v>
      </c>
      <c r="U67" s="64">
        <f>IF(AND(AND(B67="Autumn",SUM(D64:E67)&gt;Variables!$B$27),SUM(J67:Q67)&lt;Variables!$B$28*H66),$F$1*(Variables!$B$28*H66-SUM(J67:Q67)),0)</f>
        <v>0</v>
      </c>
      <c r="V67" s="96">
        <f>IF(AND((J67+K67)=0,(Q67+T67)=0),$H$1*H67*Variables!$I$23*0.25,0)</f>
        <v>107.64461706427889</v>
      </c>
      <c r="W67" s="97">
        <f>IF(AND((K67+J67)=0,(T67+Q67)=0),$I$1*H67*Variables!$Q$23*0.25,0)</f>
        <v>112.67544153259333</v>
      </c>
      <c r="X67" s="95">
        <f>IF(AND(NOT(K67=0),(H67-H66)&gt;0),(H67-H66)*(Variables!$M$5*$H$1+Variables!$U$5*$I$1),0)+IF(AND(NOT((J67+N67+Q67)=0),(H66-H67)&gt;0),(H66-H67)*(Variables!$M$4*$H$1+Variables!$U$4*$I$1),0)</f>
        <v>0</v>
      </c>
      <c r="Y67" s="95">
        <f>IF(SUM(T67,U66:U67)&gt;0,H67*Variables!$Y$11*0.25*(1-$J$1),0)</f>
        <v>0</v>
      </c>
      <c r="Z67" s="95">
        <f>IF(T67=0,H67*$J$1*Variables!$Y$5*0.25,0)</f>
        <v>36.309525920546172</v>
      </c>
      <c r="AA67" s="95">
        <f t="shared" si="0"/>
        <v>256.62958451741838</v>
      </c>
      <c r="AB67" s="91">
        <f>AA67/Variables!$E$49</f>
        <v>41.391868470551351</v>
      </c>
    </row>
    <row r="68" spans="1:28" x14ac:dyDescent="0.25">
      <c r="A68" s="61">
        <f>'Water runs'!C75</f>
        <v>8187</v>
      </c>
      <c r="B68" s="61" t="str">
        <f>'Water runs'!B75</f>
        <v>Autumn</v>
      </c>
      <c r="C68" s="54">
        <f>'Water runs'!D75/100</f>
        <v>5.6000000000000008E-3</v>
      </c>
      <c r="D68" s="108">
        <f>VLOOKUP(ROW(D68)+4,'Water runs'!$BS$3:$CF$423,MATCH($B$1,Scenarios,0)+1)</f>
        <v>0</v>
      </c>
      <c r="E68" s="54">
        <f>IF(B68=Variables!$D$8,C68-Variables!$E$8,IF(B68=Variables!$D$9,C68-Variables!$E$9,IF(B68=Variables!$D$10,C68-Variables!$E$10,IF(B68=Variables!$D$11,C68-Variables!$E$11,"ELSE"))))</f>
        <v>-0.98904329931972779</v>
      </c>
      <c r="F68" s="108">
        <f>VLOOKUP(ROW(F68)+4,'Water runs'!$CH$3:$CU$423,MATCH($B$1,Scenarios,0)+1)</f>
        <v>0</v>
      </c>
      <c r="G68" s="65">
        <f>H68/Variables!$E$49</f>
        <v>1.3101916144640879</v>
      </c>
      <c r="H68" s="62">
        <f>IF((H67+I68)&gt;(1.1*Variables!$E$50),(1.1*Variables!$E$50),IF((H67+I68)&gt;0,H67+I68,0))</f>
        <v>8.1231880096773459</v>
      </c>
      <c r="I68" s="64">
        <f t="shared" si="1"/>
        <v>2.5371070988240887</v>
      </c>
      <c r="J68" s="63">
        <f>IF(SUM(E64:E67)&lt;Variables!$B$3,-H67,0)</f>
        <v>0</v>
      </c>
      <c r="K68" s="64">
        <f>IF(AND(H67&lt;Variables!$B$6*Variables!$E$50,OR(SUM(D65:D68)&gt;Variables!$B$5,SUM(E65:E68)&gt;Variables!$B$4)),Variables!$B$6*Variables!$E$50+Variables!$B$7*$G$1*Variables!$E$50*SUM(D65:D68),0)</f>
        <v>0</v>
      </c>
      <c r="L68" s="64">
        <f>IF(B68="Winter",Variables!$B$8*H67,0)</f>
        <v>0</v>
      </c>
      <c r="M68" s="64">
        <f>IF(AND(B68="Spring",AND(NOT(H67=0),H67&lt;(Variables!$B$9*Variables!$E$50))),(Variables!$B$10*Variables!$E$50+Variables!$B$11*Variables!$E$50*SUM(E65:E68)+$G$1*SUM(D67:D68)*Variables!$E$50*Variables!$B$12),0)</f>
        <v>0</v>
      </c>
      <c r="N68" s="64">
        <f>IF(AND(B68="Spring",AND(SUM(D65:D68)&gt;Variables!$B$13,SUM(D61:D64)&gt;Variables!$B$13)),-Variables!$B$14*Variables!$E$50,0)</f>
        <v>0</v>
      </c>
      <c r="O68" s="64">
        <f>IF(AND(B68="Summer",SUM(C64:D68)&gt;Variables!$B$15),(Variables!$B$16*Variables!$E$50*SUM(C64:C68)+$G$1*Variables!$B$16*Variables!$E$50*SUM(D64:D68)+$G$1*Variables!$E$50*Variables!$B$17*F68),0)</f>
        <v>0</v>
      </c>
      <c r="P68" s="64">
        <f>IF(AND(AND(B68="Autumn",SUM(D67:E68)&gt;0),NOT(H67=0)),Variables!$B$18*Variables!$E$50+Variables!$B$19*Variables!$E$50*SUM(E67:E68)+$G$1*Variables!$B$19*Variables!$E$50*SUM(D67:D68),0)</f>
        <v>0</v>
      </c>
      <c r="Q68" s="64">
        <f>IF(AND(B68="Autumn",AND((E68+E67)&lt;Variables!$B$20,(D67+D68)=0)),-Variables!$B$21*Variables!$E$50,0)</f>
        <v>0</v>
      </c>
      <c r="R68" s="64">
        <f>IF(B68="Autumn",(SUM(F67:F68)*$G$1*Variables!$B$22*Variables!$E$50),0)</f>
        <v>2.3370688940123202E-2</v>
      </c>
      <c r="S68" s="64">
        <f>IF(B68="Spring",($G$1*Variables!$E$50*SUM('Guts (option 1)'!F67:F68)*Variables!$B$23),0)</f>
        <v>0</v>
      </c>
      <c r="T68" s="63">
        <f>IF((H67+SUM(J68:Q68))&lt;(Variables!$B$26*Variables!$E$50),$F$1*((Variables!$B$26*Variables!$E$50)-H67-SUM(J68:Q68)),0)</f>
        <v>0</v>
      </c>
      <c r="U68" s="64">
        <f>IF(AND(AND(B68="Autumn",SUM(D65:E68)&gt;Variables!$B$27),SUM(J68:Q68)&lt;Variables!$B$28*H67),$F$1*(Variables!$B$28*H67-SUM(J68:Q68)),0)</f>
        <v>2.5137364098839656</v>
      </c>
      <c r="V68" s="96">
        <f>IF(AND((J68+K68)=0,(Q68+T68)=0),$H$1*H68*Variables!$I$23*0.25,0)</f>
        <v>156.53505142468393</v>
      </c>
      <c r="W68" s="97">
        <f>IF(AND((K68+J68)=0,(T68+Q68)=0),$I$1*H68*Variables!$Q$23*0.25,0)</f>
        <v>163.8507945461993</v>
      </c>
      <c r="X68" s="95">
        <f>IF(AND(NOT(K68=0),(H68-H67)&gt;0),(H68-H67)*(Variables!$M$5*$H$1+Variables!$U$5*$I$1),0)+IF(AND(NOT((J68+N68+Q68)=0),(H67-H68)&gt;0),(H67-H68)*(Variables!$M$4*$H$1+Variables!$U$4*$I$1),0)</f>
        <v>0</v>
      </c>
      <c r="Y68" s="95">
        <f>IF(SUM(T68,U67:U68)&gt;0,H68*Variables!$Y$11*0.25*(1-$J$1),0)</f>
        <v>0</v>
      </c>
      <c r="Z68" s="95">
        <f>IF(T68=0,H68*$J$1*Variables!$Y$5*0.25,0)</f>
        <v>52.80072206290275</v>
      </c>
      <c r="AA68" s="95">
        <f t="shared" si="0"/>
        <v>373.18656803378599</v>
      </c>
      <c r="AB68" s="91">
        <f>AA68/Variables!$E$49</f>
        <v>60.191381940933219</v>
      </c>
    </row>
    <row r="69" spans="1:28" x14ac:dyDescent="0.25">
      <c r="A69" s="61">
        <f>'Water runs'!C76</f>
        <v>8279</v>
      </c>
      <c r="B69" s="61" t="str">
        <f>'Water runs'!B76</f>
        <v>Winter</v>
      </c>
      <c r="C69" s="54">
        <f>'Water runs'!D76/100</f>
        <v>0.18820000000000001</v>
      </c>
      <c r="D69" s="108">
        <f>VLOOKUP(ROW(D69)+4,'Water runs'!$BS$3:$CF$423,MATCH($B$1,Scenarios,0)+1)</f>
        <v>0</v>
      </c>
      <c r="E69" s="54">
        <f>IF(B69=Variables!$D$8,C69-Variables!$E$8,IF(B69=Variables!$D$9,C69-Variables!$E$9,IF(B69=Variables!$D$10,C69-Variables!$E$10,IF(B69=Variables!$D$11,C69-Variables!$E$11,"ELSE"))))</f>
        <v>-0.3835676256613757</v>
      </c>
      <c r="F69" s="108">
        <f>VLOOKUP(ROW(F69)+4,'Water runs'!$CH$3:$CU$423,MATCH($B$1,Scenarios,0)+1)</f>
        <v>0</v>
      </c>
      <c r="G69" s="65">
        <f>H69/Variables!$E$49</f>
        <v>0.65778792825350052</v>
      </c>
      <c r="H69" s="62">
        <f>IF((H68+I69)&gt;(1.1*Variables!$E$50),(1.1*Variables!$E$50),IF((H68+I69)&gt;0,H68+I69,0))</f>
        <v>4.0782851551717032</v>
      </c>
      <c r="I69" s="64">
        <f t="shared" si="1"/>
        <v>-4.0449028545056427</v>
      </c>
      <c r="J69" s="63">
        <f>IF(SUM(E65:E68)&lt;Variables!$B$3,-H68,0)</f>
        <v>0</v>
      </c>
      <c r="K69" s="64">
        <f>IF(AND(H68&lt;Variables!$B$6*Variables!$E$50,OR(SUM(D66:D69)&gt;Variables!$B$5,SUM(E66:E69)&gt;Variables!$B$4)),Variables!$B$6*Variables!$E$50+Variables!$B$7*$G$1*Variables!$E$50*SUM(D66:D69),0)</f>
        <v>0</v>
      </c>
      <c r="L69" s="64">
        <f>IF(B69="Winter",Variables!$B$8*H68,0)</f>
        <v>-4.0449028545056427</v>
      </c>
      <c r="M69" s="64">
        <f>IF(AND(B69="Spring",AND(NOT(H68=0),H68&lt;(Variables!$B$9*Variables!$E$50))),(Variables!$B$10*Variables!$E$50+Variables!$B$11*Variables!$E$50*SUM(E66:E69)+$G$1*SUM(D68:D69)*Variables!$E$50*Variables!$B$12),0)</f>
        <v>0</v>
      </c>
      <c r="N69" s="64">
        <f>IF(AND(B69="Spring",AND(SUM(D66:D69)&gt;Variables!$B$13,SUM(D62:D65)&gt;Variables!$B$13)),-Variables!$B$14*Variables!$E$50,0)</f>
        <v>0</v>
      </c>
      <c r="O69" s="64">
        <f>IF(AND(B69="Summer",SUM(C65:D69)&gt;Variables!$B$15),(Variables!$B$16*Variables!$E$50*SUM(C65:C69)+$G$1*Variables!$B$16*Variables!$E$50*SUM(D65:D69)+$G$1*Variables!$E$50*Variables!$B$17*F69),0)</f>
        <v>0</v>
      </c>
      <c r="P69" s="64">
        <f>IF(AND(AND(B69="Autumn",SUM(D68:E69)&gt;0),NOT(H68=0)),Variables!$B$18*Variables!$E$50+Variables!$B$19*Variables!$E$50*SUM(E68:E69)+$G$1*Variables!$B$19*Variables!$E$50*SUM(D68:D69),0)</f>
        <v>0</v>
      </c>
      <c r="Q69" s="64">
        <f>IF(AND(B69="Autumn",AND((E69+E68)&lt;Variables!$B$20,(D68+D69)=0)),-Variables!$B$21*Variables!$E$50,0)</f>
        <v>0</v>
      </c>
      <c r="R69" s="64">
        <f>IF(B69="Autumn",(SUM(F68:F69)*$G$1*Variables!$B$22*Variables!$E$50),0)</f>
        <v>0</v>
      </c>
      <c r="S69" s="64">
        <f>IF(B69="Spring",($G$1*Variables!$E$50*SUM('Guts (option 1)'!F68:F69)*Variables!$B$23),0)</f>
        <v>0</v>
      </c>
      <c r="T69" s="63">
        <f>IF((H68+SUM(J69:Q69))&lt;(Variables!$B$26*Variables!$E$50),$F$1*((Variables!$B$26*Variables!$E$50)-H68-SUM(J69:Q69)),0)</f>
        <v>0</v>
      </c>
      <c r="U69" s="64">
        <f>IF(AND(AND(B69="Autumn",SUM(D66:E69)&gt;Variables!$B$27),SUM(J69:Q69)&lt;Variables!$B$28*H68),$F$1*(Variables!$B$28*H68-SUM(J69:Q69)),0)</f>
        <v>0</v>
      </c>
      <c r="V69" s="96">
        <f>IF(AND((J69+K69)=0,(Q69+T69)=0),$H$1*H69*Variables!$I$23*0.25,0)</f>
        <v>78.589166682932003</v>
      </c>
      <c r="W69" s="97">
        <f>IF(AND((K69+J69)=0,(T69+Q69)=0),$I$1*H69*Variables!$Q$23*0.25,0)</f>
        <v>82.262070293679628</v>
      </c>
      <c r="X69" s="95">
        <f>IF(AND(NOT(K69=0),(H69-H68)&gt;0),(H69-H68)*(Variables!$M$5*$H$1+Variables!$U$5*$I$1),0)+IF(AND(NOT((J69+N69+Q69)=0),(H68-H69)&gt;0),(H68-H69)*(Variables!$M$4*$H$1+Variables!$U$4*$I$1),0)</f>
        <v>0</v>
      </c>
      <c r="Y69" s="95">
        <f>IF(SUM(T69,U68:U69)&gt;0,H69*Variables!$Y$11*0.25*(1-$J$1),0)</f>
        <v>0</v>
      </c>
      <c r="Z69" s="95">
        <f>IF(T69=0,H69*$J$1*Variables!$Y$5*0.25,0)</f>
        <v>26.50885350861607</v>
      </c>
      <c r="AA69" s="95">
        <f t="shared" si="0"/>
        <v>187.36009048522772</v>
      </c>
      <c r="AB69" s="91">
        <f>AA69/Variables!$E$49</f>
        <v>30.219369433101242</v>
      </c>
    </row>
    <row r="70" spans="1:28" x14ac:dyDescent="0.25">
      <c r="A70" s="61">
        <f>'Water runs'!C77</f>
        <v>8370</v>
      </c>
      <c r="B70" s="61" t="str">
        <f>'Water runs'!B77</f>
        <v>Spring</v>
      </c>
      <c r="C70" s="54">
        <f>'Water runs'!D77/100</f>
        <v>0.45439999999999997</v>
      </c>
      <c r="D70" s="108">
        <f>VLOOKUP(ROW(D70)+4,'Water runs'!$BS$3:$CF$423,MATCH($B$1,Scenarios,0)+1)</f>
        <v>0</v>
      </c>
      <c r="E70" s="54">
        <f>IF(B70=Variables!$D$8,C70-Variables!$E$8,IF(B70=Variables!$D$9,C70-Variables!$E$9,IF(B70=Variables!$D$10,C70-Variables!$E$10,IF(B70=Variables!$D$11,C70-Variables!$E$11,"ELSE"))))</f>
        <v>-0.30958220899470917</v>
      </c>
      <c r="F70" s="108">
        <f>VLOOKUP(ROW(F70)+4,'Water runs'!$CH$3:$CU$423,MATCH($B$1,Scenarios,0)+1)</f>
        <v>0</v>
      </c>
      <c r="G70" s="65">
        <f>H70/Variables!$E$49</f>
        <v>0.65778792825350052</v>
      </c>
      <c r="H70" s="62">
        <f>IF((H69+I70)&gt;(1.1*Variables!$E$50),(1.1*Variables!$E$50),IF((H69+I70)&gt;0,H69+I70,0))</f>
        <v>4.0782851551717032</v>
      </c>
      <c r="I70" s="64">
        <f t="shared" si="1"/>
        <v>0</v>
      </c>
      <c r="J70" s="63">
        <f>IF(SUM(E66:E69)&lt;Variables!$B$3,-H69,0)</f>
        <v>0</v>
      </c>
      <c r="K70" s="64">
        <f>IF(AND(H69&lt;Variables!$B$6*Variables!$E$50,OR(SUM(D67:D70)&gt;Variables!$B$5,SUM(E67:E70)&gt;Variables!$B$4)),Variables!$B$6*Variables!$E$50+Variables!$B$7*$G$1*Variables!$E$50*SUM(D67:D70),0)</f>
        <v>0</v>
      </c>
      <c r="L70" s="64">
        <f>IF(B70="Winter",Variables!$B$8*H69,0)</f>
        <v>0</v>
      </c>
      <c r="M70" s="64">
        <f>IF(AND(B70="Spring",AND(NOT(H69=0),H69&lt;(Variables!$B$9*Variables!$E$50))),(Variables!$B$10*Variables!$E$50+Variables!$B$11*Variables!$E$50*SUM(E67:E70)+$G$1*SUM(D69:D70)*Variables!$E$50*Variables!$B$12),0)</f>
        <v>0</v>
      </c>
      <c r="N70" s="64">
        <f>IF(AND(B70="Spring",AND(SUM(D67:D70)&gt;Variables!$B$13,SUM(D63:D66)&gt;Variables!$B$13)),-Variables!$B$14*Variables!$E$50,0)</f>
        <v>0</v>
      </c>
      <c r="O70" s="64">
        <f>IF(AND(B70="Summer",SUM(C66:D70)&gt;Variables!$B$15),(Variables!$B$16*Variables!$E$50*SUM(C66:C70)+$G$1*Variables!$B$16*Variables!$E$50*SUM(D66:D70)+$G$1*Variables!$E$50*Variables!$B$17*F70),0)</f>
        <v>0</v>
      </c>
      <c r="P70" s="64">
        <f>IF(AND(AND(B70="Autumn",SUM(D69:E70)&gt;0),NOT(H69=0)),Variables!$B$18*Variables!$E$50+Variables!$B$19*Variables!$E$50*SUM(E69:E70)+$G$1*Variables!$B$19*Variables!$E$50*SUM(D69:D70),0)</f>
        <v>0</v>
      </c>
      <c r="Q70" s="64">
        <f>IF(AND(B70="Autumn",AND((E70+E69)&lt;Variables!$B$20,(D69+D70)=0)),-Variables!$B$21*Variables!$E$50,0)</f>
        <v>0</v>
      </c>
      <c r="R70" s="64">
        <f>IF(B70="Autumn",(SUM(F69:F70)*$G$1*Variables!$B$22*Variables!$E$50),0)</f>
        <v>0</v>
      </c>
      <c r="S70" s="64">
        <f>IF(B70="Spring",($G$1*Variables!$E$50*SUM('Guts (option 1)'!F69:F70)*Variables!$B$23),0)</f>
        <v>0</v>
      </c>
      <c r="T70" s="63">
        <f>IF((H69+SUM(J70:Q70))&lt;(Variables!$B$26*Variables!$E$50),$F$1*((Variables!$B$26*Variables!$E$50)-H69-SUM(J70:Q70)),0)</f>
        <v>0</v>
      </c>
      <c r="U70" s="64">
        <f>IF(AND(AND(B70="Autumn",SUM(D67:E70)&gt;Variables!$B$27),SUM(J70:Q70)&lt;Variables!$B$28*H69),$F$1*(Variables!$B$28*H69-SUM(J70:Q70)),0)</f>
        <v>0</v>
      </c>
      <c r="V70" s="96">
        <f>IF(AND((J70+K70)=0,(Q70+T70)=0),$H$1*H70*Variables!$I$23*0.25,0)</f>
        <v>78.589166682932003</v>
      </c>
      <c r="W70" s="97">
        <f>IF(AND((K70+J70)=0,(T70+Q70)=0),$I$1*H70*Variables!$Q$23*0.25,0)</f>
        <v>82.262070293679628</v>
      </c>
      <c r="X70" s="95">
        <f>IF(AND(NOT(K70=0),(H70-H69)&gt;0),(H70-H69)*(Variables!$M$5*$H$1+Variables!$U$5*$I$1),0)+IF(AND(NOT((J70+N70+Q70)=0),(H69-H70)&gt;0),(H69-H70)*(Variables!$M$4*$H$1+Variables!$U$4*$I$1),0)</f>
        <v>0</v>
      </c>
      <c r="Y70" s="95">
        <f>IF(SUM(T70,U69:U70)&gt;0,H70*Variables!$Y$11*0.25*(1-$J$1),0)</f>
        <v>0</v>
      </c>
      <c r="Z70" s="95">
        <f>IF(T70=0,H70*$J$1*Variables!$Y$5*0.25,0)</f>
        <v>26.50885350861607</v>
      </c>
      <c r="AA70" s="95">
        <f t="shared" si="0"/>
        <v>187.36009048522772</v>
      </c>
      <c r="AB70" s="91">
        <f>AA70/Variables!$E$49</f>
        <v>30.219369433101242</v>
      </c>
    </row>
    <row r="71" spans="1:28" x14ac:dyDescent="0.25">
      <c r="A71" s="61">
        <f>'Water runs'!C78</f>
        <v>8460</v>
      </c>
      <c r="B71" s="61" t="str">
        <f>'Water runs'!B78</f>
        <v>Summer</v>
      </c>
      <c r="C71" s="54">
        <f>'Water runs'!D78/100</f>
        <v>0.86719999999999997</v>
      </c>
      <c r="D71" s="108">
        <f>VLOOKUP(ROW(D71)+4,'Water runs'!$BS$3:$CF$423,MATCH($B$1,Scenarios,0)+1)</f>
        <v>0</v>
      </c>
      <c r="E71" s="54">
        <f>IF(B71=Variables!$D$8,C71-Variables!$E$8,IF(B71=Variables!$D$9,C71-Variables!$E$9,IF(B71=Variables!$D$10,C71-Variables!$E$10,IF(B71=Variables!$D$11,C71-Variables!$E$11,"ELSE"))))</f>
        <v>-0.39117013605442175</v>
      </c>
      <c r="F71" s="108">
        <f>VLOOKUP(ROW(F71)+4,'Water runs'!$CH$3:$CU$423,MATCH($B$1,Scenarios,0)+1)</f>
        <v>0</v>
      </c>
      <c r="G71" s="65">
        <f>H71/Variables!$E$49</f>
        <v>0.65778792825350052</v>
      </c>
      <c r="H71" s="62">
        <f>IF((H70+I71)&gt;(1.1*Variables!$E$50),(1.1*Variables!$E$50),IF((H70+I71)&gt;0,H70+I71,0))</f>
        <v>4.0782851551717032</v>
      </c>
      <c r="I71" s="64">
        <f t="shared" si="1"/>
        <v>0</v>
      </c>
      <c r="J71" s="63">
        <f>IF(SUM(E67:E70)&lt;Variables!$B$3,-H70,0)</f>
        <v>0</v>
      </c>
      <c r="K71" s="64">
        <f>IF(AND(H70&lt;Variables!$B$6*Variables!$E$50,OR(SUM(D68:D71)&gt;Variables!$B$5,SUM(E68:E71)&gt;Variables!$B$4)),Variables!$B$6*Variables!$E$50+Variables!$B$7*$G$1*Variables!$E$50*SUM(D68:D71),0)</f>
        <v>0</v>
      </c>
      <c r="L71" s="64">
        <f>IF(B71="Winter",Variables!$B$8*H70,0)</f>
        <v>0</v>
      </c>
      <c r="M71" s="64">
        <f>IF(AND(B71="Spring",AND(NOT(H70=0),H70&lt;(Variables!$B$9*Variables!$E$50))),(Variables!$B$10*Variables!$E$50+Variables!$B$11*Variables!$E$50*SUM(E68:E71)+$G$1*SUM(D70:D71)*Variables!$E$50*Variables!$B$12),0)</f>
        <v>0</v>
      </c>
      <c r="N71" s="64">
        <f>IF(AND(B71="Spring",AND(SUM(D68:D71)&gt;Variables!$B$13,SUM(D64:D67)&gt;Variables!$B$13)),-Variables!$B$14*Variables!$E$50,0)</f>
        <v>0</v>
      </c>
      <c r="O71" s="64">
        <f>IF(AND(B71="Summer",SUM(C67:D71)&gt;Variables!$B$15),(Variables!$B$16*Variables!$E$50*SUM(C67:C71)+$G$1*Variables!$B$16*Variables!$E$50*SUM(D67:D71)+$G$1*Variables!$E$50*Variables!$B$17*F71),0)</f>
        <v>0</v>
      </c>
      <c r="P71" s="64">
        <f>IF(AND(AND(B71="Autumn",SUM(D70:E71)&gt;0),NOT(H70=0)),Variables!$B$18*Variables!$E$50+Variables!$B$19*Variables!$E$50*SUM(E70:E71)+$G$1*Variables!$B$19*Variables!$E$50*SUM(D70:D71),0)</f>
        <v>0</v>
      </c>
      <c r="Q71" s="64">
        <f>IF(AND(B71="Autumn",AND((E71+E70)&lt;Variables!$B$20,(D70+D71)=0)),-Variables!$B$21*Variables!$E$50,0)</f>
        <v>0</v>
      </c>
      <c r="R71" s="64">
        <f>IF(B71="Autumn",(SUM(F70:F71)*$G$1*Variables!$B$22*Variables!$E$50),0)</f>
        <v>0</v>
      </c>
      <c r="S71" s="64">
        <f>IF(B71="Spring",($G$1*Variables!$E$50*SUM('Guts (option 1)'!F70:F71)*Variables!$B$23),0)</f>
        <v>0</v>
      </c>
      <c r="T71" s="63">
        <f>IF((H70+SUM(J71:Q71))&lt;(Variables!$B$26*Variables!$E$50),$F$1*((Variables!$B$26*Variables!$E$50)-H70-SUM(J71:Q71)),0)</f>
        <v>0</v>
      </c>
      <c r="U71" s="64">
        <f>IF(AND(AND(B71="Autumn",SUM(D68:E71)&gt;Variables!$B$27),SUM(J71:Q71)&lt;Variables!$B$28*H70),$F$1*(Variables!$B$28*H70-SUM(J71:Q71)),0)</f>
        <v>0</v>
      </c>
      <c r="V71" s="96">
        <f>IF(AND((J71+K71)=0,(Q71+T71)=0),$H$1*H71*Variables!$I$23*0.25,0)</f>
        <v>78.589166682932003</v>
      </c>
      <c r="W71" s="97">
        <f>IF(AND((K71+J71)=0,(T71+Q71)=0),$I$1*H71*Variables!$Q$23*0.25,0)</f>
        <v>82.262070293679628</v>
      </c>
      <c r="X71" s="95">
        <f>IF(AND(NOT(K71=0),(H71-H70)&gt;0),(H71-H70)*(Variables!$M$5*$H$1+Variables!$U$5*$I$1),0)+IF(AND(NOT((J71+N71+Q71)=0),(H70-H71)&gt;0),(H70-H71)*(Variables!$M$4*$H$1+Variables!$U$4*$I$1),0)</f>
        <v>0</v>
      </c>
      <c r="Y71" s="95">
        <f>IF(SUM(T71,U70:U71)&gt;0,H71*Variables!$Y$11*0.25*(1-$J$1),0)</f>
        <v>0</v>
      </c>
      <c r="Z71" s="95">
        <f>IF(T71=0,H71*$J$1*Variables!$Y$5*0.25,0)</f>
        <v>26.50885350861607</v>
      </c>
      <c r="AA71" s="95">
        <f t="shared" si="0"/>
        <v>187.36009048522772</v>
      </c>
      <c r="AB71" s="91">
        <f>AA71/Variables!$E$49</f>
        <v>30.219369433101242</v>
      </c>
    </row>
    <row r="72" spans="1:28" x14ac:dyDescent="0.25">
      <c r="A72" s="61">
        <f>'Water runs'!C79</f>
        <v>8552</v>
      </c>
      <c r="B72" s="61" t="str">
        <f>'Water runs'!B79</f>
        <v>Autumn</v>
      </c>
      <c r="C72" s="54">
        <f>'Water runs'!D79/100</f>
        <v>0</v>
      </c>
      <c r="D72" s="108">
        <f>VLOOKUP(ROW(D72)+4,'Water runs'!$BS$3:$CF$423,MATCH($B$1,Scenarios,0)+1)</f>
        <v>0</v>
      </c>
      <c r="E72" s="54">
        <f>IF(B72=Variables!$D$8,C72-Variables!$E$8,IF(B72=Variables!$D$9,C72-Variables!$E$9,IF(B72=Variables!$D$10,C72-Variables!$E$10,IF(B72=Variables!$D$11,C72-Variables!$E$11,"ELSE"))))</f>
        <v>-0.99464329931972784</v>
      </c>
      <c r="F72" s="108">
        <f>VLOOKUP(ROW(F72)+4,'Water runs'!$CH$3:$CU$423,MATCH($B$1,Scenarios,0)+1)</f>
        <v>0</v>
      </c>
      <c r="G72" s="65">
        <f>H72/Variables!$E$49</f>
        <v>0.16100000000000003</v>
      </c>
      <c r="H72" s="62">
        <f>IF((H71+I72)&gt;(1.1*Variables!$E$50),(1.1*Variables!$E$50),IF((H71+I72)&gt;0,H71+I72,0))</f>
        <v>0.9982000000000002</v>
      </c>
      <c r="I72" s="64">
        <f t="shared" si="1"/>
        <v>-3.080085155171703</v>
      </c>
      <c r="J72" s="63">
        <f>IF(SUM(E68:E71)&lt;Variables!$B$3,-H71,0)</f>
        <v>-4.0782851551717032</v>
      </c>
      <c r="K72" s="64">
        <f>IF(AND(H71&lt;Variables!$B$6*Variables!$E$50,OR(SUM(D69:D72)&gt;Variables!$B$5,SUM(E69:E72)&gt;Variables!$B$4)),Variables!$B$6*Variables!$E$50+Variables!$B$7*$G$1*Variables!$E$50*SUM(D69:D72),0)</f>
        <v>0</v>
      </c>
      <c r="L72" s="64">
        <f>IF(B72="Winter",Variables!$B$8*H71,0)</f>
        <v>0</v>
      </c>
      <c r="M72" s="64">
        <f>IF(AND(B72="Spring",AND(NOT(H71=0),H71&lt;(Variables!$B$9*Variables!$E$50))),(Variables!$B$10*Variables!$E$50+Variables!$B$11*Variables!$E$50*SUM(E69:E72)+$G$1*SUM(D71:D72)*Variables!$E$50*Variables!$B$12),0)</f>
        <v>0</v>
      </c>
      <c r="N72" s="64">
        <f>IF(AND(B72="Spring",AND(SUM(D69:D72)&gt;Variables!$B$13,SUM(D65:D68)&gt;Variables!$B$13)),-Variables!$B$14*Variables!$E$50,0)</f>
        <v>0</v>
      </c>
      <c r="O72" s="64">
        <f>IF(AND(B72="Summer",SUM(C68:D72)&gt;Variables!$B$15),(Variables!$B$16*Variables!$E$50*SUM(C68:C72)+$G$1*Variables!$B$16*Variables!$E$50*SUM(D68:D72)+$G$1*Variables!$E$50*Variables!$B$17*F72),0)</f>
        <v>0</v>
      </c>
      <c r="P72" s="64">
        <f>IF(AND(AND(B72="Autumn",SUM(D71:E72)&gt;0),NOT(H71=0)),Variables!$B$18*Variables!$E$50+Variables!$B$19*Variables!$E$50*SUM(E71:E72)+$G$1*Variables!$B$19*Variables!$E$50*SUM(D71:D72),0)</f>
        <v>0</v>
      </c>
      <c r="Q72" s="64">
        <f>IF(AND(B72="Autumn",AND((E72+E71)&lt;Variables!$B$20,(D71+D72)=0)),-Variables!$B$21*Variables!$E$50,0)</f>
        <v>0</v>
      </c>
      <c r="R72" s="64">
        <f>IF(B72="Autumn",(SUM(F71:F72)*$G$1*Variables!$B$22*Variables!$E$50),0)</f>
        <v>0</v>
      </c>
      <c r="S72" s="64">
        <f>IF(B72="Spring",($G$1*Variables!$E$50*SUM('Guts (option 1)'!F71:F72)*Variables!$B$23),0)</f>
        <v>0</v>
      </c>
      <c r="T72" s="63">
        <f>IF((H71+SUM(J72:Q72))&lt;(Variables!$B$26*Variables!$E$50),$F$1*((Variables!$B$26*Variables!$E$50)-H71-SUM(J72:Q72)),0)</f>
        <v>0.9982000000000002</v>
      </c>
      <c r="U72" s="64">
        <f>IF(AND(AND(B72="Autumn",SUM(D69:E72)&gt;Variables!$B$27),SUM(J72:Q72)&lt;Variables!$B$28*H71),$F$1*(Variables!$B$28*H71-SUM(J72:Q72)),0)</f>
        <v>0</v>
      </c>
      <c r="V72" s="96">
        <f>IF(AND((J72+K72)=0,(Q72+T72)=0),$H$1*H72*Variables!$I$23*0.25,0)</f>
        <v>0</v>
      </c>
      <c r="W72" s="97">
        <f>IF(AND((K72+J72)=0,(T72+Q72)=0),$I$1*H72*Variables!$Q$23*0.25,0)</f>
        <v>0</v>
      </c>
      <c r="X72" s="95">
        <f>IF(AND(NOT(K72=0),(H72-H71)&gt;0),(H72-H71)*(Variables!$M$5*$H$1+Variables!$U$5*$I$1),0)+IF(AND(NOT((J72+N72+Q72)=0),(H71-H72)&gt;0),(H71-H72)*(Variables!$M$4*$H$1+Variables!$U$4*$I$1),0)</f>
        <v>385.01064439646285</v>
      </c>
      <c r="Y72" s="95">
        <f>IF(SUM(T72,U71:U72)&gt;0,H72*Variables!$Y$11*0.25*(1-$J$1),0)</f>
        <v>0</v>
      </c>
      <c r="Z72" s="95">
        <f>IF(T72=0,H72*$J$1*Variables!$Y$5*0.25,0)</f>
        <v>0</v>
      </c>
      <c r="AA72" s="95">
        <f t="shared" si="0"/>
        <v>385.01064439646285</v>
      </c>
      <c r="AB72" s="91">
        <f>AA72/Variables!$E$49</f>
        <v>62.098491031687551</v>
      </c>
    </row>
    <row r="73" spans="1:28" x14ac:dyDescent="0.25">
      <c r="A73" s="61">
        <f>'Water runs'!C80</f>
        <v>8644</v>
      </c>
      <c r="B73" s="61" t="str">
        <f>'Water runs'!B80</f>
        <v>Winter</v>
      </c>
      <c r="C73" s="54">
        <f>'Water runs'!D80/100</f>
        <v>0.50700000000000001</v>
      </c>
      <c r="D73" s="108">
        <f>VLOOKUP(ROW(D73)+4,'Water runs'!$BS$3:$CF$423,MATCH($B$1,Scenarios,0)+1)</f>
        <v>0</v>
      </c>
      <c r="E73" s="54">
        <f>IF(B73=Variables!$D$8,C73-Variables!$E$8,IF(B73=Variables!$D$9,C73-Variables!$E$9,IF(B73=Variables!$D$10,C73-Variables!$E$10,IF(B73=Variables!$D$11,C73-Variables!$E$11,"ELSE"))))</f>
        <v>-6.4767625661375727E-2</v>
      </c>
      <c r="F73" s="108">
        <f>VLOOKUP(ROW(F73)+4,'Water runs'!$CH$3:$CU$423,MATCH($B$1,Scenarios,0)+1)</f>
        <v>0</v>
      </c>
      <c r="G73" s="65">
        <f>H73/Variables!$E$49</f>
        <v>0.16100000000000003</v>
      </c>
      <c r="H73" s="62">
        <f>IF((H72+I73)&gt;(1.1*Variables!$E$50),(1.1*Variables!$E$50),IF((H72+I73)&gt;0,H72+I73,0))</f>
        <v>0.9982000000000002</v>
      </c>
      <c r="I73" s="64">
        <f t="shared" si="1"/>
        <v>0</v>
      </c>
      <c r="J73" s="63">
        <f>IF(SUM(E69:E72)&lt;Variables!$B$3,-H72,0)</f>
        <v>-0.9982000000000002</v>
      </c>
      <c r="K73" s="64">
        <f>IF(AND(H72&lt;Variables!$B$6*Variables!$E$50,OR(SUM(D70:D73)&gt;Variables!$B$5,SUM(E70:E73)&gt;Variables!$B$4)),Variables!$B$6*Variables!$E$50+Variables!$B$7*$G$1*Variables!$E$50*SUM(D70:D73),0)</f>
        <v>0</v>
      </c>
      <c r="L73" s="64">
        <f>IF(B73="Winter",Variables!$B$8*H72,0)</f>
        <v>-0.49704894489176155</v>
      </c>
      <c r="M73" s="64">
        <f>IF(AND(B73="Spring",AND(NOT(H72=0),H72&lt;(Variables!$B$9*Variables!$E$50))),(Variables!$B$10*Variables!$E$50+Variables!$B$11*Variables!$E$50*SUM(E70:E73)+$G$1*SUM(D72:D73)*Variables!$E$50*Variables!$B$12),0)</f>
        <v>0</v>
      </c>
      <c r="N73" s="64">
        <f>IF(AND(B73="Spring",AND(SUM(D70:D73)&gt;Variables!$B$13,SUM(D66:D69)&gt;Variables!$B$13)),-Variables!$B$14*Variables!$E$50,0)</f>
        <v>0</v>
      </c>
      <c r="O73" s="64">
        <f>IF(AND(B73="Summer",SUM(C69:D73)&gt;Variables!$B$15),(Variables!$B$16*Variables!$E$50*SUM(C69:C73)+$G$1*Variables!$B$16*Variables!$E$50*SUM(D69:D73)+$G$1*Variables!$E$50*Variables!$B$17*F73),0)</f>
        <v>0</v>
      </c>
      <c r="P73" s="64">
        <f>IF(AND(AND(B73="Autumn",SUM(D72:E73)&gt;0),NOT(H72=0)),Variables!$B$18*Variables!$E$50+Variables!$B$19*Variables!$E$50*SUM(E72:E73)+$G$1*Variables!$B$19*Variables!$E$50*SUM(D72:D73),0)</f>
        <v>0</v>
      </c>
      <c r="Q73" s="64">
        <f>IF(AND(B73="Autumn",AND((E73+E72)&lt;Variables!$B$20,(D72+D73)=0)),-Variables!$B$21*Variables!$E$50,0)</f>
        <v>0</v>
      </c>
      <c r="R73" s="64">
        <f>IF(B73="Autumn",(SUM(F72:F73)*$G$1*Variables!$B$22*Variables!$E$50),0)</f>
        <v>0</v>
      </c>
      <c r="S73" s="64">
        <f>IF(B73="Spring",($G$1*Variables!$E$50*SUM('Guts (option 1)'!F72:F73)*Variables!$B$23),0)</f>
        <v>0</v>
      </c>
      <c r="T73" s="63">
        <f>IF((H72+SUM(J73:Q73))&lt;(Variables!$B$26*Variables!$E$50),$F$1*((Variables!$B$26*Variables!$E$50)-H72-SUM(J73:Q73)),0)</f>
        <v>1.4952489448917619</v>
      </c>
      <c r="U73" s="64">
        <f>IF(AND(AND(B73="Autumn",SUM(D70:E73)&gt;Variables!$B$27),SUM(J73:Q73)&lt;Variables!$B$28*H72),$F$1*(Variables!$B$28*H72-SUM(J73:Q73)),0)</f>
        <v>0</v>
      </c>
      <c r="V73" s="96">
        <f>IF(AND((J73+K73)=0,(Q73+T73)=0),$H$1*H73*Variables!$I$23*0.25,0)</f>
        <v>0</v>
      </c>
      <c r="W73" s="97">
        <f>IF(AND((K73+J73)=0,(T73+Q73)=0),$I$1*H73*Variables!$Q$23*0.25,0)</f>
        <v>0</v>
      </c>
      <c r="X73" s="95">
        <f>IF(AND(NOT(K73=0),(H73-H72)&gt;0),(H73-H72)*(Variables!$M$5*$H$1+Variables!$U$5*$I$1),0)+IF(AND(NOT((J73+N73+Q73)=0),(H72-H73)&gt;0),(H72-H73)*(Variables!$M$4*$H$1+Variables!$U$4*$I$1),0)</f>
        <v>0</v>
      </c>
      <c r="Y73" s="95">
        <f>IF(SUM(T73,U72:U73)&gt;0,H73*Variables!$Y$11*0.25*(1-$J$1),0)</f>
        <v>0</v>
      </c>
      <c r="Z73" s="95">
        <f>IF(T73=0,H73*$J$1*Variables!$Y$5*0.25,0)</f>
        <v>0</v>
      </c>
      <c r="AA73" s="95">
        <f t="shared" si="0"/>
        <v>0</v>
      </c>
      <c r="AB73" s="91">
        <f>AA73/Variables!$E$49</f>
        <v>0</v>
      </c>
    </row>
    <row r="74" spans="1:28" x14ac:dyDescent="0.25">
      <c r="A74" s="61">
        <f>'Water runs'!C81</f>
        <v>8735</v>
      </c>
      <c r="B74" s="61" t="str">
        <f>'Water runs'!B81</f>
        <v>Spring</v>
      </c>
      <c r="C74" s="54">
        <f>'Water runs'!D81/100</f>
        <v>0.59219999999999995</v>
      </c>
      <c r="D74" s="108">
        <f>VLOOKUP(ROW(D74)+4,'Water runs'!$BS$3:$CF$423,MATCH($B$1,Scenarios,0)+1)</f>
        <v>0</v>
      </c>
      <c r="E74" s="54">
        <f>IF(B74=Variables!$D$8,C74-Variables!$E$8,IF(B74=Variables!$D$9,C74-Variables!$E$9,IF(B74=Variables!$D$10,C74-Variables!$E$10,IF(B74=Variables!$D$11,C74-Variables!$E$11,"ELSE"))))</f>
        <v>-0.1717822089947092</v>
      </c>
      <c r="F74" s="108">
        <f>VLOOKUP(ROW(F74)+4,'Water runs'!$CH$3:$CU$423,MATCH($B$1,Scenarios,0)+1)</f>
        <v>0</v>
      </c>
      <c r="G74" s="65">
        <f>H74/Variables!$E$49</f>
        <v>0.16100000000000003</v>
      </c>
      <c r="H74" s="62">
        <f>IF((H73+I74)&gt;(1.1*Variables!$E$50),(1.1*Variables!$E$50),IF((H73+I74)&gt;0,H73+I74,0))</f>
        <v>0.9982000000000002</v>
      </c>
      <c r="I74" s="64">
        <f t="shared" si="1"/>
        <v>0</v>
      </c>
      <c r="J74" s="63">
        <f>IF(SUM(E70:E73)&lt;Variables!$B$3,-H73,0)</f>
        <v>-0.9982000000000002</v>
      </c>
      <c r="K74" s="64">
        <f>IF(AND(H73&lt;Variables!$B$6*Variables!$E$50,OR(SUM(D71:D74)&gt;Variables!$B$5,SUM(E71:E74)&gt;Variables!$B$4)),Variables!$B$6*Variables!$E$50+Variables!$B$7*$G$1*Variables!$E$50*SUM(D71:D74),0)</f>
        <v>0</v>
      </c>
      <c r="L74" s="64">
        <f>IF(B74="Winter",Variables!$B$8*H73,0)</f>
        <v>0</v>
      </c>
      <c r="M74" s="64">
        <f>IF(AND(B74="Spring",AND(NOT(H73=0),H73&lt;(Variables!$B$9*Variables!$E$50))),(Variables!$B$10*Variables!$E$50+Variables!$B$11*Variables!$E$50*SUM(E71:E74)+$G$1*SUM(D73:D74)*Variables!$E$50*Variables!$B$12),0)</f>
        <v>-1.1049294640567069</v>
      </c>
      <c r="N74" s="64">
        <f>IF(AND(B74="Spring",AND(SUM(D71:D74)&gt;Variables!$B$13,SUM(D67:D70)&gt;Variables!$B$13)),-Variables!$B$14*Variables!$E$50,0)</f>
        <v>0</v>
      </c>
      <c r="O74" s="64">
        <f>IF(AND(B74="Summer",SUM(C70:D74)&gt;Variables!$B$15),(Variables!$B$16*Variables!$E$50*SUM(C70:C74)+$G$1*Variables!$B$16*Variables!$E$50*SUM(D70:D74)+$G$1*Variables!$E$50*Variables!$B$17*F74),0)</f>
        <v>0</v>
      </c>
      <c r="P74" s="64">
        <f>IF(AND(AND(B74="Autumn",SUM(D73:E74)&gt;0),NOT(H73=0)),Variables!$B$18*Variables!$E$50+Variables!$B$19*Variables!$E$50*SUM(E73:E74)+$G$1*Variables!$B$19*Variables!$E$50*SUM(D73:D74),0)</f>
        <v>0</v>
      </c>
      <c r="Q74" s="64">
        <f>IF(AND(B74="Autumn",AND((E74+E73)&lt;Variables!$B$20,(D73+D74)=0)),-Variables!$B$21*Variables!$E$50,0)</f>
        <v>0</v>
      </c>
      <c r="R74" s="64">
        <f>IF(B74="Autumn",(SUM(F73:F74)*$G$1*Variables!$B$22*Variables!$E$50),0)</f>
        <v>0</v>
      </c>
      <c r="S74" s="64">
        <f>IF(B74="Spring",($G$1*Variables!$E$50*SUM('Guts (option 1)'!F73:F74)*Variables!$B$23),0)</f>
        <v>0</v>
      </c>
      <c r="T74" s="63">
        <f>IF((H73+SUM(J74:Q74))&lt;(Variables!$B$26*Variables!$E$50),$F$1*((Variables!$B$26*Variables!$E$50)-H73-SUM(J74:Q74)),0)</f>
        <v>2.1031294640567069</v>
      </c>
      <c r="U74" s="64">
        <f>IF(AND(AND(B74="Autumn",SUM(D71:E74)&gt;Variables!$B$27),SUM(J74:Q74)&lt;Variables!$B$28*H73),$F$1*(Variables!$B$28*H73-SUM(J74:Q74)),0)</f>
        <v>0</v>
      </c>
      <c r="V74" s="96">
        <f>IF(AND((J74+K74)=0,(Q74+T74)=0),$H$1*H74*Variables!$I$23*0.25,0)</f>
        <v>0</v>
      </c>
      <c r="W74" s="97">
        <f>IF(AND((K74+J74)=0,(T74+Q74)=0),$I$1*H74*Variables!$Q$23*0.25,0)</f>
        <v>0</v>
      </c>
      <c r="X74" s="95">
        <f>IF(AND(NOT(K74=0),(H74-H73)&gt;0),(H74-H73)*(Variables!$M$5*$H$1+Variables!$U$5*$I$1),0)+IF(AND(NOT((J74+N74+Q74)=0),(H73-H74)&gt;0),(H73-H74)*(Variables!$M$4*$H$1+Variables!$U$4*$I$1),0)</f>
        <v>0</v>
      </c>
      <c r="Y74" s="95">
        <f>IF(SUM(T74,U73:U74)&gt;0,H74*Variables!$Y$11*0.25*(1-$J$1),0)</f>
        <v>0</v>
      </c>
      <c r="Z74" s="95">
        <f>IF(T74=0,H74*$J$1*Variables!$Y$5*0.25,0)</f>
        <v>0</v>
      </c>
      <c r="AA74" s="95">
        <f t="shared" si="0"/>
        <v>0</v>
      </c>
      <c r="AB74" s="91">
        <f>AA74/Variables!$E$49</f>
        <v>0</v>
      </c>
    </row>
    <row r="75" spans="1:28" x14ac:dyDescent="0.25">
      <c r="A75" s="61">
        <f>'Water runs'!C82</f>
        <v>8825</v>
      </c>
      <c r="B75" s="61" t="str">
        <f>'Water runs'!B82</f>
        <v>Summer</v>
      </c>
      <c r="C75" s="54">
        <f>'Water runs'!D82/100</f>
        <v>1.587</v>
      </c>
      <c r="D75" s="108">
        <f>VLOOKUP(ROW(D75)+4,'Water runs'!$BS$3:$CF$423,MATCH($B$1,Scenarios,0)+1)</f>
        <v>3.1447596576378279E-3</v>
      </c>
      <c r="E75" s="54">
        <f>IF(B75=Variables!$D$8,C75-Variables!$E$8,IF(B75=Variables!$D$9,C75-Variables!$E$9,IF(B75=Variables!$D$10,C75-Variables!$E$10,IF(B75=Variables!$D$11,C75-Variables!$E$11,"ELSE"))))</f>
        <v>0.32862986394557825</v>
      </c>
      <c r="F75" s="108">
        <f>VLOOKUP(ROW(F75)+4,'Water runs'!$CH$3:$CU$423,MATCH($B$1,Scenarios,0)+1)</f>
        <v>0</v>
      </c>
      <c r="G75" s="65">
        <f>H75/Variables!$E$49</f>
        <v>0.16100000000000003</v>
      </c>
      <c r="H75" s="62">
        <f>IF((H74+I75)&gt;(1.1*Variables!$E$50),(1.1*Variables!$E$50),IF((H74+I75)&gt;0,H74+I75,0))</f>
        <v>0.9982000000000002</v>
      </c>
      <c r="I75" s="64">
        <f t="shared" si="1"/>
        <v>0</v>
      </c>
      <c r="J75" s="63">
        <f>IF(SUM(E71:E74)&lt;Variables!$B$3,-H74,0)</f>
        <v>0</v>
      </c>
      <c r="K75" s="64">
        <f>IF(AND(H74&lt;Variables!$B$6*Variables!$E$50,OR(SUM(D72:D75)&gt;Variables!$B$5,SUM(E72:E75)&gt;Variables!$B$4)),Variables!$B$6*Variables!$E$50+Variables!$B$7*$G$1*Variables!$E$50*SUM(D72:D75),0)</f>
        <v>0</v>
      </c>
      <c r="L75" s="64">
        <f>IF(B75="Winter",Variables!$B$8*H74,0)</f>
        <v>0</v>
      </c>
      <c r="M75" s="64">
        <f>IF(AND(B75="Spring",AND(NOT(H74=0),H74&lt;(Variables!$B$9*Variables!$E$50))),(Variables!$B$10*Variables!$E$50+Variables!$B$11*Variables!$E$50*SUM(E72:E75)+$G$1*SUM(D74:D75)*Variables!$E$50*Variables!$B$12),0)</f>
        <v>0</v>
      </c>
      <c r="N75" s="64">
        <f>IF(AND(B75="Spring",AND(SUM(D72:D75)&gt;Variables!$B$13,SUM(D68:D71)&gt;Variables!$B$13)),-Variables!$B$14*Variables!$E$50,0)</f>
        <v>0</v>
      </c>
      <c r="O75" s="64">
        <f>IF(AND(B75="Summer",SUM(C71:D75)&gt;Variables!$B$15),(Variables!$B$16*Variables!$E$50*SUM(C71:C75)+$G$1*Variables!$B$16*Variables!$E$50*SUM(D71:D75)+$G$1*Variables!$E$50*Variables!$B$17*F75),0)</f>
        <v>0</v>
      </c>
      <c r="P75" s="64">
        <f>IF(AND(AND(B75="Autumn",SUM(D74:E75)&gt;0),NOT(H74=0)),Variables!$B$18*Variables!$E$50+Variables!$B$19*Variables!$E$50*SUM(E74:E75)+$G$1*Variables!$B$19*Variables!$E$50*SUM(D74:D75),0)</f>
        <v>0</v>
      </c>
      <c r="Q75" s="64">
        <f>IF(AND(B75="Autumn",AND((E75+E74)&lt;Variables!$B$20,(D74+D75)=0)),-Variables!$B$21*Variables!$E$50,0)</f>
        <v>0</v>
      </c>
      <c r="R75" s="64">
        <f>IF(B75="Autumn",(SUM(F74:F75)*$G$1*Variables!$B$22*Variables!$E$50),0)</f>
        <v>0</v>
      </c>
      <c r="S75" s="64">
        <f>IF(B75="Spring",($G$1*Variables!$E$50*SUM('Guts (option 1)'!F74:F75)*Variables!$B$23),0)</f>
        <v>0</v>
      </c>
      <c r="T75" s="63">
        <f>IF((H74+SUM(J75:Q75))&lt;(Variables!$B$26*Variables!$E$50),$F$1*((Variables!$B$26*Variables!$E$50)-H74-SUM(J75:Q75)),0)</f>
        <v>0</v>
      </c>
      <c r="U75" s="64">
        <f>IF(AND(AND(B75="Autumn",SUM(D72:E75)&gt;Variables!$B$27),SUM(J75:Q75)&lt;Variables!$B$28*H74),$F$1*(Variables!$B$28*H74-SUM(J75:Q75)),0)</f>
        <v>0</v>
      </c>
      <c r="V75" s="96">
        <f>IF(AND((J75+K75)=0,(Q75+T75)=0),$H$1*H75*Variables!$I$23*0.25,0)</f>
        <v>19.235463730000006</v>
      </c>
      <c r="W75" s="97">
        <f>IF(AND((K75+J75)=0,(T75+Q75)=0),$I$1*H75*Variables!$Q$23*0.25,0)</f>
        <v>20.13444265</v>
      </c>
      <c r="X75" s="95">
        <f>IF(AND(NOT(K75=0),(H75-H74)&gt;0),(H75-H74)*(Variables!$M$5*$H$1+Variables!$U$5*$I$1),0)+IF(AND(NOT((J75+N75+Q75)=0),(H74-H75)&gt;0),(H74-H75)*(Variables!$M$4*$H$1+Variables!$U$4*$I$1),0)</f>
        <v>0</v>
      </c>
      <c r="Y75" s="95">
        <f>IF(SUM(T75,U74:U75)&gt;0,H75*Variables!$Y$11*0.25*(1-$J$1),0)</f>
        <v>0</v>
      </c>
      <c r="Z75" s="95">
        <f>IF(T75=0,H75*$J$1*Variables!$Y$5*0.25,0)</f>
        <v>6.4883000000000015</v>
      </c>
      <c r="AA75" s="95">
        <f t="shared" si="0"/>
        <v>45.858206380000006</v>
      </c>
      <c r="AB75" s="91">
        <f>AA75/Variables!$E$49</f>
        <v>7.3964849000000008</v>
      </c>
    </row>
    <row r="76" spans="1:28" x14ac:dyDescent="0.25">
      <c r="A76" s="61">
        <f>'Water runs'!C83</f>
        <v>8918</v>
      </c>
      <c r="B76" s="61" t="str">
        <f>'Water runs'!B83</f>
        <v>Autumn</v>
      </c>
      <c r="C76" s="54">
        <f>'Water runs'!D83/100</f>
        <v>0.62740000000000007</v>
      </c>
      <c r="D76" s="108">
        <f>VLOOKUP(ROW(D76)+4,'Water runs'!$BS$3:$CF$423,MATCH($B$1,Scenarios,0)+1)</f>
        <v>1.1494707004806056E-2</v>
      </c>
      <c r="E76" s="54">
        <f>IF(B76=Variables!$D$8,C76-Variables!$E$8,IF(B76=Variables!$D$9,C76-Variables!$E$9,IF(B76=Variables!$D$10,C76-Variables!$E$10,IF(B76=Variables!$D$11,C76-Variables!$E$11,"ELSE"))))</f>
        <v>-0.36724329931972777</v>
      </c>
      <c r="F76" s="108">
        <f>VLOOKUP(ROW(F76)+4,'Water runs'!$CH$3:$CU$423,MATCH($B$1,Scenarios,0)+1)</f>
        <v>0</v>
      </c>
      <c r="G76" s="65">
        <f>H76/Variables!$E$49</f>
        <v>0.34512403949700332</v>
      </c>
      <c r="H76" s="62">
        <f>IF((H75+I76)&gt;(1.1*Variables!$E$50),(1.1*Variables!$E$50),IF((H75+I76)&gt;0,H75+I76,0))</f>
        <v>2.1397690448814206</v>
      </c>
      <c r="I76" s="64">
        <f t="shared" si="1"/>
        <v>1.1415690448814204</v>
      </c>
      <c r="J76" s="63">
        <f>IF(SUM(E72:E75)&lt;Variables!$B$3,-H75,0)</f>
        <v>0</v>
      </c>
      <c r="K76" s="64">
        <f>IF(AND(H75&lt;Variables!$B$6*Variables!$E$50,OR(SUM(D73:D76)&gt;Variables!$B$5,SUM(E73:E76)&gt;Variables!$B$4)),Variables!$B$6*Variables!$E$50+Variables!$B$7*$G$1*Variables!$E$50*SUM(D73:D76),0)</f>
        <v>1.1415690448814204</v>
      </c>
      <c r="L76" s="64">
        <f>IF(B76="Winter",Variables!$B$8*H75,0)</f>
        <v>0</v>
      </c>
      <c r="M76" s="64">
        <f>IF(AND(B76="Spring",AND(NOT(H75=0),H75&lt;(Variables!$B$9*Variables!$E$50))),(Variables!$B$10*Variables!$E$50+Variables!$B$11*Variables!$E$50*SUM(E73:E76)+$G$1*SUM(D75:D76)*Variables!$E$50*Variables!$B$12),0)</f>
        <v>0</v>
      </c>
      <c r="N76" s="64">
        <f>IF(AND(B76="Spring",AND(SUM(D73:D76)&gt;Variables!$B$13,SUM(D69:D72)&gt;Variables!$B$13)),-Variables!$B$14*Variables!$E$50,0)</f>
        <v>0</v>
      </c>
      <c r="O76" s="64">
        <f>IF(AND(B76="Summer",SUM(C72:D76)&gt;Variables!$B$15),(Variables!$B$16*Variables!$E$50*SUM(C72:C76)+$G$1*Variables!$B$16*Variables!$E$50*SUM(D72:D76)+$G$1*Variables!$E$50*Variables!$B$17*F76),0)</f>
        <v>0</v>
      </c>
      <c r="P76" s="64">
        <f>IF(AND(AND(B76="Autumn",SUM(D75:E76)&gt;0),NOT(H75=0)),Variables!$B$18*Variables!$E$50+Variables!$B$19*Variables!$E$50*SUM(E75:E76)+$G$1*Variables!$B$19*Variables!$E$50*SUM(D75:D76),0)</f>
        <v>0</v>
      </c>
      <c r="Q76" s="64">
        <f>IF(AND(B76="Autumn",AND((E76+E75)&lt;Variables!$B$20,(D75+D76)=0)),-Variables!$B$21*Variables!$E$50,0)</f>
        <v>0</v>
      </c>
      <c r="R76" s="64">
        <f>IF(B76="Autumn",(SUM(F75:F76)*$G$1*Variables!$B$22*Variables!$E$50),0)</f>
        <v>0</v>
      </c>
      <c r="S76" s="64">
        <f>IF(B76="Spring",($G$1*Variables!$E$50*SUM('Guts (option 1)'!F75:F76)*Variables!$B$23),0)</f>
        <v>0</v>
      </c>
      <c r="T76" s="63">
        <f>IF((H75+SUM(J76:Q76))&lt;(Variables!$B$26*Variables!$E$50),$F$1*((Variables!$B$26*Variables!$E$50)-H75-SUM(J76:Q76)),0)</f>
        <v>0</v>
      </c>
      <c r="U76" s="64">
        <f>IF(AND(AND(B76="Autumn",SUM(D73:E76)&gt;Variables!$B$27),SUM(J76:Q76)&lt;Variables!$B$28*H75),$F$1*(Variables!$B$28*H75-SUM(J76:Q76)),0)</f>
        <v>0</v>
      </c>
      <c r="V76" s="96">
        <f>IF(AND((J76+K76)=0,(Q76+T76)=0),$H$1*H76*Variables!$I$23*0.25,0)</f>
        <v>0</v>
      </c>
      <c r="W76" s="97">
        <f>IF(AND((K76+J76)=0,(T76+Q76)=0),$I$1*H76*Variables!$Q$23*0.25,0)</f>
        <v>0</v>
      </c>
      <c r="X76" s="95">
        <f>IF(AND(NOT(K76=0),(H76-H75)&gt;0),(H76-H75)*(Variables!$M$5*$H$1+Variables!$U$5*$I$1),0)+IF(AND(NOT((J76+N76+Q76)=0),(H75-H76)&gt;0),(H75-H76)*(Variables!$M$4*$H$1+Variables!$U$4*$I$1),0)</f>
        <v>-285.39226122035512</v>
      </c>
      <c r="Y76" s="95">
        <f>IF(SUM(T76,U75:U76)&gt;0,H76*Variables!$Y$11*0.25*(1-$J$1),0)</f>
        <v>0</v>
      </c>
      <c r="Z76" s="95">
        <f>IF(T76=0,H76*$J$1*Variables!$Y$5*0.25,0)</f>
        <v>13.908498791729233</v>
      </c>
      <c r="AA76" s="95">
        <f t="shared" si="0"/>
        <v>-271.48376242862588</v>
      </c>
      <c r="AB76" s="91">
        <f>AA76/Variables!$E$49</f>
        <v>-43.7877036175203</v>
      </c>
    </row>
    <row r="77" spans="1:28" x14ac:dyDescent="0.25">
      <c r="A77" s="61">
        <f>'Water runs'!C84</f>
        <v>9010</v>
      </c>
      <c r="B77" s="61" t="str">
        <f>'Water runs'!B84</f>
        <v>Winter</v>
      </c>
      <c r="C77" s="54">
        <f>'Water runs'!D84/100</f>
        <v>0.54679999999999995</v>
      </c>
      <c r="D77" s="108">
        <f>VLOOKUP(ROW(D77)+4,'Water runs'!$BS$3:$CF$423,MATCH($B$1,Scenarios,0)+1)</f>
        <v>0</v>
      </c>
      <c r="E77" s="54">
        <f>IF(B77=Variables!$D$8,C77-Variables!$E$8,IF(B77=Variables!$D$9,C77-Variables!$E$9,IF(B77=Variables!$D$10,C77-Variables!$E$10,IF(B77=Variables!$D$11,C77-Variables!$E$11,"ELSE"))))</f>
        <v>-2.4967625661375781E-2</v>
      </c>
      <c r="F77" s="108">
        <f>VLOOKUP(ROW(F77)+4,'Water runs'!$CH$3:$CU$423,MATCH($B$1,Scenarios,0)+1)</f>
        <v>0</v>
      </c>
      <c r="G77" s="65">
        <f>H77/Variables!$E$49</f>
        <v>0.17327116463348086</v>
      </c>
      <c r="H77" s="62">
        <f>IF((H76+I77)&gt;(1.1*Variables!$E$50),(1.1*Variables!$E$50),IF((H76+I77)&gt;0,H76+I77,0))</f>
        <v>1.0742812207275814</v>
      </c>
      <c r="I77" s="64">
        <f t="shared" si="1"/>
        <v>-1.0654878241538392</v>
      </c>
      <c r="J77" s="63">
        <f>IF(SUM(E73:E76)&lt;Variables!$B$3,-H76,0)</f>
        <v>0</v>
      </c>
      <c r="K77" s="64">
        <f>IF(AND(H76&lt;Variables!$B$6*Variables!$E$50,OR(SUM(D74:D77)&gt;Variables!$B$5,SUM(E74:E77)&gt;Variables!$B$4)),Variables!$B$6*Variables!$E$50+Variables!$B$7*$G$1*Variables!$E$50*SUM(D74:D77),0)</f>
        <v>0</v>
      </c>
      <c r="L77" s="64">
        <f>IF(B77="Winter",Variables!$B$8*H76,0)</f>
        <v>-1.0654878241538392</v>
      </c>
      <c r="M77" s="64">
        <f>IF(AND(B77="Spring",AND(NOT(H76=0),H76&lt;(Variables!$B$9*Variables!$E$50))),(Variables!$B$10*Variables!$E$50+Variables!$B$11*Variables!$E$50*SUM(E74:E77)+$G$1*SUM(D76:D77)*Variables!$E$50*Variables!$B$12),0)</f>
        <v>0</v>
      </c>
      <c r="N77" s="64">
        <f>IF(AND(B77="Spring",AND(SUM(D74:D77)&gt;Variables!$B$13,SUM(D70:D73)&gt;Variables!$B$13)),-Variables!$B$14*Variables!$E$50,0)</f>
        <v>0</v>
      </c>
      <c r="O77" s="64">
        <f>IF(AND(B77="Summer",SUM(C73:D77)&gt;Variables!$B$15),(Variables!$B$16*Variables!$E$50*SUM(C73:C77)+$G$1*Variables!$B$16*Variables!$E$50*SUM(D73:D77)+$G$1*Variables!$E$50*Variables!$B$17*F77),0)</f>
        <v>0</v>
      </c>
      <c r="P77" s="64">
        <f>IF(AND(AND(B77="Autumn",SUM(D76:E77)&gt;0),NOT(H76=0)),Variables!$B$18*Variables!$E$50+Variables!$B$19*Variables!$E$50*SUM(E76:E77)+$G$1*Variables!$B$19*Variables!$E$50*SUM(D76:D77),0)</f>
        <v>0</v>
      </c>
      <c r="Q77" s="64">
        <f>IF(AND(B77="Autumn",AND((E77+E76)&lt;Variables!$B$20,(D76+D77)=0)),-Variables!$B$21*Variables!$E$50,0)</f>
        <v>0</v>
      </c>
      <c r="R77" s="64">
        <f>IF(B77="Autumn",(SUM(F76:F77)*$G$1*Variables!$B$22*Variables!$E$50),0)</f>
        <v>0</v>
      </c>
      <c r="S77" s="64">
        <f>IF(B77="Spring",($G$1*Variables!$E$50*SUM('Guts (option 1)'!F76:F77)*Variables!$B$23),0)</f>
        <v>0</v>
      </c>
      <c r="T77" s="63">
        <f>IF((H76+SUM(J77:Q77))&lt;(Variables!$B$26*Variables!$E$50),$F$1*((Variables!$B$26*Variables!$E$50)-H76-SUM(J77:Q77)),0)</f>
        <v>0</v>
      </c>
      <c r="U77" s="64">
        <f>IF(AND(AND(B77="Autumn",SUM(D74:E77)&gt;Variables!$B$27),SUM(J77:Q77)&lt;Variables!$B$28*H76),$F$1*(Variables!$B$28*H76-SUM(J77:Q77)),0)</f>
        <v>0</v>
      </c>
      <c r="V77" s="96">
        <f>IF(AND((J77+K77)=0,(Q77+T77)=0),$H$1*H77*Variables!$I$23*0.25,0)</f>
        <v>20.701560265603604</v>
      </c>
      <c r="W77" s="97">
        <f>IF(AND((K77+J77)=0,(T77+Q77)=0),$I$1*H77*Variables!$Q$23*0.25,0)</f>
        <v>21.66905793299086</v>
      </c>
      <c r="X77" s="95">
        <f>IF(AND(NOT(K77=0),(H77-H76)&gt;0),(H77-H76)*(Variables!$M$5*$H$1+Variables!$U$5*$I$1),0)+IF(AND(NOT((J77+N77+Q77)=0),(H76-H77)&gt;0),(H76-H77)*(Variables!$M$4*$H$1+Variables!$U$4*$I$1),0)</f>
        <v>0</v>
      </c>
      <c r="Y77" s="95">
        <f>IF(SUM(T77,U76:U77)&gt;0,H77*Variables!$Y$11*0.25*(1-$J$1),0)</f>
        <v>0</v>
      </c>
      <c r="Z77" s="95">
        <f>IF(T77=0,H77*$J$1*Variables!$Y$5*0.25,0)</f>
        <v>6.9828279347292792</v>
      </c>
      <c r="AA77" s="95">
        <f t="shared" si="0"/>
        <v>49.353446133323743</v>
      </c>
      <c r="AB77" s="91">
        <f>AA77/Variables!$E$49</f>
        <v>7.9602332473102813</v>
      </c>
    </row>
    <row r="78" spans="1:28" x14ac:dyDescent="0.25">
      <c r="A78" s="61">
        <f>'Water runs'!C85</f>
        <v>9101</v>
      </c>
      <c r="B78" s="61" t="str">
        <f>'Water runs'!B85</f>
        <v>Spring</v>
      </c>
      <c r="C78" s="54">
        <f>'Water runs'!D85/100</f>
        <v>1.7996000000000001</v>
      </c>
      <c r="D78" s="108">
        <f>VLOOKUP(ROW(D78)+4,'Water runs'!$BS$3:$CF$423,MATCH($B$1,Scenarios,0)+1)</f>
        <v>1.3752682127332758E-2</v>
      </c>
      <c r="E78" s="54">
        <f>IF(B78=Variables!$D$8,C78-Variables!$E$8,IF(B78=Variables!$D$9,C78-Variables!$E$9,IF(B78=Variables!$D$10,C78-Variables!$E$10,IF(B78=Variables!$D$11,C78-Variables!$E$11,"ELSE"))))</f>
        <v>1.0356177910052908</v>
      </c>
      <c r="F78" s="108">
        <f>VLOOKUP(ROW(F78)+4,'Water runs'!$CH$3:$CU$423,MATCH($B$1,Scenarios,0)+1)</f>
        <v>0</v>
      </c>
      <c r="G78" s="65">
        <f>H78/Variables!$E$49</f>
        <v>0.46510625013136214</v>
      </c>
      <c r="H78" s="62">
        <f>IF((H77+I78)&gt;(1.1*Variables!$E$50),(1.1*Variables!$E$50),IF((H77+I78)&gt;0,H77+I78,0))</f>
        <v>2.8836587508144453</v>
      </c>
      <c r="I78" s="64">
        <f t="shared" si="1"/>
        <v>1.809377530086864</v>
      </c>
      <c r="J78" s="63">
        <f>IF(SUM(E74:E77)&lt;Variables!$B$3,-H77,0)</f>
        <v>0</v>
      </c>
      <c r="K78" s="64">
        <f>IF(AND(H77&lt;Variables!$B$6*Variables!$E$50,OR(SUM(D75:D78)&gt;Variables!$B$5,SUM(E75:E78)&gt;Variables!$B$4)),Variables!$B$6*Variables!$E$50+Variables!$B$7*$G$1*Variables!$E$50*SUM(D75:D78),0)</f>
        <v>1.1422915049299793</v>
      </c>
      <c r="L78" s="64">
        <f>IF(B78="Winter",Variables!$B$8*H77,0)</f>
        <v>0</v>
      </c>
      <c r="M78" s="64">
        <f>IF(AND(B78="Spring",AND(NOT(H77=0),H77&lt;(Variables!$B$9*Variables!$E$50))),(Variables!$B$10*Variables!$E$50+Variables!$B$11*Variables!$E$50*SUM(E75:E78)+$G$1*SUM(D77:D78)*Variables!$E$50*Variables!$B$12),0)</f>
        <v>0.66708602515688464</v>
      </c>
      <c r="N78" s="64">
        <f>IF(AND(B78="Spring",AND(SUM(D75:D78)&gt;Variables!$B$13,SUM(D71:D74)&gt;Variables!$B$13)),-Variables!$B$14*Variables!$E$50,0)</f>
        <v>0</v>
      </c>
      <c r="O78" s="64">
        <f>IF(AND(B78="Summer",SUM(C74:D78)&gt;Variables!$B$15),(Variables!$B$16*Variables!$E$50*SUM(C74:C78)+$G$1*Variables!$B$16*Variables!$E$50*SUM(D74:D78)+$G$1*Variables!$E$50*Variables!$B$17*F78),0)</f>
        <v>0</v>
      </c>
      <c r="P78" s="64">
        <f>IF(AND(AND(B78="Autumn",SUM(D77:E78)&gt;0),NOT(H77=0)),Variables!$B$18*Variables!$E$50+Variables!$B$19*Variables!$E$50*SUM(E77:E78)+$G$1*Variables!$B$19*Variables!$E$50*SUM(D77:D78),0)</f>
        <v>0</v>
      </c>
      <c r="Q78" s="64">
        <f>IF(AND(B78="Autumn",AND((E78+E77)&lt;Variables!$B$20,(D77+D78)=0)),-Variables!$B$21*Variables!$E$50,0)</f>
        <v>0</v>
      </c>
      <c r="R78" s="64">
        <f>IF(B78="Autumn",(SUM(F77:F78)*$G$1*Variables!$B$22*Variables!$E$50),0)</f>
        <v>0</v>
      </c>
      <c r="S78" s="64">
        <f>IF(B78="Spring",($G$1*Variables!$E$50*SUM('Guts (option 1)'!F77:F78)*Variables!$B$23),0)</f>
        <v>0</v>
      </c>
      <c r="T78" s="63">
        <f>IF((H77+SUM(J78:Q78))&lt;(Variables!$B$26*Variables!$E$50),$F$1*((Variables!$B$26*Variables!$E$50)-H77-SUM(J78:Q78)),0)</f>
        <v>0</v>
      </c>
      <c r="U78" s="64">
        <f>IF(AND(AND(B78="Autumn",SUM(D75:E78)&gt;Variables!$B$27),SUM(J78:Q78)&lt;Variables!$B$28*H77),$F$1*(Variables!$B$28*H77-SUM(J78:Q78)),0)</f>
        <v>0</v>
      </c>
      <c r="V78" s="96">
        <f>IF(AND((J78+K78)=0,(Q78+T78)=0),$H$1*H78*Variables!$I$23*0.25,0)</f>
        <v>0</v>
      </c>
      <c r="W78" s="97">
        <f>IF(AND((K78+J78)=0,(T78+Q78)=0),$I$1*H78*Variables!$Q$23*0.25,0)</f>
        <v>0</v>
      </c>
      <c r="X78" s="95">
        <f>IF(AND(NOT(K78=0),(H78-H77)&gt;0),(H78-H77)*(Variables!$M$5*$H$1+Variables!$U$5*$I$1),0)+IF(AND(NOT((J78+N78+Q78)=0),(H77-H78)&gt;0),(H77-H78)*(Variables!$M$4*$H$1+Variables!$U$4*$I$1),0)</f>
        <v>-452.344382521716</v>
      </c>
      <c r="Y78" s="95">
        <f>IF(SUM(T78,U77:U78)&gt;0,H78*Variables!$Y$11*0.25*(1-$J$1),0)</f>
        <v>0</v>
      </c>
      <c r="Z78" s="95">
        <f>IF(T78=0,H78*$J$1*Variables!$Y$5*0.25,0)</f>
        <v>18.743781880293895</v>
      </c>
      <c r="AA78" s="95">
        <f t="shared" si="0"/>
        <v>-433.60060064142209</v>
      </c>
      <c r="AB78" s="91">
        <f>AA78/Variables!$E$49</f>
        <v>-69.935580748616459</v>
      </c>
    </row>
    <row r="79" spans="1:28" x14ac:dyDescent="0.25">
      <c r="A79" s="61">
        <f>'Water runs'!C86</f>
        <v>9191</v>
      </c>
      <c r="B79" s="61" t="str">
        <f>'Water runs'!B86</f>
        <v>Summer</v>
      </c>
      <c r="C79" s="54">
        <f>'Water runs'!D86/100</f>
        <v>1.0715999999999999</v>
      </c>
      <c r="D79" s="108">
        <f>VLOOKUP(ROW(D79)+4,'Water runs'!$BS$3:$CF$423,MATCH($B$1,Scenarios,0)+1)</f>
        <v>1.0414096707020641E-2</v>
      </c>
      <c r="E79" s="54">
        <f>IF(B79=Variables!$D$8,C79-Variables!$E$8,IF(B79=Variables!$D$9,C79-Variables!$E$9,IF(B79=Variables!$D$10,C79-Variables!$E$10,IF(B79=Variables!$D$11,C79-Variables!$E$11,"ELSE"))))</f>
        <v>-0.18677013605442183</v>
      </c>
      <c r="F79" s="108">
        <f>VLOOKUP(ROW(F79)+4,'Water runs'!$CH$3:$CU$423,MATCH($B$1,Scenarios,0)+1)</f>
        <v>0</v>
      </c>
      <c r="G79" s="65">
        <f>H79/Variables!$E$49</f>
        <v>0.46510625013136214</v>
      </c>
      <c r="H79" s="62">
        <f>IF((H78+I79)&gt;(1.1*Variables!$E$50),(1.1*Variables!$E$50),IF((H78+I79)&gt;0,H78+I79,0))</f>
        <v>2.8836587508144453</v>
      </c>
      <c r="I79" s="64">
        <f t="shared" si="1"/>
        <v>0</v>
      </c>
      <c r="J79" s="63">
        <f>IF(SUM(E75:E78)&lt;Variables!$B$3,-H78,0)</f>
        <v>0</v>
      </c>
      <c r="K79" s="64">
        <f>IF(AND(H78&lt;Variables!$B$6*Variables!$E$50,OR(SUM(D76:D79)&gt;Variables!$B$5,SUM(E76:E79)&gt;Variables!$B$4)),Variables!$B$6*Variables!$E$50+Variables!$B$7*$G$1*Variables!$E$50*SUM(D76:D79),0)</f>
        <v>0</v>
      </c>
      <c r="L79" s="64">
        <f>IF(B79="Winter",Variables!$B$8*H78,0)</f>
        <v>0</v>
      </c>
      <c r="M79" s="64">
        <f>IF(AND(B79="Spring",AND(NOT(H78=0),H78&lt;(Variables!$B$9*Variables!$E$50))),(Variables!$B$10*Variables!$E$50+Variables!$B$11*Variables!$E$50*SUM(E76:E79)+$G$1*SUM(D78:D79)*Variables!$E$50*Variables!$B$12),0)</f>
        <v>0</v>
      </c>
      <c r="N79" s="64">
        <f>IF(AND(B79="Spring",AND(SUM(D76:D79)&gt;Variables!$B$13,SUM(D72:D75)&gt;Variables!$B$13)),-Variables!$B$14*Variables!$E$50,0)</f>
        <v>0</v>
      </c>
      <c r="O79" s="64">
        <f>IF(AND(B79="Summer",SUM(C75:D79)&gt;Variables!$B$15),(Variables!$B$16*Variables!$E$50*SUM(C75:C79)+$G$1*Variables!$B$16*Variables!$E$50*SUM(D75:D79)+$G$1*Variables!$E$50*Variables!$B$17*F79),0)</f>
        <v>0</v>
      </c>
      <c r="P79" s="64">
        <f>IF(AND(AND(B79="Autumn",SUM(D78:E79)&gt;0),NOT(H78=0)),Variables!$B$18*Variables!$E$50+Variables!$B$19*Variables!$E$50*SUM(E78:E79)+$G$1*Variables!$B$19*Variables!$E$50*SUM(D78:D79),0)</f>
        <v>0</v>
      </c>
      <c r="Q79" s="64">
        <f>IF(AND(B79="Autumn",AND((E79+E78)&lt;Variables!$B$20,(D78+D79)=0)),-Variables!$B$21*Variables!$E$50,0)</f>
        <v>0</v>
      </c>
      <c r="R79" s="64">
        <f>IF(B79="Autumn",(SUM(F78:F79)*$G$1*Variables!$B$22*Variables!$E$50),0)</f>
        <v>0</v>
      </c>
      <c r="S79" s="64">
        <f>IF(B79="Spring",($G$1*Variables!$E$50*SUM('Guts (option 1)'!F78:F79)*Variables!$B$23),0)</f>
        <v>0</v>
      </c>
      <c r="T79" s="63">
        <f>IF((H78+SUM(J79:Q79))&lt;(Variables!$B$26*Variables!$E$50),$F$1*((Variables!$B$26*Variables!$E$50)-H78-SUM(J79:Q79)),0)</f>
        <v>0</v>
      </c>
      <c r="U79" s="64">
        <f>IF(AND(AND(B79="Autumn",SUM(D76:E79)&gt;Variables!$B$27),SUM(J79:Q79)&lt;Variables!$B$28*H78),$F$1*(Variables!$B$28*H78-SUM(J79:Q79)),0)</f>
        <v>0</v>
      </c>
      <c r="V79" s="96">
        <f>IF(AND((J79+K79)=0,(Q79+T79)=0),$H$1*H79*Variables!$I$23*0.25,0)</f>
        <v>55.568536677006989</v>
      </c>
      <c r="W79" s="97">
        <f>IF(AND((K79+J79)=0,(T79+Q79)=0),$I$1*H79*Variables!$Q$23*0.25,0)</f>
        <v>58.165559747990471</v>
      </c>
      <c r="X79" s="95">
        <f>IF(AND(NOT(K79=0),(H79-H78)&gt;0),(H79-H78)*(Variables!$M$5*$H$1+Variables!$U$5*$I$1),0)+IF(AND(NOT((J79+N79+Q79)=0),(H78-H79)&gt;0),(H78-H79)*(Variables!$M$4*$H$1+Variables!$U$4*$I$1),0)</f>
        <v>0</v>
      </c>
      <c r="Y79" s="95">
        <f>IF(SUM(T79,U78:U79)&gt;0,H79*Variables!$Y$11*0.25*(1-$J$1),0)</f>
        <v>0</v>
      </c>
      <c r="Z79" s="95">
        <f>IF(T79=0,H79*$J$1*Variables!$Y$5*0.25,0)</f>
        <v>18.743781880293895</v>
      </c>
      <c r="AA79" s="95">
        <f t="shared" si="0"/>
        <v>132.47787830529137</v>
      </c>
      <c r="AB79" s="91">
        <f>AA79/Variables!$E$49</f>
        <v>21.367399726659897</v>
      </c>
    </row>
    <row r="80" spans="1:28" x14ac:dyDescent="0.25">
      <c r="A80" s="61">
        <f>'Water runs'!C87</f>
        <v>9283</v>
      </c>
      <c r="B80" s="61" t="str">
        <f>'Water runs'!B87</f>
        <v>Autumn</v>
      </c>
      <c r="C80" s="54">
        <f>'Water runs'!D87/100</f>
        <v>0.1946</v>
      </c>
      <c r="D80" s="108">
        <f>VLOOKUP(ROW(D80)+4,'Water runs'!$BS$3:$CF$423,MATCH($B$1,Scenarios,0)+1)</f>
        <v>0</v>
      </c>
      <c r="E80" s="54">
        <f>IF(B80=Variables!$D$8,C80-Variables!$E$8,IF(B80=Variables!$D$9,C80-Variables!$E$9,IF(B80=Variables!$D$10,C80-Variables!$E$10,IF(B80=Variables!$D$11,C80-Variables!$E$11,"ELSE"))))</f>
        <v>-0.80004329931972784</v>
      </c>
      <c r="F80" s="108">
        <f>VLOOKUP(ROW(F80)+4,'Water runs'!$CH$3:$CU$423,MATCH($B$1,Scenarios,0)+1)</f>
        <v>0</v>
      </c>
      <c r="G80" s="65">
        <f>H80/Variables!$E$49</f>
        <v>0.46510625013136214</v>
      </c>
      <c r="H80" s="62">
        <f>IF((H79+I80)&gt;(1.1*Variables!$E$50),(1.1*Variables!$E$50),IF((H79+I80)&gt;0,H79+I80,0))</f>
        <v>2.8836587508144453</v>
      </c>
      <c r="I80" s="64">
        <f t="shared" si="1"/>
        <v>0</v>
      </c>
      <c r="J80" s="63">
        <f>IF(SUM(E76:E79)&lt;Variables!$B$3,-H79,0)</f>
        <v>0</v>
      </c>
      <c r="K80" s="64">
        <f>IF(AND(H79&lt;Variables!$B$6*Variables!$E$50,OR(SUM(D77:D80)&gt;Variables!$B$5,SUM(E77:E80)&gt;Variables!$B$4)),Variables!$B$6*Variables!$E$50+Variables!$B$7*$G$1*Variables!$E$50*SUM(D77:D80),0)</f>
        <v>0</v>
      </c>
      <c r="L80" s="64">
        <f>IF(B80="Winter",Variables!$B$8*H79,0)</f>
        <v>0</v>
      </c>
      <c r="M80" s="64">
        <f>IF(AND(B80="Spring",AND(NOT(H79=0),H79&lt;(Variables!$B$9*Variables!$E$50))),(Variables!$B$10*Variables!$E$50+Variables!$B$11*Variables!$E$50*SUM(E77:E80)+$G$1*SUM(D79:D80)*Variables!$E$50*Variables!$B$12),0)</f>
        <v>0</v>
      </c>
      <c r="N80" s="64">
        <f>IF(AND(B80="Spring",AND(SUM(D77:D80)&gt;Variables!$B$13,SUM(D73:D76)&gt;Variables!$B$13)),-Variables!$B$14*Variables!$E$50,0)</f>
        <v>0</v>
      </c>
      <c r="O80" s="64">
        <f>IF(AND(B80="Summer",SUM(C76:D80)&gt;Variables!$B$15),(Variables!$B$16*Variables!$E$50*SUM(C76:C80)+$G$1*Variables!$B$16*Variables!$E$50*SUM(D76:D80)+$G$1*Variables!$E$50*Variables!$B$17*F80),0)</f>
        <v>0</v>
      </c>
      <c r="P80" s="64">
        <f>IF(AND(AND(B80="Autumn",SUM(D79:E80)&gt;0),NOT(H79=0)),Variables!$B$18*Variables!$E$50+Variables!$B$19*Variables!$E$50*SUM(E79:E80)+$G$1*Variables!$B$19*Variables!$E$50*SUM(D79:D80),0)</f>
        <v>0</v>
      </c>
      <c r="Q80" s="64">
        <f>IF(AND(B80="Autumn",AND((E80+E79)&lt;Variables!$B$20,(D79+D80)=0)),-Variables!$B$21*Variables!$E$50,0)</f>
        <v>0</v>
      </c>
      <c r="R80" s="64">
        <f>IF(B80="Autumn",(SUM(F79:F80)*$G$1*Variables!$B$22*Variables!$E$50),0)</f>
        <v>0</v>
      </c>
      <c r="S80" s="64">
        <f>IF(B80="Spring",($G$1*Variables!$E$50*SUM('Guts (option 1)'!F79:F80)*Variables!$B$23),0)</f>
        <v>0</v>
      </c>
      <c r="T80" s="63">
        <f>IF((H79+SUM(J80:Q80))&lt;(Variables!$B$26*Variables!$E$50),$F$1*((Variables!$B$26*Variables!$E$50)-H79-SUM(J80:Q80)),0)</f>
        <v>0</v>
      </c>
      <c r="U80" s="64">
        <f>IF(AND(AND(B80="Autumn",SUM(D77:E80)&gt;Variables!$B$27),SUM(J80:Q80)&lt;Variables!$B$28*H79),$F$1*(Variables!$B$28*H79-SUM(J80:Q80)),0)</f>
        <v>0</v>
      </c>
      <c r="V80" s="96">
        <f>IF(AND((J80+K80)=0,(Q80+T80)=0),$H$1*H80*Variables!$I$23*0.25,0)</f>
        <v>55.568536677006989</v>
      </c>
      <c r="W80" s="97">
        <f>IF(AND((K80+J80)=0,(T80+Q80)=0),$I$1*H80*Variables!$Q$23*0.25,0)</f>
        <v>58.165559747990471</v>
      </c>
      <c r="X80" s="95">
        <f>IF(AND(NOT(K80=0),(H80-H79)&gt;0),(H80-H79)*(Variables!$M$5*$H$1+Variables!$U$5*$I$1),0)+IF(AND(NOT((J80+N80+Q80)=0),(H79-H80)&gt;0),(H79-H80)*(Variables!$M$4*$H$1+Variables!$U$4*$I$1),0)</f>
        <v>0</v>
      </c>
      <c r="Y80" s="95">
        <f>IF(SUM(T80,U79:U80)&gt;0,H80*Variables!$Y$11*0.25*(1-$J$1),0)</f>
        <v>0</v>
      </c>
      <c r="Z80" s="95">
        <f>IF(T80=0,H80*$J$1*Variables!$Y$5*0.25,0)</f>
        <v>18.743781880293895</v>
      </c>
      <c r="AA80" s="95">
        <f t="shared" ref="AA80:AA143" si="2">SUM(V80:Z80)</f>
        <v>132.47787830529137</v>
      </c>
      <c r="AB80" s="91">
        <f>AA80/Variables!$E$49</f>
        <v>21.367399726659897</v>
      </c>
    </row>
    <row r="81" spans="1:28" x14ac:dyDescent="0.25">
      <c r="A81" s="61">
        <f>'Water runs'!C88</f>
        <v>9375</v>
      </c>
      <c r="B81" s="61" t="str">
        <f>'Water runs'!B88</f>
        <v>Winter</v>
      </c>
      <c r="C81" s="54">
        <f>'Water runs'!D88/100</f>
        <v>0.54959999999999998</v>
      </c>
      <c r="D81" s="108">
        <f>VLOOKUP(ROW(D81)+4,'Water runs'!$BS$3:$CF$423,MATCH($B$1,Scenarios,0)+1)</f>
        <v>0</v>
      </c>
      <c r="E81" s="54">
        <f>IF(B81=Variables!$D$8,C81-Variables!$E$8,IF(B81=Variables!$D$9,C81-Variables!$E$9,IF(B81=Variables!$D$10,C81-Variables!$E$10,IF(B81=Variables!$D$11,C81-Variables!$E$11,"ELSE"))))</f>
        <v>-2.2167625661375756E-2</v>
      </c>
      <c r="F81" s="108">
        <f>VLOOKUP(ROW(F81)+4,'Water runs'!$CH$3:$CU$423,MATCH($B$1,Scenarios,0)+1)</f>
        <v>0</v>
      </c>
      <c r="G81" s="65">
        <f>H81/Variables!$E$49</f>
        <v>0.23350880383767628</v>
      </c>
      <c r="H81" s="62">
        <f>IF((H80+I81)&gt;(1.1*Variables!$E$50),(1.1*Variables!$E$50),IF((H80+I81)&gt;0,H80+I81,0))</f>
        <v>1.447754583793593</v>
      </c>
      <c r="I81" s="64">
        <f t="shared" si="1"/>
        <v>-1.4359041670208523</v>
      </c>
      <c r="J81" s="63">
        <f>IF(SUM(E77:E80)&lt;Variables!$B$3,-H80,0)</f>
        <v>0</v>
      </c>
      <c r="K81" s="64">
        <f>IF(AND(H80&lt;Variables!$B$6*Variables!$E$50,OR(SUM(D78:D81)&gt;Variables!$B$5,SUM(E78:E81)&gt;Variables!$B$4)),Variables!$B$6*Variables!$E$50+Variables!$B$7*$G$1*Variables!$E$50*SUM(D78:D81),0)</f>
        <v>0</v>
      </c>
      <c r="L81" s="64">
        <f>IF(B81="Winter",Variables!$B$8*H80,0)</f>
        <v>-1.4359041670208523</v>
      </c>
      <c r="M81" s="64">
        <f>IF(AND(B81="Spring",AND(NOT(H80=0),H80&lt;(Variables!$B$9*Variables!$E$50))),(Variables!$B$10*Variables!$E$50+Variables!$B$11*Variables!$E$50*SUM(E78:E81)+$G$1*SUM(D80:D81)*Variables!$E$50*Variables!$B$12),0)</f>
        <v>0</v>
      </c>
      <c r="N81" s="64">
        <f>IF(AND(B81="Spring",AND(SUM(D78:D81)&gt;Variables!$B$13,SUM(D74:D77)&gt;Variables!$B$13)),-Variables!$B$14*Variables!$E$50,0)</f>
        <v>0</v>
      </c>
      <c r="O81" s="64">
        <f>IF(AND(B81="Summer",SUM(C77:D81)&gt;Variables!$B$15),(Variables!$B$16*Variables!$E$50*SUM(C77:C81)+$G$1*Variables!$B$16*Variables!$E$50*SUM(D77:D81)+$G$1*Variables!$E$50*Variables!$B$17*F81),0)</f>
        <v>0</v>
      </c>
      <c r="P81" s="64">
        <f>IF(AND(AND(B81="Autumn",SUM(D80:E81)&gt;0),NOT(H80=0)),Variables!$B$18*Variables!$E$50+Variables!$B$19*Variables!$E$50*SUM(E80:E81)+$G$1*Variables!$B$19*Variables!$E$50*SUM(D80:D81),0)</f>
        <v>0</v>
      </c>
      <c r="Q81" s="64">
        <f>IF(AND(B81="Autumn",AND((E81+E80)&lt;Variables!$B$20,(D80+D81)=0)),-Variables!$B$21*Variables!$E$50,0)</f>
        <v>0</v>
      </c>
      <c r="R81" s="64">
        <f>IF(B81="Autumn",(SUM(F80:F81)*$G$1*Variables!$B$22*Variables!$E$50),0)</f>
        <v>0</v>
      </c>
      <c r="S81" s="64">
        <f>IF(B81="Spring",($G$1*Variables!$E$50*SUM('Guts (option 1)'!F80:F81)*Variables!$B$23),0)</f>
        <v>0</v>
      </c>
      <c r="T81" s="63">
        <f>IF((H80+SUM(J81:Q81))&lt;(Variables!$B$26*Variables!$E$50),$F$1*((Variables!$B$26*Variables!$E$50)-H80-SUM(J81:Q81)),0)</f>
        <v>0</v>
      </c>
      <c r="U81" s="64">
        <f>IF(AND(AND(B81="Autumn",SUM(D78:E81)&gt;Variables!$B$27),SUM(J81:Q81)&lt;Variables!$B$28*H80),$F$1*(Variables!$B$28*H80-SUM(J81:Q81)),0)</f>
        <v>0</v>
      </c>
      <c r="V81" s="96">
        <f>IF(AND((J81+K81)=0,(Q81+T81)=0),$H$1*H81*Variables!$I$23*0.25,0)</f>
        <v>27.898447992890109</v>
      </c>
      <c r="W81" s="97">
        <f>IF(AND((K81+J81)=0,(T81+Q81)=0),$I$1*H81*Variables!$Q$23*0.25,0)</f>
        <v>29.202295771054615</v>
      </c>
      <c r="X81" s="95">
        <f>IF(AND(NOT(K81=0),(H81-H80)&gt;0),(H81-H80)*(Variables!$M$5*$H$1+Variables!$U$5*$I$1),0)+IF(AND(NOT((J81+N81+Q81)=0),(H80-H81)&gt;0),(H80-H81)*(Variables!$M$4*$H$1+Variables!$U$4*$I$1),0)</f>
        <v>0</v>
      </c>
      <c r="Y81" s="95">
        <f>IF(SUM(T81,U80:U81)&gt;0,H81*Variables!$Y$11*0.25*(1-$J$1),0)</f>
        <v>0</v>
      </c>
      <c r="Z81" s="95">
        <f>IF(T81=0,H81*$J$1*Variables!$Y$5*0.25,0)</f>
        <v>9.4104047946583549</v>
      </c>
      <c r="AA81" s="95">
        <f t="shared" si="2"/>
        <v>66.511148558603082</v>
      </c>
      <c r="AB81" s="91">
        <f>AA81/Variables!$E$49</f>
        <v>10.727604606226304</v>
      </c>
    </row>
    <row r="82" spans="1:28" x14ac:dyDescent="0.25">
      <c r="A82" s="61">
        <f>'Water runs'!C89</f>
        <v>9466</v>
      </c>
      <c r="B82" s="61" t="str">
        <f>'Water runs'!B89</f>
        <v>Spring</v>
      </c>
      <c r="C82" s="54">
        <f>'Water runs'!D89/100</f>
        <v>0.96819999999999995</v>
      </c>
      <c r="D82" s="108">
        <f>VLOOKUP(ROW(D82)+4,'Water runs'!$BS$3:$CF$423,MATCH($B$1,Scenarios,0)+1)</f>
        <v>0</v>
      </c>
      <c r="E82" s="54">
        <f>IF(B82=Variables!$D$8,C82-Variables!$E$8,IF(B82=Variables!$D$9,C82-Variables!$E$9,IF(B82=Variables!$D$10,C82-Variables!$E$10,IF(B82=Variables!$D$11,C82-Variables!$E$11,"ELSE"))))</f>
        <v>0.20421779100529081</v>
      </c>
      <c r="F82" s="108">
        <f>VLOOKUP(ROW(F82)+4,'Water runs'!$CH$3:$CU$423,MATCH($B$1,Scenarios,0)+1)</f>
        <v>0</v>
      </c>
      <c r="G82" s="65">
        <f>H82/Variables!$E$49</f>
        <v>0.161</v>
      </c>
      <c r="H82" s="62">
        <f>IF((H81+I82)&gt;(1.1*Variables!$E$50),(1.1*Variables!$E$50),IF((H81+I82)&gt;0,H81+I82,0))</f>
        <v>0.99820000000000009</v>
      </c>
      <c r="I82" s="64">
        <f t="shared" ref="I82:I121" si="3">SUM(J82:U82)</f>
        <v>-0.44955458379359292</v>
      </c>
      <c r="J82" s="63">
        <f>IF(SUM(E78:E81)&lt;Variables!$B$3,-H81,0)</f>
        <v>0</v>
      </c>
      <c r="K82" s="64">
        <f>IF(AND(H81&lt;Variables!$B$6*Variables!$E$50,OR(SUM(D79:D82)&gt;Variables!$B$5,SUM(E79:E82)&gt;Variables!$B$4)),Variables!$B$6*Variables!$E$50+Variables!$B$7*$G$1*Variables!$E$50*SUM(D79:D82),0)</f>
        <v>0</v>
      </c>
      <c r="L82" s="64">
        <f>IF(B82="Winter",Variables!$B$8*H81,0)</f>
        <v>0</v>
      </c>
      <c r="M82" s="64">
        <f>IF(AND(B82="Spring",AND(NOT(H81=0),H81&lt;(Variables!$B$9*Variables!$E$50))),(Variables!$B$10*Variables!$E$50+Variables!$B$11*Variables!$E$50*SUM(E79:E82)+$G$1*SUM(D81:D82)*Variables!$E$50*Variables!$B$12),0)</f>
        <v>-0.54809342955012708</v>
      </c>
      <c r="N82" s="64">
        <f>IF(AND(B82="Spring",AND(SUM(D79:D82)&gt;Variables!$B$13,SUM(D75:D78)&gt;Variables!$B$13)),-Variables!$B$14*Variables!$E$50,0)</f>
        <v>0</v>
      </c>
      <c r="O82" s="64">
        <f>IF(AND(B82="Summer",SUM(C78:D82)&gt;Variables!$B$15),(Variables!$B$16*Variables!$E$50*SUM(C78:C82)+$G$1*Variables!$B$16*Variables!$E$50*SUM(D78:D82)+$G$1*Variables!$E$50*Variables!$B$17*F82),0)</f>
        <v>0</v>
      </c>
      <c r="P82" s="64">
        <f>IF(AND(AND(B82="Autumn",SUM(D81:E82)&gt;0),NOT(H81=0)),Variables!$B$18*Variables!$E$50+Variables!$B$19*Variables!$E$50*SUM(E81:E82)+$G$1*Variables!$B$19*Variables!$E$50*SUM(D81:D82),0)</f>
        <v>0</v>
      </c>
      <c r="Q82" s="64">
        <f>IF(AND(B82="Autumn",AND((E82+E81)&lt;Variables!$B$20,(D81+D82)=0)),-Variables!$B$21*Variables!$E$50,0)</f>
        <v>0</v>
      </c>
      <c r="R82" s="64">
        <f>IF(B82="Autumn",(SUM(F81:F82)*$G$1*Variables!$B$22*Variables!$E$50),0)</f>
        <v>0</v>
      </c>
      <c r="S82" s="64">
        <f>IF(B82="Spring",($G$1*Variables!$E$50*SUM('Guts (option 1)'!F81:F82)*Variables!$B$23),0)</f>
        <v>0</v>
      </c>
      <c r="T82" s="63">
        <f>IF((H81+SUM(J82:Q82))&lt;(Variables!$B$26*Variables!$E$50),$F$1*((Variables!$B$26*Variables!$E$50)-H81-SUM(J82:Q82)),0)</f>
        <v>9.8538845756534155E-2</v>
      </c>
      <c r="U82" s="64">
        <f>IF(AND(AND(B82="Autumn",SUM(D79:E82)&gt;Variables!$B$27),SUM(J82:Q82)&lt;Variables!$B$28*H81),$F$1*(Variables!$B$28*H81-SUM(J82:Q82)),0)</f>
        <v>0</v>
      </c>
      <c r="V82" s="96">
        <f>IF(AND((J82+K82)=0,(Q82+T82)=0),$H$1*H82*Variables!$I$23*0.25,0)</f>
        <v>0</v>
      </c>
      <c r="W82" s="97">
        <f>IF(AND((K82+J82)=0,(T82+Q82)=0),$I$1*H82*Variables!$Q$23*0.25,0)</f>
        <v>0</v>
      </c>
      <c r="X82" s="95">
        <f>IF(AND(NOT(K82=0),(H82-H81)&gt;0),(H82-H81)*(Variables!$M$5*$H$1+Variables!$U$5*$I$1),0)+IF(AND(NOT((J82+N82+Q82)=0),(H81-H82)&gt;0),(H81-H82)*(Variables!$M$4*$H$1+Variables!$U$4*$I$1),0)</f>
        <v>0</v>
      </c>
      <c r="Y82" s="95">
        <f>IF(SUM(T82,U81:U82)&gt;0,H82*Variables!$Y$11*0.25*(1-$J$1),0)</f>
        <v>0</v>
      </c>
      <c r="Z82" s="95">
        <f>IF(T82=0,H82*$J$1*Variables!$Y$5*0.25,0)</f>
        <v>0</v>
      </c>
      <c r="AA82" s="95">
        <f t="shared" si="2"/>
        <v>0</v>
      </c>
      <c r="AB82" s="91">
        <f>AA82/Variables!$E$49</f>
        <v>0</v>
      </c>
    </row>
    <row r="83" spans="1:28" x14ac:dyDescent="0.25">
      <c r="A83" s="61">
        <f>'Water runs'!C90</f>
        <v>9556</v>
      </c>
      <c r="B83" s="61" t="str">
        <f>'Water runs'!B90</f>
        <v>Summer</v>
      </c>
      <c r="C83" s="54">
        <f>'Water runs'!D90/100</f>
        <v>1.7841999999999998</v>
      </c>
      <c r="D83" s="108">
        <f>VLOOKUP(ROW(D83)+4,'Water runs'!$BS$3:$CF$423,MATCH($B$1,Scenarios,0)+1)</f>
        <v>2.2364389266740035E-3</v>
      </c>
      <c r="E83" s="54">
        <f>IF(B83=Variables!$D$8,C83-Variables!$E$8,IF(B83=Variables!$D$9,C83-Variables!$E$9,IF(B83=Variables!$D$10,C83-Variables!$E$10,IF(B83=Variables!$D$11,C83-Variables!$E$11,"ELSE"))))</f>
        <v>0.52582986394557807</v>
      </c>
      <c r="F83" s="108">
        <f>VLOOKUP(ROW(F83)+4,'Water runs'!$CH$3:$CU$423,MATCH($B$1,Scenarios,0)+1)</f>
        <v>0</v>
      </c>
      <c r="G83" s="65">
        <f>H83/Variables!$E$49</f>
        <v>0.34501894923947296</v>
      </c>
      <c r="H83" s="62">
        <f>IF((H82+I83)&gt;(1.1*Variables!$E$50),(1.1*Variables!$E$50),IF((H82+I83)&gt;0,H82+I83,0))</f>
        <v>2.1391174852847326</v>
      </c>
      <c r="I83" s="64">
        <f t="shared" si="3"/>
        <v>1.1409174852847324</v>
      </c>
      <c r="J83" s="63">
        <f>IF(SUM(E79:E82)&lt;Variables!$B$3,-H82,0)</f>
        <v>0</v>
      </c>
      <c r="K83" s="64">
        <f>IF(AND(H82&lt;Variables!$B$6*Variables!$E$50,OR(SUM(D80:D83)&gt;Variables!$B$5,SUM(E80:E83)&gt;Variables!$B$4)),Variables!$B$6*Variables!$E$50+Variables!$B$7*$G$1*Variables!$E$50*SUM(D80:D83),0)</f>
        <v>1.1409174852847324</v>
      </c>
      <c r="L83" s="64">
        <f>IF(B83="Winter",Variables!$B$8*H82,0)</f>
        <v>0</v>
      </c>
      <c r="M83" s="64">
        <f>IF(AND(B83="Spring",AND(NOT(H82=0),H82&lt;(Variables!$B$9*Variables!$E$50))),(Variables!$B$10*Variables!$E$50+Variables!$B$11*Variables!$E$50*SUM(E80:E83)+$G$1*SUM(D82:D83)*Variables!$E$50*Variables!$B$12),0)</f>
        <v>0</v>
      </c>
      <c r="N83" s="64">
        <f>IF(AND(B83="Spring",AND(SUM(D80:D83)&gt;Variables!$B$13,SUM(D76:D79)&gt;Variables!$B$13)),-Variables!$B$14*Variables!$E$50,0)</f>
        <v>0</v>
      </c>
      <c r="O83" s="64">
        <f>IF(AND(B83="Summer",SUM(C79:D83)&gt;Variables!$B$15),(Variables!$B$16*Variables!$E$50*SUM(C79:C83)+$G$1*Variables!$B$16*Variables!$E$50*SUM(D79:D83)+$G$1*Variables!$E$50*Variables!$B$17*F83),0)</f>
        <v>0</v>
      </c>
      <c r="P83" s="64">
        <f>IF(AND(AND(B83="Autumn",SUM(D82:E83)&gt;0),NOT(H82=0)),Variables!$B$18*Variables!$E$50+Variables!$B$19*Variables!$E$50*SUM(E82:E83)+$G$1*Variables!$B$19*Variables!$E$50*SUM(D82:D83),0)</f>
        <v>0</v>
      </c>
      <c r="Q83" s="64">
        <f>IF(AND(B83="Autumn",AND((E83+E82)&lt;Variables!$B$20,(D82+D83)=0)),-Variables!$B$21*Variables!$E$50,0)</f>
        <v>0</v>
      </c>
      <c r="R83" s="64">
        <f>IF(B83="Autumn",(SUM(F82:F83)*$G$1*Variables!$B$22*Variables!$E$50),0)</f>
        <v>0</v>
      </c>
      <c r="S83" s="64">
        <f>IF(B83="Spring",($G$1*Variables!$E$50*SUM('Guts (option 1)'!F82:F83)*Variables!$B$23),0)</f>
        <v>0</v>
      </c>
      <c r="T83" s="63">
        <f>IF((H82+SUM(J83:Q83))&lt;(Variables!$B$26*Variables!$E$50),$F$1*((Variables!$B$26*Variables!$E$50)-H82-SUM(J83:Q83)),0)</f>
        <v>0</v>
      </c>
      <c r="U83" s="64">
        <f>IF(AND(AND(B83="Autumn",SUM(D80:E83)&gt;Variables!$B$27),SUM(J83:Q83)&lt;Variables!$B$28*H82),$F$1*(Variables!$B$28*H82-SUM(J83:Q83)),0)</f>
        <v>0</v>
      </c>
      <c r="V83" s="96">
        <f>IF(AND((J83+K83)=0,(Q83+T83)=0),$H$1*H83*Variables!$I$23*0.25,0)</f>
        <v>0</v>
      </c>
      <c r="W83" s="97">
        <f>IF(AND((K83+J83)=0,(T83+Q83)=0),$I$1*H83*Variables!$Q$23*0.25,0)</f>
        <v>0</v>
      </c>
      <c r="X83" s="95">
        <f>IF(AND(NOT(K83=0),(H83-H82)&gt;0),(H83-H82)*(Variables!$M$5*$H$1+Variables!$U$5*$I$1),0)+IF(AND(NOT((J83+N83+Q83)=0),(H82-H83)&gt;0),(H82-H83)*(Variables!$M$4*$H$1+Variables!$U$4*$I$1),0)</f>
        <v>-285.22937132118307</v>
      </c>
      <c r="Y83" s="95">
        <f>IF(SUM(T83,U82:U83)&gt;0,H83*Variables!$Y$11*0.25*(1-$J$1),0)</f>
        <v>0</v>
      </c>
      <c r="Z83" s="95">
        <f>IF(T83=0,H83*$J$1*Variables!$Y$5*0.25,0)</f>
        <v>13.904263654350762</v>
      </c>
      <c r="AA83" s="95">
        <f t="shared" si="2"/>
        <v>-271.32510766683231</v>
      </c>
      <c r="AB83" s="91">
        <f>AA83/Variables!$E$49</f>
        <v>-43.762114139811665</v>
      </c>
    </row>
    <row r="84" spans="1:28" x14ac:dyDescent="0.25">
      <c r="A84" s="61">
        <f>'Water runs'!C91</f>
        <v>9648</v>
      </c>
      <c r="B84" s="61" t="str">
        <f>'Water runs'!B91</f>
        <v>Autumn</v>
      </c>
      <c r="C84" s="54">
        <f>'Water runs'!D91/100</f>
        <v>2.1347999999999998</v>
      </c>
      <c r="D84" s="108">
        <f>VLOOKUP(ROW(D84)+4,'Water runs'!$BS$3:$CF$423,MATCH($B$1,Scenarios,0)+1)</f>
        <v>1.6278830394539939E-4</v>
      </c>
      <c r="E84" s="54">
        <f>IF(B84=Variables!$D$8,C84-Variables!$E$8,IF(B84=Variables!$D$9,C84-Variables!$E$9,IF(B84=Variables!$D$10,C84-Variables!$E$10,IF(B84=Variables!$D$11,C84-Variables!$E$11,"ELSE"))))</f>
        <v>1.140156700680272</v>
      </c>
      <c r="F84" s="108">
        <f>VLOOKUP(ROW(F84)+4,'Water runs'!$CH$3:$CU$423,MATCH($B$1,Scenarios,0)+1)</f>
        <v>0</v>
      </c>
      <c r="G84" s="65">
        <f>H84/Variables!$E$49</f>
        <v>0.9923390621493875</v>
      </c>
      <c r="H84" s="62">
        <f>IF((H83+I84)&gt;(1.1*Variables!$E$50),(1.1*Variables!$E$50),IF((H83+I84)&gt;0,H83+I84,0))</f>
        <v>6.1525021853262025</v>
      </c>
      <c r="I84" s="64">
        <f t="shared" si="3"/>
        <v>4.0133847000414704</v>
      </c>
      <c r="J84" s="63">
        <f>IF(SUM(E80:E83)&lt;Variables!$B$3,-H83,0)</f>
        <v>0</v>
      </c>
      <c r="K84" s="64">
        <f>IF(AND(H83&lt;Variables!$B$6*Variables!$E$50,OR(SUM(D81:D84)&gt;Variables!$B$5,SUM(E81:E84)&gt;Variables!$B$4)),Variables!$B$6*Variables!$E$50+Variables!$B$7*$G$1*Variables!$E$50*SUM(D81:D84),0)</f>
        <v>0</v>
      </c>
      <c r="L84" s="64">
        <f>IF(B84="Winter",Variables!$B$8*H83,0)</f>
        <v>0</v>
      </c>
      <c r="M84" s="64">
        <f>IF(AND(B84="Spring",AND(NOT(H83=0),H83&lt;(Variables!$B$9*Variables!$E$50))),(Variables!$B$10*Variables!$E$50+Variables!$B$11*Variables!$E$50*SUM(E81:E84)+$G$1*SUM(D83:D84)*Variables!$E$50*Variables!$B$12),0)</f>
        <v>0</v>
      </c>
      <c r="N84" s="64">
        <f>IF(AND(B84="Spring",AND(SUM(D81:D84)&gt;Variables!$B$13,SUM(D77:D80)&gt;Variables!$B$13)),-Variables!$B$14*Variables!$E$50,0)</f>
        <v>0</v>
      </c>
      <c r="O84" s="64">
        <f>IF(AND(B84="Summer",SUM(C80:D84)&gt;Variables!$B$15),(Variables!$B$16*Variables!$E$50*SUM(C80:C84)+$G$1*Variables!$B$16*Variables!$E$50*SUM(D80:D84)+$G$1*Variables!$E$50*Variables!$B$17*F84),0)</f>
        <v>0</v>
      </c>
      <c r="P84" s="64">
        <f>IF(AND(AND(B84="Autumn",SUM(D83:E84)&gt;0),NOT(H83=0)),Variables!$B$18*Variables!$E$50+Variables!$B$19*Variables!$E$50*SUM(E83:E84)+$G$1*Variables!$B$19*Variables!$E$50*SUM(D83:D84),0)</f>
        <v>4.0133847000414704</v>
      </c>
      <c r="Q84" s="64">
        <f>IF(AND(B84="Autumn",AND((E84+E83)&lt;Variables!$B$20,(D83+D84)=0)),-Variables!$B$21*Variables!$E$50,0)</f>
        <v>0</v>
      </c>
      <c r="R84" s="64">
        <f>IF(B84="Autumn",(SUM(F83:F84)*$G$1*Variables!$B$22*Variables!$E$50),0)</f>
        <v>0</v>
      </c>
      <c r="S84" s="64">
        <f>IF(B84="Spring",($G$1*Variables!$E$50*SUM('Guts (option 1)'!F83:F84)*Variables!$B$23),0)</f>
        <v>0</v>
      </c>
      <c r="T84" s="63">
        <f>IF((H83+SUM(J84:Q84))&lt;(Variables!$B$26*Variables!$E$50),$F$1*((Variables!$B$26*Variables!$E$50)-H83-SUM(J84:Q84)),0)</f>
        <v>0</v>
      </c>
      <c r="U84" s="64">
        <f>IF(AND(AND(B84="Autumn",SUM(D81:E84)&gt;Variables!$B$27),SUM(J84:Q84)&lt;Variables!$B$28*H83),$F$1*(Variables!$B$28*H83-SUM(J84:Q84)),0)</f>
        <v>0</v>
      </c>
      <c r="V84" s="96">
        <f>IF(AND((J84+K84)=0,(Q84+T84)=0),$H$1*H84*Variables!$I$23*0.25,0)</f>
        <v>118.55963998656372</v>
      </c>
      <c r="W84" s="97">
        <f>IF(AND((K84+J84)=0,(T84+Q84)=0),$I$1*H84*Variables!$Q$23*0.25,0)</f>
        <v>124.1005834546685</v>
      </c>
      <c r="X84" s="95">
        <f>IF(AND(NOT(K84=0),(H84-H83)&gt;0),(H84-H83)*(Variables!$M$5*$H$1+Variables!$U$5*$I$1),0)+IF(AND(NOT((J84+N84+Q84)=0),(H83-H84)&gt;0),(H83-H84)*(Variables!$M$4*$H$1+Variables!$U$4*$I$1),0)</f>
        <v>0</v>
      </c>
      <c r="Y84" s="95">
        <f>IF(SUM(T84,U83:U84)&gt;0,H84*Variables!$Y$11*0.25*(1-$J$1),0)</f>
        <v>0</v>
      </c>
      <c r="Z84" s="95">
        <f>IF(T84=0,H84*$J$1*Variables!$Y$5*0.25,0)</f>
        <v>39.991264204620315</v>
      </c>
      <c r="AA84" s="95">
        <f t="shared" si="2"/>
        <v>282.65148764585257</v>
      </c>
      <c r="AB84" s="91">
        <f>AA84/Variables!$E$49</f>
        <v>45.588949620298798</v>
      </c>
    </row>
    <row r="85" spans="1:28" x14ac:dyDescent="0.25">
      <c r="A85" s="61">
        <f>'Water runs'!C92</f>
        <v>9740</v>
      </c>
      <c r="B85" s="61" t="str">
        <f>'Water runs'!B92</f>
        <v>Winter</v>
      </c>
      <c r="C85" s="54">
        <f>'Water runs'!D92/100</f>
        <v>0.18640000000000001</v>
      </c>
      <c r="D85" s="108">
        <f>VLOOKUP(ROW(D85)+4,'Water runs'!$BS$3:$CF$423,MATCH($B$1,Scenarios,0)+1)</f>
        <v>0</v>
      </c>
      <c r="E85" s="54">
        <f>IF(B85=Variables!$D$8,C85-Variables!$E$8,IF(B85=Variables!$D$9,C85-Variables!$E$9,IF(B85=Variables!$D$10,C85-Variables!$E$10,IF(B85=Variables!$D$11,C85-Variables!$E$11,"ELSE"))))</f>
        <v>-0.38536762566137572</v>
      </c>
      <c r="F85" s="108">
        <f>VLOOKUP(ROW(F85)+4,'Water runs'!$CH$3:$CU$423,MATCH($B$1,Scenarios,0)+1)</f>
        <v>0</v>
      </c>
      <c r="G85" s="65">
        <f>H85/Variables!$E$49</f>
        <v>0.49820854339940435</v>
      </c>
      <c r="H85" s="62">
        <f>IF((H84+I85)&gt;(1.1*Variables!$E$50),(1.1*Variables!$E$50),IF((H84+I85)&gt;0,H84+I85,0))</f>
        <v>3.0888929690763072</v>
      </c>
      <c r="I85" s="64">
        <f t="shared" si="3"/>
        <v>-3.0636092162498954</v>
      </c>
      <c r="J85" s="63">
        <f>IF(SUM(E81:E84)&lt;Variables!$B$3,-H84,0)</f>
        <v>0</v>
      </c>
      <c r="K85" s="64">
        <f>IF(AND(H84&lt;Variables!$B$6*Variables!$E$50,OR(SUM(D82:D85)&gt;Variables!$B$5,SUM(E82:E85)&gt;Variables!$B$4)),Variables!$B$6*Variables!$E$50+Variables!$B$7*$G$1*Variables!$E$50*SUM(D82:D85),0)</f>
        <v>0</v>
      </c>
      <c r="L85" s="64">
        <f>IF(B85="Winter",Variables!$B$8*H84,0)</f>
        <v>-3.0636092162498954</v>
      </c>
      <c r="M85" s="64">
        <f>IF(AND(B85="Spring",AND(NOT(H84=0),H84&lt;(Variables!$B$9*Variables!$E$50))),(Variables!$B$10*Variables!$E$50+Variables!$B$11*Variables!$E$50*SUM(E82:E85)+$G$1*SUM(D84:D85)*Variables!$E$50*Variables!$B$12),0)</f>
        <v>0</v>
      </c>
      <c r="N85" s="64">
        <f>IF(AND(B85="Spring",AND(SUM(D82:D85)&gt;Variables!$B$13,SUM(D78:D81)&gt;Variables!$B$13)),-Variables!$B$14*Variables!$E$50,0)</f>
        <v>0</v>
      </c>
      <c r="O85" s="64">
        <f>IF(AND(B85="Summer",SUM(C81:D85)&gt;Variables!$B$15),(Variables!$B$16*Variables!$E$50*SUM(C81:C85)+$G$1*Variables!$B$16*Variables!$E$50*SUM(D81:D85)+$G$1*Variables!$E$50*Variables!$B$17*F85),0)</f>
        <v>0</v>
      </c>
      <c r="P85" s="64">
        <f>IF(AND(AND(B85="Autumn",SUM(D84:E85)&gt;0),NOT(H84=0)),Variables!$B$18*Variables!$E$50+Variables!$B$19*Variables!$E$50*SUM(E84:E85)+$G$1*Variables!$B$19*Variables!$E$50*SUM(D84:D85),0)</f>
        <v>0</v>
      </c>
      <c r="Q85" s="64">
        <f>IF(AND(B85="Autumn",AND((E85+E84)&lt;Variables!$B$20,(D84+D85)=0)),-Variables!$B$21*Variables!$E$50,0)</f>
        <v>0</v>
      </c>
      <c r="R85" s="64">
        <f>IF(B85="Autumn",(SUM(F84:F85)*$G$1*Variables!$B$22*Variables!$E$50),0)</f>
        <v>0</v>
      </c>
      <c r="S85" s="64">
        <f>IF(B85="Spring",($G$1*Variables!$E$50*SUM('Guts (option 1)'!F84:F85)*Variables!$B$23),0)</f>
        <v>0</v>
      </c>
      <c r="T85" s="63">
        <f>IF((H84+SUM(J85:Q85))&lt;(Variables!$B$26*Variables!$E$50),$F$1*((Variables!$B$26*Variables!$E$50)-H84-SUM(J85:Q85)),0)</f>
        <v>0</v>
      </c>
      <c r="U85" s="64">
        <f>IF(AND(AND(B85="Autumn",SUM(D82:E85)&gt;Variables!$B$27),SUM(J85:Q85)&lt;Variables!$B$28*H84),$F$1*(Variables!$B$28*H84-SUM(J85:Q85)),0)</f>
        <v>0</v>
      </c>
      <c r="V85" s="96">
        <f>IF(AND((J85+K85)=0,(Q85+T85)=0),$H$1*H85*Variables!$I$23*0.25,0)</f>
        <v>59.523430848045805</v>
      </c>
      <c r="W85" s="97">
        <f>IF(AND((K85+J85)=0,(T85+Q85)=0),$I$1*H85*Variables!$Q$23*0.25,0)</f>
        <v>62.305287855995914</v>
      </c>
      <c r="X85" s="95">
        <f>IF(AND(NOT(K85=0),(H85-H84)&gt;0),(H85-H84)*(Variables!$M$5*$H$1+Variables!$U$5*$I$1),0)+IF(AND(NOT((J85+N85+Q85)=0),(H84-H85)&gt;0),(H84-H85)*(Variables!$M$4*$H$1+Variables!$U$4*$I$1),0)</f>
        <v>0</v>
      </c>
      <c r="Y85" s="95">
        <f>IF(SUM(T85,U84:U85)&gt;0,H85*Variables!$Y$11*0.25*(1-$J$1),0)</f>
        <v>0</v>
      </c>
      <c r="Z85" s="95">
        <f>IF(T85=0,H85*$J$1*Variables!$Y$5*0.25,0)</f>
        <v>20.077804298995996</v>
      </c>
      <c r="AA85" s="95">
        <f t="shared" si="2"/>
        <v>141.90652300303771</v>
      </c>
      <c r="AB85" s="91">
        <f>AA85/Variables!$E$49</f>
        <v>22.888148871457695</v>
      </c>
    </row>
    <row r="86" spans="1:28" x14ac:dyDescent="0.25">
      <c r="A86" s="61">
        <f>'Water runs'!C93</f>
        <v>9831</v>
      </c>
      <c r="B86" s="61" t="str">
        <f>'Water runs'!B93</f>
        <v>Spring</v>
      </c>
      <c r="C86" s="54">
        <f>'Water runs'!D93/100</f>
        <v>0.22825714285714302</v>
      </c>
      <c r="D86" s="108">
        <f>VLOOKUP(ROW(D86)+4,'Water runs'!$BS$3:$CF$423,MATCH($B$1,Scenarios,0)+1)</f>
        <v>0</v>
      </c>
      <c r="E86" s="54">
        <f>IF(B86=Variables!$D$8,C86-Variables!$E$8,IF(B86=Variables!$D$9,C86-Variables!$E$9,IF(B86=Variables!$D$10,C86-Variables!$E$10,IF(B86=Variables!$D$11,C86-Variables!$E$11,"ELSE"))))</f>
        <v>-0.5357250661375661</v>
      </c>
      <c r="F86" s="108">
        <f>VLOOKUP(ROW(F86)+4,'Water runs'!$CH$3:$CU$423,MATCH($B$1,Scenarios,0)+1)</f>
        <v>0</v>
      </c>
      <c r="G86" s="65">
        <f>H86/Variables!$E$49</f>
        <v>0.49820854339940435</v>
      </c>
      <c r="H86" s="62">
        <f>IF((H85+I86)&gt;(1.1*Variables!$E$50),(1.1*Variables!$E$50),IF((H85+I86)&gt;0,H85+I86,0))</f>
        <v>3.0888929690763072</v>
      </c>
      <c r="I86" s="64">
        <f t="shared" si="3"/>
        <v>0</v>
      </c>
      <c r="J86" s="63">
        <f>IF(SUM(E82:E85)&lt;Variables!$B$3,-H85,0)</f>
        <v>0</v>
      </c>
      <c r="K86" s="64">
        <f>IF(AND(H85&lt;Variables!$B$6*Variables!$E$50,OR(SUM(D83:D86)&gt;Variables!$B$5,SUM(E83:E86)&gt;Variables!$B$4)),Variables!$B$6*Variables!$E$50+Variables!$B$7*$G$1*Variables!$E$50*SUM(D83:D86),0)</f>
        <v>0</v>
      </c>
      <c r="L86" s="64">
        <f>IF(B86="Winter",Variables!$B$8*H85,0)</f>
        <v>0</v>
      </c>
      <c r="M86" s="64">
        <f>IF(AND(B86="Spring",AND(NOT(H85=0),H85&lt;(Variables!$B$9*Variables!$E$50))),(Variables!$B$10*Variables!$E$50+Variables!$B$11*Variables!$E$50*SUM(E83:E86)+$G$1*SUM(D85:D86)*Variables!$E$50*Variables!$B$12),0)</f>
        <v>0</v>
      </c>
      <c r="N86" s="64">
        <f>IF(AND(B86="Spring",AND(SUM(D83:D86)&gt;Variables!$B$13,SUM(D79:D82)&gt;Variables!$B$13)),-Variables!$B$14*Variables!$E$50,0)</f>
        <v>0</v>
      </c>
      <c r="O86" s="64">
        <f>IF(AND(B86="Summer",SUM(C82:D86)&gt;Variables!$B$15),(Variables!$B$16*Variables!$E$50*SUM(C82:C86)+$G$1*Variables!$B$16*Variables!$E$50*SUM(D82:D86)+$G$1*Variables!$E$50*Variables!$B$17*F86),0)</f>
        <v>0</v>
      </c>
      <c r="P86" s="64">
        <f>IF(AND(AND(B86="Autumn",SUM(D85:E86)&gt;0),NOT(H85=0)),Variables!$B$18*Variables!$E$50+Variables!$B$19*Variables!$E$50*SUM(E85:E86)+$G$1*Variables!$B$19*Variables!$E$50*SUM(D85:D86),0)</f>
        <v>0</v>
      </c>
      <c r="Q86" s="64">
        <f>IF(AND(B86="Autumn",AND((E86+E85)&lt;Variables!$B$20,(D85+D86)=0)),-Variables!$B$21*Variables!$E$50,0)</f>
        <v>0</v>
      </c>
      <c r="R86" s="64">
        <f>IF(B86="Autumn",(SUM(F85:F86)*$G$1*Variables!$B$22*Variables!$E$50),0)</f>
        <v>0</v>
      </c>
      <c r="S86" s="64">
        <f>IF(B86="Spring",($G$1*Variables!$E$50*SUM('Guts (option 1)'!F85:F86)*Variables!$B$23),0)</f>
        <v>0</v>
      </c>
      <c r="T86" s="63">
        <f>IF((H85+SUM(J86:Q86))&lt;(Variables!$B$26*Variables!$E$50),$F$1*((Variables!$B$26*Variables!$E$50)-H85-SUM(J86:Q86)),0)</f>
        <v>0</v>
      </c>
      <c r="U86" s="64">
        <f>IF(AND(AND(B86="Autumn",SUM(D83:E86)&gt;Variables!$B$27),SUM(J86:Q86)&lt;Variables!$B$28*H85),$F$1*(Variables!$B$28*H85-SUM(J86:Q86)),0)</f>
        <v>0</v>
      </c>
      <c r="V86" s="96">
        <f>IF(AND((J86+K86)=0,(Q86+T86)=0),$H$1*H86*Variables!$I$23*0.25,0)</f>
        <v>59.523430848045805</v>
      </c>
      <c r="W86" s="97">
        <f>IF(AND((K86+J86)=0,(T86+Q86)=0),$I$1*H86*Variables!$Q$23*0.25,0)</f>
        <v>62.305287855995914</v>
      </c>
      <c r="X86" s="95">
        <f>IF(AND(NOT(K86=0),(H86-H85)&gt;0),(H86-H85)*(Variables!$M$5*$H$1+Variables!$U$5*$I$1),0)+IF(AND(NOT((J86+N86+Q86)=0),(H85-H86)&gt;0),(H85-H86)*(Variables!$M$4*$H$1+Variables!$U$4*$I$1),0)</f>
        <v>0</v>
      </c>
      <c r="Y86" s="95">
        <f>IF(SUM(T86,U85:U86)&gt;0,H86*Variables!$Y$11*0.25*(1-$J$1),0)</f>
        <v>0</v>
      </c>
      <c r="Z86" s="95">
        <f>IF(T86=0,H86*$J$1*Variables!$Y$5*0.25,0)</f>
        <v>20.077804298995996</v>
      </c>
      <c r="AA86" s="95">
        <f t="shared" si="2"/>
        <v>141.90652300303771</v>
      </c>
      <c r="AB86" s="91">
        <f>AA86/Variables!$E$49</f>
        <v>22.888148871457695</v>
      </c>
    </row>
    <row r="87" spans="1:28" x14ac:dyDescent="0.25">
      <c r="A87" s="61">
        <f>'Water runs'!C94</f>
        <v>9921</v>
      </c>
      <c r="B87" s="61" t="str">
        <f>'Water runs'!B94</f>
        <v>Summer</v>
      </c>
      <c r="C87" s="54">
        <f>'Water runs'!D94/100</f>
        <v>1.0381428571428599</v>
      </c>
      <c r="D87" s="108">
        <f>VLOOKUP(ROW(D87)+4,'Water runs'!$BS$3:$CF$423,MATCH($B$1,Scenarios,0)+1)</f>
        <v>2.5068290326922621E-2</v>
      </c>
      <c r="E87" s="54">
        <f>IF(B87=Variables!$D$8,C87-Variables!$E$8,IF(B87=Variables!$D$9,C87-Variables!$E$9,IF(B87=Variables!$D$10,C87-Variables!$E$10,IF(B87=Variables!$D$11,C87-Variables!$E$11,"ELSE"))))</f>
        <v>-0.2202272789115618</v>
      </c>
      <c r="F87" s="108">
        <f>VLOOKUP(ROW(F87)+4,'Water runs'!$CH$3:$CU$423,MATCH($B$1,Scenarios,0)+1)</f>
        <v>0</v>
      </c>
      <c r="G87" s="65">
        <f>H87/Variables!$E$49</f>
        <v>0.49820854339940435</v>
      </c>
      <c r="H87" s="62">
        <f>IF((H86+I87)&gt;(1.1*Variables!$E$50),(1.1*Variables!$E$50),IF((H86+I87)&gt;0,H86+I87,0))</f>
        <v>3.0888929690763072</v>
      </c>
      <c r="I87" s="64">
        <f t="shared" si="3"/>
        <v>0</v>
      </c>
      <c r="J87" s="63">
        <f>IF(SUM(E83:E86)&lt;Variables!$B$3,-H86,0)</f>
        <v>0</v>
      </c>
      <c r="K87" s="64">
        <f>IF(AND(H86&lt;Variables!$B$6*Variables!$E$50,OR(SUM(D84:D87)&gt;Variables!$B$5,SUM(E84:E87)&gt;Variables!$B$4)),Variables!$B$6*Variables!$E$50+Variables!$B$7*$G$1*Variables!$E$50*SUM(D84:D87),0)</f>
        <v>0</v>
      </c>
      <c r="L87" s="64">
        <f>IF(B87="Winter",Variables!$B$8*H86,0)</f>
        <v>0</v>
      </c>
      <c r="M87" s="64">
        <f>IF(AND(B87="Spring",AND(NOT(H86=0),H86&lt;(Variables!$B$9*Variables!$E$50))),(Variables!$B$10*Variables!$E$50+Variables!$B$11*Variables!$E$50*SUM(E84:E87)+$G$1*SUM(D86:D87)*Variables!$E$50*Variables!$B$12),0)</f>
        <v>0</v>
      </c>
      <c r="N87" s="64">
        <f>IF(AND(B87="Spring",AND(SUM(D84:D87)&gt;Variables!$B$13,SUM(D80:D83)&gt;Variables!$B$13)),-Variables!$B$14*Variables!$E$50,0)</f>
        <v>0</v>
      </c>
      <c r="O87" s="64">
        <f>IF(AND(B87="Summer",SUM(C83:D87)&gt;Variables!$B$15),(Variables!$B$16*Variables!$E$50*SUM(C83:C87)+$G$1*Variables!$B$16*Variables!$E$50*SUM(D83:D87)+$G$1*Variables!$E$50*Variables!$B$17*F87),0)</f>
        <v>0</v>
      </c>
      <c r="P87" s="64">
        <f>IF(AND(AND(B87="Autumn",SUM(D86:E87)&gt;0),NOT(H86=0)),Variables!$B$18*Variables!$E$50+Variables!$B$19*Variables!$E$50*SUM(E86:E87)+$G$1*Variables!$B$19*Variables!$E$50*SUM(D86:D87),0)</f>
        <v>0</v>
      </c>
      <c r="Q87" s="64">
        <f>IF(AND(B87="Autumn",AND((E87+E86)&lt;Variables!$B$20,(D86+D87)=0)),-Variables!$B$21*Variables!$E$50,0)</f>
        <v>0</v>
      </c>
      <c r="R87" s="64">
        <f>IF(B87="Autumn",(SUM(F86:F87)*$G$1*Variables!$B$22*Variables!$E$50),0)</f>
        <v>0</v>
      </c>
      <c r="S87" s="64">
        <f>IF(B87="Spring",($G$1*Variables!$E$50*SUM('Guts (option 1)'!F86:F87)*Variables!$B$23),0)</f>
        <v>0</v>
      </c>
      <c r="T87" s="63">
        <f>IF((H86+SUM(J87:Q87))&lt;(Variables!$B$26*Variables!$E$50),$F$1*((Variables!$B$26*Variables!$E$50)-H86-SUM(J87:Q87)),0)</f>
        <v>0</v>
      </c>
      <c r="U87" s="64">
        <f>IF(AND(AND(B87="Autumn",SUM(D84:E87)&gt;Variables!$B$27),SUM(J87:Q87)&lt;Variables!$B$28*H86),$F$1*(Variables!$B$28*H86-SUM(J87:Q87)),0)</f>
        <v>0</v>
      </c>
      <c r="V87" s="96">
        <f>IF(AND((J87+K87)=0,(Q87+T87)=0),$H$1*H87*Variables!$I$23*0.25,0)</f>
        <v>59.523430848045805</v>
      </c>
      <c r="W87" s="97">
        <f>IF(AND((K87+J87)=0,(T87+Q87)=0),$I$1*H87*Variables!$Q$23*0.25,0)</f>
        <v>62.305287855995914</v>
      </c>
      <c r="X87" s="95">
        <f>IF(AND(NOT(K87=0),(H87-H86)&gt;0),(H87-H86)*(Variables!$M$5*$H$1+Variables!$U$5*$I$1),0)+IF(AND(NOT((J87+N87+Q87)=0),(H86-H87)&gt;0),(H86-H87)*(Variables!$M$4*$H$1+Variables!$U$4*$I$1),0)</f>
        <v>0</v>
      </c>
      <c r="Y87" s="95">
        <f>IF(SUM(T87,U86:U87)&gt;0,H87*Variables!$Y$11*0.25*(1-$J$1),0)</f>
        <v>0</v>
      </c>
      <c r="Z87" s="95">
        <f>IF(T87=0,H87*$J$1*Variables!$Y$5*0.25,0)</f>
        <v>20.077804298995996</v>
      </c>
      <c r="AA87" s="95">
        <f t="shared" si="2"/>
        <v>141.90652300303771</v>
      </c>
      <c r="AB87" s="91">
        <f>AA87/Variables!$E$49</f>
        <v>22.888148871457695</v>
      </c>
    </row>
    <row r="88" spans="1:28" x14ac:dyDescent="0.25">
      <c r="A88" s="61">
        <f>'Water runs'!C95</f>
        <v>10013</v>
      </c>
      <c r="B88" s="61" t="str">
        <f>'Water runs'!B95</f>
        <v>Autumn</v>
      </c>
      <c r="C88" s="54">
        <f>'Water runs'!D95/100</f>
        <v>0.36159999999999998</v>
      </c>
      <c r="D88" s="108">
        <f>VLOOKUP(ROW(D88)+4,'Water runs'!$BS$3:$CF$423,MATCH($B$1,Scenarios,0)+1)</f>
        <v>0</v>
      </c>
      <c r="E88" s="54">
        <f>IF(B88=Variables!$D$8,C88-Variables!$E$8,IF(B88=Variables!$D$9,C88-Variables!$E$9,IF(B88=Variables!$D$10,C88-Variables!$E$10,IF(B88=Variables!$D$11,C88-Variables!$E$11,"ELSE"))))</f>
        <v>-0.63304329931972791</v>
      </c>
      <c r="F88" s="108">
        <f>VLOOKUP(ROW(F88)+4,'Water runs'!$CH$3:$CU$423,MATCH($B$1,Scenarios,0)+1)</f>
        <v>0</v>
      </c>
      <c r="G88" s="65">
        <f>H88/Variables!$E$49</f>
        <v>0.49820854339940435</v>
      </c>
      <c r="H88" s="62">
        <f>IF((H87+I88)&gt;(1.1*Variables!$E$50),(1.1*Variables!$E$50),IF((H87+I88)&gt;0,H87+I88,0))</f>
        <v>3.0888929690763072</v>
      </c>
      <c r="I88" s="64">
        <f t="shared" si="3"/>
        <v>0</v>
      </c>
      <c r="J88" s="63">
        <f>IF(SUM(E84:E87)&lt;Variables!$B$3,-H87,0)</f>
        <v>0</v>
      </c>
      <c r="K88" s="64">
        <f>IF(AND(H87&lt;Variables!$B$6*Variables!$E$50,OR(SUM(D85:D88)&gt;Variables!$B$5,SUM(E85:E88)&gt;Variables!$B$4)),Variables!$B$6*Variables!$E$50+Variables!$B$7*$G$1*Variables!$E$50*SUM(D85:D88),0)</f>
        <v>0</v>
      </c>
      <c r="L88" s="64">
        <f>IF(B88="Winter",Variables!$B$8*H87,0)</f>
        <v>0</v>
      </c>
      <c r="M88" s="64">
        <f>IF(AND(B88="Spring",AND(NOT(H87=0),H87&lt;(Variables!$B$9*Variables!$E$50))),(Variables!$B$10*Variables!$E$50+Variables!$B$11*Variables!$E$50*SUM(E85:E88)+$G$1*SUM(D87:D88)*Variables!$E$50*Variables!$B$12),0)</f>
        <v>0</v>
      </c>
      <c r="N88" s="64">
        <f>IF(AND(B88="Spring",AND(SUM(D85:D88)&gt;Variables!$B$13,SUM(D81:D84)&gt;Variables!$B$13)),-Variables!$B$14*Variables!$E$50,0)</f>
        <v>0</v>
      </c>
      <c r="O88" s="64">
        <f>IF(AND(B88="Summer",SUM(C84:D88)&gt;Variables!$B$15),(Variables!$B$16*Variables!$E$50*SUM(C84:C88)+$G$1*Variables!$B$16*Variables!$E$50*SUM(D84:D88)+$G$1*Variables!$E$50*Variables!$B$17*F88),0)</f>
        <v>0</v>
      </c>
      <c r="P88" s="64">
        <f>IF(AND(AND(B88="Autumn",SUM(D87:E88)&gt;0),NOT(H87=0)),Variables!$B$18*Variables!$E$50+Variables!$B$19*Variables!$E$50*SUM(E87:E88)+$G$1*Variables!$B$19*Variables!$E$50*SUM(D87:D88),0)</f>
        <v>0</v>
      </c>
      <c r="Q88" s="64">
        <f>IF(AND(B88="Autumn",AND((E88+E87)&lt;Variables!$B$20,(D87+D88)=0)),-Variables!$B$21*Variables!$E$50,0)</f>
        <v>0</v>
      </c>
      <c r="R88" s="64">
        <f>IF(B88="Autumn",(SUM(F87:F88)*$G$1*Variables!$B$22*Variables!$E$50),0)</f>
        <v>0</v>
      </c>
      <c r="S88" s="64">
        <f>IF(B88="Spring",($G$1*Variables!$E$50*SUM('Guts (option 1)'!F87:F88)*Variables!$B$23),0)</f>
        <v>0</v>
      </c>
      <c r="T88" s="63">
        <f>IF((H87+SUM(J88:Q88))&lt;(Variables!$B$26*Variables!$E$50),$F$1*((Variables!$B$26*Variables!$E$50)-H87-SUM(J88:Q88)),0)</f>
        <v>0</v>
      </c>
      <c r="U88" s="64">
        <f>IF(AND(AND(B88="Autumn",SUM(D85:E88)&gt;Variables!$B$27),SUM(J88:Q88)&lt;Variables!$B$28*H87),$F$1*(Variables!$B$28*H87-SUM(J88:Q88)),0)</f>
        <v>0</v>
      </c>
      <c r="V88" s="96">
        <f>IF(AND((J88+K88)=0,(Q88+T88)=0),$H$1*H88*Variables!$I$23*0.25,0)</f>
        <v>59.523430848045805</v>
      </c>
      <c r="W88" s="97">
        <f>IF(AND((K88+J88)=0,(T88+Q88)=0),$I$1*H88*Variables!$Q$23*0.25,0)</f>
        <v>62.305287855995914</v>
      </c>
      <c r="X88" s="95">
        <f>IF(AND(NOT(K88=0),(H88-H87)&gt;0),(H88-H87)*(Variables!$M$5*$H$1+Variables!$U$5*$I$1),0)+IF(AND(NOT((J88+N88+Q88)=0),(H87-H88)&gt;0),(H87-H88)*(Variables!$M$4*$H$1+Variables!$U$4*$I$1),0)</f>
        <v>0</v>
      </c>
      <c r="Y88" s="95">
        <f>IF(SUM(T88,U87:U88)&gt;0,H88*Variables!$Y$11*0.25*(1-$J$1),0)</f>
        <v>0</v>
      </c>
      <c r="Z88" s="95">
        <f>IF(T88=0,H88*$J$1*Variables!$Y$5*0.25,0)</f>
        <v>20.077804298995996</v>
      </c>
      <c r="AA88" s="95">
        <f t="shared" si="2"/>
        <v>141.90652300303771</v>
      </c>
      <c r="AB88" s="91">
        <f>AA88/Variables!$E$49</f>
        <v>22.888148871457695</v>
      </c>
    </row>
    <row r="89" spans="1:28" x14ac:dyDescent="0.25">
      <c r="A89" s="61">
        <f>'Water runs'!C96</f>
        <v>10105</v>
      </c>
      <c r="B89" s="61" t="str">
        <f>'Water runs'!B96</f>
        <v>Winter</v>
      </c>
      <c r="C89" s="54">
        <f>'Water runs'!D96/100</f>
        <v>0</v>
      </c>
      <c r="D89" s="108">
        <f>VLOOKUP(ROW(D89)+4,'Water runs'!$BS$3:$CF$423,MATCH($B$1,Scenarios,0)+1)</f>
        <v>0</v>
      </c>
      <c r="E89" s="54">
        <f>IF(B89=Variables!$D$8,C89-Variables!$E$8,IF(B89=Variables!$D$9,C89-Variables!$E$9,IF(B89=Variables!$D$10,C89-Variables!$E$10,IF(B89=Variables!$D$11,C89-Variables!$E$11,"ELSE"))))</f>
        <v>-0.57176762566137573</v>
      </c>
      <c r="F89" s="108">
        <f>VLOOKUP(ROW(F89)+4,'Water runs'!$CH$3:$CU$423,MATCH($B$1,Scenarios,0)+1)</f>
        <v>0</v>
      </c>
      <c r="G89" s="65">
        <f>H89/Variables!$E$49</f>
        <v>0.16100000000000003</v>
      </c>
      <c r="H89" s="62">
        <f>IF((H88+I89)&gt;(1.1*Variables!$E$50),(1.1*Variables!$E$50),IF((H88+I89)&gt;0,H88+I89,0))</f>
        <v>0.9982000000000002</v>
      </c>
      <c r="I89" s="64">
        <f t="shared" si="3"/>
        <v>-2.090692969076307</v>
      </c>
      <c r="J89" s="63">
        <f>IF(SUM(E85:E88)&lt;Variables!$B$3,-H88,0)</f>
        <v>-3.0888929690763072</v>
      </c>
      <c r="K89" s="64">
        <f>IF(AND(H88&lt;Variables!$B$6*Variables!$E$50,OR(SUM(D86:D89)&gt;Variables!$B$5,SUM(E86:E89)&gt;Variables!$B$4)),Variables!$B$6*Variables!$E$50+Variables!$B$7*$G$1*Variables!$E$50*SUM(D86:D89),0)</f>
        <v>0</v>
      </c>
      <c r="L89" s="64">
        <f>IF(B89="Winter",Variables!$B$8*H88,0)</f>
        <v>-1.5380995703896603</v>
      </c>
      <c r="M89" s="64">
        <f>IF(AND(B89="Spring",AND(NOT(H88=0),H88&lt;(Variables!$B$9*Variables!$E$50))),(Variables!$B$10*Variables!$E$50+Variables!$B$11*Variables!$E$50*SUM(E86:E89)+$G$1*SUM(D88:D89)*Variables!$E$50*Variables!$B$12),0)</f>
        <v>0</v>
      </c>
      <c r="N89" s="64">
        <f>IF(AND(B89="Spring",AND(SUM(D86:D89)&gt;Variables!$B$13,SUM(D82:D85)&gt;Variables!$B$13)),-Variables!$B$14*Variables!$E$50,0)</f>
        <v>0</v>
      </c>
      <c r="O89" s="64">
        <f>IF(AND(B89="Summer",SUM(C85:D89)&gt;Variables!$B$15),(Variables!$B$16*Variables!$E$50*SUM(C85:C89)+$G$1*Variables!$B$16*Variables!$E$50*SUM(D85:D89)+$G$1*Variables!$E$50*Variables!$B$17*F89),0)</f>
        <v>0</v>
      </c>
      <c r="P89" s="64">
        <f>IF(AND(AND(B89="Autumn",SUM(D88:E89)&gt;0),NOT(H88=0)),Variables!$B$18*Variables!$E$50+Variables!$B$19*Variables!$E$50*SUM(E88:E89)+$G$1*Variables!$B$19*Variables!$E$50*SUM(D88:D89),0)</f>
        <v>0</v>
      </c>
      <c r="Q89" s="64">
        <f>IF(AND(B89="Autumn",AND((E89+E88)&lt;Variables!$B$20,(D88+D89)=0)),-Variables!$B$21*Variables!$E$50,0)</f>
        <v>0</v>
      </c>
      <c r="R89" s="64">
        <f>IF(B89="Autumn",(SUM(F88:F89)*$G$1*Variables!$B$22*Variables!$E$50),0)</f>
        <v>0</v>
      </c>
      <c r="S89" s="64">
        <f>IF(B89="Spring",($G$1*Variables!$E$50*SUM('Guts (option 1)'!F88:F89)*Variables!$B$23),0)</f>
        <v>0</v>
      </c>
      <c r="T89" s="63">
        <f>IF((H88+SUM(J89:Q89))&lt;(Variables!$B$26*Variables!$E$50),$F$1*((Variables!$B$26*Variables!$E$50)-H88-SUM(J89:Q89)),0)</f>
        <v>2.5362995703896605</v>
      </c>
      <c r="U89" s="64">
        <f>IF(AND(AND(B89="Autumn",SUM(D86:E89)&gt;Variables!$B$27),SUM(J89:Q89)&lt;Variables!$B$28*H88),$F$1*(Variables!$B$28*H88-SUM(J89:Q89)),0)</f>
        <v>0</v>
      </c>
      <c r="V89" s="96">
        <f>IF(AND((J89+K89)=0,(Q89+T89)=0),$H$1*H89*Variables!$I$23*0.25,0)</f>
        <v>0</v>
      </c>
      <c r="W89" s="97">
        <f>IF(AND((K89+J89)=0,(T89+Q89)=0),$I$1*H89*Variables!$Q$23*0.25,0)</f>
        <v>0</v>
      </c>
      <c r="X89" s="95">
        <f>IF(AND(NOT(K89=0),(H89-H88)&gt;0),(H89-H88)*(Variables!$M$5*$H$1+Variables!$U$5*$I$1),0)+IF(AND(NOT((J89+N89+Q89)=0),(H88-H89)&gt;0),(H88-H89)*(Variables!$M$4*$H$1+Variables!$U$4*$I$1),0)</f>
        <v>261.33662113453835</v>
      </c>
      <c r="Y89" s="95">
        <f>IF(SUM(T89,U88:U89)&gt;0,H89*Variables!$Y$11*0.25*(1-$J$1),0)</f>
        <v>0</v>
      </c>
      <c r="Z89" s="95">
        <f>IF(T89=0,H89*$J$1*Variables!$Y$5*0.25,0)</f>
        <v>0</v>
      </c>
      <c r="AA89" s="95">
        <f t="shared" si="2"/>
        <v>261.33662113453835</v>
      </c>
      <c r="AB89" s="91">
        <f>AA89/Variables!$E$49</f>
        <v>42.151067924925542</v>
      </c>
    </row>
    <row r="90" spans="1:28" x14ac:dyDescent="0.25">
      <c r="A90" s="61">
        <f>'Water runs'!C97</f>
        <v>10196</v>
      </c>
      <c r="B90" s="61" t="str">
        <f>'Water runs'!B97</f>
        <v>Spring</v>
      </c>
      <c r="C90" s="54">
        <f>'Water runs'!D97/100</f>
        <v>0.42334285714285697</v>
      </c>
      <c r="D90" s="108">
        <f>VLOOKUP(ROW(D90)+4,'Water runs'!$BS$3:$CF$423,MATCH($B$1,Scenarios,0)+1)</f>
        <v>0</v>
      </c>
      <c r="E90" s="54">
        <f>IF(B90=Variables!$D$8,C90-Variables!$E$8,IF(B90=Variables!$D$9,C90-Variables!$E$9,IF(B90=Variables!$D$10,C90-Variables!$E$10,IF(B90=Variables!$D$11,C90-Variables!$E$11,"ELSE"))))</f>
        <v>-0.34063935185185218</v>
      </c>
      <c r="F90" s="108">
        <f>VLOOKUP(ROW(F90)+4,'Water runs'!$CH$3:$CU$423,MATCH($B$1,Scenarios,0)+1)</f>
        <v>0</v>
      </c>
      <c r="G90" s="65">
        <f>H90/Variables!$E$49</f>
        <v>0.16100000000000003</v>
      </c>
      <c r="H90" s="62">
        <f>IF((H89+I90)&gt;(1.1*Variables!$E$50),(1.1*Variables!$E$50),IF((H89+I90)&gt;0,H89+I90,0))</f>
        <v>0.9982000000000002</v>
      </c>
      <c r="I90" s="64">
        <f t="shared" si="3"/>
        <v>0</v>
      </c>
      <c r="J90" s="63">
        <f>IF(SUM(E86:E89)&lt;Variables!$B$3,-H89,0)</f>
        <v>-0.9982000000000002</v>
      </c>
      <c r="K90" s="64">
        <f>IF(AND(H89&lt;Variables!$B$6*Variables!$E$50,OR(SUM(D87:D90)&gt;Variables!$B$5,SUM(E87:E90)&gt;Variables!$B$4)),Variables!$B$6*Variables!$E$50+Variables!$B$7*$G$1*Variables!$E$50*SUM(D87:D90),0)</f>
        <v>0</v>
      </c>
      <c r="L90" s="64">
        <f>IF(B90="Winter",Variables!$B$8*H89,0)</f>
        <v>0</v>
      </c>
      <c r="M90" s="64">
        <f>IF(AND(B90="Spring",AND(NOT(H89=0),H89&lt;(Variables!$B$9*Variables!$E$50))),(Variables!$B$10*Variables!$E$50+Variables!$B$11*Variables!$E$50*SUM(E87:E90)+$G$1*SUM(D89:D90)*Variables!$E$50*Variables!$B$12),0)</f>
        <v>-1.2025353331189432</v>
      </c>
      <c r="N90" s="64">
        <f>IF(AND(B90="Spring",AND(SUM(D87:D90)&gt;Variables!$B$13,SUM(D83:D86)&gt;Variables!$B$13)),-Variables!$B$14*Variables!$E$50,0)</f>
        <v>0</v>
      </c>
      <c r="O90" s="64">
        <f>IF(AND(B90="Summer",SUM(C86:D90)&gt;Variables!$B$15),(Variables!$B$16*Variables!$E$50*SUM(C86:C90)+$G$1*Variables!$B$16*Variables!$E$50*SUM(D86:D90)+$G$1*Variables!$E$50*Variables!$B$17*F90),0)</f>
        <v>0</v>
      </c>
      <c r="P90" s="64">
        <f>IF(AND(AND(B90="Autumn",SUM(D89:E90)&gt;0),NOT(H89=0)),Variables!$B$18*Variables!$E$50+Variables!$B$19*Variables!$E$50*SUM(E89:E90)+$G$1*Variables!$B$19*Variables!$E$50*SUM(D89:D90),0)</f>
        <v>0</v>
      </c>
      <c r="Q90" s="64">
        <f>IF(AND(B90="Autumn",AND((E90+E89)&lt;Variables!$B$20,(D89+D90)=0)),-Variables!$B$21*Variables!$E$50,0)</f>
        <v>0</v>
      </c>
      <c r="R90" s="64">
        <f>IF(B90="Autumn",(SUM(F89:F90)*$G$1*Variables!$B$22*Variables!$E$50),0)</f>
        <v>0</v>
      </c>
      <c r="S90" s="64">
        <f>IF(B90="Spring",($G$1*Variables!$E$50*SUM('Guts (option 1)'!F89:F90)*Variables!$B$23),0)</f>
        <v>0</v>
      </c>
      <c r="T90" s="63">
        <f>IF((H89+SUM(J90:Q90))&lt;(Variables!$B$26*Variables!$E$50),$F$1*((Variables!$B$26*Variables!$E$50)-H89-SUM(J90:Q90)),0)</f>
        <v>2.2007353331189434</v>
      </c>
      <c r="U90" s="64">
        <f>IF(AND(AND(B90="Autumn",SUM(D87:E90)&gt;Variables!$B$27),SUM(J90:Q90)&lt;Variables!$B$28*H89),$F$1*(Variables!$B$28*H89-SUM(J90:Q90)),0)</f>
        <v>0</v>
      </c>
      <c r="V90" s="96">
        <f>IF(AND((J90+K90)=0,(Q90+T90)=0),$H$1*H90*Variables!$I$23*0.25,0)</f>
        <v>0</v>
      </c>
      <c r="W90" s="97">
        <f>IF(AND((K90+J90)=0,(T90+Q90)=0),$I$1*H90*Variables!$Q$23*0.25,0)</f>
        <v>0</v>
      </c>
      <c r="X90" s="95">
        <f>IF(AND(NOT(K90=0),(H90-H89)&gt;0),(H90-H89)*(Variables!$M$5*$H$1+Variables!$U$5*$I$1),0)+IF(AND(NOT((J90+N90+Q90)=0),(H89-H90)&gt;0),(H89-H90)*(Variables!$M$4*$H$1+Variables!$U$4*$I$1),0)</f>
        <v>0</v>
      </c>
      <c r="Y90" s="95">
        <f>IF(SUM(T90,U89:U90)&gt;0,H90*Variables!$Y$11*0.25*(1-$J$1),0)</f>
        <v>0</v>
      </c>
      <c r="Z90" s="95">
        <f>IF(T90=0,H90*$J$1*Variables!$Y$5*0.25,0)</f>
        <v>0</v>
      </c>
      <c r="AA90" s="95">
        <f t="shared" si="2"/>
        <v>0</v>
      </c>
      <c r="AB90" s="91">
        <f>AA90/Variables!$E$49</f>
        <v>0</v>
      </c>
    </row>
    <row r="91" spans="1:28" x14ac:dyDescent="0.25">
      <c r="A91" s="61">
        <f>'Water runs'!C98</f>
        <v>10286</v>
      </c>
      <c r="B91" s="61" t="str">
        <f>'Water runs'!B98</f>
        <v>Summer</v>
      </c>
      <c r="C91" s="54">
        <f>'Water runs'!D98/100</f>
        <v>2.3475999999999999</v>
      </c>
      <c r="D91" s="108">
        <f>VLOOKUP(ROW(D91)+4,'Water runs'!$BS$3:$CF$423,MATCH($B$1,Scenarios,0)+1)</f>
        <v>8.9296035598064908E-4</v>
      </c>
      <c r="E91" s="54">
        <f>IF(B91=Variables!$D$8,C91-Variables!$E$8,IF(B91=Variables!$D$9,C91-Variables!$E$9,IF(B91=Variables!$D$10,C91-Variables!$E$10,IF(B91=Variables!$D$11,C91-Variables!$E$11,"ELSE"))))</f>
        <v>1.0892298639455782</v>
      </c>
      <c r="F91" s="108">
        <f>VLOOKUP(ROW(F91)+4,'Water runs'!$CH$3:$CU$423,MATCH($B$1,Scenarios,0)+1)</f>
        <v>0</v>
      </c>
      <c r="G91" s="65">
        <f>H91/Variables!$E$49</f>
        <v>0.18400756601015281</v>
      </c>
      <c r="H91" s="62">
        <f>IF((H90+I91)&gt;(1.1*Variables!$E$50),(1.1*Variables!$E$50),IF((H90+I91)&gt;0,H90+I91,0))</f>
        <v>1.1408469092629474</v>
      </c>
      <c r="I91" s="64">
        <f t="shared" si="3"/>
        <v>0.14264690926294721</v>
      </c>
      <c r="J91" s="63">
        <f>IF(SUM(E87:E90)&lt;Variables!$B$3,-H90,0)</f>
        <v>-0.9982000000000002</v>
      </c>
      <c r="K91" s="64">
        <f>IF(AND(H90&lt;Variables!$B$6*Variables!$E$50,OR(SUM(D88:D91)&gt;Variables!$B$5,SUM(E88:E91)&gt;Variables!$B$4)),Variables!$B$6*Variables!$E$50+Variables!$B$7*$G$1*Variables!$E$50*SUM(D88:D91),0)</f>
        <v>1.1408469092629474</v>
      </c>
      <c r="L91" s="64">
        <f>IF(B91="Winter",Variables!$B$8*H90,0)</f>
        <v>0</v>
      </c>
      <c r="M91" s="64">
        <f>IF(AND(B91="Spring",AND(NOT(H90=0),H90&lt;(Variables!$B$9*Variables!$E$50))),(Variables!$B$10*Variables!$E$50+Variables!$B$11*Variables!$E$50*SUM(E88:E91)+$G$1*SUM(D90:D91)*Variables!$E$50*Variables!$B$12),0)</f>
        <v>0</v>
      </c>
      <c r="N91" s="64">
        <f>IF(AND(B91="Spring",AND(SUM(D88:D91)&gt;Variables!$B$13,SUM(D84:D87)&gt;Variables!$B$13)),-Variables!$B$14*Variables!$E$50,0)</f>
        <v>0</v>
      </c>
      <c r="O91" s="64">
        <f>IF(AND(B91="Summer",SUM(C87:D91)&gt;Variables!$B$15),(Variables!$B$16*Variables!$E$50*SUM(C87:C91)+$G$1*Variables!$B$16*Variables!$E$50*SUM(D87:D91)+$G$1*Variables!$E$50*Variables!$B$17*F91),0)</f>
        <v>0</v>
      </c>
      <c r="P91" s="64">
        <f>IF(AND(AND(B91="Autumn",SUM(D90:E91)&gt;0),NOT(H90=0)),Variables!$B$18*Variables!$E$50+Variables!$B$19*Variables!$E$50*SUM(E90:E91)+$G$1*Variables!$B$19*Variables!$E$50*SUM(D90:D91),0)</f>
        <v>0</v>
      </c>
      <c r="Q91" s="64">
        <f>IF(AND(B91="Autumn",AND((E91+E90)&lt;Variables!$B$20,(D90+D91)=0)),-Variables!$B$21*Variables!$E$50,0)</f>
        <v>0</v>
      </c>
      <c r="R91" s="64">
        <f>IF(B91="Autumn",(SUM(F90:F91)*$G$1*Variables!$B$22*Variables!$E$50),0)</f>
        <v>0</v>
      </c>
      <c r="S91" s="64">
        <f>IF(B91="Spring",($G$1*Variables!$E$50*SUM('Guts (option 1)'!F90:F91)*Variables!$B$23),0)</f>
        <v>0</v>
      </c>
      <c r="T91" s="63">
        <f>IF((H90+SUM(J91:Q91))&lt;(Variables!$B$26*Variables!$E$50),$F$1*((Variables!$B$26*Variables!$E$50)-H90-SUM(J91:Q91)),0)</f>
        <v>0</v>
      </c>
      <c r="U91" s="64">
        <f>IF(AND(AND(B91="Autumn",SUM(D88:E91)&gt;Variables!$B$27),SUM(J91:Q91)&lt;Variables!$B$28*H90),$F$1*(Variables!$B$28*H90-SUM(J91:Q91)),0)</f>
        <v>0</v>
      </c>
      <c r="V91" s="96">
        <f>IF(AND((J91+K91)=0,(Q91+T91)=0),$H$1*H91*Variables!$I$23*0.25,0)</f>
        <v>0</v>
      </c>
      <c r="W91" s="97">
        <f>IF(AND((K91+J91)=0,(T91+Q91)=0),$I$1*H91*Variables!$Q$23*0.25,0)</f>
        <v>0</v>
      </c>
      <c r="X91" s="95">
        <f>IF(AND(NOT(K91=0),(H91-H90)&gt;0),(H91-H90)*(Variables!$M$5*$H$1+Variables!$U$5*$I$1),0)+IF(AND(NOT((J91+N91+Q91)=0),(H90-H91)&gt;0),(H90-H91)*(Variables!$M$4*$H$1+Variables!$U$4*$I$1),0)</f>
        <v>-35.661727315736805</v>
      </c>
      <c r="Y91" s="95">
        <f>IF(SUM(T91,U90:U91)&gt;0,H91*Variables!$Y$11*0.25*(1-$J$1),0)</f>
        <v>0</v>
      </c>
      <c r="Z91" s="95">
        <f>IF(T91=0,H91*$J$1*Variables!$Y$5*0.25,0)</f>
        <v>7.4155049102091581</v>
      </c>
      <c r="AA91" s="95">
        <f t="shared" si="2"/>
        <v>-28.246222405527647</v>
      </c>
      <c r="AB91" s="91">
        <f>AA91/Variables!$E$49</f>
        <v>-4.5558423234722012</v>
      </c>
    </row>
    <row r="92" spans="1:28" x14ac:dyDescent="0.25">
      <c r="A92" s="61">
        <f>'Water runs'!C99</f>
        <v>10379</v>
      </c>
      <c r="B92" s="61" t="str">
        <f>'Water runs'!B99</f>
        <v>Autumn</v>
      </c>
      <c r="C92" s="54">
        <f>'Water runs'!D99/100</f>
        <v>0.70079999999999998</v>
      </c>
      <c r="D92" s="108">
        <f>VLOOKUP(ROW(D92)+4,'Water runs'!$BS$3:$CF$423,MATCH($B$1,Scenarios,0)+1)</f>
        <v>3.4322362013951023E-2</v>
      </c>
      <c r="E92" s="54">
        <f>IF(B92=Variables!$D$8,C92-Variables!$E$8,IF(B92=Variables!$D$9,C92-Variables!$E$9,IF(B92=Variables!$D$10,C92-Variables!$E$10,IF(B92=Variables!$D$11,C92-Variables!$E$11,"ELSE"))))</f>
        <v>-0.29384329931972786</v>
      </c>
      <c r="F92" s="108">
        <f>VLOOKUP(ROW(F92)+4,'Water runs'!$CH$3:$CU$423,MATCH($B$1,Scenarios,0)+1)</f>
        <v>0</v>
      </c>
      <c r="G92" s="65">
        <f>H92/Variables!$E$49</f>
        <v>0.53278950083385357</v>
      </c>
      <c r="H92" s="62">
        <f>IF((H91+I92)&gt;(1.1*Variables!$E$50),(1.1*Variables!$E$50),IF((H91+I92)&gt;0,H91+I92,0))</f>
        <v>3.3032949051698925</v>
      </c>
      <c r="I92" s="64">
        <f t="shared" si="3"/>
        <v>2.1624479959069451</v>
      </c>
      <c r="J92" s="63">
        <f>IF(SUM(E88:E91)&lt;Variables!$B$3,-H91,0)</f>
        <v>0</v>
      </c>
      <c r="K92" s="64">
        <f>IF(AND(H91&lt;Variables!$B$6*Variables!$E$50,OR(SUM(D89:D92)&gt;Variables!$B$5,SUM(E89:E92)&gt;Variables!$B$4)),Variables!$B$6*Variables!$E$50+Variables!$B$7*$G$1*Variables!$E$50*SUM(D89:D92),0)</f>
        <v>0</v>
      </c>
      <c r="L92" s="64">
        <f>IF(B92="Winter",Variables!$B$8*H91,0)</f>
        <v>0</v>
      </c>
      <c r="M92" s="64">
        <f>IF(AND(B92="Spring",AND(NOT(H91=0),H91&lt;(Variables!$B$9*Variables!$E$50))),(Variables!$B$10*Variables!$E$50+Variables!$B$11*Variables!$E$50*SUM(E89:E92)+$G$1*SUM(D91:D92)*Variables!$E$50*Variables!$B$12),0)</f>
        <v>0</v>
      </c>
      <c r="N92" s="64">
        <f>IF(AND(B92="Spring",AND(SUM(D89:D92)&gt;Variables!$B$13,SUM(D85:D88)&gt;Variables!$B$13)),-Variables!$B$14*Variables!$E$50,0)</f>
        <v>0</v>
      </c>
      <c r="O92" s="64">
        <f>IF(AND(B92="Summer",SUM(C88:D92)&gt;Variables!$B$15),(Variables!$B$16*Variables!$E$50*SUM(C88:C92)+$G$1*Variables!$B$16*Variables!$E$50*SUM(D88:D92)+$G$1*Variables!$E$50*Variables!$B$17*F92),0)</f>
        <v>0</v>
      </c>
      <c r="P92" s="64">
        <f>IF(AND(AND(B92="Autumn",SUM(D91:E92)&gt;0),NOT(H91=0)),Variables!$B$18*Variables!$E$50+Variables!$B$19*Variables!$E$50*SUM(E91:E92)+$G$1*Variables!$B$19*Variables!$E$50*SUM(D91:D92),0)</f>
        <v>2.1624479959069451</v>
      </c>
      <c r="Q92" s="64">
        <f>IF(AND(B92="Autumn",AND((E92+E91)&lt;Variables!$B$20,(D91+D92)=0)),-Variables!$B$21*Variables!$E$50,0)</f>
        <v>0</v>
      </c>
      <c r="R92" s="64">
        <f>IF(B92="Autumn",(SUM(F91:F92)*$G$1*Variables!$B$22*Variables!$E$50),0)</f>
        <v>0</v>
      </c>
      <c r="S92" s="64">
        <f>IF(B92="Spring",($G$1*Variables!$E$50*SUM('Guts (option 1)'!F91:F92)*Variables!$B$23),0)</f>
        <v>0</v>
      </c>
      <c r="T92" s="63">
        <f>IF((H91+SUM(J92:Q92))&lt;(Variables!$B$26*Variables!$E$50),$F$1*((Variables!$B$26*Variables!$E$50)-H91-SUM(J92:Q92)),0)</f>
        <v>0</v>
      </c>
      <c r="U92" s="64">
        <f>IF(AND(AND(B92="Autumn",SUM(D89:E92)&gt;Variables!$B$27),SUM(J92:Q92)&lt;Variables!$B$28*H91),$F$1*(Variables!$B$28*H91-SUM(J92:Q92)),0)</f>
        <v>0</v>
      </c>
      <c r="V92" s="96">
        <f>IF(AND((J92+K92)=0,(Q92+T92)=0),$H$1*H92*Variables!$I$23*0.25,0)</f>
        <v>63.654988316859608</v>
      </c>
      <c r="W92" s="97">
        <f>IF(AND((K92+J92)=0,(T92+Q92)=0),$I$1*H92*Variables!$Q$23*0.25,0)</f>
        <v>66.629935708455605</v>
      </c>
      <c r="X92" s="95">
        <f>IF(AND(NOT(K92=0),(H92-H91)&gt;0),(H92-H91)*(Variables!$M$5*$H$1+Variables!$U$5*$I$1),0)+IF(AND(NOT((J92+N92+Q92)=0),(H91-H92)&gt;0),(H91-H92)*(Variables!$M$4*$H$1+Variables!$U$4*$I$1),0)</f>
        <v>0</v>
      </c>
      <c r="Y92" s="95">
        <f>IF(SUM(T92,U91:U92)&gt;0,H92*Variables!$Y$11*0.25*(1-$J$1),0)</f>
        <v>0</v>
      </c>
      <c r="Z92" s="95">
        <f>IF(T92=0,H92*$J$1*Variables!$Y$5*0.25,0)</f>
        <v>21.471416883604302</v>
      </c>
      <c r="AA92" s="95">
        <f t="shared" si="2"/>
        <v>151.7563409089195</v>
      </c>
      <c r="AB92" s="91">
        <f>AA92/Variables!$E$49</f>
        <v>24.476829178857983</v>
      </c>
    </row>
    <row r="93" spans="1:28" x14ac:dyDescent="0.25">
      <c r="A93" s="61">
        <f>'Water runs'!C100</f>
        <v>10471</v>
      </c>
      <c r="B93" s="61" t="str">
        <f>'Water runs'!B100</f>
        <v>Winter</v>
      </c>
      <c r="C93" s="54">
        <f>'Water runs'!D100/100</f>
        <v>0.34537142857142905</v>
      </c>
      <c r="D93" s="108">
        <f>VLOOKUP(ROW(D93)+4,'Water runs'!$BS$3:$CF$423,MATCH($B$1,Scenarios,0)+1)</f>
        <v>0</v>
      </c>
      <c r="E93" s="54">
        <f>IF(B93=Variables!$D$8,C93-Variables!$E$8,IF(B93=Variables!$D$9,C93-Variables!$E$9,IF(B93=Variables!$D$10,C93-Variables!$E$10,IF(B93=Variables!$D$11,C93-Variables!$E$11,"ELSE"))))</f>
        <v>-0.22639619708994668</v>
      </c>
      <c r="F93" s="108">
        <f>VLOOKUP(ROW(F93)+4,'Water runs'!$CH$3:$CU$423,MATCH($B$1,Scenarios,0)+1)</f>
        <v>0</v>
      </c>
      <c r="G93" s="65">
        <f>H93/Variables!$E$49</f>
        <v>0.26748950159635093</v>
      </c>
      <c r="H93" s="62">
        <f>IF((H92+I93)&gt;(1.1*Variables!$E$50),(1.1*Variables!$E$50),IF((H92+I93)&gt;0,H92+I93,0))</f>
        <v>1.6584349098973759</v>
      </c>
      <c r="I93" s="64">
        <f t="shared" si="3"/>
        <v>-1.6448599952725167</v>
      </c>
      <c r="J93" s="63">
        <f>IF(SUM(E89:E92)&lt;Variables!$B$3,-H92,0)</f>
        <v>0</v>
      </c>
      <c r="K93" s="64">
        <f>IF(AND(H92&lt;Variables!$B$6*Variables!$E$50,OR(SUM(D90:D93)&gt;Variables!$B$5,SUM(E90:E93)&gt;Variables!$B$4)),Variables!$B$6*Variables!$E$50+Variables!$B$7*$G$1*Variables!$E$50*SUM(D90:D93),0)</f>
        <v>0</v>
      </c>
      <c r="L93" s="64">
        <f>IF(B93="Winter",Variables!$B$8*H92,0)</f>
        <v>-1.6448599952725167</v>
      </c>
      <c r="M93" s="64">
        <f>IF(AND(B93="Spring",AND(NOT(H92=0),H92&lt;(Variables!$B$9*Variables!$E$50))),(Variables!$B$10*Variables!$E$50+Variables!$B$11*Variables!$E$50*SUM(E90:E93)+$G$1*SUM(D92:D93)*Variables!$E$50*Variables!$B$12),0)</f>
        <v>0</v>
      </c>
      <c r="N93" s="64">
        <f>IF(AND(B93="Spring",AND(SUM(D90:D93)&gt;Variables!$B$13,SUM(D86:D89)&gt;Variables!$B$13)),-Variables!$B$14*Variables!$E$50,0)</f>
        <v>0</v>
      </c>
      <c r="O93" s="64">
        <f>IF(AND(B93="Summer",SUM(C89:D93)&gt;Variables!$B$15),(Variables!$B$16*Variables!$E$50*SUM(C89:C93)+$G$1*Variables!$B$16*Variables!$E$50*SUM(D89:D93)+$G$1*Variables!$E$50*Variables!$B$17*F93),0)</f>
        <v>0</v>
      </c>
      <c r="P93" s="64">
        <f>IF(AND(AND(B93="Autumn",SUM(D92:E93)&gt;0),NOT(H92=0)),Variables!$B$18*Variables!$E$50+Variables!$B$19*Variables!$E$50*SUM(E92:E93)+$G$1*Variables!$B$19*Variables!$E$50*SUM(D92:D93),0)</f>
        <v>0</v>
      </c>
      <c r="Q93" s="64">
        <f>IF(AND(B93="Autumn",AND((E93+E92)&lt;Variables!$B$20,(D92+D93)=0)),-Variables!$B$21*Variables!$E$50,0)</f>
        <v>0</v>
      </c>
      <c r="R93" s="64">
        <f>IF(B93="Autumn",(SUM(F92:F93)*$G$1*Variables!$B$22*Variables!$E$50),0)</f>
        <v>0</v>
      </c>
      <c r="S93" s="64">
        <f>IF(B93="Spring",($G$1*Variables!$E$50*SUM('Guts (option 1)'!F92:F93)*Variables!$B$23),0)</f>
        <v>0</v>
      </c>
      <c r="T93" s="63">
        <f>IF((H92+SUM(J93:Q93))&lt;(Variables!$B$26*Variables!$E$50),$F$1*((Variables!$B$26*Variables!$E$50)-H92-SUM(J93:Q93)),0)</f>
        <v>0</v>
      </c>
      <c r="U93" s="64">
        <f>IF(AND(AND(B93="Autumn",SUM(D90:E93)&gt;Variables!$B$27),SUM(J93:Q93)&lt;Variables!$B$28*H92),$F$1*(Variables!$B$28*H92-SUM(J93:Q93)),0)</f>
        <v>0</v>
      </c>
      <c r="V93" s="96">
        <f>IF(AND((J93+K93)=0,(Q93+T93)=0),$H$1*H93*Variables!$I$23*0.25,0)</f>
        <v>31.958289478958918</v>
      </c>
      <c r="W93" s="97">
        <f>IF(AND((K93+J93)=0,(T93+Q93)=0),$I$1*H93*Variables!$Q$23*0.25,0)</f>
        <v>33.451875958812494</v>
      </c>
      <c r="X93" s="95">
        <f>IF(AND(NOT(K93=0),(H93-H92)&gt;0),(H93-H92)*(Variables!$M$5*$H$1+Variables!$U$5*$I$1),0)+IF(AND(NOT((J93+N93+Q93)=0),(H92-H93)&gt;0),(H92-H93)*(Variables!$M$4*$H$1+Variables!$U$4*$I$1),0)</f>
        <v>0</v>
      </c>
      <c r="Y93" s="95">
        <f>IF(SUM(T93,U92:U93)&gt;0,H93*Variables!$Y$11*0.25*(1-$J$1),0)</f>
        <v>0</v>
      </c>
      <c r="Z93" s="95">
        <f>IF(T93=0,H93*$J$1*Variables!$Y$5*0.25,0)</f>
        <v>10.779826914332943</v>
      </c>
      <c r="AA93" s="95">
        <f t="shared" si="2"/>
        <v>76.189992352104355</v>
      </c>
      <c r="AB93" s="91">
        <f>AA93/Variables!$E$49</f>
        <v>12.288708443887799</v>
      </c>
    </row>
    <row r="94" spans="1:28" x14ac:dyDescent="0.25">
      <c r="A94" s="61">
        <f>'Water runs'!C101</f>
        <v>10562</v>
      </c>
      <c r="B94" s="61" t="str">
        <f>'Water runs'!B101</f>
        <v>Spring</v>
      </c>
      <c r="C94" s="54">
        <f>'Water runs'!D101/100</f>
        <v>8.5285714285714298E-2</v>
      </c>
      <c r="D94" s="108">
        <f>VLOOKUP(ROW(D94)+4,'Water runs'!$BS$3:$CF$423,MATCH($B$1,Scenarios,0)+1)</f>
        <v>0</v>
      </c>
      <c r="E94" s="54">
        <f>IF(B94=Variables!$D$8,C94-Variables!$E$8,IF(B94=Variables!$D$9,C94-Variables!$E$9,IF(B94=Variables!$D$10,C94-Variables!$E$10,IF(B94=Variables!$D$11,C94-Variables!$E$11,"ELSE"))))</f>
        <v>-0.67869649470899485</v>
      </c>
      <c r="F94" s="108">
        <f>VLOOKUP(ROW(F94)+4,'Water runs'!$CH$3:$CU$423,MATCH($B$1,Scenarios,0)+1)</f>
        <v>0</v>
      </c>
      <c r="G94" s="65">
        <f>H94/Variables!$E$49</f>
        <v>0.25543843063805077</v>
      </c>
      <c r="H94" s="62">
        <f>IF((H93+I94)&gt;(1.1*Variables!$E$50),(1.1*Variables!$E$50),IF((H93+I94)&gt;0,H93+I94,0))</f>
        <v>1.5837182699559147</v>
      </c>
      <c r="I94" s="64">
        <f t="shared" si="3"/>
        <v>-7.4716639941461216E-2</v>
      </c>
      <c r="J94" s="63">
        <f>IF(SUM(E90:E93)&lt;Variables!$B$3,-H93,0)</f>
        <v>0</v>
      </c>
      <c r="K94" s="64">
        <f>IF(AND(H93&lt;Variables!$B$6*Variables!$E$50,OR(SUM(D91:D94)&gt;Variables!$B$5,SUM(E91:E94)&gt;Variables!$B$4)),Variables!$B$6*Variables!$E$50+Variables!$B$7*$G$1*Variables!$E$50*SUM(D91:D94),0)</f>
        <v>0</v>
      </c>
      <c r="L94" s="64">
        <f>IF(B94="Winter",Variables!$B$8*H93,0)</f>
        <v>0</v>
      </c>
      <c r="M94" s="64">
        <f>IF(AND(B94="Spring",AND(NOT(H93=0),H93&lt;(Variables!$B$9*Variables!$E$50))),(Variables!$B$10*Variables!$E$50+Variables!$B$11*Variables!$E$50*SUM(E91:E94)+$G$1*SUM(D93:D94)*Variables!$E$50*Variables!$B$12),0)</f>
        <v>-7.4716639941461216E-2</v>
      </c>
      <c r="N94" s="64">
        <f>IF(AND(B94="Spring",AND(SUM(D91:D94)&gt;Variables!$B$13,SUM(D87:D90)&gt;Variables!$B$13)),-Variables!$B$14*Variables!$E$50,0)</f>
        <v>0</v>
      </c>
      <c r="O94" s="64">
        <f>IF(AND(B94="Summer",SUM(C90:D94)&gt;Variables!$B$15),(Variables!$B$16*Variables!$E$50*SUM(C90:C94)+$G$1*Variables!$B$16*Variables!$E$50*SUM(D90:D94)+$G$1*Variables!$E$50*Variables!$B$17*F94),0)</f>
        <v>0</v>
      </c>
      <c r="P94" s="64">
        <f>IF(AND(AND(B94="Autumn",SUM(D93:E94)&gt;0),NOT(H93=0)),Variables!$B$18*Variables!$E$50+Variables!$B$19*Variables!$E$50*SUM(E93:E94)+$G$1*Variables!$B$19*Variables!$E$50*SUM(D93:D94),0)</f>
        <v>0</v>
      </c>
      <c r="Q94" s="64">
        <f>IF(AND(B94="Autumn",AND((E94+E93)&lt;Variables!$B$20,(D93+D94)=0)),-Variables!$B$21*Variables!$E$50,0)</f>
        <v>0</v>
      </c>
      <c r="R94" s="64">
        <f>IF(B94="Autumn",(SUM(F93:F94)*$G$1*Variables!$B$22*Variables!$E$50),0)</f>
        <v>0</v>
      </c>
      <c r="S94" s="64">
        <f>IF(B94="Spring",($G$1*Variables!$E$50*SUM('Guts (option 1)'!F93:F94)*Variables!$B$23),0)</f>
        <v>0</v>
      </c>
      <c r="T94" s="63">
        <f>IF((H93+SUM(J94:Q94))&lt;(Variables!$B$26*Variables!$E$50),$F$1*((Variables!$B$26*Variables!$E$50)-H93-SUM(J94:Q94)),0)</f>
        <v>0</v>
      </c>
      <c r="U94" s="64">
        <f>IF(AND(AND(B94="Autumn",SUM(D91:E94)&gt;Variables!$B$27),SUM(J94:Q94)&lt;Variables!$B$28*H93),$F$1*(Variables!$B$28*H93-SUM(J94:Q94)),0)</f>
        <v>0</v>
      </c>
      <c r="V94" s="96">
        <f>IF(AND((J94+K94)=0,(Q94+T94)=0),$H$1*H94*Variables!$I$23*0.25,0)</f>
        <v>30.518488619790972</v>
      </c>
      <c r="W94" s="97">
        <f>IF(AND((K94+J94)=0,(T94+Q94)=0),$I$1*H94*Variables!$Q$23*0.25,0)</f>
        <v>31.944785293713263</v>
      </c>
      <c r="X94" s="95">
        <f>IF(AND(NOT(K94=0),(H94-H93)&gt;0),(H94-H93)*(Variables!$M$5*$H$1+Variables!$U$5*$I$1),0)+IF(AND(NOT((J94+N94+Q94)=0),(H93-H94)&gt;0),(H93-H94)*(Variables!$M$4*$H$1+Variables!$U$4*$I$1),0)</f>
        <v>0</v>
      </c>
      <c r="Y94" s="95">
        <f>IF(SUM(T94,U93:U94)&gt;0,H94*Variables!$Y$11*0.25*(1-$J$1),0)</f>
        <v>0</v>
      </c>
      <c r="Z94" s="95">
        <f>IF(T94=0,H94*$J$1*Variables!$Y$5*0.25,0)</f>
        <v>10.294168754713446</v>
      </c>
      <c r="AA94" s="95">
        <f t="shared" si="2"/>
        <v>72.757442668217692</v>
      </c>
      <c r="AB94" s="91">
        <f>AA94/Variables!$E$49</f>
        <v>11.735071398099628</v>
      </c>
    </row>
    <row r="95" spans="1:28" x14ac:dyDescent="0.25">
      <c r="A95" s="61">
        <f>'Water runs'!C102</f>
        <v>10652</v>
      </c>
      <c r="B95" s="61" t="str">
        <f>'Water runs'!B102</f>
        <v>Summer</v>
      </c>
      <c r="C95" s="54">
        <f>'Water runs'!D102/100</f>
        <v>0.279485714285714</v>
      </c>
      <c r="D95" s="108">
        <f>VLOOKUP(ROW(D95)+4,'Water runs'!$BS$3:$CF$423,MATCH($B$1,Scenarios,0)+1)</f>
        <v>0</v>
      </c>
      <c r="E95" s="54">
        <f>IF(B95=Variables!$D$8,C95-Variables!$E$8,IF(B95=Variables!$D$9,C95-Variables!$E$9,IF(B95=Variables!$D$10,C95-Variables!$E$10,IF(B95=Variables!$D$11,C95-Variables!$E$11,"ELSE"))))</f>
        <v>-0.97888442176870771</v>
      </c>
      <c r="F95" s="108">
        <f>VLOOKUP(ROW(F95)+4,'Water runs'!$CH$3:$CU$423,MATCH($B$1,Scenarios,0)+1)</f>
        <v>0</v>
      </c>
      <c r="G95" s="65">
        <f>H95/Variables!$E$49</f>
        <v>0.25543843063805077</v>
      </c>
      <c r="H95" s="62">
        <f>IF((H94+I95)&gt;(1.1*Variables!$E$50),(1.1*Variables!$E$50),IF((H94+I95)&gt;0,H94+I95,0))</f>
        <v>1.5837182699559147</v>
      </c>
      <c r="I95" s="64">
        <f t="shared" si="3"/>
        <v>0</v>
      </c>
      <c r="J95" s="63">
        <f>IF(SUM(E91:E94)&lt;Variables!$B$3,-H94,0)</f>
        <v>0</v>
      </c>
      <c r="K95" s="64">
        <f>IF(AND(H94&lt;Variables!$B$6*Variables!$E$50,OR(SUM(D92:D95)&gt;Variables!$B$5,SUM(E92:E95)&gt;Variables!$B$4)),Variables!$B$6*Variables!$E$50+Variables!$B$7*$G$1*Variables!$E$50*SUM(D92:D95),0)</f>
        <v>0</v>
      </c>
      <c r="L95" s="64">
        <f>IF(B95="Winter",Variables!$B$8*H94,0)</f>
        <v>0</v>
      </c>
      <c r="M95" s="64">
        <f>IF(AND(B95="Spring",AND(NOT(H94=0),H94&lt;(Variables!$B$9*Variables!$E$50))),(Variables!$B$10*Variables!$E$50+Variables!$B$11*Variables!$E$50*SUM(E92:E95)+$G$1*SUM(D94:D95)*Variables!$E$50*Variables!$B$12),0)</f>
        <v>0</v>
      </c>
      <c r="N95" s="64">
        <f>IF(AND(B95="Spring",AND(SUM(D92:D95)&gt;Variables!$B$13,SUM(D88:D91)&gt;Variables!$B$13)),-Variables!$B$14*Variables!$E$50,0)</f>
        <v>0</v>
      </c>
      <c r="O95" s="64">
        <f>IF(AND(B95="Summer",SUM(C91:D95)&gt;Variables!$B$15),(Variables!$B$16*Variables!$E$50*SUM(C91:C95)+$G$1*Variables!$B$16*Variables!$E$50*SUM(D91:D95)+$G$1*Variables!$E$50*Variables!$B$17*F95),0)</f>
        <v>0</v>
      </c>
      <c r="P95" s="64">
        <f>IF(AND(AND(B95="Autumn",SUM(D94:E95)&gt;0),NOT(H94=0)),Variables!$B$18*Variables!$E$50+Variables!$B$19*Variables!$E$50*SUM(E94:E95)+$G$1*Variables!$B$19*Variables!$E$50*SUM(D94:D95),0)</f>
        <v>0</v>
      </c>
      <c r="Q95" s="64">
        <f>IF(AND(B95="Autumn",AND((E95+E94)&lt;Variables!$B$20,(D94+D95)=0)),-Variables!$B$21*Variables!$E$50,0)</f>
        <v>0</v>
      </c>
      <c r="R95" s="64">
        <f>IF(B95="Autumn",(SUM(F94:F95)*$G$1*Variables!$B$22*Variables!$E$50),0)</f>
        <v>0</v>
      </c>
      <c r="S95" s="64">
        <f>IF(B95="Spring",($G$1*Variables!$E$50*SUM('Guts (option 1)'!F94:F95)*Variables!$B$23),0)</f>
        <v>0</v>
      </c>
      <c r="T95" s="63">
        <f>IF((H94+SUM(J95:Q95))&lt;(Variables!$B$26*Variables!$E$50),$F$1*((Variables!$B$26*Variables!$E$50)-H94-SUM(J95:Q95)),0)</f>
        <v>0</v>
      </c>
      <c r="U95" s="64">
        <f>IF(AND(AND(B95="Autumn",SUM(D92:E95)&gt;Variables!$B$27),SUM(J95:Q95)&lt;Variables!$B$28*H94),$F$1*(Variables!$B$28*H94-SUM(J95:Q95)),0)</f>
        <v>0</v>
      </c>
      <c r="V95" s="96">
        <f>IF(AND((J95+K95)=0,(Q95+T95)=0),$H$1*H95*Variables!$I$23*0.25,0)</f>
        <v>30.518488619790972</v>
      </c>
      <c r="W95" s="97">
        <f>IF(AND((K95+J95)=0,(T95+Q95)=0),$I$1*H95*Variables!$Q$23*0.25,0)</f>
        <v>31.944785293713263</v>
      </c>
      <c r="X95" s="95">
        <f>IF(AND(NOT(K95=0),(H95-H94)&gt;0),(H95-H94)*(Variables!$M$5*$H$1+Variables!$U$5*$I$1),0)+IF(AND(NOT((J95+N95+Q95)=0),(H94-H95)&gt;0),(H94-H95)*(Variables!$M$4*$H$1+Variables!$U$4*$I$1),0)</f>
        <v>0</v>
      </c>
      <c r="Y95" s="95">
        <f>IF(SUM(T95,U94:U95)&gt;0,H95*Variables!$Y$11*0.25*(1-$J$1),0)</f>
        <v>0</v>
      </c>
      <c r="Z95" s="95">
        <f>IF(T95=0,H95*$J$1*Variables!$Y$5*0.25,0)</f>
        <v>10.294168754713446</v>
      </c>
      <c r="AA95" s="95">
        <f t="shared" si="2"/>
        <v>72.757442668217692</v>
      </c>
      <c r="AB95" s="91">
        <f>AA95/Variables!$E$49</f>
        <v>11.735071398099628</v>
      </c>
    </row>
    <row r="96" spans="1:28" x14ac:dyDescent="0.25">
      <c r="A96" s="61">
        <f>'Water runs'!C103</f>
        <v>10744</v>
      </c>
      <c r="B96" s="61" t="str">
        <f>'Water runs'!B103</f>
        <v>Autumn</v>
      </c>
      <c r="C96" s="54">
        <f>'Water runs'!D103/100</f>
        <v>0.65017142857142896</v>
      </c>
      <c r="D96" s="108">
        <f>VLOOKUP(ROW(D96)+4,'Water runs'!$BS$3:$CF$423,MATCH($B$1,Scenarios,0)+1)</f>
        <v>7.8831423843419179E-2</v>
      </c>
      <c r="E96" s="54">
        <f>IF(B96=Variables!$D$8,C96-Variables!$E$8,IF(B96=Variables!$D$9,C96-Variables!$E$9,IF(B96=Variables!$D$10,C96-Variables!$E$10,IF(B96=Variables!$D$11,C96-Variables!$E$11,"ELSE"))))</f>
        <v>-0.34447187074829888</v>
      </c>
      <c r="F96" s="108">
        <f>VLOOKUP(ROW(F96)+4,'Water runs'!$CH$3:$CU$423,MATCH($B$1,Scenarios,0)+1)</f>
        <v>0</v>
      </c>
      <c r="G96" s="65">
        <f>H96/Variables!$E$49</f>
        <v>0.161</v>
      </c>
      <c r="H96" s="62">
        <f>IF((H95+I96)&gt;(1.1*Variables!$E$50),(1.1*Variables!$E$50),IF((H95+I96)&gt;0,H95+I96,0))</f>
        <v>0.99820000000000009</v>
      </c>
      <c r="I96" s="64">
        <f t="shared" si="3"/>
        <v>-0.58551826995591461</v>
      </c>
      <c r="J96" s="63">
        <f>IF(SUM(E92:E95)&lt;Variables!$B$3,-H95,0)</f>
        <v>-1.5837182699559147</v>
      </c>
      <c r="K96" s="64">
        <f>IF(AND(H95&lt;Variables!$B$6*Variables!$E$50,OR(SUM(D93:D96)&gt;Variables!$B$5,SUM(E93:E96)&gt;Variables!$B$4)),Variables!$B$6*Variables!$E$50+Variables!$B$7*$G$1*Variables!$E$50*SUM(D93:D96),0)</f>
        <v>0</v>
      </c>
      <c r="L96" s="64">
        <f>IF(B96="Winter",Variables!$B$8*H95,0)</f>
        <v>0</v>
      </c>
      <c r="M96" s="64">
        <f>IF(AND(B96="Spring",AND(NOT(H95=0),H95&lt;(Variables!$B$9*Variables!$E$50))),(Variables!$B$10*Variables!$E$50+Variables!$B$11*Variables!$E$50*SUM(E93:E96)+$G$1*SUM(D95:D96)*Variables!$E$50*Variables!$B$12),0)</f>
        <v>0</v>
      </c>
      <c r="N96" s="64">
        <f>IF(AND(B96="Spring",AND(SUM(D93:D96)&gt;Variables!$B$13,SUM(D89:D92)&gt;Variables!$B$13)),-Variables!$B$14*Variables!$E$50,0)</f>
        <v>0</v>
      </c>
      <c r="O96" s="64">
        <f>IF(AND(B96="Summer",SUM(C92:D96)&gt;Variables!$B$15),(Variables!$B$16*Variables!$E$50*SUM(C92:C96)+$G$1*Variables!$B$16*Variables!$E$50*SUM(D92:D96)+$G$1*Variables!$E$50*Variables!$B$17*F96),0)</f>
        <v>0</v>
      </c>
      <c r="P96" s="64">
        <f>IF(AND(AND(B96="Autumn",SUM(D95:E96)&gt;0),NOT(H95=0)),Variables!$B$18*Variables!$E$50+Variables!$B$19*Variables!$E$50*SUM(E95:E96)+$G$1*Variables!$B$19*Variables!$E$50*SUM(D95:D96),0)</f>
        <v>0</v>
      </c>
      <c r="Q96" s="64">
        <f>IF(AND(B96="Autumn",AND((E96+E95)&lt;Variables!$B$20,(D95+D96)=0)),-Variables!$B$21*Variables!$E$50,0)</f>
        <v>0</v>
      </c>
      <c r="R96" s="64">
        <f>IF(B96="Autumn",(SUM(F95:F96)*$G$1*Variables!$B$22*Variables!$E$50),0)</f>
        <v>0</v>
      </c>
      <c r="S96" s="64">
        <f>IF(B96="Spring",($G$1*Variables!$E$50*SUM('Guts (option 1)'!F95:F96)*Variables!$B$23),0)</f>
        <v>0</v>
      </c>
      <c r="T96" s="63">
        <f>IF((H95+SUM(J96:Q96))&lt;(Variables!$B$26*Variables!$E$50),$F$1*((Variables!$B$26*Variables!$E$50)-H95-SUM(J96:Q96)),0)</f>
        <v>0.99820000000000009</v>
      </c>
      <c r="U96" s="64">
        <f>IF(AND(AND(B96="Autumn",SUM(D93:E96)&gt;Variables!$B$27),SUM(J96:Q96)&lt;Variables!$B$28*H95),$F$1*(Variables!$B$28*H95-SUM(J96:Q96)),0)</f>
        <v>0</v>
      </c>
      <c r="V96" s="96">
        <f>IF(AND((J96+K96)=0,(Q96+T96)=0),$H$1*H96*Variables!$I$23*0.25,0)</f>
        <v>0</v>
      </c>
      <c r="W96" s="97">
        <f>IF(AND((K96+J96)=0,(T96+Q96)=0),$I$1*H96*Variables!$Q$23*0.25,0)</f>
        <v>0</v>
      </c>
      <c r="X96" s="95">
        <f>IF(AND(NOT(K96=0),(H96-H95)&gt;0),(H96-H95)*(Variables!$M$5*$H$1+Variables!$U$5*$I$1),0)+IF(AND(NOT((J96+N96+Q96)=0),(H95-H96)&gt;0),(H95-H96)*(Variables!$M$4*$H$1+Variables!$U$4*$I$1),0)</f>
        <v>73.189783744489333</v>
      </c>
      <c r="Y96" s="95">
        <f>IF(SUM(T96,U95:U96)&gt;0,H96*Variables!$Y$11*0.25*(1-$J$1),0)</f>
        <v>0</v>
      </c>
      <c r="Z96" s="95">
        <f>IF(T96=0,H96*$J$1*Variables!$Y$5*0.25,0)</f>
        <v>0</v>
      </c>
      <c r="AA96" s="95">
        <f t="shared" si="2"/>
        <v>73.189783744489333</v>
      </c>
      <c r="AB96" s="91">
        <f>AA96/Variables!$E$49</f>
        <v>11.804803829756343</v>
      </c>
    </row>
    <row r="97" spans="1:28" x14ac:dyDescent="0.25">
      <c r="A97" s="61">
        <f>'Water runs'!C104</f>
        <v>10836</v>
      </c>
      <c r="B97" s="61" t="str">
        <f>'Water runs'!B104</f>
        <v>Winter</v>
      </c>
      <c r="C97" s="54">
        <f>'Water runs'!D104/100</f>
        <v>0.36280000000000001</v>
      </c>
      <c r="D97" s="108">
        <f>VLOOKUP(ROW(D97)+4,'Water runs'!$BS$3:$CF$423,MATCH($B$1,Scenarios,0)+1)</f>
        <v>0</v>
      </c>
      <c r="E97" s="54">
        <f>IF(B97=Variables!$D$8,C97-Variables!$E$8,IF(B97=Variables!$D$9,C97-Variables!$E$9,IF(B97=Variables!$D$10,C97-Variables!$E$10,IF(B97=Variables!$D$11,C97-Variables!$E$11,"ELSE"))))</f>
        <v>-0.20896762566137572</v>
      </c>
      <c r="F97" s="108">
        <f>VLOOKUP(ROW(F97)+4,'Water runs'!$CH$3:$CU$423,MATCH($B$1,Scenarios,0)+1)</f>
        <v>0</v>
      </c>
      <c r="G97" s="65">
        <f>H97/Variables!$E$49</f>
        <v>0.161</v>
      </c>
      <c r="H97" s="62">
        <f>IF((H96+I97)&gt;(1.1*Variables!$E$50),(1.1*Variables!$E$50),IF((H96+I97)&gt;0,H96+I97,0))</f>
        <v>0.99820000000000009</v>
      </c>
      <c r="I97" s="64">
        <f t="shared" si="3"/>
        <v>0</v>
      </c>
      <c r="J97" s="63">
        <f>IF(SUM(E93:E96)&lt;Variables!$B$3,-H96,0)</f>
        <v>-0.99820000000000009</v>
      </c>
      <c r="K97" s="64">
        <f>IF(AND(H96&lt;Variables!$B$6*Variables!$E$50,OR(SUM(D94:D97)&gt;Variables!$B$5,SUM(E94:E97)&gt;Variables!$B$4)),Variables!$B$6*Variables!$E$50+Variables!$B$7*$G$1*Variables!$E$50*SUM(D94:D97),0)</f>
        <v>0</v>
      </c>
      <c r="L97" s="64">
        <f>IF(B97="Winter",Variables!$B$8*H96,0)</f>
        <v>-0.49704894489176149</v>
      </c>
      <c r="M97" s="64">
        <f>IF(AND(B97="Spring",AND(NOT(H96=0),H96&lt;(Variables!$B$9*Variables!$E$50))),(Variables!$B$10*Variables!$E$50+Variables!$B$11*Variables!$E$50*SUM(E94:E97)+$G$1*SUM(D96:D97)*Variables!$E$50*Variables!$B$12),0)</f>
        <v>0</v>
      </c>
      <c r="N97" s="64">
        <f>IF(AND(B97="Spring",AND(SUM(D94:D97)&gt;Variables!$B$13,SUM(D90:D93)&gt;Variables!$B$13)),-Variables!$B$14*Variables!$E$50,0)</f>
        <v>0</v>
      </c>
      <c r="O97" s="64">
        <f>IF(AND(B97="Summer",SUM(C93:D97)&gt;Variables!$B$15),(Variables!$B$16*Variables!$E$50*SUM(C93:C97)+$G$1*Variables!$B$16*Variables!$E$50*SUM(D93:D97)+$G$1*Variables!$E$50*Variables!$B$17*F97),0)</f>
        <v>0</v>
      </c>
      <c r="P97" s="64">
        <f>IF(AND(AND(B97="Autumn",SUM(D96:E97)&gt;0),NOT(H96=0)),Variables!$B$18*Variables!$E$50+Variables!$B$19*Variables!$E$50*SUM(E96:E97)+$G$1*Variables!$B$19*Variables!$E$50*SUM(D96:D97),0)</f>
        <v>0</v>
      </c>
      <c r="Q97" s="64">
        <f>IF(AND(B97="Autumn",AND((E97+E96)&lt;Variables!$B$20,(D96+D97)=0)),-Variables!$B$21*Variables!$E$50,0)</f>
        <v>0</v>
      </c>
      <c r="R97" s="64">
        <f>IF(B97="Autumn",(SUM(F96:F97)*$G$1*Variables!$B$22*Variables!$E$50),0)</f>
        <v>0</v>
      </c>
      <c r="S97" s="64">
        <f>IF(B97="Spring",($G$1*Variables!$E$50*SUM('Guts (option 1)'!F96:F97)*Variables!$B$23),0)</f>
        <v>0</v>
      </c>
      <c r="T97" s="63">
        <f>IF((H96+SUM(J97:Q97))&lt;(Variables!$B$26*Variables!$E$50),$F$1*((Variables!$B$26*Variables!$E$50)-H96-SUM(J97:Q97)),0)</f>
        <v>1.4952489448917616</v>
      </c>
      <c r="U97" s="64">
        <f>IF(AND(AND(B97="Autumn",SUM(D94:E97)&gt;Variables!$B$27),SUM(J97:Q97)&lt;Variables!$B$28*H96),$F$1*(Variables!$B$28*H96-SUM(J97:Q97)),0)</f>
        <v>0</v>
      </c>
      <c r="V97" s="96">
        <f>IF(AND((J97+K97)=0,(Q97+T97)=0),$H$1*H97*Variables!$I$23*0.25,0)</f>
        <v>0</v>
      </c>
      <c r="W97" s="97">
        <f>IF(AND((K97+J97)=0,(T97+Q97)=0),$I$1*H97*Variables!$Q$23*0.25,0)</f>
        <v>0</v>
      </c>
      <c r="X97" s="95">
        <f>IF(AND(NOT(K97=0),(H97-H96)&gt;0),(H97-H96)*(Variables!$M$5*$H$1+Variables!$U$5*$I$1),0)+IF(AND(NOT((J97+N97+Q97)=0),(H96-H97)&gt;0),(H96-H97)*(Variables!$M$4*$H$1+Variables!$U$4*$I$1),0)</f>
        <v>0</v>
      </c>
      <c r="Y97" s="95">
        <f>IF(SUM(T97,U96:U97)&gt;0,H97*Variables!$Y$11*0.25*(1-$J$1),0)</f>
        <v>0</v>
      </c>
      <c r="Z97" s="95">
        <f>IF(T97=0,H97*$J$1*Variables!$Y$5*0.25,0)</f>
        <v>0</v>
      </c>
      <c r="AA97" s="95">
        <f t="shared" si="2"/>
        <v>0</v>
      </c>
      <c r="AB97" s="91">
        <f>AA97/Variables!$E$49</f>
        <v>0</v>
      </c>
    </row>
    <row r="98" spans="1:28" x14ac:dyDescent="0.25">
      <c r="A98" s="61">
        <f>'Water runs'!C105</f>
        <v>10927</v>
      </c>
      <c r="B98" s="61" t="str">
        <f>'Water runs'!B105</f>
        <v>Spring</v>
      </c>
      <c r="C98" s="54">
        <f>'Water runs'!D105/100</f>
        <v>0.50560000000000005</v>
      </c>
      <c r="D98" s="108">
        <f>VLOOKUP(ROW(D98)+4,'Water runs'!$BS$3:$CF$423,MATCH($B$1,Scenarios,0)+1)</f>
        <v>0</v>
      </c>
      <c r="E98" s="54">
        <f>IF(B98=Variables!$D$8,C98-Variables!$E$8,IF(B98=Variables!$D$9,C98-Variables!$E$9,IF(B98=Variables!$D$10,C98-Variables!$E$10,IF(B98=Variables!$D$11,C98-Variables!$E$11,"ELSE"))))</f>
        <v>-0.25838220899470909</v>
      </c>
      <c r="F98" s="108">
        <f>VLOOKUP(ROW(F98)+4,'Water runs'!$CH$3:$CU$423,MATCH($B$1,Scenarios,0)+1)</f>
        <v>0</v>
      </c>
      <c r="G98" s="65">
        <f>H98/Variables!$E$49</f>
        <v>0.161</v>
      </c>
      <c r="H98" s="62">
        <f>IF((H97+I98)&gt;(1.1*Variables!$E$50),(1.1*Variables!$E$50),IF((H97+I98)&gt;0,H97+I98,0))</f>
        <v>0.99820000000000009</v>
      </c>
      <c r="I98" s="64">
        <f t="shared" si="3"/>
        <v>0</v>
      </c>
      <c r="J98" s="63">
        <f>IF(SUM(E94:E97)&lt;Variables!$B$3,-H97,0)</f>
        <v>-0.99820000000000009</v>
      </c>
      <c r="K98" s="64">
        <f>IF(AND(H97&lt;Variables!$B$6*Variables!$E$50,OR(SUM(D95:D98)&gt;Variables!$B$5,SUM(E95:E98)&gt;Variables!$B$4)),Variables!$B$6*Variables!$E$50+Variables!$B$7*$G$1*Variables!$E$50*SUM(D95:D98),0)</f>
        <v>0</v>
      </c>
      <c r="L98" s="64">
        <f>IF(B98="Winter",Variables!$B$8*H97,0)</f>
        <v>0</v>
      </c>
      <c r="M98" s="64">
        <f>IF(AND(B98="Spring",AND(NOT(H97=0),H97&lt;(Variables!$B$9*Variables!$E$50))),(Variables!$B$10*Variables!$E$50+Variables!$B$11*Variables!$E$50*SUM(E95:E98)+$G$1*SUM(D97:D98)*Variables!$E$50*Variables!$B$12),0)</f>
        <v>-1.2195813341752686</v>
      </c>
      <c r="N98" s="64">
        <f>IF(AND(B98="Spring",AND(SUM(D95:D98)&gt;Variables!$B$13,SUM(D91:D94)&gt;Variables!$B$13)),-Variables!$B$14*Variables!$E$50,0)</f>
        <v>0</v>
      </c>
      <c r="O98" s="64">
        <f>IF(AND(B98="Summer",SUM(C94:D98)&gt;Variables!$B$15),(Variables!$B$16*Variables!$E$50*SUM(C94:C98)+$G$1*Variables!$B$16*Variables!$E$50*SUM(D94:D98)+$G$1*Variables!$E$50*Variables!$B$17*F98),0)</f>
        <v>0</v>
      </c>
      <c r="P98" s="64">
        <f>IF(AND(AND(B98="Autumn",SUM(D97:E98)&gt;0),NOT(H97=0)),Variables!$B$18*Variables!$E$50+Variables!$B$19*Variables!$E$50*SUM(E97:E98)+$G$1*Variables!$B$19*Variables!$E$50*SUM(D97:D98),0)</f>
        <v>0</v>
      </c>
      <c r="Q98" s="64">
        <f>IF(AND(B98="Autumn",AND((E98+E97)&lt;Variables!$B$20,(D97+D98)=0)),-Variables!$B$21*Variables!$E$50,0)</f>
        <v>0</v>
      </c>
      <c r="R98" s="64">
        <f>IF(B98="Autumn",(SUM(F97:F98)*$G$1*Variables!$B$22*Variables!$E$50),0)</f>
        <v>0</v>
      </c>
      <c r="S98" s="64">
        <f>IF(B98="Spring",($G$1*Variables!$E$50*SUM('Guts (option 1)'!F97:F98)*Variables!$B$23),0)</f>
        <v>0</v>
      </c>
      <c r="T98" s="63">
        <f>IF((H97+SUM(J98:Q98))&lt;(Variables!$B$26*Variables!$E$50),$F$1*((Variables!$B$26*Variables!$E$50)-H97-SUM(J98:Q98)),0)</f>
        <v>2.2177813341752688</v>
      </c>
      <c r="U98" s="64">
        <f>IF(AND(AND(B98="Autumn",SUM(D95:E98)&gt;Variables!$B$27),SUM(J98:Q98)&lt;Variables!$B$28*H97),$F$1*(Variables!$B$28*H97-SUM(J98:Q98)),0)</f>
        <v>0</v>
      </c>
      <c r="V98" s="96">
        <f>IF(AND((J98+K98)=0,(Q98+T98)=0),$H$1*H98*Variables!$I$23*0.25,0)</f>
        <v>0</v>
      </c>
      <c r="W98" s="97">
        <f>IF(AND((K98+J98)=0,(T98+Q98)=0),$I$1*H98*Variables!$Q$23*0.25,0)</f>
        <v>0</v>
      </c>
      <c r="X98" s="95">
        <f>IF(AND(NOT(K98=0),(H98-H97)&gt;0),(H98-H97)*(Variables!$M$5*$H$1+Variables!$U$5*$I$1),0)+IF(AND(NOT((J98+N98+Q98)=0),(H97-H98)&gt;0),(H97-H98)*(Variables!$M$4*$H$1+Variables!$U$4*$I$1),0)</f>
        <v>0</v>
      </c>
      <c r="Y98" s="95">
        <f>IF(SUM(T98,U97:U98)&gt;0,H98*Variables!$Y$11*0.25*(1-$J$1),0)</f>
        <v>0</v>
      </c>
      <c r="Z98" s="95">
        <f>IF(T98=0,H98*$J$1*Variables!$Y$5*0.25,0)</f>
        <v>0</v>
      </c>
      <c r="AA98" s="95">
        <f t="shared" si="2"/>
        <v>0</v>
      </c>
      <c r="AB98" s="91">
        <f>AA98/Variables!$E$49</f>
        <v>0</v>
      </c>
    </row>
    <row r="99" spans="1:28" x14ac:dyDescent="0.25">
      <c r="A99" s="61">
        <f>'Water runs'!C106</f>
        <v>11017</v>
      </c>
      <c r="B99" s="61" t="str">
        <f>'Water runs'!B106</f>
        <v>Summer</v>
      </c>
      <c r="C99" s="54">
        <f>'Water runs'!D106/100</f>
        <v>0.64879999999999993</v>
      </c>
      <c r="D99" s="108">
        <f>VLOOKUP(ROW(D99)+4,'Water runs'!$BS$3:$CF$423,MATCH($B$1,Scenarios,0)+1)</f>
        <v>0</v>
      </c>
      <c r="E99" s="54">
        <f>IF(B99=Variables!$D$8,C99-Variables!$E$8,IF(B99=Variables!$D$9,C99-Variables!$E$9,IF(B99=Variables!$D$10,C99-Variables!$E$10,IF(B99=Variables!$D$11,C99-Variables!$E$11,"ELSE"))))</f>
        <v>-0.60957013605442179</v>
      </c>
      <c r="F99" s="108">
        <f>VLOOKUP(ROW(F99)+4,'Water runs'!$CH$3:$CU$423,MATCH($B$1,Scenarios,0)+1)</f>
        <v>0</v>
      </c>
      <c r="G99" s="65">
        <f>H99/Variables!$E$49</f>
        <v>0.161</v>
      </c>
      <c r="H99" s="62">
        <f>IF((H98+I99)&gt;(1.1*Variables!$E$50),(1.1*Variables!$E$50),IF((H98+I99)&gt;0,H98+I99,0))</f>
        <v>0.99820000000000009</v>
      </c>
      <c r="I99" s="64">
        <f t="shared" si="3"/>
        <v>0</v>
      </c>
      <c r="J99" s="63">
        <f>IF(SUM(E95:E98)&lt;Variables!$B$3,-H98,0)</f>
        <v>-0.99820000000000009</v>
      </c>
      <c r="K99" s="64">
        <f>IF(AND(H98&lt;Variables!$B$6*Variables!$E$50,OR(SUM(D96:D99)&gt;Variables!$B$5,SUM(E96:E99)&gt;Variables!$B$4)),Variables!$B$6*Variables!$E$50+Variables!$B$7*$G$1*Variables!$E$50*SUM(D96:D99),0)</f>
        <v>0</v>
      </c>
      <c r="L99" s="64">
        <f>IF(B99="Winter",Variables!$B$8*H98,0)</f>
        <v>0</v>
      </c>
      <c r="M99" s="64">
        <f>IF(AND(B99="Spring",AND(NOT(H98=0),H98&lt;(Variables!$B$9*Variables!$E$50))),(Variables!$B$10*Variables!$E$50+Variables!$B$11*Variables!$E$50*SUM(E96:E99)+$G$1*SUM(D98:D99)*Variables!$E$50*Variables!$B$12),0)</f>
        <v>0</v>
      </c>
      <c r="N99" s="64">
        <f>IF(AND(B99="Spring",AND(SUM(D96:D99)&gt;Variables!$B$13,SUM(D92:D95)&gt;Variables!$B$13)),-Variables!$B$14*Variables!$E$50,0)</f>
        <v>0</v>
      </c>
      <c r="O99" s="64">
        <f>IF(AND(B99="Summer",SUM(C95:D99)&gt;Variables!$B$15),(Variables!$B$16*Variables!$E$50*SUM(C95:C99)+$G$1*Variables!$B$16*Variables!$E$50*SUM(D95:D99)+$G$1*Variables!$E$50*Variables!$B$17*F99),0)</f>
        <v>0</v>
      </c>
      <c r="P99" s="64">
        <f>IF(AND(AND(B99="Autumn",SUM(D98:E99)&gt;0),NOT(H98=0)),Variables!$B$18*Variables!$E$50+Variables!$B$19*Variables!$E$50*SUM(E98:E99)+$G$1*Variables!$B$19*Variables!$E$50*SUM(D98:D99),0)</f>
        <v>0</v>
      </c>
      <c r="Q99" s="64">
        <f>IF(AND(B99="Autumn",AND((E99+E98)&lt;Variables!$B$20,(D98+D99)=0)),-Variables!$B$21*Variables!$E$50,0)</f>
        <v>0</v>
      </c>
      <c r="R99" s="64">
        <f>IF(B99="Autumn",(SUM(F98:F99)*$G$1*Variables!$B$22*Variables!$E$50),0)</f>
        <v>0</v>
      </c>
      <c r="S99" s="64">
        <f>IF(B99="Spring",($G$1*Variables!$E$50*SUM('Guts (option 1)'!F98:F99)*Variables!$B$23),0)</f>
        <v>0</v>
      </c>
      <c r="T99" s="63">
        <f>IF((H98+SUM(J99:Q99))&lt;(Variables!$B$26*Variables!$E$50),$F$1*((Variables!$B$26*Variables!$E$50)-H98-SUM(J99:Q99)),0)</f>
        <v>0.99820000000000009</v>
      </c>
      <c r="U99" s="64">
        <f>IF(AND(AND(B99="Autumn",SUM(D96:E99)&gt;Variables!$B$27),SUM(J99:Q99)&lt;Variables!$B$28*H98),$F$1*(Variables!$B$28*H98-SUM(J99:Q99)),0)</f>
        <v>0</v>
      </c>
      <c r="V99" s="96">
        <f>IF(AND((J99+K99)=0,(Q99+T99)=0),$H$1*H99*Variables!$I$23*0.25,0)</f>
        <v>0</v>
      </c>
      <c r="W99" s="97">
        <f>IF(AND((K99+J99)=0,(T99+Q99)=0),$I$1*H99*Variables!$Q$23*0.25,0)</f>
        <v>0</v>
      </c>
      <c r="X99" s="95">
        <f>IF(AND(NOT(K99=0),(H99-H98)&gt;0),(H99-H98)*(Variables!$M$5*$H$1+Variables!$U$5*$I$1),0)+IF(AND(NOT((J99+N99+Q99)=0),(H98-H99)&gt;0),(H98-H99)*(Variables!$M$4*$H$1+Variables!$U$4*$I$1),0)</f>
        <v>0</v>
      </c>
      <c r="Y99" s="95">
        <f>IF(SUM(T99,U98:U99)&gt;0,H99*Variables!$Y$11*0.25*(1-$J$1),0)</f>
        <v>0</v>
      </c>
      <c r="Z99" s="95">
        <f>IF(T99=0,H99*$J$1*Variables!$Y$5*0.25,0)</f>
        <v>0</v>
      </c>
      <c r="AA99" s="95">
        <f t="shared" si="2"/>
        <v>0</v>
      </c>
      <c r="AB99" s="91">
        <f>AA99/Variables!$E$49</f>
        <v>0</v>
      </c>
    </row>
    <row r="100" spans="1:28" x14ac:dyDescent="0.25">
      <c r="A100" s="61">
        <f>'Water runs'!C107</f>
        <v>11109</v>
      </c>
      <c r="B100" s="61" t="str">
        <f>'Water runs'!B107</f>
        <v>Autumn</v>
      </c>
      <c r="C100" s="54">
        <f>'Water runs'!D107/100</f>
        <v>0.45679999999999998</v>
      </c>
      <c r="D100" s="108">
        <f>VLOOKUP(ROW(D100)+4,'Water runs'!$BS$3:$CF$423,MATCH($B$1,Scenarios,0)+1)</f>
        <v>0</v>
      </c>
      <c r="E100" s="54">
        <f>IF(B100=Variables!$D$8,C100-Variables!$E$8,IF(B100=Variables!$D$9,C100-Variables!$E$9,IF(B100=Variables!$D$10,C100-Variables!$E$10,IF(B100=Variables!$D$11,C100-Variables!$E$11,"ELSE"))))</f>
        <v>-0.53784329931972785</v>
      </c>
      <c r="F100" s="108">
        <f>VLOOKUP(ROW(F100)+4,'Water runs'!$CH$3:$CU$423,MATCH($B$1,Scenarios,0)+1)</f>
        <v>0</v>
      </c>
      <c r="G100" s="65">
        <f>H100/Variables!$E$49</f>
        <v>0.161</v>
      </c>
      <c r="H100" s="62">
        <f>IF((H99+I100)&gt;(1.1*Variables!$E$50),(1.1*Variables!$E$50),IF((H99+I100)&gt;0,H99+I100,0))</f>
        <v>0.99820000000000009</v>
      </c>
      <c r="I100" s="64">
        <f t="shared" si="3"/>
        <v>0</v>
      </c>
      <c r="J100" s="63">
        <f>IF(SUM(E96:E99)&lt;Variables!$B$3,-H99,0)</f>
        <v>0</v>
      </c>
      <c r="K100" s="64">
        <f>IF(AND(H99&lt;Variables!$B$6*Variables!$E$50,OR(SUM(D97:D100)&gt;Variables!$B$5,SUM(E97:E100)&gt;Variables!$B$4)),Variables!$B$6*Variables!$E$50+Variables!$B$7*$G$1*Variables!$E$50*SUM(D97:D100),0)</f>
        <v>0</v>
      </c>
      <c r="L100" s="64">
        <f>IF(B100="Winter",Variables!$B$8*H99,0)</f>
        <v>0</v>
      </c>
      <c r="M100" s="64">
        <f>IF(AND(B100="Spring",AND(NOT(H99=0),H99&lt;(Variables!$B$9*Variables!$E$50))),(Variables!$B$10*Variables!$E$50+Variables!$B$11*Variables!$E$50*SUM(E97:E100)+$G$1*SUM(D99:D100)*Variables!$E$50*Variables!$B$12),0)</f>
        <v>0</v>
      </c>
      <c r="N100" s="64">
        <f>IF(AND(B100="Spring",AND(SUM(D97:D100)&gt;Variables!$B$13,SUM(D93:D96)&gt;Variables!$B$13)),-Variables!$B$14*Variables!$E$50,0)</f>
        <v>0</v>
      </c>
      <c r="O100" s="64">
        <f>IF(AND(B100="Summer",SUM(C96:D100)&gt;Variables!$B$15),(Variables!$B$16*Variables!$E$50*SUM(C96:C100)+$G$1*Variables!$B$16*Variables!$E$50*SUM(D96:D100)+$G$1*Variables!$E$50*Variables!$B$17*F100),0)</f>
        <v>0</v>
      </c>
      <c r="P100" s="64">
        <f>IF(AND(AND(B100="Autumn",SUM(D99:E100)&gt;0),NOT(H99=0)),Variables!$B$18*Variables!$E$50+Variables!$B$19*Variables!$E$50*SUM(E99:E100)+$G$1*Variables!$B$19*Variables!$E$50*SUM(D99:D100),0)</f>
        <v>0</v>
      </c>
      <c r="Q100" s="64">
        <f>IF(AND(B100="Autumn",AND((E100+E99)&lt;Variables!$B$20,(D99+D100)=0)),-Variables!$B$21*Variables!$E$50,0)</f>
        <v>0</v>
      </c>
      <c r="R100" s="64">
        <f>IF(B100="Autumn",(SUM(F99:F100)*$G$1*Variables!$B$22*Variables!$E$50),0)</f>
        <v>0</v>
      </c>
      <c r="S100" s="64">
        <f>IF(B100="Spring",($G$1*Variables!$E$50*SUM('Guts (option 1)'!F99:F100)*Variables!$B$23),0)</f>
        <v>0</v>
      </c>
      <c r="T100" s="63">
        <f>IF((H99+SUM(J100:Q100))&lt;(Variables!$B$26*Variables!$E$50),$F$1*((Variables!$B$26*Variables!$E$50)-H99-SUM(J100:Q100)),0)</f>
        <v>0</v>
      </c>
      <c r="U100" s="64">
        <f>IF(AND(AND(B100="Autumn",SUM(D97:E100)&gt;Variables!$B$27),SUM(J100:Q100)&lt;Variables!$B$28*H99),$F$1*(Variables!$B$28*H99-SUM(J100:Q100)),0)</f>
        <v>0</v>
      </c>
      <c r="V100" s="96">
        <f>IF(AND((J100+K100)=0,(Q100+T100)=0),$H$1*H100*Variables!$I$23*0.25,0)</f>
        <v>19.235463730000003</v>
      </c>
      <c r="W100" s="97">
        <f>IF(AND((K100+J100)=0,(T100+Q100)=0),$I$1*H100*Variables!$Q$23*0.25,0)</f>
        <v>20.13444265</v>
      </c>
      <c r="X100" s="95">
        <f>IF(AND(NOT(K100=0),(H100-H99)&gt;0),(H100-H99)*(Variables!$M$5*$H$1+Variables!$U$5*$I$1),0)+IF(AND(NOT((J100+N100+Q100)=0),(H99-H100)&gt;0),(H99-H100)*(Variables!$M$4*$H$1+Variables!$U$4*$I$1),0)</f>
        <v>0</v>
      </c>
      <c r="Y100" s="95">
        <f>IF(SUM(T100,U99:U100)&gt;0,H100*Variables!$Y$11*0.25*(1-$J$1),0)</f>
        <v>0</v>
      </c>
      <c r="Z100" s="95">
        <f>IF(T100=0,H100*$J$1*Variables!$Y$5*0.25,0)</f>
        <v>6.4883000000000006</v>
      </c>
      <c r="AA100" s="95">
        <f t="shared" si="2"/>
        <v>45.858206380000006</v>
      </c>
      <c r="AB100" s="91">
        <f>AA100/Variables!$E$49</f>
        <v>7.3964849000000008</v>
      </c>
    </row>
    <row r="101" spans="1:28" x14ac:dyDescent="0.25">
      <c r="A101" s="61">
        <f>'Water runs'!C108</f>
        <v>11201</v>
      </c>
      <c r="B101" s="61" t="str">
        <f>'Water runs'!B108</f>
        <v>Winter</v>
      </c>
      <c r="C101" s="54">
        <f>'Water runs'!D108/100</f>
        <v>1.35262857142857</v>
      </c>
      <c r="D101" s="108">
        <f>VLOOKUP(ROW(D101)+4,'Water runs'!$BS$3:$CF$423,MATCH($B$1,Scenarios,0)+1)</f>
        <v>0</v>
      </c>
      <c r="E101" s="54">
        <f>IF(B101=Variables!$D$8,C101-Variables!$E$8,IF(B101=Variables!$D$9,C101-Variables!$E$9,IF(B101=Variables!$D$10,C101-Variables!$E$10,IF(B101=Variables!$D$11,C101-Variables!$E$11,"ELSE"))))</f>
        <v>0.78086094576719423</v>
      </c>
      <c r="F101" s="108">
        <f>VLOOKUP(ROW(F101)+4,'Water runs'!$CH$3:$CU$423,MATCH($B$1,Scenarios,0)+1)</f>
        <v>0</v>
      </c>
      <c r="G101" s="65">
        <f>H101/Variables!$E$49</f>
        <v>0.161</v>
      </c>
      <c r="H101" s="62">
        <f>IF((H100+I101)&gt;(1.1*Variables!$E$50),(1.1*Variables!$E$50),IF((H100+I101)&gt;0,H100+I101,0))</f>
        <v>0.99820000000000009</v>
      </c>
      <c r="I101" s="64">
        <f t="shared" si="3"/>
        <v>0</v>
      </c>
      <c r="J101" s="63">
        <f>IF(SUM(E97:E100)&lt;Variables!$B$3,-H100,0)</f>
        <v>0</v>
      </c>
      <c r="K101" s="64">
        <f>IF(AND(H100&lt;Variables!$B$6*Variables!$E$50,OR(SUM(D98:D101)&gt;Variables!$B$5,SUM(E98:E101)&gt;Variables!$B$4)),Variables!$B$6*Variables!$E$50+Variables!$B$7*$G$1*Variables!$E$50*SUM(D98:D101),0)</f>
        <v>0</v>
      </c>
      <c r="L101" s="64">
        <f>IF(B101="Winter",Variables!$B$8*H100,0)</f>
        <v>-0.49704894489176149</v>
      </c>
      <c r="M101" s="64">
        <f>IF(AND(B101="Spring",AND(NOT(H100=0),H100&lt;(Variables!$B$9*Variables!$E$50))),(Variables!$B$10*Variables!$E$50+Variables!$B$11*Variables!$E$50*SUM(E98:E101)+$G$1*SUM(D100:D101)*Variables!$E$50*Variables!$B$12),0)</f>
        <v>0</v>
      </c>
      <c r="N101" s="64">
        <f>IF(AND(B101="Spring",AND(SUM(D98:D101)&gt;Variables!$B$13,SUM(D94:D97)&gt;Variables!$B$13)),-Variables!$B$14*Variables!$E$50,0)</f>
        <v>0</v>
      </c>
      <c r="O101" s="64">
        <f>IF(AND(B101="Summer",SUM(C97:D101)&gt;Variables!$B$15),(Variables!$B$16*Variables!$E$50*SUM(C97:C101)+$G$1*Variables!$B$16*Variables!$E$50*SUM(D97:D101)+$G$1*Variables!$E$50*Variables!$B$17*F101),0)</f>
        <v>0</v>
      </c>
      <c r="P101" s="64">
        <f>IF(AND(AND(B101="Autumn",SUM(D100:E101)&gt;0),NOT(H100=0)),Variables!$B$18*Variables!$E$50+Variables!$B$19*Variables!$E$50*SUM(E100:E101)+$G$1*Variables!$B$19*Variables!$E$50*SUM(D100:D101),0)</f>
        <v>0</v>
      </c>
      <c r="Q101" s="64">
        <f>IF(AND(B101="Autumn",AND((E101+E100)&lt;Variables!$B$20,(D100+D101)=0)),-Variables!$B$21*Variables!$E$50,0)</f>
        <v>0</v>
      </c>
      <c r="R101" s="64">
        <f>IF(B101="Autumn",(SUM(F100:F101)*$G$1*Variables!$B$22*Variables!$E$50),0)</f>
        <v>0</v>
      </c>
      <c r="S101" s="64">
        <f>IF(B101="Spring",($G$1*Variables!$E$50*SUM('Guts (option 1)'!F100:F101)*Variables!$B$23),0)</f>
        <v>0</v>
      </c>
      <c r="T101" s="63">
        <f>IF((H100+SUM(J101:Q101))&lt;(Variables!$B$26*Variables!$E$50),$F$1*((Variables!$B$26*Variables!$E$50)-H100-SUM(J101:Q101)),0)</f>
        <v>0.49704894489176149</v>
      </c>
      <c r="U101" s="64">
        <f>IF(AND(AND(B101="Autumn",SUM(D98:E101)&gt;Variables!$B$27),SUM(J101:Q101)&lt;Variables!$B$28*H100),$F$1*(Variables!$B$28*H100-SUM(J101:Q101)),0)</f>
        <v>0</v>
      </c>
      <c r="V101" s="96">
        <f>IF(AND((J101+K101)=0,(Q101+T101)=0),$H$1*H101*Variables!$I$23*0.25,0)</f>
        <v>0</v>
      </c>
      <c r="W101" s="97">
        <f>IF(AND((K101+J101)=0,(T101+Q101)=0),$I$1*H101*Variables!$Q$23*0.25,0)</f>
        <v>0</v>
      </c>
      <c r="X101" s="95">
        <f>IF(AND(NOT(K101=0),(H101-H100)&gt;0),(H101-H100)*(Variables!$M$5*$H$1+Variables!$U$5*$I$1),0)+IF(AND(NOT((J101+N101+Q101)=0),(H100-H101)&gt;0),(H100-H101)*(Variables!$M$4*$H$1+Variables!$U$4*$I$1),0)</f>
        <v>0</v>
      </c>
      <c r="Y101" s="95">
        <f>IF(SUM(T101,U100:U101)&gt;0,H101*Variables!$Y$11*0.25*(1-$J$1),0)</f>
        <v>0</v>
      </c>
      <c r="Z101" s="95">
        <f>IF(T101=0,H101*$J$1*Variables!$Y$5*0.25,0)</f>
        <v>0</v>
      </c>
      <c r="AA101" s="95">
        <f t="shared" si="2"/>
        <v>0</v>
      </c>
      <c r="AB101" s="91">
        <f>AA101/Variables!$E$49</f>
        <v>0</v>
      </c>
    </row>
    <row r="102" spans="1:28" x14ac:dyDescent="0.25">
      <c r="A102" s="61">
        <f>'Water runs'!C109</f>
        <v>11292</v>
      </c>
      <c r="B102" s="61" t="str">
        <f>'Water runs'!B109</f>
        <v>Spring</v>
      </c>
      <c r="C102" s="54">
        <f>'Water runs'!D109/100</f>
        <v>0.13880000000000001</v>
      </c>
      <c r="D102" s="108">
        <f>VLOOKUP(ROW(D102)+4,'Water runs'!$BS$3:$CF$423,MATCH($B$1,Scenarios,0)+1)</f>
        <v>0</v>
      </c>
      <c r="E102" s="54">
        <f>IF(B102=Variables!$D$8,C102-Variables!$E$8,IF(B102=Variables!$D$9,C102-Variables!$E$9,IF(B102=Variables!$D$10,C102-Variables!$E$10,IF(B102=Variables!$D$11,C102-Variables!$E$11,"ELSE"))))</f>
        <v>-0.62518220899470911</v>
      </c>
      <c r="F102" s="108">
        <f>VLOOKUP(ROW(F102)+4,'Water runs'!$CH$3:$CU$423,MATCH($B$1,Scenarios,0)+1)</f>
        <v>0</v>
      </c>
      <c r="G102" s="65">
        <f>H102/Variables!$E$49</f>
        <v>0.161</v>
      </c>
      <c r="H102" s="62">
        <f>IF((H101+I102)&gt;(1.1*Variables!$E$50),(1.1*Variables!$E$50),IF((H101+I102)&gt;0,H101+I102,0))</f>
        <v>0.99820000000000009</v>
      </c>
      <c r="I102" s="64">
        <f t="shared" si="3"/>
        <v>0</v>
      </c>
      <c r="J102" s="63">
        <f>IF(SUM(E98:E101)&lt;Variables!$B$3,-H101,0)</f>
        <v>0</v>
      </c>
      <c r="K102" s="64">
        <f>IF(AND(H101&lt;Variables!$B$6*Variables!$E$50,OR(SUM(D99:D102)&gt;Variables!$B$5,SUM(E99:E102)&gt;Variables!$B$4)),Variables!$B$6*Variables!$E$50+Variables!$B$7*$G$1*Variables!$E$50*SUM(D99:D102),0)</f>
        <v>0</v>
      </c>
      <c r="L102" s="64">
        <f>IF(B102="Winter",Variables!$B$8*H101,0)</f>
        <v>0</v>
      </c>
      <c r="M102" s="64">
        <f>IF(AND(B102="Spring",AND(NOT(H101=0),H101&lt;(Variables!$B$9*Variables!$E$50))),(Variables!$B$10*Variables!$E$50+Variables!$B$11*Variables!$E$50*SUM(E99:E102)+$G$1*SUM(D101:D102)*Variables!$E$50*Variables!$B$12),0)</f>
        <v>-0.67543250593435566</v>
      </c>
      <c r="N102" s="64">
        <f>IF(AND(B102="Spring",AND(SUM(D99:D102)&gt;Variables!$B$13,SUM(D95:D98)&gt;Variables!$B$13)),-Variables!$B$14*Variables!$E$50,0)</f>
        <v>0</v>
      </c>
      <c r="O102" s="64">
        <f>IF(AND(B102="Summer",SUM(C98:D102)&gt;Variables!$B$15),(Variables!$B$16*Variables!$E$50*SUM(C98:C102)+$G$1*Variables!$B$16*Variables!$E$50*SUM(D98:D102)+$G$1*Variables!$E$50*Variables!$B$17*F102),0)</f>
        <v>0</v>
      </c>
      <c r="P102" s="64">
        <f>IF(AND(AND(B102="Autumn",SUM(D101:E102)&gt;0),NOT(H101=0)),Variables!$B$18*Variables!$E$50+Variables!$B$19*Variables!$E$50*SUM(E101:E102)+$G$1*Variables!$B$19*Variables!$E$50*SUM(D101:D102),0)</f>
        <v>0</v>
      </c>
      <c r="Q102" s="64">
        <f>IF(AND(B102="Autumn",AND((E102+E101)&lt;Variables!$B$20,(D101+D102)=0)),-Variables!$B$21*Variables!$E$50,0)</f>
        <v>0</v>
      </c>
      <c r="R102" s="64">
        <f>IF(B102="Autumn",(SUM(F101:F102)*$G$1*Variables!$B$22*Variables!$E$50),0)</f>
        <v>0</v>
      </c>
      <c r="S102" s="64">
        <f>IF(B102="Spring",($G$1*Variables!$E$50*SUM('Guts (option 1)'!F101:F102)*Variables!$B$23),0)</f>
        <v>0</v>
      </c>
      <c r="T102" s="63">
        <f>IF((H101+SUM(J102:Q102))&lt;(Variables!$B$26*Variables!$E$50),$F$1*((Variables!$B$26*Variables!$E$50)-H101-SUM(J102:Q102)),0)</f>
        <v>0.67543250593435566</v>
      </c>
      <c r="U102" s="64">
        <f>IF(AND(AND(B102="Autumn",SUM(D99:E102)&gt;Variables!$B$27),SUM(J102:Q102)&lt;Variables!$B$28*H101),$F$1*(Variables!$B$28*H101-SUM(J102:Q102)),0)</f>
        <v>0</v>
      </c>
      <c r="V102" s="96">
        <f>IF(AND((J102+K102)=0,(Q102+T102)=0),$H$1*H102*Variables!$I$23*0.25,0)</f>
        <v>0</v>
      </c>
      <c r="W102" s="97">
        <f>IF(AND((K102+J102)=0,(T102+Q102)=0),$I$1*H102*Variables!$Q$23*0.25,0)</f>
        <v>0</v>
      </c>
      <c r="X102" s="95">
        <f>IF(AND(NOT(K102=0),(H102-H101)&gt;0),(H102-H101)*(Variables!$M$5*$H$1+Variables!$U$5*$I$1),0)+IF(AND(NOT((J102+N102+Q102)=0),(H101-H102)&gt;0),(H101-H102)*(Variables!$M$4*$H$1+Variables!$U$4*$I$1),0)</f>
        <v>0</v>
      </c>
      <c r="Y102" s="95">
        <f>IF(SUM(T102,U101:U102)&gt;0,H102*Variables!$Y$11*0.25*(1-$J$1),0)</f>
        <v>0</v>
      </c>
      <c r="Z102" s="95">
        <f>IF(T102=0,H102*$J$1*Variables!$Y$5*0.25,0)</f>
        <v>0</v>
      </c>
      <c r="AA102" s="95">
        <f t="shared" si="2"/>
        <v>0</v>
      </c>
      <c r="AB102" s="91">
        <f>AA102/Variables!$E$49</f>
        <v>0</v>
      </c>
    </row>
    <row r="103" spans="1:28" x14ac:dyDescent="0.25">
      <c r="A103" s="61">
        <f>'Water runs'!C110</f>
        <v>11382</v>
      </c>
      <c r="B103" s="61" t="str">
        <f>'Water runs'!B110</f>
        <v>Summer</v>
      </c>
      <c r="C103" s="54">
        <f>'Water runs'!D110/100</f>
        <v>0.333057142857143</v>
      </c>
      <c r="D103" s="108">
        <f>VLOOKUP(ROW(D103)+4,'Water runs'!$BS$3:$CF$423,MATCH($B$1,Scenarios,0)+1)</f>
        <v>0</v>
      </c>
      <c r="E103" s="54">
        <f>IF(B103=Variables!$D$8,C103-Variables!$E$8,IF(B103=Variables!$D$9,C103-Variables!$E$9,IF(B103=Variables!$D$10,C103-Variables!$E$10,IF(B103=Variables!$D$11,C103-Variables!$E$11,"ELSE"))))</f>
        <v>-0.92531299319727878</v>
      </c>
      <c r="F103" s="108">
        <f>VLOOKUP(ROW(F103)+4,'Water runs'!$CH$3:$CU$423,MATCH($B$1,Scenarios,0)+1)</f>
        <v>0</v>
      </c>
      <c r="G103" s="65">
        <f>H103/Variables!$E$49</f>
        <v>0.161</v>
      </c>
      <c r="H103" s="62">
        <f>IF((H102+I103)&gt;(1.1*Variables!$E$50),(1.1*Variables!$E$50),IF((H102+I103)&gt;0,H102+I103,0))</f>
        <v>0.99820000000000009</v>
      </c>
      <c r="I103" s="64">
        <f t="shared" si="3"/>
        <v>0</v>
      </c>
      <c r="J103" s="63">
        <f>IF(SUM(E99:E102)&lt;Variables!$B$3,-H102,0)</f>
        <v>0</v>
      </c>
      <c r="K103" s="64">
        <f>IF(AND(H102&lt;Variables!$B$6*Variables!$E$50,OR(SUM(D100:D103)&gt;Variables!$B$5,SUM(E100:E103)&gt;Variables!$B$4)),Variables!$B$6*Variables!$E$50+Variables!$B$7*$G$1*Variables!$E$50*SUM(D100:D103),0)</f>
        <v>0</v>
      </c>
      <c r="L103" s="64">
        <f>IF(B103="Winter",Variables!$B$8*H102,0)</f>
        <v>0</v>
      </c>
      <c r="M103" s="64">
        <f>IF(AND(B103="Spring",AND(NOT(H102=0),H102&lt;(Variables!$B$9*Variables!$E$50))),(Variables!$B$10*Variables!$E$50+Variables!$B$11*Variables!$E$50*SUM(E100:E103)+$G$1*SUM(D102:D103)*Variables!$E$50*Variables!$B$12),0)</f>
        <v>0</v>
      </c>
      <c r="N103" s="64">
        <f>IF(AND(B103="Spring",AND(SUM(D100:D103)&gt;Variables!$B$13,SUM(D96:D99)&gt;Variables!$B$13)),-Variables!$B$14*Variables!$E$50,0)</f>
        <v>0</v>
      </c>
      <c r="O103" s="64">
        <f>IF(AND(B103="Summer",SUM(C99:D103)&gt;Variables!$B$15),(Variables!$B$16*Variables!$E$50*SUM(C99:C103)+$G$1*Variables!$B$16*Variables!$E$50*SUM(D99:D103)+$G$1*Variables!$E$50*Variables!$B$17*F103),0)</f>
        <v>0</v>
      </c>
      <c r="P103" s="64">
        <f>IF(AND(AND(B103="Autumn",SUM(D102:E103)&gt;0),NOT(H102=0)),Variables!$B$18*Variables!$E$50+Variables!$B$19*Variables!$E$50*SUM(E102:E103)+$G$1*Variables!$B$19*Variables!$E$50*SUM(D102:D103),0)</f>
        <v>0</v>
      </c>
      <c r="Q103" s="64">
        <f>IF(AND(B103="Autumn",AND((E103+E102)&lt;Variables!$B$20,(D102+D103)=0)),-Variables!$B$21*Variables!$E$50,0)</f>
        <v>0</v>
      </c>
      <c r="R103" s="64">
        <f>IF(B103="Autumn",(SUM(F102:F103)*$G$1*Variables!$B$22*Variables!$E$50),0)</f>
        <v>0</v>
      </c>
      <c r="S103" s="64">
        <f>IF(B103="Spring",($G$1*Variables!$E$50*SUM('Guts (option 1)'!F102:F103)*Variables!$B$23),0)</f>
        <v>0</v>
      </c>
      <c r="T103" s="63">
        <f>IF((H102+SUM(J103:Q103))&lt;(Variables!$B$26*Variables!$E$50),$F$1*((Variables!$B$26*Variables!$E$50)-H102-SUM(J103:Q103)),0)</f>
        <v>0</v>
      </c>
      <c r="U103" s="64">
        <f>IF(AND(AND(B103="Autumn",SUM(D100:E103)&gt;Variables!$B$27),SUM(J103:Q103)&lt;Variables!$B$28*H102),$F$1*(Variables!$B$28*H102-SUM(J103:Q103)),0)</f>
        <v>0</v>
      </c>
      <c r="V103" s="96">
        <f>IF(AND((J103+K103)=0,(Q103+T103)=0),$H$1*H103*Variables!$I$23*0.25,0)</f>
        <v>19.235463730000003</v>
      </c>
      <c r="W103" s="97">
        <f>IF(AND((K103+J103)=0,(T103+Q103)=0),$I$1*H103*Variables!$Q$23*0.25,0)</f>
        <v>20.13444265</v>
      </c>
      <c r="X103" s="95">
        <f>IF(AND(NOT(K103=0),(H103-H102)&gt;0),(H103-H102)*(Variables!$M$5*$H$1+Variables!$U$5*$I$1),0)+IF(AND(NOT((J103+N103+Q103)=0),(H102-H103)&gt;0),(H102-H103)*(Variables!$M$4*$H$1+Variables!$U$4*$I$1),0)</f>
        <v>0</v>
      </c>
      <c r="Y103" s="95">
        <f>IF(SUM(T103,U102:U103)&gt;0,H103*Variables!$Y$11*0.25*(1-$J$1),0)</f>
        <v>0</v>
      </c>
      <c r="Z103" s="95">
        <f>IF(T103=0,H103*$J$1*Variables!$Y$5*0.25,0)</f>
        <v>6.4883000000000006</v>
      </c>
      <c r="AA103" s="95">
        <f t="shared" si="2"/>
        <v>45.858206380000006</v>
      </c>
      <c r="AB103" s="91">
        <f>AA103/Variables!$E$49</f>
        <v>7.3964849000000008</v>
      </c>
    </row>
    <row r="104" spans="1:28" x14ac:dyDescent="0.25">
      <c r="A104" s="61">
        <f>'Water runs'!C111</f>
        <v>11474</v>
      </c>
      <c r="B104" s="61" t="str">
        <f>'Water runs'!B111</f>
        <v>Autumn</v>
      </c>
      <c r="C104" s="54">
        <f>'Water runs'!D111/100</f>
        <v>1.8903999999999999</v>
      </c>
      <c r="D104" s="108">
        <f>VLOOKUP(ROW(D104)+4,'Water runs'!$BS$3:$CF$423,MATCH($B$1,Scenarios,0)+1)</f>
        <v>0</v>
      </c>
      <c r="E104" s="54">
        <f>IF(B104=Variables!$D$8,C104-Variables!$E$8,IF(B104=Variables!$D$9,C104-Variables!$E$9,IF(B104=Variables!$D$10,C104-Variables!$E$10,IF(B104=Variables!$D$11,C104-Variables!$E$11,"ELSE"))))</f>
        <v>0.89575670068027202</v>
      </c>
      <c r="F104" s="108">
        <f>VLOOKUP(ROW(F104)+4,'Water runs'!$CH$3:$CU$423,MATCH($B$1,Scenarios,0)+1)</f>
        <v>0</v>
      </c>
      <c r="G104" s="65">
        <f>H104/Variables!$E$49</f>
        <v>0.34500000000000003</v>
      </c>
      <c r="H104" s="62">
        <f>IF((H103+I104)&gt;(1.1*Variables!$E$50),(1.1*Variables!$E$50),IF((H103+I104)&gt;0,H103+I104,0))</f>
        <v>2.1390000000000002</v>
      </c>
      <c r="I104" s="64">
        <f t="shared" si="3"/>
        <v>1.1408</v>
      </c>
      <c r="J104" s="63">
        <f>IF(SUM(E100:E103)&lt;Variables!$B$3,-H103,0)</f>
        <v>0</v>
      </c>
      <c r="K104" s="64">
        <f>IF(AND(H103&lt;Variables!$B$6*Variables!$E$50,OR(SUM(D101:D104)&gt;Variables!$B$5,SUM(E101:E104)&gt;Variables!$B$4)),Variables!$B$6*Variables!$E$50+Variables!$B$7*$G$1*Variables!$E$50*SUM(D101:D104),0)</f>
        <v>1.1408</v>
      </c>
      <c r="L104" s="64">
        <f>IF(B104="Winter",Variables!$B$8*H103,0)</f>
        <v>0</v>
      </c>
      <c r="M104" s="64">
        <f>IF(AND(B104="Spring",AND(NOT(H103=0),H103&lt;(Variables!$B$9*Variables!$E$50))),(Variables!$B$10*Variables!$E$50+Variables!$B$11*Variables!$E$50*SUM(E101:E104)+$G$1*SUM(D103:D104)*Variables!$E$50*Variables!$B$12),0)</f>
        <v>0</v>
      </c>
      <c r="N104" s="64">
        <f>IF(AND(B104="Spring",AND(SUM(D101:D104)&gt;Variables!$B$13,SUM(D97:D100)&gt;Variables!$B$13)),-Variables!$B$14*Variables!$E$50,0)</f>
        <v>0</v>
      </c>
      <c r="O104" s="64">
        <f>IF(AND(B104="Summer",SUM(C100:D104)&gt;Variables!$B$15),(Variables!$B$16*Variables!$E$50*SUM(C100:C104)+$G$1*Variables!$B$16*Variables!$E$50*SUM(D100:D104)+$G$1*Variables!$E$50*Variables!$B$17*F104),0)</f>
        <v>0</v>
      </c>
      <c r="P104" s="64">
        <f>IF(AND(AND(B104="Autumn",SUM(D103:E104)&gt;0),NOT(H103=0)),Variables!$B$18*Variables!$E$50+Variables!$B$19*Variables!$E$50*SUM(E103:E104)+$G$1*Variables!$B$19*Variables!$E$50*SUM(D103:D104),0)</f>
        <v>0</v>
      </c>
      <c r="Q104" s="64">
        <f>IF(AND(B104="Autumn",AND((E104+E103)&lt;Variables!$B$20,(D103+D104)=0)),-Variables!$B$21*Variables!$E$50,0)</f>
        <v>0</v>
      </c>
      <c r="R104" s="64">
        <f>IF(B104="Autumn",(SUM(F103:F104)*$G$1*Variables!$B$22*Variables!$E$50),0)</f>
        <v>0</v>
      </c>
      <c r="S104" s="64">
        <f>IF(B104="Spring",($G$1*Variables!$E$50*SUM('Guts (option 1)'!F103:F104)*Variables!$B$23),0)</f>
        <v>0</v>
      </c>
      <c r="T104" s="63">
        <f>IF((H103+SUM(J104:Q104))&lt;(Variables!$B$26*Variables!$E$50),$F$1*((Variables!$B$26*Variables!$E$50)-H103-SUM(J104:Q104)),0)</f>
        <v>0</v>
      </c>
      <c r="U104" s="64">
        <f>IF(AND(AND(B104="Autumn",SUM(D101:E104)&gt;Variables!$B$27),SUM(J104:Q104)&lt;Variables!$B$28*H103),$F$1*(Variables!$B$28*H103-SUM(J104:Q104)),0)</f>
        <v>0</v>
      </c>
      <c r="V104" s="96">
        <f>IF(AND((J104+K104)=0,(Q104+T104)=0),$H$1*H104*Variables!$I$23*0.25,0)</f>
        <v>0</v>
      </c>
      <c r="W104" s="97">
        <f>IF(AND((K104+J104)=0,(T104+Q104)=0),$I$1*H104*Variables!$Q$23*0.25,0)</f>
        <v>0</v>
      </c>
      <c r="X104" s="95">
        <f>IF(AND(NOT(K104=0),(H104-H103)&gt;0),(H104-H103)*(Variables!$M$5*$H$1+Variables!$U$5*$I$1),0)+IF(AND(NOT((J104+N104+Q104)=0),(H103-H104)&gt;0),(H103-H104)*(Variables!$M$4*$H$1+Variables!$U$4*$I$1),0)</f>
        <v>-285.2</v>
      </c>
      <c r="Y104" s="95">
        <f>IF(SUM(T104,U103:U104)&gt;0,H104*Variables!$Y$11*0.25*(1-$J$1),0)</f>
        <v>0</v>
      </c>
      <c r="Z104" s="95">
        <f>IF(T104=0,H104*$J$1*Variables!$Y$5*0.25,0)</f>
        <v>13.903500000000001</v>
      </c>
      <c r="AA104" s="95">
        <f t="shared" si="2"/>
        <v>-271.29649999999998</v>
      </c>
      <c r="AB104" s="91">
        <f>AA104/Variables!$E$49</f>
        <v>-43.757499999999993</v>
      </c>
    </row>
    <row r="105" spans="1:28" x14ac:dyDescent="0.25">
      <c r="A105" s="61">
        <f>'Water runs'!C112</f>
        <v>11566</v>
      </c>
      <c r="B105" s="61" t="str">
        <f>'Water runs'!B112</f>
        <v>Winter</v>
      </c>
      <c r="C105" s="54">
        <f>'Water runs'!D112/100</f>
        <v>0.67359999999999998</v>
      </c>
      <c r="D105" s="108">
        <f>VLOOKUP(ROW(D105)+4,'Water runs'!$BS$3:$CF$423,MATCH($B$1,Scenarios,0)+1)</f>
        <v>0</v>
      </c>
      <c r="E105" s="54">
        <f>IF(B105=Variables!$D$8,C105-Variables!$E$8,IF(B105=Variables!$D$9,C105-Variables!$E$9,IF(B105=Variables!$D$10,C105-Variables!$E$10,IF(B105=Variables!$D$11,C105-Variables!$E$11,"ELSE"))))</f>
        <v>0.10183237433862424</v>
      </c>
      <c r="F105" s="108">
        <f>VLOOKUP(ROW(F105)+4,'Water runs'!$CH$3:$CU$423,MATCH($B$1,Scenarios,0)+1)</f>
        <v>0</v>
      </c>
      <c r="G105" s="65">
        <f>H105/Variables!$E$49</f>
        <v>0.17320889001436818</v>
      </c>
      <c r="H105" s="62">
        <f>IF((H104+I105)&gt;(1.1*Variables!$E$50),(1.1*Variables!$E$50),IF((H104+I105)&gt;0,H104+I105,0))</f>
        <v>1.0738951180890828</v>
      </c>
      <c r="I105" s="64">
        <f t="shared" si="3"/>
        <v>-1.0651048819109175</v>
      </c>
      <c r="J105" s="63">
        <f>IF(SUM(E101:E104)&lt;Variables!$B$3,-H104,0)</f>
        <v>0</v>
      </c>
      <c r="K105" s="64">
        <f>IF(AND(H104&lt;Variables!$B$6*Variables!$E$50,OR(SUM(D102:D105)&gt;Variables!$B$5,SUM(E102:E105)&gt;Variables!$B$4)),Variables!$B$6*Variables!$E$50+Variables!$B$7*$G$1*Variables!$E$50*SUM(D102:D105),0)</f>
        <v>0</v>
      </c>
      <c r="L105" s="64">
        <f>IF(B105="Winter",Variables!$B$8*H104,0)</f>
        <v>-1.0651048819109175</v>
      </c>
      <c r="M105" s="64">
        <f>IF(AND(B105="Spring",AND(NOT(H104=0),H104&lt;(Variables!$B$9*Variables!$E$50))),(Variables!$B$10*Variables!$E$50+Variables!$B$11*Variables!$E$50*SUM(E102:E105)+$G$1*SUM(D104:D105)*Variables!$E$50*Variables!$B$12),0)</f>
        <v>0</v>
      </c>
      <c r="N105" s="64">
        <f>IF(AND(B105="Spring",AND(SUM(D102:D105)&gt;Variables!$B$13,SUM(D98:D101)&gt;Variables!$B$13)),-Variables!$B$14*Variables!$E$50,0)</f>
        <v>0</v>
      </c>
      <c r="O105" s="64">
        <f>IF(AND(B105="Summer",SUM(C101:D105)&gt;Variables!$B$15),(Variables!$B$16*Variables!$E$50*SUM(C101:C105)+$G$1*Variables!$B$16*Variables!$E$50*SUM(D101:D105)+$G$1*Variables!$E$50*Variables!$B$17*F105),0)</f>
        <v>0</v>
      </c>
      <c r="P105" s="64">
        <f>IF(AND(AND(B105="Autumn",SUM(D104:E105)&gt;0),NOT(H104=0)),Variables!$B$18*Variables!$E$50+Variables!$B$19*Variables!$E$50*SUM(E104:E105)+$G$1*Variables!$B$19*Variables!$E$50*SUM(D104:D105),0)</f>
        <v>0</v>
      </c>
      <c r="Q105" s="64">
        <f>IF(AND(B105="Autumn",AND((E105+E104)&lt;Variables!$B$20,(D104+D105)=0)),-Variables!$B$21*Variables!$E$50,0)</f>
        <v>0</v>
      </c>
      <c r="R105" s="64">
        <f>IF(B105="Autumn",(SUM(F104:F105)*$G$1*Variables!$B$22*Variables!$E$50),0)</f>
        <v>0</v>
      </c>
      <c r="S105" s="64">
        <f>IF(B105="Spring",($G$1*Variables!$E$50*SUM('Guts (option 1)'!F104:F105)*Variables!$B$23),0)</f>
        <v>0</v>
      </c>
      <c r="T105" s="63">
        <f>IF((H104+SUM(J105:Q105))&lt;(Variables!$B$26*Variables!$E$50),$F$1*((Variables!$B$26*Variables!$E$50)-H104-SUM(J105:Q105)),0)</f>
        <v>0</v>
      </c>
      <c r="U105" s="64">
        <f>IF(AND(AND(B105="Autumn",SUM(D102:E105)&gt;Variables!$B$27),SUM(J105:Q105)&lt;Variables!$B$28*H104),$F$1*(Variables!$B$28*H104-SUM(J105:Q105)),0)</f>
        <v>0</v>
      </c>
      <c r="V105" s="96">
        <f>IF(AND((J105+K105)=0,(Q105+T105)=0),$H$1*H105*Variables!$I$23*0.25,0)</f>
        <v>20.69412000984434</v>
      </c>
      <c r="W105" s="97">
        <f>IF(AND((K105+J105)=0,(T105+Q105)=0),$I$1*H105*Variables!$Q$23*0.25,0)</f>
        <v>21.661269953195365</v>
      </c>
      <c r="X105" s="95">
        <f>IF(AND(NOT(K105=0),(H105-H104)&gt;0),(H105-H104)*(Variables!$M$5*$H$1+Variables!$U$5*$I$1),0)+IF(AND(NOT((J105+N105+Q105)=0),(H104-H105)&gt;0),(H104-H105)*(Variables!$M$4*$H$1+Variables!$U$4*$I$1),0)</f>
        <v>0</v>
      </c>
      <c r="Y105" s="95">
        <f>IF(SUM(T105,U104:U105)&gt;0,H105*Variables!$Y$11*0.25*(1-$J$1),0)</f>
        <v>0</v>
      </c>
      <c r="Z105" s="95">
        <f>IF(T105=0,H105*$J$1*Variables!$Y$5*0.25,0)</f>
        <v>6.9803182675790385</v>
      </c>
      <c r="AA105" s="95">
        <f t="shared" si="2"/>
        <v>49.335708230618742</v>
      </c>
      <c r="AB105" s="91">
        <f>AA105/Variables!$E$49</f>
        <v>7.957372295261087</v>
      </c>
    </row>
    <row r="106" spans="1:28" x14ac:dyDescent="0.25">
      <c r="A106" s="61">
        <f>'Water runs'!C113</f>
        <v>11657</v>
      </c>
      <c r="B106" s="61" t="str">
        <f>'Water runs'!B113</f>
        <v>Spring</v>
      </c>
      <c r="C106" s="54">
        <f>'Water runs'!D113/100</f>
        <v>0.76897142857142797</v>
      </c>
      <c r="D106" s="108">
        <f>VLOOKUP(ROW(D106)+4,'Water runs'!$BS$3:$CF$423,MATCH($B$1,Scenarios,0)+1)</f>
        <v>0</v>
      </c>
      <c r="E106" s="54">
        <f>IF(B106=Variables!$D$8,C106-Variables!$E$8,IF(B106=Variables!$D$9,C106-Variables!$E$9,IF(B106=Variables!$D$10,C106-Variables!$E$10,IF(B106=Variables!$D$11,C106-Variables!$E$11,"ELSE"))))</f>
        <v>4.9892195767188285E-3</v>
      </c>
      <c r="F106" s="108">
        <f>VLOOKUP(ROW(F106)+4,'Water runs'!$CH$3:$CU$423,MATCH($B$1,Scenarios,0)+1)</f>
        <v>0</v>
      </c>
      <c r="G106" s="65">
        <f>H106/Variables!$E$49</f>
        <v>0.36569637976320141</v>
      </c>
      <c r="H106" s="62">
        <f>IF((H105+I106)&gt;(1.1*Variables!$E$50),(1.1*Variables!$E$50),IF((H105+I106)&gt;0,H105+I106,0))</f>
        <v>2.2673175545318487</v>
      </c>
      <c r="I106" s="64">
        <f t="shared" si="3"/>
        <v>1.1934224364427659</v>
      </c>
      <c r="J106" s="63">
        <f>IF(SUM(E102:E105)&lt;Variables!$B$3,-H105,0)</f>
        <v>0</v>
      </c>
      <c r="K106" s="64">
        <f>IF(AND(H105&lt;Variables!$B$6*Variables!$E$50,OR(SUM(D103:D106)&gt;Variables!$B$5,SUM(E103:E106)&gt;Variables!$B$4)),Variables!$B$6*Variables!$E$50+Variables!$B$7*$G$1*Variables!$E$50*SUM(D103:D106),0)</f>
        <v>1.1408</v>
      </c>
      <c r="L106" s="64">
        <f>IF(B106="Winter",Variables!$B$8*H105,0)</f>
        <v>0</v>
      </c>
      <c r="M106" s="64">
        <f>IF(AND(B106="Spring",AND(NOT(H105=0),H105&lt;(Variables!$B$9*Variables!$E$50))),(Variables!$B$10*Variables!$E$50+Variables!$B$11*Variables!$E$50*SUM(E103:E106)+$G$1*SUM(D105:D106)*Variables!$E$50*Variables!$B$12),0)</f>
        <v>5.2622436442765784E-2</v>
      </c>
      <c r="N106" s="64">
        <f>IF(AND(B106="Spring",AND(SUM(D103:D106)&gt;Variables!$B$13,SUM(D99:D102)&gt;Variables!$B$13)),-Variables!$B$14*Variables!$E$50,0)</f>
        <v>0</v>
      </c>
      <c r="O106" s="64">
        <f>IF(AND(B106="Summer",SUM(C102:D106)&gt;Variables!$B$15),(Variables!$B$16*Variables!$E$50*SUM(C102:C106)+$G$1*Variables!$B$16*Variables!$E$50*SUM(D102:D106)+$G$1*Variables!$E$50*Variables!$B$17*F106),0)</f>
        <v>0</v>
      </c>
      <c r="P106" s="64">
        <f>IF(AND(AND(B106="Autumn",SUM(D105:E106)&gt;0),NOT(H105=0)),Variables!$B$18*Variables!$E$50+Variables!$B$19*Variables!$E$50*SUM(E105:E106)+$G$1*Variables!$B$19*Variables!$E$50*SUM(D105:D106),0)</f>
        <v>0</v>
      </c>
      <c r="Q106" s="64">
        <f>IF(AND(B106="Autumn",AND((E106+E105)&lt;Variables!$B$20,(D105+D106)=0)),-Variables!$B$21*Variables!$E$50,0)</f>
        <v>0</v>
      </c>
      <c r="R106" s="64">
        <f>IF(B106="Autumn",(SUM(F105:F106)*$G$1*Variables!$B$22*Variables!$E$50),0)</f>
        <v>0</v>
      </c>
      <c r="S106" s="64">
        <f>IF(B106="Spring",($G$1*Variables!$E$50*SUM('Guts (option 1)'!F105:F106)*Variables!$B$23),0)</f>
        <v>0</v>
      </c>
      <c r="T106" s="63">
        <f>IF((H105+SUM(J106:Q106))&lt;(Variables!$B$26*Variables!$E$50),$F$1*((Variables!$B$26*Variables!$E$50)-H105-SUM(J106:Q106)),0)</f>
        <v>0</v>
      </c>
      <c r="U106" s="64">
        <f>IF(AND(AND(B106="Autumn",SUM(D103:E106)&gt;Variables!$B$27),SUM(J106:Q106)&lt;Variables!$B$28*H105),$F$1*(Variables!$B$28*H105-SUM(J106:Q106)),0)</f>
        <v>0</v>
      </c>
      <c r="V106" s="96">
        <f>IF(AND((J106+K106)=0,(Q106+T106)=0),$H$1*H106*Variables!$I$23*0.25,0)</f>
        <v>0</v>
      </c>
      <c r="W106" s="97">
        <f>IF(AND((K106+J106)=0,(T106+Q106)=0),$I$1*H106*Variables!$Q$23*0.25,0)</f>
        <v>0</v>
      </c>
      <c r="X106" s="95">
        <f>IF(AND(NOT(K106=0),(H106-H105)&gt;0),(H106-H105)*(Variables!$M$5*$H$1+Variables!$U$5*$I$1),0)+IF(AND(NOT((J106+N106+Q106)=0),(H105-H106)&gt;0),(H105-H106)*(Variables!$M$4*$H$1+Variables!$U$4*$I$1),0)</f>
        <v>-298.35560911069149</v>
      </c>
      <c r="Y106" s="95">
        <f>IF(SUM(T106,U105:U106)&gt;0,H106*Variables!$Y$11*0.25*(1-$J$1),0)</f>
        <v>0</v>
      </c>
      <c r="Z106" s="95">
        <f>IF(T106=0,H106*$J$1*Variables!$Y$5*0.25,0)</f>
        <v>14.737564104457016</v>
      </c>
      <c r="AA106" s="95">
        <f t="shared" si="2"/>
        <v>-283.61804500623447</v>
      </c>
      <c r="AB106" s="91">
        <f>AA106/Variables!$E$49</f>
        <v>-45.744845968747491</v>
      </c>
    </row>
    <row r="107" spans="1:28" x14ac:dyDescent="0.25">
      <c r="A107" s="61">
        <f>'Water runs'!C114</f>
        <v>11747</v>
      </c>
      <c r="B107" s="61" t="str">
        <f>'Water runs'!B114</f>
        <v>Summer</v>
      </c>
      <c r="C107" s="54">
        <f>'Water runs'!D114/100</f>
        <v>1.5475714285714302</v>
      </c>
      <c r="D107" s="108">
        <f>VLOOKUP(ROW(D107)+4,'Water runs'!$BS$3:$CF$423,MATCH($B$1,Scenarios,0)+1)</f>
        <v>0.1533648722476029</v>
      </c>
      <c r="E107" s="54">
        <f>IF(B107=Variables!$D$8,C107-Variables!$E$8,IF(B107=Variables!$D$9,C107-Variables!$E$9,IF(B107=Variables!$D$10,C107-Variables!$E$10,IF(B107=Variables!$D$11,C107-Variables!$E$11,"ELSE"))))</f>
        <v>0.28920129251700843</v>
      </c>
      <c r="F107" s="108">
        <f>VLOOKUP(ROW(F107)+4,'Water runs'!$CH$3:$CU$423,MATCH($B$1,Scenarios,0)+1)</f>
        <v>7.202685690306336E-2</v>
      </c>
      <c r="G107" s="65">
        <f>H107/Variables!$E$49</f>
        <v>0.36569637976320141</v>
      </c>
      <c r="H107" s="62">
        <f>IF((H106+I107)&gt;(1.1*Variables!$E$50),(1.1*Variables!$E$50),IF((H106+I107)&gt;0,H106+I107,0))</f>
        <v>2.2673175545318487</v>
      </c>
      <c r="I107" s="64">
        <f t="shared" si="3"/>
        <v>0</v>
      </c>
      <c r="J107" s="63">
        <f>IF(SUM(E103:E106)&lt;Variables!$B$3,-H106,0)</f>
        <v>0</v>
      </c>
      <c r="K107" s="64">
        <f>IF(AND(H106&lt;Variables!$B$6*Variables!$E$50,OR(SUM(D104:D107)&gt;Variables!$B$5,SUM(E104:E107)&gt;Variables!$B$4)),Variables!$B$6*Variables!$E$50+Variables!$B$7*$G$1*Variables!$E$50*SUM(D104:D107),0)</f>
        <v>0</v>
      </c>
      <c r="L107" s="64">
        <f>IF(B107="Winter",Variables!$B$8*H106,0)</f>
        <v>0</v>
      </c>
      <c r="M107" s="64">
        <f>IF(AND(B107="Spring",AND(NOT(H106=0),H106&lt;(Variables!$B$9*Variables!$E$50))),(Variables!$B$10*Variables!$E$50+Variables!$B$11*Variables!$E$50*SUM(E104:E107)+$G$1*SUM(D106:D107)*Variables!$E$50*Variables!$B$12),0)</f>
        <v>0</v>
      </c>
      <c r="N107" s="64">
        <f>IF(AND(B107="Spring",AND(SUM(D104:D107)&gt;Variables!$B$13,SUM(D100:D103)&gt;Variables!$B$13)),-Variables!$B$14*Variables!$E$50,0)</f>
        <v>0</v>
      </c>
      <c r="O107" s="64">
        <f>IF(AND(B107="Summer",SUM(C103:D107)&gt;Variables!$B$15),(Variables!$B$16*Variables!$E$50*SUM(C103:C107)+$G$1*Variables!$B$16*Variables!$E$50*SUM(D103:D107)+$G$1*Variables!$E$50*Variables!$B$17*F107),0)</f>
        <v>0</v>
      </c>
      <c r="P107" s="64">
        <f>IF(AND(AND(B107="Autumn",SUM(D106:E107)&gt;0),NOT(H106=0)),Variables!$B$18*Variables!$E$50+Variables!$B$19*Variables!$E$50*SUM(E106:E107)+$G$1*Variables!$B$19*Variables!$E$50*SUM(D106:D107),0)</f>
        <v>0</v>
      </c>
      <c r="Q107" s="64">
        <f>IF(AND(B107="Autumn",AND((E107+E106)&lt;Variables!$B$20,(D106+D107)=0)),-Variables!$B$21*Variables!$E$50,0)</f>
        <v>0</v>
      </c>
      <c r="R107" s="64">
        <f>IF(B107="Autumn",(SUM(F106:F107)*$G$1*Variables!$B$22*Variables!$E$50),0)</f>
        <v>0</v>
      </c>
      <c r="S107" s="64">
        <f>IF(B107="Spring",($G$1*Variables!$E$50*SUM('Guts (option 1)'!F106:F107)*Variables!$B$23),0)</f>
        <v>0</v>
      </c>
      <c r="T107" s="63">
        <f>IF((H106+SUM(J107:Q107))&lt;(Variables!$B$26*Variables!$E$50),$F$1*((Variables!$B$26*Variables!$E$50)-H106-SUM(J107:Q107)),0)</f>
        <v>0</v>
      </c>
      <c r="U107" s="64">
        <f>IF(AND(AND(B107="Autumn",SUM(D104:E107)&gt;Variables!$B$27),SUM(J107:Q107)&lt;Variables!$B$28*H106),$F$1*(Variables!$B$28*H106-SUM(J107:Q107)),0)</f>
        <v>0</v>
      </c>
      <c r="V107" s="96">
        <f>IF(AND((J107+K107)=0,(Q107+T107)=0),$H$1*H107*Variables!$I$23*0.25,0)</f>
        <v>43.691549373461903</v>
      </c>
      <c r="W107" s="97">
        <f>IF(AND((K107+J107)=0,(T107+Q107)=0),$I$1*H107*Variables!$Q$23*0.25,0)</f>
        <v>45.733495563073284</v>
      </c>
      <c r="X107" s="95">
        <f>IF(AND(NOT(K107=0),(H107-H106)&gt;0),(H107-H106)*(Variables!$M$5*$H$1+Variables!$U$5*$I$1),0)+IF(AND(NOT((J107+N107+Q107)=0),(H106-H107)&gt;0),(H106-H107)*(Variables!$M$4*$H$1+Variables!$U$4*$I$1),0)</f>
        <v>0</v>
      </c>
      <c r="Y107" s="95">
        <f>IF(SUM(T107,U106:U107)&gt;0,H107*Variables!$Y$11*0.25*(1-$J$1),0)</f>
        <v>0</v>
      </c>
      <c r="Z107" s="95">
        <f>IF(T107=0,H107*$J$1*Variables!$Y$5*0.25,0)</f>
        <v>14.737564104457016</v>
      </c>
      <c r="AA107" s="95">
        <f t="shared" si="2"/>
        <v>104.16260904099221</v>
      </c>
      <c r="AB107" s="91">
        <f>AA107/Variables!$E$49</f>
        <v>16.800420813063258</v>
      </c>
    </row>
    <row r="108" spans="1:28" x14ac:dyDescent="0.25">
      <c r="A108" s="61">
        <f>'Water runs'!C115</f>
        <v>11840</v>
      </c>
      <c r="B108" s="61" t="str">
        <f>'Water runs'!B115</f>
        <v>Autumn</v>
      </c>
      <c r="C108" s="54">
        <f>'Water runs'!D115/100</f>
        <v>0.66099999999999992</v>
      </c>
      <c r="D108" s="108">
        <f>VLOOKUP(ROW(D108)+4,'Water runs'!$BS$3:$CF$423,MATCH($B$1,Scenarios,0)+1)</f>
        <v>0</v>
      </c>
      <c r="E108" s="54">
        <f>IF(B108=Variables!$D$8,C108-Variables!$E$8,IF(B108=Variables!$D$9,C108-Variables!$E$9,IF(B108=Variables!$D$10,C108-Variables!$E$10,IF(B108=Variables!$D$11,C108-Variables!$E$11,"ELSE"))))</f>
        <v>-0.33364329931972792</v>
      </c>
      <c r="F108" s="108">
        <f>VLOOKUP(ROW(F108)+4,'Water runs'!$CH$3:$CU$423,MATCH($B$1,Scenarios,0)+1)</f>
        <v>0</v>
      </c>
      <c r="G108" s="65">
        <f>H108/Variables!$E$49</f>
        <v>0.45059833803874449</v>
      </c>
      <c r="H108" s="62">
        <f>IF((H107+I108)&gt;(1.1*Variables!$E$50),(1.1*Variables!$E$50),IF((H107+I108)&gt;0,H107+I108,0))</f>
        <v>2.7937096958402159</v>
      </c>
      <c r="I108" s="64">
        <f t="shared" si="3"/>
        <v>0.52639214130836709</v>
      </c>
      <c r="J108" s="63">
        <f>IF(SUM(E104:E107)&lt;Variables!$B$3,-H107,0)</f>
        <v>0</v>
      </c>
      <c r="K108" s="64">
        <f>IF(AND(H107&lt;Variables!$B$6*Variables!$E$50,OR(SUM(D105:D108)&gt;Variables!$B$5,SUM(E105:E108)&gt;Variables!$B$4)),Variables!$B$6*Variables!$E$50+Variables!$B$7*$G$1*Variables!$E$50*SUM(D105:D108),0)</f>
        <v>0</v>
      </c>
      <c r="L108" s="64">
        <f>IF(B108="Winter",Variables!$B$8*H107,0)</f>
        <v>0</v>
      </c>
      <c r="M108" s="64">
        <f>IF(AND(B108="Spring",AND(NOT(H107=0),H107&lt;(Variables!$B$9*Variables!$E$50))),(Variables!$B$10*Variables!$E$50+Variables!$B$11*Variables!$E$50*SUM(E105:E108)+$G$1*SUM(D107:D108)*Variables!$E$50*Variables!$B$12),0)</f>
        <v>0</v>
      </c>
      <c r="N108" s="64">
        <f>IF(AND(B108="Spring",AND(SUM(D105:D108)&gt;Variables!$B$13,SUM(D101:D104)&gt;Variables!$B$13)),-Variables!$B$14*Variables!$E$50,0)</f>
        <v>0</v>
      </c>
      <c r="O108" s="64">
        <f>IF(AND(B108="Summer",SUM(C104:D108)&gt;Variables!$B$15),(Variables!$B$16*Variables!$E$50*SUM(C104:C108)+$G$1*Variables!$B$16*Variables!$E$50*SUM(D104:D108)+$G$1*Variables!$E$50*Variables!$B$17*F108),0)</f>
        <v>0</v>
      </c>
      <c r="P108" s="64">
        <f>IF(AND(AND(B108="Autumn",SUM(D107:E108)&gt;0),NOT(H107=0)),Variables!$B$18*Variables!$E$50+Variables!$B$19*Variables!$E$50*SUM(E107:E108)+$G$1*Variables!$B$19*Variables!$E$50*SUM(D107:D108),0)</f>
        <v>0.51628836255444222</v>
      </c>
      <c r="Q108" s="64">
        <f>IF(AND(B108="Autumn",AND((E108+E107)&lt;Variables!$B$20,(D107+D108)=0)),-Variables!$B$21*Variables!$E$50,0)</f>
        <v>0</v>
      </c>
      <c r="R108" s="64">
        <f>IF(B108="Autumn",(SUM(F107:F108)*$G$1*Variables!$B$22*Variables!$E$50),0)</f>
        <v>1.010377875392484E-2</v>
      </c>
      <c r="S108" s="64">
        <f>IF(B108="Spring",($G$1*Variables!$E$50*SUM('Guts (option 1)'!F107:F108)*Variables!$B$23),0)</f>
        <v>0</v>
      </c>
      <c r="T108" s="63">
        <f>IF((H107+SUM(J108:Q108))&lt;(Variables!$B$26*Variables!$E$50),$F$1*((Variables!$B$26*Variables!$E$50)-H107-SUM(J108:Q108)),0)</f>
        <v>0</v>
      </c>
      <c r="U108" s="64">
        <f>IF(AND(AND(B108="Autumn",SUM(D105:E108)&gt;Variables!$B$27),SUM(J108:Q108)&lt;Variables!$B$28*H107),$F$1*(Variables!$B$28*H107-SUM(J108:Q108)),0)</f>
        <v>0</v>
      </c>
      <c r="V108" s="96">
        <f>IF(AND((J108+K108)=0,(Q108+T108)=0),$H$1*H108*Variables!$I$23*0.25,0)</f>
        <v>53.835204895295341</v>
      </c>
      <c r="W108" s="97">
        <f>IF(AND((K108+J108)=0,(T108+Q108)=0),$I$1*H108*Variables!$Q$23*0.25,0)</f>
        <v>56.35121984736903</v>
      </c>
      <c r="X108" s="95">
        <f>IF(AND(NOT(K108=0),(H108-H107)&gt;0),(H108-H107)*(Variables!$M$5*$H$1+Variables!$U$5*$I$1),0)+IF(AND(NOT((J108+N108+Q108)=0),(H107-H108)&gt;0),(H107-H108)*(Variables!$M$4*$H$1+Variables!$U$4*$I$1),0)</f>
        <v>0</v>
      </c>
      <c r="Y108" s="95">
        <f>IF(SUM(T108,U107:U108)&gt;0,H108*Variables!$Y$11*0.25*(1-$J$1),0)</f>
        <v>0</v>
      </c>
      <c r="Z108" s="95">
        <f>IF(T108=0,H108*$J$1*Variables!$Y$5*0.25,0)</f>
        <v>18.159113022961403</v>
      </c>
      <c r="AA108" s="95">
        <f t="shared" si="2"/>
        <v>128.34553776562578</v>
      </c>
      <c r="AB108" s="91">
        <f>AA108/Variables!$E$49</f>
        <v>20.700893188004159</v>
      </c>
    </row>
    <row r="109" spans="1:28" x14ac:dyDescent="0.25">
      <c r="A109" s="61">
        <f>'Water runs'!C116</f>
        <v>11932</v>
      </c>
      <c r="B109" s="61" t="str">
        <f>'Water runs'!B116</f>
        <v>Winter</v>
      </c>
      <c r="C109" s="54">
        <f>'Water runs'!D116/100</f>
        <v>0.40200000000000002</v>
      </c>
      <c r="D109" s="108">
        <f>VLOOKUP(ROW(D109)+4,'Water runs'!$BS$3:$CF$423,MATCH($B$1,Scenarios,0)+1)</f>
        <v>0</v>
      </c>
      <c r="E109" s="54">
        <f>IF(B109=Variables!$D$8,C109-Variables!$E$8,IF(B109=Variables!$D$9,C109-Variables!$E$9,IF(B109=Variables!$D$10,C109-Variables!$E$10,IF(B109=Variables!$D$11,C109-Variables!$E$11,"ELSE"))))</f>
        <v>-0.16976762566137571</v>
      </c>
      <c r="F109" s="108">
        <f>VLOOKUP(ROW(F109)+4,'Water runs'!$CH$3:$CU$423,MATCH($B$1,Scenarios,0)+1)</f>
        <v>0</v>
      </c>
      <c r="G109" s="65">
        <f>H109/Variables!$E$49</f>
        <v>0.22622503760582602</v>
      </c>
      <c r="H109" s="62">
        <f>IF((H108+I109)&gt;(1.1*Variables!$E$50),(1.1*Variables!$E$50),IF((H108+I109)&gt;0,H108+I109,0))</f>
        <v>1.4025952331561213</v>
      </c>
      <c r="I109" s="64">
        <f t="shared" si="3"/>
        <v>-1.3911144626840946</v>
      </c>
      <c r="J109" s="63">
        <f>IF(SUM(E105:E108)&lt;Variables!$B$3,-H108,0)</f>
        <v>0</v>
      </c>
      <c r="K109" s="64">
        <f>IF(AND(H108&lt;Variables!$B$6*Variables!$E$50,OR(SUM(D106:D109)&gt;Variables!$B$5,SUM(E106:E109)&gt;Variables!$B$4)),Variables!$B$6*Variables!$E$50+Variables!$B$7*$G$1*Variables!$E$50*SUM(D106:D109),0)</f>
        <v>0</v>
      </c>
      <c r="L109" s="64">
        <f>IF(B109="Winter",Variables!$B$8*H108,0)</f>
        <v>-1.3911144626840946</v>
      </c>
      <c r="M109" s="64">
        <f>IF(AND(B109="Spring",AND(NOT(H108=0),H108&lt;(Variables!$B$9*Variables!$E$50))),(Variables!$B$10*Variables!$E$50+Variables!$B$11*Variables!$E$50*SUM(E106:E109)+$G$1*SUM(D108:D109)*Variables!$E$50*Variables!$B$12),0)</f>
        <v>0</v>
      </c>
      <c r="N109" s="64">
        <f>IF(AND(B109="Spring",AND(SUM(D106:D109)&gt;Variables!$B$13,SUM(D102:D105)&gt;Variables!$B$13)),-Variables!$B$14*Variables!$E$50,0)</f>
        <v>0</v>
      </c>
      <c r="O109" s="64">
        <f>IF(AND(B109="Summer",SUM(C105:D109)&gt;Variables!$B$15),(Variables!$B$16*Variables!$E$50*SUM(C105:C109)+$G$1*Variables!$B$16*Variables!$E$50*SUM(D105:D109)+$G$1*Variables!$E$50*Variables!$B$17*F109),0)</f>
        <v>0</v>
      </c>
      <c r="P109" s="64">
        <f>IF(AND(AND(B109="Autumn",SUM(D108:E109)&gt;0),NOT(H108=0)),Variables!$B$18*Variables!$E$50+Variables!$B$19*Variables!$E$50*SUM(E108:E109)+$G$1*Variables!$B$19*Variables!$E$50*SUM(D108:D109),0)</f>
        <v>0</v>
      </c>
      <c r="Q109" s="64">
        <f>IF(AND(B109="Autumn",AND((E109+E108)&lt;Variables!$B$20,(D108+D109)=0)),-Variables!$B$21*Variables!$E$50,0)</f>
        <v>0</v>
      </c>
      <c r="R109" s="64">
        <f>IF(B109="Autumn",(SUM(F108:F109)*$G$1*Variables!$B$22*Variables!$E$50),0)</f>
        <v>0</v>
      </c>
      <c r="S109" s="64">
        <f>IF(B109="Spring",($G$1*Variables!$E$50*SUM('Guts (option 1)'!F108:F109)*Variables!$B$23),0)</f>
        <v>0</v>
      </c>
      <c r="T109" s="63">
        <f>IF((H108+SUM(J109:Q109))&lt;(Variables!$B$26*Variables!$E$50),$F$1*((Variables!$B$26*Variables!$E$50)-H108-SUM(J109:Q109)),0)</f>
        <v>0</v>
      </c>
      <c r="U109" s="64">
        <f>IF(AND(AND(B109="Autumn",SUM(D106:E109)&gt;Variables!$B$27),SUM(J109:Q109)&lt;Variables!$B$28*H108),$F$1*(Variables!$B$28*H108-SUM(J109:Q109)),0)</f>
        <v>0</v>
      </c>
      <c r="V109" s="96">
        <f>IF(AND((J109+K109)=0,(Q109+T109)=0),$H$1*H109*Variables!$I$23*0.25,0)</f>
        <v>27.028220532203434</v>
      </c>
      <c r="W109" s="97">
        <f>IF(AND((K109+J109)=0,(T109+Q109)=0),$I$1*H109*Variables!$Q$23*0.25,0)</f>
        <v>28.29139779918383</v>
      </c>
      <c r="X109" s="95">
        <f>IF(AND(NOT(K109=0),(H109-H108)&gt;0),(H109-H108)*(Variables!$M$5*$H$1+Variables!$U$5*$I$1),0)+IF(AND(NOT((J109+N109+Q109)=0),(H108-H109)&gt;0),(H108-H109)*(Variables!$M$4*$H$1+Variables!$U$4*$I$1),0)</f>
        <v>0</v>
      </c>
      <c r="Y109" s="95">
        <f>IF(SUM(T109,U108:U109)&gt;0,H109*Variables!$Y$11*0.25*(1-$J$1),0)</f>
        <v>0</v>
      </c>
      <c r="Z109" s="95">
        <f>IF(T109=0,H109*$J$1*Variables!$Y$5*0.25,0)</f>
        <v>9.1168690155147889</v>
      </c>
      <c r="AA109" s="95">
        <f t="shared" si="2"/>
        <v>64.436487346902055</v>
      </c>
      <c r="AB109" s="91">
        <f>AA109/Variables!$E$49</f>
        <v>10.392981830145493</v>
      </c>
    </row>
    <row r="110" spans="1:28" x14ac:dyDescent="0.25">
      <c r="A110" s="61">
        <f>'Water runs'!C117</f>
        <v>12023</v>
      </c>
      <c r="B110" s="61" t="str">
        <f>'Water runs'!B117</f>
        <v>Spring</v>
      </c>
      <c r="C110" s="54">
        <f>'Water runs'!D117/100</f>
        <v>0.64639999999999997</v>
      </c>
      <c r="D110" s="108">
        <f>VLOOKUP(ROW(D110)+4,'Water runs'!$BS$3:$CF$423,MATCH($B$1,Scenarios,0)+1)</f>
        <v>0</v>
      </c>
      <c r="E110" s="54">
        <f>IF(B110=Variables!$D$8,C110-Variables!$E$8,IF(B110=Variables!$D$9,C110-Variables!$E$9,IF(B110=Variables!$D$10,C110-Variables!$E$10,IF(B110=Variables!$D$11,C110-Variables!$E$11,"ELSE"))))</f>
        <v>-0.11758220899470917</v>
      </c>
      <c r="F110" s="108">
        <f>VLOOKUP(ROW(F110)+4,'Water runs'!$CH$3:$CU$423,MATCH($B$1,Scenarios,0)+1)</f>
        <v>0</v>
      </c>
      <c r="G110" s="65">
        <f>H110/Variables!$E$49</f>
        <v>0.18977814874157412</v>
      </c>
      <c r="H110" s="62">
        <f>IF((H109+I110)&gt;(1.1*Variables!$E$50),(1.1*Variables!$E$50),IF((H109+I110)&gt;0,H109+I110,0))</f>
        <v>1.1766245221977596</v>
      </c>
      <c r="I110" s="64">
        <f t="shared" si="3"/>
        <v>-0.22597071095836166</v>
      </c>
      <c r="J110" s="63">
        <f>IF(SUM(E106:E109)&lt;Variables!$B$3,-H109,0)</f>
        <v>0</v>
      </c>
      <c r="K110" s="64">
        <f>IF(AND(H109&lt;Variables!$B$6*Variables!$E$50,OR(SUM(D107:D110)&gt;Variables!$B$5,SUM(E107:E110)&gt;Variables!$B$4)),Variables!$B$6*Variables!$E$50+Variables!$B$7*$G$1*Variables!$E$50*SUM(D107:D110),0)</f>
        <v>0</v>
      </c>
      <c r="L110" s="64">
        <f>IF(B110="Winter",Variables!$B$8*H109,0)</f>
        <v>0</v>
      </c>
      <c r="M110" s="64">
        <f>IF(AND(B110="Spring",AND(NOT(H109=0),H109&lt;(Variables!$B$9*Variables!$E$50))),(Variables!$B$10*Variables!$E$50+Variables!$B$11*Variables!$E$50*SUM(E107:E110)+$G$1*SUM(D109:D110)*Variables!$E$50*Variables!$B$12),0)</f>
        <v>-0.22597071095836166</v>
      </c>
      <c r="N110" s="64">
        <f>IF(AND(B110="Spring",AND(SUM(D107:D110)&gt;Variables!$B$13,SUM(D103:D106)&gt;Variables!$B$13)),-Variables!$B$14*Variables!$E$50,0)</f>
        <v>0</v>
      </c>
      <c r="O110" s="64">
        <f>IF(AND(B110="Summer",SUM(C106:D110)&gt;Variables!$B$15),(Variables!$B$16*Variables!$E$50*SUM(C106:C110)+$G$1*Variables!$B$16*Variables!$E$50*SUM(D106:D110)+$G$1*Variables!$E$50*Variables!$B$17*F110),0)</f>
        <v>0</v>
      </c>
      <c r="P110" s="64">
        <f>IF(AND(AND(B110="Autumn",SUM(D109:E110)&gt;0),NOT(H109=0)),Variables!$B$18*Variables!$E$50+Variables!$B$19*Variables!$E$50*SUM(E109:E110)+$G$1*Variables!$B$19*Variables!$E$50*SUM(D109:D110),0)</f>
        <v>0</v>
      </c>
      <c r="Q110" s="64">
        <f>IF(AND(B110="Autumn",AND((E110+E109)&lt;Variables!$B$20,(D109+D110)=0)),-Variables!$B$21*Variables!$E$50,0)</f>
        <v>0</v>
      </c>
      <c r="R110" s="64">
        <f>IF(B110="Autumn",(SUM(F109:F110)*$G$1*Variables!$B$22*Variables!$E$50),0)</f>
        <v>0</v>
      </c>
      <c r="S110" s="64">
        <f>IF(B110="Spring",($G$1*Variables!$E$50*SUM('Guts (option 1)'!F109:F110)*Variables!$B$23),0)</f>
        <v>0</v>
      </c>
      <c r="T110" s="63">
        <f>IF((H109+SUM(J110:Q110))&lt;(Variables!$B$26*Variables!$E$50),$F$1*((Variables!$B$26*Variables!$E$50)-H109-SUM(J110:Q110)),0)</f>
        <v>0</v>
      </c>
      <c r="U110" s="64">
        <f>IF(AND(AND(B110="Autumn",SUM(D107:E110)&gt;Variables!$B$27),SUM(J110:Q110)&lt;Variables!$B$28*H109),$F$1*(Variables!$B$28*H109-SUM(J110:Q110)),0)</f>
        <v>0</v>
      </c>
      <c r="V110" s="96">
        <f>IF(AND((J110+K110)=0,(Q110+T110)=0),$H$1*H110*Variables!$I$23*0.25,0)</f>
        <v>22.673731036429157</v>
      </c>
      <c r="W110" s="97">
        <f>IF(AND((K110+J110)=0,(T110+Q110)=0),$I$1*H110*Variables!$Q$23*0.25,0)</f>
        <v>23.733399081120456</v>
      </c>
      <c r="X110" s="95">
        <f>IF(AND(NOT(K110=0),(H110-H109)&gt;0),(H110-H109)*(Variables!$M$5*$H$1+Variables!$U$5*$I$1),0)+IF(AND(NOT((J110+N110+Q110)=0),(H109-H110)&gt;0),(H109-H110)*(Variables!$M$4*$H$1+Variables!$U$4*$I$1),0)</f>
        <v>0</v>
      </c>
      <c r="Y110" s="95">
        <f>IF(SUM(T110,U109:U110)&gt;0,H110*Variables!$Y$11*0.25*(1-$J$1),0)</f>
        <v>0</v>
      </c>
      <c r="Z110" s="95">
        <f>IF(T110=0,H110*$J$1*Variables!$Y$5*0.25,0)</f>
        <v>7.6480593942854371</v>
      </c>
      <c r="AA110" s="95">
        <f t="shared" si="2"/>
        <v>54.055189511835053</v>
      </c>
      <c r="AB110" s="91">
        <f>AA110/Variables!$E$49</f>
        <v>8.7185789535217832</v>
      </c>
    </row>
    <row r="111" spans="1:28" x14ac:dyDescent="0.25">
      <c r="A111" s="61">
        <f>'Water runs'!C118</f>
        <v>12113</v>
      </c>
      <c r="B111" s="61" t="str">
        <f>'Water runs'!B118</f>
        <v>Summer</v>
      </c>
      <c r="C111" s="54">
        <f>'Water runs'!D118/100</f>
        <v>0.56640000000000001</v>
      </c>
      <c r="D111" s="108">
        <f>VLOOKUP(ROW(D111)+4,'Water runs'!$BS$3:$CF$423,MATCH($B$1,Scenarios,0)+1)</f>
        <v>0</v>
      </c>
      <c r="E111" s="54">
        <f>IF(B111=Variables!$D$8,C111-Variables!$E$8,IF(B111=Variables!$D$9,C111-Variables!$E$9,IF(B111=Variables!$D$10,C111-Variables!$E$10,IF(B111=Variables!$D$11,C111-Variables!$E$11,"ELSE"))))</f>
        <v>-0.6919701360544217</v>
      </c>
      <c r="F111" s="108">
        <f>VLOOKUP(ROW(F111)+4,'Water runs'!$CH$3:$CU$423,MATCH($B$1,Scenarios,0)+1)</f>
        <v>0</v>
      </c>
      <c r="G111" s="65">
        <f>H111/Variables!$E$49</f>
        <v>0.18977814874157412</v>
      </c>
      <c r="H111" s="62">
        <f>IF((H110+I111)&gt;(1.1*Variables!$E$50),(1.1*Variables!$E$50),IF((H110+I111)&gt;0,H110+I111,0))</f>
        <v>1.1766245221977596</v>
      </c>
      <c r="I111" s="64">
        <f t="shared" si="3"/>
        <v>0</v>
      </c>
      <c r="J111" s="63">
        <f>IF(SUM(E107:E110)&lt;Variables!$B$3,-H110,0)</f>
        <v>0</v>
      </c>
      <c r="K111" s="64">
        <f>IF(AND(H110&lt;Variables!$B$6*Variables!$E$50,OR(SUM(D108:D111)&gt;Variables!$B$5,SUM(E108:E111)&gt;Variables!$B$4)),Variables!$B$6*Variables!$E$50+Variables!$B$7*$G$1*Variables!$E$50*SUM(D108:D111),0)</f>
        <v>0</v>
      </c>
      <c r="L111" s="64">
        <f>IF(B111="Winter",Variables!$B$8*H110,0)</f>
        <v>0</v>
      </c>
      <c r="M111" s="64">
        <f>IF(AND(B111="Spring",AND(NOT(H110=0),H110&lt;(Variables!$B$9*Variables!$E$50))),(Variables!$B$10*Variables!$E$50+Variables!$B$11*Variables!$E$50*SUM(E108:E111)+$G$1*SUM(D110:D111)*Variables!$E$50*Variables!$B$12),0)</f>
        <v>0</v>
      </c>
      <c r="N111" s="64">
        <f>IF(AND(B111="Spring",AND(SUM(D108:D111)&gt;Variables!$B$13,SUM(D104:D107)&gt;Variables!$B$13)),-Variables!$B$14*Variables!$E$50,0)</f>
        <v>0</v>
      </c>
      <c r="O111" s="64">
        <f>IF(AND(B111="Summer",SUM(C107:D111)&gt;Variables!$B$15),(Variables!$B$16*Variables!$E$50*SUM(C107:C111)+$G$1*Variables!$B$16*Variables!$E$50*SUM(D107:D111)+$G$1*Variables!$E$50*Variables!$B$17*F111),0)</f>
        <v>0</v>
      </c>
      <c r="P111" s="64">
        <f>IF(AND(AND(B111="Autumn",SUM(D110:E111)&gt;0),NOT(H110=0)),Variables!$B$18*Variables!$E$50+Variables!$B$19*Variables!$E$50*SUM(E110:E111)+$G$1*Variables!$B$19*Variables!$E$50*SUM(D110:D111),0)</f>
        <v>0</v>
      </c>
      <c r="Q111" s="64">
        <f>IF(AND(B111="Autumn",AND((E111+E110)&lt;Variables!$B$20,(D110+D111)=0)),-Variables!$B$21*Variables!$E$50,0)</f>
        <v>0</v>
      </c>
      <c r="R111" s="64">
        <f>IF(B111="Autumn",(SUM(F110:F111)*$G$1*Variables!$B$22*Variables!$E$50),0)</f>
        <v>0</v>
      </c>
      <c r="S111" s="64">
        <f>IF(B111="Spring",($G$1*Variables!$E$50*SUM('Guts (option 1)'!F110:F111)*Variables!$B$23),0)</f>
        <v>0</v>
      </c>
      <c r="T111" s="63">
        <f>IF((H110+SUM(J111:Q111))&lt;(Variables!$B$26*Variables!$E$50),$F$1*((Variables!$B$26*Variables!$E$50)-H110-SUM(J111:Q111)),0)</f>
        <v>0</v>
      </c>
      <c r="U111" s="64">
        <f>IF(AND(AND(B111="Autumn",SUM(D108:E111)&gt;Variables!$B$27),SUM(J111:Q111)&lt;Variables!$B$28*H110),$F$1*(Variables!$B$28*H110-SUM(J111:Q111)),0)</f>
        <v>0</v>
      </c>
      <c r="V111" s="96">
        <f>IF(AND((J111+K111)=0,(Q111+T111)=0),$H$1*H111*Variables!$I$23*0.25,0)</f>
        <v>22.673731036429157</v>
      </c>
      <c r="W111" s="97">
        <f>IF(AND((K111+J111)=0,(T111+Q111)=0),$I$1*H111*Variables!$Q$23*0.25,0)</f>
        <v>23.733399081120456</v>
      </c>
      <c r="X111" s="95">
        <f>IF(AND(NOT(K111=0),(H111-H110)&gt;0),(H111-H110)*(Variables!$M$5*$H$1+Variables!$U$5*$I$1),0)+IF(AND(NOT((J111+N111+Q111)=0),(H110-H111)&gt;0),(H110-H111)*(Variables!$M$4*$H$1+Variables!$U$4*$I$1),0)</f>
        <v>0</v>
      </c>
      <c r="Y111" s="95">
        <f>IF(SUM(T111,U110:U111)&gt;0,H111*Variables!$Y$11*0.25*(1-$J$1),0)</f>
        <v>0</v>
      </c>
      <c r="Z111" s="95">
        <f>IF(T111=0,H111*$J$1*Variables!$Y$5*0.25,0)</f>
        <v>7.6480593942854371</v>
      </c>
      <c r="AA111" s="95">
        <f t="shared" si="2"/>
        <v>54.055189511835053</v>
      </c>
      <c r="AB111" s="91">
        <f>AA111/Variables!$E$49</f>
        <v>8.7185789535217832</v>
      </c>
    </row>
    <row r="112" spans="1:28" x14ac:dyDescent="0.25">
      <c r="A112" s="61">
        <f>'Water runs'!C119</f>
        <v>12205</v>
      </c>
      <c r="B112" s="61" t="str">
        <f>'Water runs'!B119</f>
        <v>Autumn</v>
      </c>
      <c r="C112" s="54">
        <f>'Water runs'!D119/100</f>
        <v>0.1578</v>
      </c>
      <c r="D112" s="108">
        <f>VLOOKUP(ROW(D112)+4,'Water runs'!$BS$3:$CF$423,MATCH($B$1,Scenarios,0)+1)</f>
        <v>0</v>
      </c>
      <c r="E112" s="54">
        <f>IF(B112=Variables!$D$8,C112-Variables!$E$8,IF(B112=Variables!$D$9,C112-Variables!$E$9,IF(B112=Variables!$D$10,C112-Variables!$E$10,IF(B112=Variables!$D$11,C112-Variables!$E$11,"ELSE"))))</f>
        <v>-0.8368432993197279</v>
      </c>
      <c r="F112" s="108">
        <f>VLOOKUP(ROW(F112)+4,'Water runs'!$CH$3:$CU$423,MATCH($B$1,Scenarios,0)+1)</f>
        <v>0</v>
      </c>
      <c r="G112" s="65">
        <f>H112/Variables!$E$49</f>
        <v>0.18977814874157412</v>
      </c>
      <c r="H112" s="62">
        <f>IF((H111+I112)&gt;(1.1*Variables!$E$50),(1.1*Variables!$E$50),IF((H111+I112)&gt;0,H111+I112,0))</f>
        <v>1.1766245221977596</v>
      </c>
      <c r="I112" s="64">
        <f t="shared" si="3"/>
        <v>0</v>
      </c>
      <c r="J112" s="63">
        <f>IF(SUM(E108:E111)&lt;Variables!$B$3,-H111,0)</f>
        <v>0</v>
      </c>
      <c r="K112" s="64">
        <f>IF(AND(H111&lt;Variables!$B$6*Variables!$E$50,OR(SUM(D109:D112)&gt;Variables!$B$5,SUM(E109:E112)&gt;Variables!$B$4)),Variables!$B$6*Variables!$E$50+Variables!$B$7*$G$1*Variables!$E$50*SUM(D109:D112),0)</f>
        <v>0</v>
      </c>
      <c r="L112" s="64">
        <f>IF(B112="Winter",Variables!$B$8*H111,0)</f>
        <v>0</v>
      </c>
      <c r="M112" s="64">
        <f>IF(AND(B112="Spring",AND(NOT(H111=0),H111&lt;(Variables!$B$9*Variables!$E$50))),(Variables!$B$10*Variables!$E$50+Variables!$B$11*Variables!$E$50*SUM(E109:E112)+$G$1*SUM(D111:D112)*Variables!$E$50*Variables!$B$12),0)</f>
        <v>0</v>
      </c>
      <c r="N112" s="64">
        <f>IF(AND(B112="Spring",AND(SUM(D109:D112)&gt;Variables!$B$13,SUM(D105:D108)&gt;Variables!$B$13)),-Variables!$B$14*Variables!$E$50,0)</f>
        <v>0</v>
      </c>
      <c r="O112" s="64">
        <f>IF(AND(B112="Summer",SUM(C108:D112)&gt;Variables!$B$15),(Variables!$B$16*Variables!$E$50*SUM(C108:C112)+$G$1*Variables!$B$16*Variables!$E$50*SUM(D108:D112)+$G$1*Variables!$E$50*Variables!$B$17*F112),0)</f>
        <v>0</v>
      </c>
      <c r="P112" s="64">
        <f>IF(AND(AND(B112="Autumn",SUM(D111:E112)&gt;0),NOT(H111=0)),Variables!$B$18*Variables!$E$50+Variables!$B$19*Variables!$E$50*SUM(E111:E112)+$G$1*Variables!$B$19*Variables!$E$50*SUM(D111:D112),0)</f>
        <v>0</v>
      </c>
      <c r="Q112" s="64">
        <f>IF(AND(B112="Autumn",AND((E112+E111)&lt;Variables!$B$20,(D111+D112)=0)),-Variables!$B$21*Variables!$E$50,0)</f>
        <v>0</v>
      </c>
      <c r="R112" s="64">
        <f>IF(B112="Autumn",(SUM(F111:F112)*$G$1*Variables!$B$22*Variables!$E$50),0)</f>
        <v>0</v>
      </c>
      <c r="S112" s="64">
        <f>IF(B112="Spring",($G$1*Variables!$E$50*SUM('Guts (option 1)'!F111:F112)*Variables!$B$23),0)</f>
        <v>0</v>
      </c>
      <c r="T112" s="63">
        <f>IF((H111+SUM(J112:Q112))&lt;(Variables!$B$26*Variables!$E$50),$F$1*((Variables!$B$26*Variables!$E$50)-H111-SUM(J112:Q112)),0)</f>
        <v>0</v>
      </c>
      <c r="U112" s="64">
        <f>IF(AND(AND(B112="Autumn",SUM(D109:E112)&gt;Variables!$B$27),SUM(J112:Q112)&lt;Variables!$B$28*H111),$F$1*(Variables!$B$28*H111-SUM(J112:Q112)),0)</f>
        <v>0</v>
      </c>
      <c r="V112" s="96">
        <f>IF(AND((J112+K112)=0,(Q112+T112)=0),$H$1*H112*Variables!$I$23*0.25,0)</f>
        <v>22.673731036429157</v>
      </c>
      <c r="W112" s="97">
        <f>IF(AND((K112+J112)=0,(T112+Q112)=0),$I$1*H112*Variables!$Q$23*0.25,0)</f>
        <v>23.733399081120456</v>
      </c>
      <c r="X112" s="95">
        <f>IF(AND(NOT(K112=0),(H112-H111)&gt;0),(H112-H111)*(Variables!$M$5*$H$1+Variables!$U$5*$I$1),0)+IF(AND(NOT((J112+N112+Q112)=0),(H111-H112)&gt;0),(H111-H112)*(Variables!$M$4*$H$1+Variables!$U$4*$I$1),0)</f>
        <v>0</v>
      </c>
      <c r="Y112" s="95">
        <f>IF(SUM(T112,U111:U112)&gt;0,H112*Variables!$Y$11*0.25*(1-$J$1),0)</f>
        <v>0</v>
      </c>
      <c r="Z112" s="95">
        <f>IF(T112=0,H112*$J$1*Variables!$Y$5*0.25,0)</f>
        <v>7.6480593942854371</v>
      </c>
      <c r="AA112" s="95">
        <f t="shared" si="2"/>
        <v>54.055189511835053</v>
      </c>
      <c r="AB112" s="91">
        <f>AA112/Variables!$E$49</f>
        <v>8.7185789535217832</v>
      </c>
    </row>
    <row r="113" spans="1:28" x14ac:dyDescent="0.25">
      <c r="A113" s="61">
        <f>'Water runs'!C120</f>
        <v>12297</v>
      </c>
      <c r="B113" s="61" t="str">
        <f>'Water runs'!B120</f>
        <v>Winter</v>
      </c>
      <c r="C113" s="54">
        <f>'Water runs'!D120/100</f>
        <v>0.56520000000000004</v>
      </c>
      <c r="D113" s="108">
        <f>VLOOKUP(ROW(D113)+4,'Water runs'!$BS$3:$CF$423,MATCH($B$1,Scenarios,0)+1)</f>
        <v>0</v>
      </c>
      <c r="E113" s="54">
        <f>IF(B113=Variables!$D$8,C113-Variables!$E$8,IF(B113=Variables!$D$9,C113-Variables!$E$9,IF(B113=Variables!$D$10,C113-Variables!$E$10,IF(B113=Variables!$D$11,C113-Variables!$E$11,"ELSE"))))</f>
        <v>-6.5676256613756978E-3</v>
      </c>
      <c r="F113" s="108">
        <f>VLOOKUP(ROW(F113)+4,'Water runs'!$CH$3:$CU$423,MATCH($B$1,Scenarios,0)+1)</f>
        <v>0</v>
      </c>
      <c r="G113" s="65">
        <f>H113/Variables!$E$49</f>
        <v>0.16100000000000003</v>
      </c>
      <c r="H113" s="62">
        <f>IF((H112+I113)&gt;(1.1*Variables!$E$50),(1.1*Variables!$E$50),IF((H112+I113)&gt;0,H112+I113,0))</f>
        <v>0.9982000000000002</v>
      </c>
      <c r="I113" s="64">
        <f t="shared" si="3"/>
        <v>-0.17842452219775939</v>
      </c>
      <c r="J113" s="63">
        <f>IF(SUM(E109:E112)&lt;Variables!$B$3,-H112,0)</f>
        <v>-1.1766245221977596</v>
      </c>
      <c r="K113" s="64">
        <f>IF(AND(H112&lt;Variables!$B$6*Variables!$E$50,OR(SUM(D110:D113)&gt;Variables!$B$5,SUM(E110:E113)&gt;Variables!$B$4)),Variables!$B$6*Variables!$E$50+Variables!$B$7*$G$1*Variables!$E$50*SUM(D110:D113),0)</f>
        <v>0</v>
      </c>
      <c r="L113" s="64">
        <f>IF(B113="Winter",Variables!$B$8*H112,0)</f>
        <v>-0.58589458754975887</v>
      </c>
      <c r="M113" s="64">
        <f>IF(AND(B113="Spring",AND(NOT(H112=0),H112&lt;(Variables!$B$9*Variables!$E$50))),(Variables!$B$10*Variables!$E$50+Variables!$B$11*Variables!$E$50*SUM(E110:E113)+$G$1*SUM(D112:D113)*Variables!$E$50*Variables!$B$12),0)</f>
        <v>0</v>
      </c>
      <c r="N113" s="64">
        <f>IF(AND(B113="Spring",AND(SUM(D110:D113)&gt;Variables!$B$13,SUM(D106:D109)&gt;Variables!$B$13)),-Variables!$B$14*Variables!$E$50,0)</f>
        <v>0</v>
      </c>
      <c r="O113" s="64">
        <f>IF(AND(B113="Summer",SUM(C109:D113)&gt;Variables!$B$15),(Variables!$B$16*Variables!$E$50*SUM(C109:C113)+$G$1*Variables!$B$16*Variables!$E$50*SUM(D109:D113)+$G$1*Variables!$E$50*Variables!$B$17*F113),0)</f>
        <v>0</v>
      </c>
      <c r="P113" s="64">
        <f>IF(AND(AND(B113="Autumn",SUM(D112:E113)&gt;0),NOT(H112=0)),Variables!$B$18*Variables!$E$50+Variables!$B$19*Variables!$E$50*SUM(E112:E113)+$G$1*Variables!$B$19*Variables!$E$50*SUM(D112:D113),0)</f>
        <v>0</v>
      </c>
      <c r="Q113" s="64">
        <f>IF(AND(B113="Autumn",AND((E113+E112)&lt;Variables!$B$20,(D112+D113)=0)),-Variables!$B$21*Variables!$E$50,0)</f>
        <v>0</v>
      </c>
      <c r="R113" s="64">
        <f>IF(B113="Autumn",(SUM(F112:F113)*$G$1*Variables!$B$22*Variables!$E$50),0)</f>
        <v>0</v>
      </c>
      <c r="S113" s="64">
        <f>IF(B113="Spring",($G$1*Variables!$E$50*SUM('Guts (option 1)'!F112:F113)*Variables!$B$23),0)</f>
        <v>0</v>
      </c>
      <c r="T113" s="63">
        <f>IF((H112+SUM(J113:Q113))&lt;(Variables!$B$26*Variables!$E$50),$F$1*((Variables!$B$26*Variables!$E$50)-H112-SUM(J113:Q113)),0)</f>
        <v>1.584094587549759</v>
      </c>
      <c r="U113" s="64">
        <f>IF(AND(AND(B113="Autumn",SUM(D110:E113)&gt;Variables!$B$27),SUM(J113:Q113)&lt;Variables!$B$28*H112),$F$1*(Variables!$B$28*H112-SUM(J113:Q113)),0)</f>
        <v>0</v>
      </c>
      <c r="V113" s="96">
        <f>IF(AND((J113+K113)=0,(Q113+T113)=0),$H$1*H113*Variables!$I$23*0.25,0)</f>
        <v>0</v>
      </c>
      <c r="W113" s="97">
        <f>IF(AND((K113+J113)=0,(T113+Q113)=0),$I$1*H113*Variables!$Q$23*0.25,0)</f>
        <v>0</v>
      </c>
      <c r="X113" s="95">
        <f>IF(AND(NOT(K113=0),(H113-H112)&gt;0),(H113-H112)*(Variables!$M$5*$H$1+Variables!$U$5*$I$1),0)+IF(AND(NOT((J113+N113+Q113)=0),(H112-H113)&gt;0),(H112-H113)*(Variables!$M$4*$H$1+Variables!$U$4*$I$1),0)</f>
        <v>22.303065274719923</v>
      </c>
      <c r="Y113" s="95">
        <f>IF(SUM(T113,U112:U113)&gt;0,H113*Variables!$Y$11*0.25*(1-$J$1),0)</f>
        <v>0</v>
      </c>
      <c r="Z113" s="95">
        <f>IF(T113=0,H113*$J$1*Variables!$Y$5*0.25,0)</f>
        <v>0</v>
      </c>
      <c r="AA113" s="95">
        <f t="shared" si="2"/>
        <v>22.303065274719923</v>
      </c>
      <c r="AB113" s="91">
        <f>AA113/Variables!$E$49</f>
        <v>3.5972685926967616</v>
      </c>
    </row>
    <row r="114" spans="1:28" x14ac:dyDescent="0.25">
      <c r="A114" s="61">
        <f>'Water runs'!C121</f>
        <v>12388</v>
      </c>
      <c r="B114" s="61" t="str">
        <f>'Water runs'!B121</f>
        <v>Spring</v>
      </c>
      <c r="C114" s="54">
        <f>'Water runs'!D121/100</f>
        <v>1.9658000000000002</v>
      </c>
      <c r="D114" s="108">
        <f>VLOOKUP(ROW(D114)+4,'Water runs'!$BS$3:$CF$423,MATCH($B$1,Scenarios,0)+1)</f>
        <v>1.5441135717622467E-2</v>
      </c>
      <c r="E114" s="54">
        <f>IF(B114=Variables!$D$8,C114-Variables!$E$8,IF(B114=Variables!$D$9,C114-Variables!$E$9,IF(B114=Variables!$D$10,C114-Variables!$E$10,IF(B114=Variables!$D$11,C114-Variables!$E$11,"ELSE"))))</f>
        <v>1.2018177910052912</v>
      </c>
      <c r="F114" s="108">
        <f>VLOOKUP(ROW(F114)+4,'Water runs'!$CH$3:$CU$423,MATCH($B$1,Scenarios,0)+1)</f>
        <v>0</v>
      </c>
      <c r="G114" s="65">
        <f>H114/Variables!$E$49</f>
        <v>0.30940732051871428</v>
      </c>
      <c r="H114" s="62">
        <f>IF((H113+I114)&gt;(1.1*Variables!$E$50),(1.1*Variables!$E$50),IF((H113+I114)&gt;0,H113+I114,0))</f>
        <v>1.9183253872160286</v>
      </c>
      <c r="I114" s="64">
        <f t="shared" si="3"/>
        <v>0.92012538721602843</v>
      </c>
      <c r="J114" s="63">
        <f>IF(SUM(E110:E113)&lt;Variables!$B$3,-H113,0)</f>
        <v>0</v>
      </c>
      <c r="K114" s="64">
        <f>IF(AND(H113&lt;Variables!$B$6*Variables!$E$50,OR(SUM(D111:D114)&gt;Variables!$B$5,SUM(E111:E114)&gt;Variables!$B$4)),Variables!$B$6*Variables!$E$50+Variables!$B$7*$G$1*Variables!$E$50*SUM(D111:D114),0)</f>
        <v>1.1416111584021991</v>
      </c>
      <c r="L114" s="64">
        <f>IF(B114="Winter",Variables!$B$8*H113,0)</f>
        <v>0</v>
      </c>
      <c r="M114" s="64">
        <f>IF(AND(B114="Spring",AND(NOT(H113=0),H113&lt;(Variables!$B$9*Variables!$E$50))),(Variables!$B$10*Variables!$E$50+Variables!$B$11*Variables!$E$50*SUM(E111:E114)+$G$1*SUM(D113:D114)*Variables!$E$50*Variables!$B$12),0)</f>
        <v>-0.22148577118617069</v>
      </c>
      <c r="N114" s="64">
        <f>IF(AND(B114="Spring",AND(SUM(D111:D114)&gt;Variables!$B$13,SUM(D107:D110)&gt;Variables!$B$13)),-Variables!$B$14*Variables!$E$50,0)</f>
        <v>0</v>
      </c>
      <c r="O114" s="64">
        <f>IF(AND(B114="Summer",SUM(C110:D114)&gt;Variables!$B$15),(Variables!$B$16*Variables!$E$50*SUM(C110:C114)+$G$1*Variables!$B$16*Variables!$E$50*SUM(D110:D114)+$G$1*Variables!$E$50*Variables!$B$17*F114),0)</f>
        <v>0</v>
      </c>
      <c r="P114" s="64">
        <f>IF(AND(AND(B114="Autumn",SUM(D113:E114)&gt;0),NOT(H113=0)),Variables!$B$18*Variables!$E$50+Variables!$B$19*Variables!$E$50*SUM(E113:E114)+$G$1*Variables!$B$19*Variables!$E$50*SUM(D113:D114),0)</f>
        <v>0</v>
      </c>
      <c r="Q114" s="64">
        <f>IF(AND(B114="Autumn",AND((E114+E113)&lt;Variables!$B$20,(D113+D114)=0)),-Variables!$B$21*Variables!$E$50,0)</f>
        <v>0</v>
      </c>
      <c r="R114" s="64">
        <f>IF(B114="Autumn",(SUM(F113:F114)*$G$1*Variables!$B$22*Variables!$E$50),0)</f>
        <v>0</v>
      </c>
      <c r="S114" s="64">
        <f>IF(B114="Spring",($G$1*Variables!$E$50*SUM('Guts (option 1)'!F113:F114)*Variables!$B$23),0)</f>
        <v>0</v>
      </c>
      <c r="T114" s="63">
        <f>IF((H113+SUM(J114:Q114))&lt;(Variables!$B$26*Variables!$E$50),$F$1*((Variables!$B$26*Variables!$E$50)-H113-SUM(J114:Q114)),0)</f>
        <v>0</v>
      </c>
      <c r="U114" s="64">
        <f>IF(AND(AND(B114="Autumn",SUM(D111:E114)&gt;Variables!$B$27),SUM(J114:Q114)&lt;Variables!$B$28*H113),$F$1*(Variables!$B$28*H113-SUM(J114:Q114)),0)</f>
        <v>0</v>
      </c>
      <c r="V114" s="96">
        <f>IF(AND((J114+K114)=0,(Q114+T114)=0),$H$1*H114*Variables!$I$23*0.25,0)</f>
        <v>0</v>
      </c>
      <c r="W114" s="97">
        <f>IF(AND((K114+J114)=0,(T114+Q114)=0),$I$1*H114*Variables!$Q$23*0.25,0)</f>
        <v>0</v>
      </c>
      <c r="X114" s="95">
        <f>IF(AND(NOT(K114=0),(H114-H113)&gt;0),(H114-H113)*(Variables!$M$5*$H$1+Variables!$U$5*$I$1),0)+IF(AND(NOT((J114+N114+Q114)=0),(H113-H114)&gt;0),(H113-H114)*(Variables!$M$4*$H$1+Variables!$U$4*$I$1),0)</f>
        <v>-230.03134680400711</v>
      </c>
      <c r="Y114" s="95">
        <f>IF(SUM(T114,U113:U114)&gt;0,H114*Variables!$Y$11*0.25*(1-$J$1),0)</f>
        <v>0</v>
      </c>
      <c r="Z114" s="95">
        <f>IF(T114=0,H114*$J$1*Variables!$Y$5*0.25,0)</f>
        <v>12.469115016904187</v>
      </c>
      <c r="AA114" s="95">
        <f t="shared" si="2"/>
        <v>-217.56223178710292</v>
      </c>
      <c r="AB114" s="91">
        <f>AA114/Variables!$E$49</f>
        <v>-35.090682546306923</v>
      </c>
    </row>
    <row r="115" spans="1:28" x14ac:dyDescent="0.25">
      <c r="A115" s="61">
        <f>'Water runs'!C122</f>
        <v>12478</v>
      </c>
      <c r="B115" s="61" t="str">
        <f>'Water runs'!B122</f>
        <v>Summer</v>
      </c>
      <c r="C115" s="54">
        <f>'Water runs'!D122/100</f>
        <v>1.5631999999999999</v>
      </c>
      <c r="D115" s="108">
        <f>VLOOKUP(ROW(D115)+4,'Water runs'!$BS$3:$CF$423,MATCH($B$1,Scenarios,0)+1)</f>
        <v>3.6130927402433909E-3</v>
      </c>
      <c r="E115" s="54">
        <f>IF(B115=Variables!$D$8,C115-Variables!$E$8,IF(B115=Variables!$D$9,C115-Variables!$E$9,IF(B115=Variables!$D$10,C115-Variables!$E$10,IF(B115=Variables!$D$11,C115-Variables!$E$11,"ELSE"))))</f>
        <v>0.30482986394557821</v>
      </c>
      <c r="F115" s="108">
        <f>VLOOKUP(ROW(F115)+4,'Water runs'!$CH$3:$CU$423,MATCH($B$1,Scenarios,0)+1)</f>
        <v>0</v>
      </c>
      <c r="G115" s="65">
        <f>H115/Variables!$E$49</f>
        <v>0.30940732051871428</v>
      </c>
      <c r="H115" s="62">
        <f>IF((H114+I115)&gt;(1.1*Variables!$E$50),(1.1*Variables!$E$50),IF((H114+I115)&gt;0,H114+I115,0))</f>
        <v>1.9183253872160286</v>
      </c>
      <c r="I115" s="64">
        <f t="shared" si="3"/>
        <v>0</v>
      </c>
      <c r="J115" s="63">
        <f>IF(SUM(E111:E114)&lt;Variables!$B$3,-H114,0)</f>
        <v>0</v>
      </c>
      <c r="K115" s="64">
        <f>IF(AND(H114&lt;Variables!$B$6*Variables!$E$50,OR(SUM(D112:D115)&gt;Variables!$B$5,SUM(E112:E115)&gt;Variables!$B$4)),Variables!$B$6*Variables!$E$50+Variables!$B$7*$G$1*Variables!$E$50*SUM(D112:D115),0)</f>
        <v>0</v>
      </c>
      <c r="L115" s="64">
        <f>IF(B115="Winter",Variables!$B$8*H114,0)</f>
        <v>0</v>
      </c>
      <c r="M115" s="64">
        <f>IF(AND(B115="Spring",AND(NOT(H114=0),H114&lt;(Variables!$B$9*Variables!$E$50))),(Variables!$B$10*Variables!$E$50+Variables!$B$11*Variables!$E$50*SUM(E112:E115)+$G$1*SUM(D114:D115)*Variables!$E$50*Variables!$B$12),0)</f>
        <v>0</v>
      </c>
      <c r="N115" s="64">
        <f>IF(AND(B115="Spring",AND(SUM(D112:D115)&gt;Variables!$B$13,SUM(D108:D111)&gt;Variables!$B$13)),-Variables!$B$14*Variables!$E$50,0)</f>
        <v>0</v>
      </c>
      <c r="O115" s="64">
        <f>IF(AND(B115="Summer",SUM(C111:D115)&gt;Variables!$B$15),(Variables!$B$16*Variables!$E$50*SUM(C111:C115)+$G$1*Variables!$B$16*Variables!$E$50*SUM(D111:D115)+$G$1*Variables!$E$50*Variables!$B$17*F115),0)</f>
        <v>0</v>
      </c>
      <c r="P115" s="64">
        <f>IF(AND(AND(B115="Autumn",SUM(D114:E115)&gt;0),NOT(H114=0)),Variables!$B$18*Variables!$E$50+Variables!$B$19*Variables!$E$50*SUM(E114:E115)+$G$1*Variables!$B$19*Variables!$E$50*SUM(D114:D115),0)</f>
        <v>0</v>
      </c>
      <c r="Q115" s="64">
        <f>IF(AND(B115="Autumn",AND((E115+E114)&lt;Variables!$B$20,(D114+D115)=0)),-Variables!$B$21*Variables!$E$50,0)</f>
        <v>0</v>
      </c>
      <c r="R115" s="64">
        <f>IF(B115="Autumn",(SUM(F114:F115)*$G$1*Variables!$B$22*Variables!$E$50),0)</f>
        <v>0</v>
      </c>
      <c r="S115" s="64">
        <f>IF(B115="Spring",($G$1*Variables!$E$50*SUM('Guts (option 1)'!F114:F115)*Variables!$B$23),0)</f>
        <v>0</v>
      </c>
      <c r="T115" s="63">
        <f>IF((H114+SUM(J115:Q115))&lt;(Variables!$B$26*Variables!$E$50),$F$1*((Variables!$B$26*Variables!$E$50)-H114-SUM(J115:Q115)),0)</f>
        <v>0</v>
      </c>
      <c r="U115" s="64">
        <f>IF(AND(AND(B115="Autumn",SUM(D112:E115)&gt;Variables!$B$27),SUM(J115:Q115)&lt;Variables!$B$28*H114),$F$1*(Variables!$B$28*H114-SUM(J115:Q115)),0)</f>
        <v>0</v>
      </c>
      <c r="V115" s="96">
        <f>IF(AND((J115+K115)=0,(Q115+T115)=0),$H$1*H115*Variables!$I$23*0.25,0)</f>
        <v>36.966417960460959</v>
      </c>
      <c r="W115" s="97">
        <f>IF(AND((K115+J115)=0,(T115+Q115)=0),$I$1*H115*Variables!$Q$23*0.25,0)</f>
        <v>38.694061804187704</v>
      </c>
      <c r="X115" s="95">
        <f>IF(AND(NOT(K115=0),(H115-H114)&gt;0),(H115-H114)*(Variables!$M$5*$H$1+Variables!$U$5*$I$1),0)+IF(AND(NOT((J115+N115+Q115)=0),(H114-H115)&gt;0),(H114-H115)*(Variables!$M$4*$H$1+Variables!$U$4*$I$1),0)</f>
        <v>0</v>
      </c>
      <c r="Y115" s="95">
        <f>IF(SUM(T115,U114:U115)&gt;0,H115*Variables!$Y$11*0.25*(1-$J$1),0)</f>
        <v>0</v>
      </c>
      <c r="Z115" s="95">
        <f>IF(T115=0,H115*$J$1*Variables!$Y$5*0.25,0)</f>
        <v>12.469115016904187</v>
      </c>
      <c r="AA115" s="95">
        <f t="shared" si="2"/>
        <v>88.129594781552854</v>
      </c>
      <c r="AB115" s="91">
        <f>AA115/Variables!$E$49</f>
        <v>14.214450771218202</v>
      </c>
    </row>
    <row r="116" spans="1:28" x14ac:dyDescent="0.25">
      <c r="A116" s="61">
        <f>'Water runs'!C123</f>
        <v>12570</v>
      </c>
      <c r="B116" s="61" t="str">
        <f>'Water runs'!B123</f>
        <v>Autumn</v>
      </c>
      <c r="C116" s="54">
        <f>'Water runs'!D123/100</f>
        <v>0</v>
      </c>
      <c r="D116" s="108">
        <f>VLOOKUP(ROW(D116)+4,'Water runs'!$BS$3:$CF$423,MATCH($B$1,Scenarios,0)+1)</f>
        <v>0</v>
      </c>
      <c r="E116" s="54">
        <f>IF(B116=Variables!$D$8,C116-Variables!$E$8,IF(B116=Variables!$D$9,C116-Variables!$E$9,IF(B116=Variables!$D$10,C116-Variables!$E$10,IF(B116=Variables!$D$11,C116-Variables!$E$11,"ELSE"))))</f>
        <v>-0.99464329931972784</v>
      </c>
      <c r="F116" s="108">
        <f>VLOOKUP(ROW(F116)+4,'Water runs'!$CH$3:$CU$423,MATCH($B$1,Scenarios,0)+1)</f>
        <v>0</v>
      </c>
      <c r="G116" s="65">
        <f>H116/Variables!$E$49</f>
        <v>0.30940732051871428</v>
      </c>
      <c r="H116" s="62">
        <f>IF((H115+I116)&gt;(1.1*Variables!$E$50),(1.1*Variables!$E$50),IF((H115+I116)&gt;0,H115+I116,0))</f>
        <v>1.9183253872160286</v>
      </c>
      <c r="I116" s="64">
        <f t="shared" si="3"/>
        <v>0</v>
      </c>
      <c r="J116" s="63">
        <f>IF(SUM(E112:E115)&lt;Variables!$B$3,-H115,0)</f>
        <v>0</v>
      </c>
      <c r="K116" s="64">
        <f>IF(AND(H115&lt;Variables!$B$6*Variables!$E$50,OR(SUM(D113:D116)&gt;Variables!$B$5,SUM(E113:E116)&gt;Variables!$B$4)),Variables!$B$6*Variables!$E$50+Variables!$B$7*$G$1*Variables!$E$50*SUM(D113:D116),0)</f>
        <v>0</v>
      </c>
      <c r="L116" s="64">
        <f>IF(B116="Winter",Variables!$B$8*H115,0)</f>
        <v>0</v>
      </c>
      <c r="M116" s="64">
        <f>IF(AND(B116="Spring",AND(NOT(H115=0),H115&lt;(Variables!$B$9*Variables!$E$50))),(Variables!$B$10*Variables!$E$50+Variables!$B$11*Variables!$E$50*SUM(E113:E116)+$G$1*SUM(D115:D116)*Variables!$E$50*Variables!$B$12),0)</f>
        <v>0</v>
      </c>
      <c r="N116" s="64">
        <f>IF(AND(B116="Spring",AND(SUM(D113:D116)&gt;Variables!$B$13,SUM(D109:D112)&gt;Variables!$B$13)),-Variables!$B$14*Variables!$E$50,0)</f>
        <v>0</v>
      </c>
      <c r="O116" s="64">
        <f>IF(AND(B116="Summer",SUM(C112:D116)&gt;Variables!$B$15),(Variables!$B$16*Variables!$E$50*SUM(C112:C116)+$G$1*Variables!$B$16*Variables!$E$50*SUM(D112:D116)+$G$1*Variables!$E$50*Variables!$B$17*F116),0)</f>
        <v>0</v>
      </c>
      <c r="P116" s="64">
        <f>IF(AND(AND(B116="Autumn",SUM(D115:E116)&gt;0),NOT(H115=0)),Variables!$B$18*Variables!$E$50+Variables!$B$19*Variables!$E$50*SUM(E115:E116)+$G$1*Variables!$B$19*Variables!$E$50*SUM(D115:D116),0)</f>
        <v>0</v>
      </c>
      <c r="Q116" s="64">
        <f>IF(AND(B116="Autumn",AND((E116+E115)&lt;Variables!$B$20,(D115+D116)=0)),-Variables!$B$21*Variables!$E$50,0)</f>
        <v>0</v>
      </c>
      <c r="R116" s="64">
        <f>IF(B116="Autumn",(SUM(F115:F116)*$G$1*Variables!$B$22*Variables!$E$50),0)</f>
        <v>0</v>
      </c>
      <c r="S116" s="64">
        <f>IF(B116="Spring",($G$1*Variables!$E$50*SUM('Guts (option 1)'!F115:F116)*Variables!$B$23),0)</f>
        <v>0</v>
      </c>
      <c r="T116" s="63">
        <f>IF((H115+SUM(J116:Q116))&lt;(Variables!$B$26*Variables!$E$50),$F$1*((Variables!$B$26*Variables!$E$50)-H115-SUM(J116:Q116)),0)</f>
        <v>0</v>
      </c>
      <c r="U116" s="64">
        <f>IF(AND(AND(B116="Autumn",SUM(D113:E116)&gt;Variables!$B$27),SUM(J116:Q116)&lt;Variables!$B$28*H115),$F$1*(Variables!$B$28*H115-SUM(J116:Q116)),0)</f>
        <v>0</v>
      </c>
      <c r="V116" s="96">
        <f>IF(AND((J116+K116)=0,(Q116+T116)=0),$H$1*H116*Variables!$I$23*0.25,0)</f>
        <v>36.966417960460959</v>
      </c>
      <c r="W116" s="97">
        <f>IF(AND((K116+J116)=0,(T116+Q116)=0),$I$1*H116*Variables!$Q$23*0.25,0)</f>
        <v>38.694061804187704</v>
      </c>
      <c r="X116" s="95">
        <f>IF(AND(NOT(K116=0),(H116-H115)&gt;0),(H116-H115)*(Variables!$M$5*$H$1+Variables!$U$5*$I$1),0)+IF(AND(NOT((J116+N116+Q116)=0),(H115-H116)&gt;0),(H115-H116)*(Variables!$M$4*$H$1+Variables!$U$4*$I$1),0)</f>
        <v>0</v>
      </c>
      <c r="Y116" s="95">
        <f>IF(SUM(T116,U115:U116)&gt;0,H116*Variables!$Y$11*0.25*(1-$J$1),0)</f>
        <v>0</v>
      </c>
      <c r="Z116" s="95">
        <f>IF(T116=0,H116*$J$1*Variables!$Y$5*0.25,0)</f>
        <v>12.469115016904187</v>
      </c>
      <c r="AA116" s="95">
        <f t="shared" si="2"/>
        <v>88.129594781552854</v>
      </c>
      <c r="AB116" s="91">
        <f>AA116/Variables!$E$49</f>
        <v>14.214450771218202</v>
      </c>
    </row>
    <row r="117" spans="1:28" x14ac:dyDescent="0.25">
      <c r="A117" s="61">
        <f>'Water runs'!C124</f>
        <v>12662</v>
      </c>
      <c r="B117" s="61" t="str">
        <f>'Water runs'!B124</f>
        <v>Winter</v>
      </c>
      <c r="C117" s="54">
        <f>'Water runs'!D124/100</f>
        <v>0.67390000000000005</v>
      </c>
      <c r="D117" s="108">
        <f>VLOOKUP(ROW(D117)+4,'Water runs'!$BS$3:$CF$423,MATCH($B$1,Scenarios,0)+1)</f>
        <v>0</v>
      </c>
      <c r="E117" s="54">
        <f>IF(B117=Variables!$D$8,C117-Variables!$E$8,IF(B117=Variables!$D$9,C117-Variables!$E$9,IF(B117=Variables!$D$10,C117-Variables!$E$10,IF(B117=Variables!$D$11,C117-Variables!$E$11,"ELSE"))))</f>
        <v>0.10213237433862432</v>
      </c>
      <c r="F117" s="108">
        <f>VLOOKUP(ROW(F117)+4,'Water runs'!$CH$3:$CU$423,MATCH($B$1,Scenarios,0)+1)</f>
        <v>0</v>
      </c>
      <c r="G117" s="65">
        <f>H117/Variables!$E$49</f>
        <v>0.161</v>
      </c>
      <c r="H117" s="62">
        <f>IF((H116+I117)&gt;(1.1*Variables!$E$50),(1.1*Variables!$E$50),IF((H116+I117)&gt;0,H116+I117,0))</f>
        <v>0.99820000000000009</v>
      </c>
      <c r="I117" s="64">
        <f t="shared" si="3"/>
        <v>-0.92012538721602855</v>
      </c>
      <c r="J117" s="63">
        <f>IF(SUM(E113:E116)&lt;Variables!$B$3,-H116,0)</f>
        <v>0</v>
      </c>
      <c r="K117" s="64">
        <f>IF(AND(H116&lt;Variables!$B$6*Variables!$E$50,OR(SUM(D114:D117)&gt;Variables!$B$5,SUM(E114:E117)&gt;Variables!$B$4)),Variables!$B$6*Variables!$E$50+Variables!$B$7*$G$1*Variables!$E$50*SUM(D114:D117),0)</f>
        <v>0</v>
      </c>
      <c r="L117" s="64">
        <f>IF(B117="Winter",Variables!$B$8*H116,0)</f>
        <v>-0.95522100748828564</v>
      </c>
      <c r="M117" s="64">
        <f>IF(AND(B117="Spring",AND(NOT(H116=0),H116&lt;(Variables!$B$9*Variables!$E$50))),(Variables!$B$10*Variables!$E$50+Variables!$B$11*Variables!$E$50*SUM(E114:E117)+$G$1*SUM(D116:D117)*Variables!$E$50*Variables!$B$12),0)</f>
        <v>0</v>
      </c>
      <c r="N117" s="64">
        <f>IF(AND(B117="Spring",AND(SUM(D114:D117)&gt;Variables!$B$13,SUM(D110:D113)&gt;Variables!$B$13)),-Variables!$B$14*Variables!$E$50,0)</f>
        <v>0</v>
      </c>
      <c r="O117" s="64">
        <f>IF(AND(B117="Summer",SUM(C113:D117)&gt;Variables!$B$15),(Variables!$B$16*Variables!$E$50*SUM(C113:C117)+$G$1*Variables!$B$16*Variables!$E$50*SUM(D113:D117)+$G$1*Variables!$E$50*Variables!$B$17*F117),0)</f>
        <v>0</v>
      </c>
      <c r="P117" s="64">
        <f>IF(AND(AND(B117="Autumn",SUM(D116:E117)&gt;0),NOT(H116=0)),Variables!$B$18*Variables!$E$50+Variables!$B$19*Variables!$E$50*SUM(E116:E117)+$G$1*Variables!$B$19*Variables!$E$50*SUM(D116:D117),0)</f>
        <v>0</v>
      </c>
      <c r="Q117" s="64">
        <f>IF(AND(B117="Autumn",AND((E117+E116)&lt;Variables!$B$20,(D116+D117)=0)),-Variables!$B$21*Variables!$E$50,0)</f>
        <v>0</v>
      </c>
      <c r="R117" s="64">
        <f>IF(B117="Autumn",(SUM(F116:F117)*$G$1*Variables!$B$22*Variables!$E$50),0)</f>
        <v>0</v>
      </c>
      <c r="S117" s="64">
        <f>IF(B117="Spring",($G$1*Variables!$E$50*SUM('Guts (option 1)'!F116:F117)*Variables!$B$23),0)</f>
        <v>0</v>
      </c>
      <c r="T117" s="63">
        <f>IF((H116+SUM(J117:Q117))&lt;(Variables!$B$26*Variables!$E$50),$F$1*((Variables!$B$26*Variables!$E$50)-H116-SUM(J117:Q117)),0)</f>
        <v>3.50956202722571E-2</v>
      </c>
      <c r="U117" s="64">
        <f>IF(AND(AND(B117="Autumn",SUM(D114:E117)&gt;Variables!$B$27),SUM(J117:Q117)&lt;Variables!$B$28*H116),$F$1*(Variables!$B$28*H116-SUM(J117:Q117)),0)</f>
        <v>0</v>
      </c>
      <c r="V117" s="96">
        <f>IF(AND((J117+K117)=0,(Q117+T117)=0),$H$1*H117*Variables!$I$23*0.25,0)</f>
        <v>0</v>
      </c>
      <c r="W117" s="97">
        <f>IF(AND((K117+J117)=0,(T117+Q117)=0),$I$1*H117*Variables!$Q$23*0.25,0)</f>
        <v>0</v>
      </c>
      <c r="X117" s="95">
        <f>IF(AND(NOT(K117=0),(H117-H116)&gt;0),(H117-H116)*(Variables!$M$5*$H$1+Variables!$U$5*$I$1),0)+IF(AND(NOT((J117+N117+Q117)=0),(H116-H117)&gt;0),(H116-H117)*(Variables!$M$4*$H$1+Variables!$U$4*$I$1),0)</f>
        <v>0</v>
      </c>
      <c r="Y117" s="95">
        <f>IF(SUM(T117,U116:U117)&gt;0,H117*Variables!$Y$11*0.25*(1-$J$1),0)</f>
        <v>0</v>
      </c>
      <c r="Z117" s="95">
        <f>IF(T117=0,H117*$J$1*Variables!$Y$5*0.25,0)</f>
        <v>0</v>
      </c>
      <c r="AA117" s="95">
        <f t="shared" si="2"/>
        <v>0</v>
      </c>
      <c r="AB117" s="91">
        <f>AA117/Variables!$E$49</f>
        <v>0</v>
      </c>
    </row>
    <row r="118" spans="1:28" x14ac:dyDescent="0.25">
      <c r="A118" s="61">
        <f>'Water runs'!C125</f>
        <v>12753</v>
      </c>
      <c r="B118" s="61" t="str">
        <f>'Water runs'!B125</f>
        <v>Spring</v>
      </c>
      <c r="C118" s="54">
        <f>'Water runs'!D125/100</f>
        <v>1.6743999999999999</v>
      </c>
      <c r="D118" s="108">
        <f>VLOOKUP(ROW(D118)+4,'Water runs'!$BS$3:$CF$423,MATCH($B$1,Scenarios,0)+1)</f>
        <v>0</v>
      </c>
      <c r="E118" s="54">
        <f>IF(B118=Variables!$D$8,C118-Variables!$E$8,IF(B118=Variables!$D$9,C118-Variables!$E$9,IF(B118=Variables!$D$10,C118-Variables!$E$10,IF(B118=Variables!$D$11,C118-Variables!$E$11,"ELSE"))))</f>
        <v>0.91041779100529074</v>
      </c>
      <c r="F118" s="108">
        <f>VLOOKUP(ROW(F118)+4,'Water runs'!$CH$3:$CU$423,MATCH($B$1,Scenarios,0)+1)</f>
        <v>0</v>
      </c>
      <c r="G118" s="65">
        <f>H118/Variables!$E$49</f>
        <v>0.38048281057076505</v>
      </c>
      <c r="H118" s="62">
        <f>IF((H117+I118)&gt;(1.1*Variables!$E$50),(1.1*Variables!$E$50),IF((H117+I118)&gt;0,H117+I118,0))</f>
        <v>2.3589934255387432</v>
      </c>
      <c r="I118" s="64">
        <f t="shared" si="3"/>
        <v>1.3607934255387433</v>
      </c>
      <c r="J118" s="63">
        <f>IF(SUM(E114:E117)&lt;Variables!$B$3,-H117,0)</f>
        <v>0</v>
      </c>
      <c r="K118" s="64">
        <f>IF(AND(H117&lt;Variables!$B$6*Variables!$E$50,OR(SUM(D115:D118)&gt;Variables!$B$5,SUM(E115:E118)&gt;Variables!$B$4)),Variables!$B$6*Variables!$E$50+Variables!$B$7*$G$1*Variables!$E$50*SUM(D115:D118),0)</f>
        <v>1.1409898040783897</v>
      </c>
      <c r="L118" s="64">
        <f>IF(B118="Winter",Variables!$B$8*H117,0)</f>
        <v>0</v>
      </c>
      <c r="M118" s="64">
        <f>IF(AND(B118="Spring",AND(NOT(H117=0),H117&lt;(Variables!$B$9*Variables!$E$50))),(Variables!$B$10*Variables!$E$50+Variables!$B$11*Variables!$E$50*SUM(E115:E118)+$G$1*SUM(D117:D118)*Variables!$E$50*Variables!$B$12),0)</f>
        <v>0.21980362146035359</v>
      </c>
      <c r="N118" s="64">
        <f>IF(AND(B118="Spring",AND(SUM(D115:D118)&gt;Variables!$B$13,SUM(D111:D114)&gt;Variables!$B$13)),-Variables!$B$14*Variables!$E$50,0)</f>
        <v>0</v>
      </c>
      <c r="O118" s="64">
        <f>IF(AND(B118="Summer",SUM(C114:D118)&gt;Variables!$B$15),(Variables!$B$16*Variables!$E$50*SUM(C114:C118)+$G$1*Variables!$B$16*Variables!$E$50*SUM(D114:D118)+$G$1*Variables!$E$50*Variables!$B$17*F118),0)</f>
        <v>0</v>
      </c>
      <c r="P118" s="64">
        <f>IF(AND(AND(B118="Autumn",SUM(D117:E118)&gt;0),NOT(H117=0)),Variables!$B$18*Variables!$E$50+Variables!$B$19*Variables!$E$50*SUM(E117:E118)+$G$1*Variables!$B$19*Variables!$E$50*SUM(D117:D118),0)</f>
        <v>0</v>
      </c>
      <c r="Q118" s="64">
        <f>IF(AND(B118="Autumn",AND((E118+E117)&lt;Variables!$B$20,(D117+D118)=0)),-Variables!$B$21*Variables!$E$50,0)</f>
        <v>0</v>
      </c>
      <c r="R118" s="64">
        <f>IF(B118="Autumn",(SUM(F117:F118)*$G$1*Variables!$B$22*Variables!$E$50),0)</f>
        <v>0</v>
      </c>
      <c r="S118" s="64">
        <f>IF(B118="Spring",($G$1*Variables!$E$50*SUM('Guts (option 1)'!F117:F118)*Variables!$B$23),0)</f>
        <v>0</v>
      </c>
      <c r="T118" s="63">
        <f>IF((H117+SUM(J118:Q118))&lt;(Variables!$B$26*Variables!$E$50),$F$1*((Variables!$B$26*Variables!$E$50)-H117-SUM(J118:Q118)),0)</f>
        <v>0</v>
      </c>
      <c r="U118" s="64">
        <f>IF(AND(AND(B118="Autumn",SUM(D115:E118)&gt;Variables!$B$27),SUM(J118:Q118)&lt;Variables!$B$28*H117),$F$1*(Variables!$B$28*H117-SUM(J118:Q118)),0)</f>
        <v>0</v>
      </c>
      <c r="V118" s="96">
        <f>IF(AND((J118+K118)=0,(Q118+T118)=0),$H$1*H118*Variables!$I$23*0.25,0)</f>
        <v>0</v>
      </c>
      <c r="W118" s="97">
        <f>IF(AND((K118+J118)=0,(T118+Q118)=0),$I$1*H118*Variables!$Q$23*0.25,0)</f>
        <v>0</v>
      </c>
      <c r="X118" s="95">
        <f>IF(AND(NOT(K118=0),(H118-H117)&gt;0),(H118-H117)*(Variables!$M$5*$H$1+Variables!$U$5*$I$1),0)+IF(AND(NOT((J118+N118+Q118)=0),(H117-H118)&gt;0),(H117-H118)*(Variables!$M$4*$H$1+Variables!$U$4*$I$1),0)</f>
        <v>-340.19835638468578</v>
      </c>
      <c r="Y118" s="95">
        <f>IF(SUM(T118,U117:U118)&gt;0,H118*Variables!$Y$11*0.25*(1-$J$1),0)</f>
        <v>0</v>
      </c>
      <c r="Z118" s="95">
        <f>IF(T118=0,H118*$J$1*Variables!$Y$5*0.25,0)</f>
        <v>15.333457266001831</v>
      </c>
      <c r="AA118" s="95">
        <f t="shared" si="2"/>
        <v>-324.86489911868392</v>
      </c>
      <c r="AB118" s="91">
        <f>AA118/Variables!$E$49</f>
        <v>-52.397564373981275</v>
      </c>
    </row>
    <row r="119" spans="1:28" x14ac:dyDescent="0.25">
      <c r="A119" s="61">
        <f>'Water runs'!C126</f>
        <v>12843</v>
      </c>
      <c r="B119" s="61" t="str">
        <f>'Water runs'!B126</f>
        <v>Summer</v>
      </c>
      <c r="C119" s="54">
        <f>'Water runs'!D126/100</f>
        <v>0.32122857142857097</v>
      </c>
      <c r="D119" s="108">
        <f>VLOOKUP(ROW(D119)+4,'Water runs'!$BS$3:$CF$423,MATCH($B$1,Scenarios,0)+1)</f>
        <v>8.2524010483060045E-3</v>
      </c>
      <c r="E119" s="54">
        <f>IF(B119=Variables!$D$8,C119-Variables!$E$8,IF(B119=Variables!$D$9,C119-Variables!$E$9,IF(B119=Variables!$D$10,C119-Variables!$E$10,IF(B119=Variables!$D$11,C119-Variables!$E$11,"ELSE"))))</f>
        <v>-0.93714156462585074</v>
      </c>
      <c r="F119" s="108">
        <f>VLOOKUP(ROW(F119)+4,'Water runs'!$CH$3:$CU$423,MATCH($B$1,Scenarios,0)+1)</f>
        <v>0</v>
      </c>
      <c r="G119" s="65">
        <f>H119/Variables!$E$49</f>
        <v>0.38048281057076505</v>
      </c>
      <c r="H119" s="62">
        <f>IF((H118+I119)&gt;(1.1*Variables!$E$50),(1.1*Variables!$E$50),IF((H118+I119)&gt;0,H118+I119,0))</f>
        <v>2.3589934255387432</v>
      </c>
      <c r="I119" s="64">
        <f t="shared" si="3"/>
        <v>0</v>
      </c>
      <c r="J119" s="63">
        <f>IF(SUM(E115:E118)&lt;Variables!$B$3,-H118,0)</f>
        <v>0</v>
      </c>
      <c r="K119" s="64">
        <f>IF(AND(H118&lt;Variables!$B$6*Variables!$E$50,OR(SUM(D116:D119)&gt;Variables!$B$5,SUM(E116:E119)&gt;Variables!$B$4)),Variables!$B$6*Variables!$E$50+Variables!$B$7*$G$1*Variables!$E$50*SUM(D116:D119),0)</f>
        <v>0</v>
      </c>
      <c r="L119" s="64">
        <f>IF(B119="Winter",Variables!$B$8*H118,0)</f>
        <v>0</v>
      </c>
      <c r="M119" s="64">
        <f>IF(AND(B119="Spring",AND(NOT(H118=0),H118&lt;(Variables!$B$9*Variables!$E$50))),(Variables!$B$10*Variables!$E$50+Variables!$B$11*Variables!$E$50*SUM(E116:E119)+$G$1*SUM(D118:D119)*Variables!$E$50*Variables!$B$12),0)</f>
        <v>0</v>
      </c>
      <c r="N119" s="64">
        <f>IF(AND(B119="Spring",AND(SUM(D116:D119)&gt;Variables!$B$13,SUM(D112:D115)&gt;Variables!$B$13)),-Variables!$B$14*Variables!$E$50,0)</f>
        <v>0</v>
      </c>
      <c r="O119" s="64">
        <f>IF(AND(B119="Summer",SUM(C115:D119)&gt;Variables!$B$15),(Variables!$B$16*Variables!$E$50*SUM(C115:C119)+$G$1*Variables!$B$16*Variables!$E$50*SUM(D115:D119)+$G$1*Variables!$E$50*Variables!$B$17*F119),0)</f>
        <v>0</v>
      </c>
      <c r="P119" s="64">
        <f>IF(AND(AND(B119="Autumn",SUM(D118:E119)&gt;0),NOT(H118=0)),Variables!$B$18*Variables!$E$50+Variables!$B$19*Variables!$E$50*SUM(E118:E119)+$G$1*Variables!$B$19*Variables!$E$50*SUM(D118:D119),0)</f>
        <v>0</v>
      </c>
      <c r="Q119" s="64">
        <f>IF(AND(B119="Autumn",AND((E119+E118)&lt;Variables!$B$20,(D118+D119)=0)),-Variables!$B$21*Variables!$E$50,0)</f>
        <v>0</v>
      </c>
      <c r="R119" s="64">
        <f>IF(B119="Autumn",(SUM(F118:F119)*$G$1*Variables!$B$22*Variables!$E$50),0)</f>
        <v>0</v>
      </c>
      <c r="S119" s="64">
        <f>IF(B119="Spring",($G$1*Variables!$E$50*SUM('Guts (option 1)'!F118:F119)*Variables!$B$23),0)</f>
        <v>0</v>
      </c>
      <c r="T119" s="63">
        <f>IF((H118+SUM(J119:Q119))&lt;(Variables!$B$26*Variables!$E$50),$F$1*((Variables!$B$26*Variables!$E$50)-H118-SUM(J119:Q119)),0)</f>
        <v>0</v>
      </c>
      <c r="U119" s="64">
        <f>IF(AND(AND(B119="Autumn",SUM(D116:E119)&gt;Variables!$B$27),SUM(J119:Q119)&lt;Variables!$B$28*H118),$F$1*(Variables!$B$28*H118-SUM(J119:Q119)),0)</f>
        <v>0</v>
      </c>
      <c r="V119" s="96">
        <f>IF(AND((J119+K119)=0,(Q119+T119)=0),$H$1*H119*Variables!$I$23*0.25,0)</f>
        <v>45.458157159145415</v>
      </c>
      <c r="W119" s="97">
        <f>IF(AND((K119+J119)=0,(T119+Q119)=0),$I$1*H119*Variables!$Q$23*0.25,0)</f>
        <v>47.5826666381856</v>
      </c>
      <c r="X119" s="95">
        <f>IF(AND(NOT(K119=0),(H119-H118)&gt;0),(H119-H118)*(Variables!$M$5*$H$1+Variables!$U$5*$I$1),0)+IF(AND(NOT((J119+N119+Q119)=0),(H118-H119)&gt;0),(H118-H119)*(Variables!$M$4*$H$1+Variables!$U$4*$I$1),0)</f>
        <v>0</v>
      </c>
      <c r="Y119" s="95">
        <f>IF(SUM(T119,U118:U119)&gt;0,H119*Variables!$Y$11*0.25*(1-$J$1),0)</f>
        <v>0</v>
      </c>
      <c r="Z119" s="95">
        <f>IF(T119=0,H119*$J$1*Variables!$Y$5*0.25,0)</f>
        <v>15.333457266001831</v>
      </c>
      <c r="AA119" s="95">
        <f t="shared" si="2"/>
        <v>108.37428106333284</v>
      </c>
      <c r="AB119" s="91">
        <f>AA119/Variables!$E$49</f>
        <v>17.479722752150458</v>
      </c>
    </row>
    <row r="120" spans="1:28" x14ac:dyDescent="0.25">
      <c r="A120" s="61">
        <f>'Water runs'!C127</f>
        <v>12935</v>
      </c>
      <c r="B120" s="61" t="str">
        <f>'Water runs'!B127</f>
        <v>Autumn</v>
      </c>
      <c r="C120" s="54">
        <f>'Water runs'!D127/100</f>
        <v>0</v>
      </c>
      <c r="D120" s="108">
        <f>VLOOKUP(ROW(D120)+4,'Water runs'!$BS$3:$CF$423,MATCH($B$1,Scenarios,0)+1)</f>
        <v>0</v>
      </c>
      <c r="E120" s="54">
        <f>IF(B120=Variables!$D$8,C120-Variables!$E$8,IF(B120=Variables!$D$9,C120-Variables!$E$9,IF(B120=Variables!$D$10,C120-Variables!$E$10,IF(B120=Variables!$D$11,C120-Variables!$E$11,"ELSE"))))</f>
        <v>-0.99464329931972784</v>
      </c>
      <c r="F120" s="108">
        <f>VLOOKUP(ROW(F120)+4,'Water runs'!$CH$3:$CU$423,MATCH($B$1,Scenarios,0)+1)</f>
        <v>0</v>
      </c>
      <c r="G120" s="65">
        <f>H120/Variables!$E$49</f>
        <v>0.38048281057076505</v>
      </c>
      <c r="H120" s="62">
        <f>IF((H119+I120)&gt;(1.1*Variables!$E$50),(1.1*Variables!$E$50),IF((H119+I120)&gt;0,H119+I120,0))</f>
        <v>2.3589934255387432</v>
      </c>
      <c r="I120" s="64">
        <f t="shared" si="3"/>
        <v>0</v>
      </c>
      <c r="J120" s="63">
        <f>IF(SUM(E116:E119)&lt;Variables!$B$3,-H119,0)</f>
        <v>0</v>
      </c>
      <c r="K120" s="64">
        <f>IF(AND(H119&lt;Variables!$B$6*Variables!$E$50,OR(SUM(D117:D120)&gt;Variables!$B$5,SUM(E117:E120)&gt;Variables!$B$4)),Variables!$B$6*Variables!$E$50+Variables!$B$7*$G$1*Variables!$E$50*SUM(D117:D120),0)</f>
        <v>0</v>
      </c>
      <c r="L120" s="64">
        <f>IF(B120="Winter",Variables!$B$8*H119,0)</f>
        <v>0</v>
      </c>
      <c r="M120" s="64">
        <f>IF(AND(B120="Spring",AND(NOT(H119=0),H119&lt;(Variables!$B$9*Variables!$E$50))),(Variables!$B$10*Variables!$E$50+Variables!$B$11*Variables!$E$50*SUM(E117:E120)+$G$1*SUM(D119:D120)*Variables!$E$50*Variables!$B$12),0)</f>
        <v>0</v>
      </c>
      <c r="N120" s="64">
        <f>IF(AND(B120="Spring",AND(SUM(D117:D120)&gt;Variables!$B$13,SUM(D113:D116)&gt;Variables!$B$13)),-Variables!$B$14*Variables!$E$50,0)</f>
        <v>0</v>
      </c>
      <c r="O120" s="64">
        <f>IF(AND(B120="Summer",SUM(C116:D120)&gt;Variables!$B$15),(Variables!$B$16*Variables!$E$50*SUM(C116:C120)+$G$1*Variables!$B$16*Variables!$E$50*SUM(D116:D120)+$G$1*Variables!$E$50*Variables!$B$17*F120),0)</f>
        <v>0</v>
      </c>
      <c r="P120" s="64">
        <f>IF(AND(AND(B120="Autumn",SUM(D119:E120)&gt;0),NOT(H119=0)),Variables!$B$18*Variables!$E$50+Variables!$B$19*Variables!$E$50*SUM(E119:E120)+$G$1*Variables!$B$19*Variables!$E$50*SUM(D119:D120),0)</f>
        <v>0</v>
      </c>
      <c r="Q120" s="64">
        <f>IF(AND(B120="Autumn",AND((E120+E119)&lt;Variables!$B$20,(D119+D120)=0)),-Variables!$B$21*Variables!$E$50,0)</f>
        <v>0</v>
      </c>
      <c r="R120" s="64">
        <f>IF(B120="Autumn",(SUM(F119:F120)*$G$1*Variables!$B$22*Variables!$E$50),0)</f>
        <v>0</v>
      </c>
      <c r="S120" s="64">
        <f>IF(B120="Spring",($G$1*Variables!$E$50*SUM('Guts (option 1)'!F119:F120)*Variables!$B$23),0)</f>
        <v>0</v>
      </c>
      <c r="T120" s="63">
        <f>IF((H119+SUM(J120:Q120))&lt;(Variables!$B$26*Variables!$E$50),$F$1*((Variables!$B$26*Variables!$E$50)-H119-SUM(J120:Q120)),0)</f>
        <v>0</v>
      </c>
      <c r="U120" s="64">
        <f>IF(AND(AND(B120="Autumn",SUM(D117:E120)&gt;Variables!$B$27),SUM(J120:Q120)&lt;Variables!$B$28*H119),$F$1*(Variables!$B$28*H119-SUM(J120:Q120)),0)</f>
        <v>0</v>
      </c>
      <c r="V120" s="96">
        <f>IF(AND((J120+K120)=0,(Q120+T120)=0),$H$1*H120*Variables!$I$23*0.25,0)</f>
        <v>45.458157159145415</v>
      </c>
      <c r="W120" s="97">
        <f>IF(AND((K120+J120)=0,(T120+Q120)=0),$I$1*H120*Variables!$Q$23*0.25,0)</f>
        <v>47.5826666381856</v>
      </c>
      <c r="X120" s="95">
        <f>IF(AND(NOT(K120=0),(H120-H119)&gt;0),(H120-H119)*(Variables!$M$5*$H$1+Variables!$U$5*$I$1),0)+IF(AND(NOT((J120+N120+Q120)=0),(H119-H120)&gt;0),(H119-H120)*(Variables!$M$4*$H$1+Variables!$U$4*$I$1),0)</f>
        <v>0</v>
      </c>
      <c r="Y120" s="95">
        <f>IF(SUM(T120,U119:U120)&gt;0,H120*Variables!$Y$11*0.25*(1-$J$1),0)</f>
        <v>0</v>
      </c>
      <c r="Z120" s="95">
        <f>IF(T120=0,H120*$J$1*Variables!$Y$5*0.25,0)</f>
        <v>15.333457266001831</v>
      </c>
      <c r="AA120" s="95">
        <f t="shared" si="2"/>
        <v>108.37428106333284</v>
      </c>
      <c r="AB120" s="91">
        <f>AA120/Variables!$E$49</f>
        <v>17.479722752150458</v>
      </c>
    </row>
    <row r="121" spans="1:28" x14ac:dyDescent="0.25">
      <c r="A121" s="61">
        <f>'Water runs'!C128</f>
        <v>13027</v>
      </c>
      <c r="B121" s="61" t="str">
        <f>'Water runs'!B128</f>
        <v>Winter</v>
      </c>
      <c r="C121" s="54">
        <f>'Water runs'!D128/100</f>
        <v>0.28539999999999999</v>
      </c>
      <c r="D121" s="108">
        <f>VLOOKUP(ROW(D121)+4,'Water runs'!$BS$3:$CF$423,MATCH($B$1,Scenarios,0)+1)</f>
        <v>0</v>
      </c>
      <c r="E121" s="54">
        <f>IF(B121=Variables!$D$8,C121-Variables!$E$8,IF(B121=Variables!$D$9,C121-Variables!$E$9,IF(B121=Variables!$D$10,C121-Variables!$E$10,IF(B121=Variables!$D$11,C121-Variables!$E$11,"ELSE"))))</f>
        <v>-0.28636762566137575</v>
      </c>
      <c r="F121" s="108">
        <f>VLOOKUP(ROW(F121)+4,'Water runs'!$CH$3:$CU$423,MATCH($B$1,Scenarios,0)+1)</f>
        <v>0</v>
      </c>
      <c r="G121" s="65">
        <f>H121/Variables!$E$49</f>
        <v>0.1910232037348096</v>
      </c>
      <c r="H121" s="62">
        <f>IF((H120+I121)&gt;(1.1*Variables!$E$50),(1.1*Variables!$E$50),IF((H120+I121)&gt;0,H120+I121,0))</f>
        <v>1.1843438631558196</v>
      </c>
      <c r="I121" s="64">
        <f t="shared" si="3"/>
        <v>-1.1746495623829236</v>
      </c>
      <c r="J121" s="63">
        <f>IF(SUM(E117:E120)&lt;Variables!$B$3,-H120,0)</f>
        <v>0</v>
      </c>
      <c r="K121" s="64">
        <f>IF(AND(H120&lt;Variables!$B$6*Variables!$E$50,OR(SUM(D118:D121)&gt;Variables!$B$5,SUM(E118:E121)&gt;Variables!$B$4)),Variables!$B$6*Variables!$E$50+Variables!$B$7*$G$1*Variables!$E$50*SUM(D118:D121),0)</f>
        <v>0</v>
      </c>
      <c r="L121" s="64">
        <f>IF(B121="Winter",Variables!$B$8*H120,0)</f>
        <v>-1.1746495623829236</v>
      </c>
      <c r="M121" s="64">
        <f>IF(AND(B121="Spring",AND(NOT(H120=0),H120&lt;(Variables!$B$9*Variables!$E$50))),(Variables!$B$10*Variables!$E$50+Variables!$B$11*Variables!$E$50*SUM(E118:E121)+$G$1*SUM(D120:D121)*Variables!$E$50*Variables!$B$12),0)</f>
        <v>0</v>
      </c>
      <c r="N121" s="64">
        <f>IF(AND(B121="Spring",AND(SUM(D118:D121)&gt;Variables!$B$13,SUM(D114:D117)&gt;Variables!$B$13)),-Variables!$B$14*Variables!$E$50,0)</f>
        <v>0</v>
      </c>
      <c r="O121" s="64">
        <f>IF(AND(B121="Summer",SUM(C117:D121)&gt;Variables!$B$15),(Variables!$B$16*Variables!$E$50*SUM(C117:C121)+$G$1*Variables!$B$16*Variables!$E$50*SUM(D117:D121)+$G$1*Variables!$E$50*Variables!$B$17*F121),0)</f>
        <v>0</v>
      </c>
      <c r="P121" s="64">
        <f>IF(AND(AND(B121="Autumn",SUM(D120:E121)&gt;0),NOT(H120=0)),Variables!$B$18*Variables!$E$50+Variables!$B$19*Variables!$E$50*SUM(E120:E121)+$G$1*Variables!$B$19*Variables!$E$50*SUM(D120:D121),0)</f>
        <v>0</v>
      </c>
      <c r="Q121" s="64">
        <f>IF(AND(B121="Autumn",AND((E121+E120)&lt;Variables!$B$20,(D120+D121)=0)),-Variables!$B$21*Variables!$E$50,0)</f>
        <v>0</v>
      </c>
      <c r="R121" s="64">
        <f>IF(B121="Autumn",(SUM(F120:F121)*$G$1*Variables!$B$22*Variables!$E$50),0)</f>
        <v>0</v>
      </c>
      <c r="S121" s="64">
        <f>IF(B121="Spring",($G$1*Variables!$E$50*SUM('Guts (option 1)'!F120:F121)*Variables!$B$23),0)</f>
        <v>0</v>
      </c>
      <c r="T121" s="63">
        <f>IF((H120+SUM(J121:Q121))&lt;(Variables!$B$26*Variables!$E$50),$F$1*((Variables!$B$26*Variables!$E$50)-H120-SUM(J121:Q121)),0)</f>
        <v>0</v>
      </c>
      <c r="U121" s="64">
        <f>IF(AND(AND(B121="Autumn",SUM(D118:E121)&gt;Variables!$B$27),SUM(J121:Q121)&lt;Variables!$B$28*H120),$F$1*(Variables!$B$28*H120-SUM(J121:Q121)),0)</f>
        <v>0</v>
      </c>
      <c r="V121" s="96">
        <f>IF(AND((J121+K121)=0,(Q121+T121)=0),$H$1*H121*Variables!$I$23*0.25,0)</f>
        <v>22.822483894592118</v>
      </c>
      <c r="W121" s="97">
        <f>IF(AND((K121+J121)=0,(T121+Q121)=0),$I$1*H121*Variables!$Q$23*0.25,0)</f>
        <v>23.889103977750246</v>
      </c>
      <c r="X121" s="95">
        <f>IF(AND(NOT(K121=0),(H121-H120)&gt;0),(H121-H120)*(Variables!$M$5*$H$1+Variables!$U$5*$I$1),0)+IF(AND(NOT((J121+N121+Q121)=0),(H120-H121)&gt;0),(H120-H121)*(Variables!$M$4*$H$1+Variables!$U$4*$I$1),0)</f>
        <v>0</v>
      </c>
      <c r="Y121" s="95">
        <f>IF(SUM(T121,U120:U121)&gt;0,H121*Variables!$Y$11*0.25*(1-$J$1),0)</f>
        <v>0</v>
      </c>
      <c r="Z121" s="95">
        <f>IF(T121=0,H121*$J$1*Variables!$Y$5*0.25,0)</f>
        <v>7.6982351105128277</v>
      </c>
      <c r="AA121" s="95">
        <f t="shared" si="2"/>
        <v>54.409822982855189</v>
      </c>
      <c r="AB121" s="91">
        <f>AA121/Variables!$E$49</f>
        <v>8.7757779004605148</v>
      </c>
    </row>
    <row r="122" spans="1:28" x14ac:dyDescent="0.25">
      <c r="A122" s="61">
        <f>'Water runs'!C129</f>
        <v>13118</v>
      </c>
      <c r="B122" s="61" t="str">
        <f>'Water runs'!B129</f>
        <v>Spring</v>
      </c>
      <c r="C122" s="54">
        <f>'Water runs'!D129/100</f>
        <v>0.54520000000000002</v>
      </c>
      <c r="D122" s="108">
        <f>VLOOKUP(ROW(D122)+4,'Water runs'!$BS$3:$CF$423,MATCH($B$1,Scenarios,0)+1)</f>
        <v>0</v>
      </c>
      <c r="E122" s="54">
        <f>IF(B122=Variables!$D$8,C122-Variables!$E$8,IF(B122=Variables!$D$9,C122-Variables!$E$9,IF(B122=Variables!$D$10,C122-Variables!$E$10,IF(B122=Variables!$D$11,C122-Variables!$E$11,"ELSE"))))</f>
        <v>-0.21878220899470913</v>
      </c>
      <c r="F122" s="108">
        <f>VLOOKUP(ROW(F122)+4,'Water runs'!$CH$3:$CU$423,MATCH($B$1,Scenarios,0)+1)</f>
        <v>0</v>
      </c>
      <c r="G122" s="65">
        <f>H122/Variables!$E$49</f>
        <v>0.16100000000000003</v>
      </c>
      <c r="H122" s="62">
        <f>IF((H121+I122)&gt;(1.1*Variables!$E$50),(1.1*Variables!$E$50),IF((H121+I122)&gt;0,H121+I122,0))</f>
        <v>0.9982000000000002</v>
      </c>
      <c r="I122" s="64">
        <f>SUM(J122:U122)</f>
        <v>-0.18614386315581943</v>
      </c>
      <c r="J122" s="63">
        <f>IF(SUM(E118:E121)&lt;Variables!$B$3,-H121,0)</f>
        <v>0</v>
      </c>
      <c r="K122" s="64">
        <f>IF(AND(H121&lt;Variables!$B$6*Variables!$E$50,OR(SUM(D119:D122)&gt;Variables!$B$5,SUM(E119:E122)&gt;Variables!$B$4)),Variables!$B$6*Variables!$E$50+Variables!$B$7*$G$1*Variables!$E$50*SUM(D119:D122),0)</f>
        <v>0</v>
      </c>
      <c r="L122" s="64">
        <f>IF(B122="Winter",Variables!$B$8*H121,0)</f>
        <v>0</v>
      </c>
      <c r="M122" s="64">
        <f>IF(AND(B122="Spring",AND(NOT(H121=0),H121&lt;(Variables!$B$9*Variables!$E$50))),(Variables!$B$10*Variables!$E$50+Variables!$B$11*Variables!$E$50*SUM(E119:E122)+$G$1*SUM(D121:D122)*Variables!$E$50*Variables!$B$12),0)</f>
        <v>-1.6597028545998509</v>
      </c>
      <c r="N122" s="64">
        <f>IF(AND(B122="Spring",AND(SUM(D119:D122)&gt;Variables!$B$13,SUM(D115:D118)&gt;Variables!$B$13)),-Variables!$B$14*Variables!$E$50,0)</f>
        <v>0</v>
      </c>
      <c r="O122" s="64">
        <f>IF(AND(B122="Summer",SUM(C118:D122)&gt;Variables!$B$15),(Variables!$B$16*Variables!$E$50*SUM(C118:C122)+$G$1*Variables!$B$16*Variables!$E$50*SUM(D118:D122)+$G$1*Variables!$E$50*Variables!$B$17*F122),0)</f>
        <v>0</v>
      </c>
      <c r="P122" s="64">
        <f>IF(AND(AND(B122="Autumn",SUM(D121:E122)&gt;0),NOT(H121=0)),Variables!$B$18*Variables!$E$50+Variables!$B$19*Variables!$E$50*SUM(E121:E122)+$G$1*Variables!$B$19*Variables!$E$50*SUM(D121:D122),0)</f>
        <v>0</v>
      </c>
      <c r="Q122" s="64">
        <f>IF(AND(B122="Autumn",AND((E122+E121)&lt;Variables!$B$20,(D121+D122)=0)),-Variables!$B$21*Variables!$E$50,0)</f>
        <v>0</v>
      </c>
      <c r="R122" s="64">
        <f>IF(B122="Autumn",(SUM(F121:F122)*$G$1*Variables!$B$22*Variables!$E$50),0)</f>
        <v>0</v>
      </c>
      <c r="S122" s="64">
        <f>IF(B122="Spring",($G$1*Variables!$E$50*SUM('Guts (option 1)'!F121:F122)*Variables!$B$23),0)</f>
        <v>0</v>
      </c>
      <c r="T122" s="63">
        <f>IF((H121+SUM(J122:Q122))&lt;(Variables!$B$26*Variables!$E$50),$F$1*((Variables!$B$26*Variables!$E$50)-H121-SUM(J122:Q122)),0)</f>
        <v>1.4735589914440315</v>
      </c>
      <c r="U122" s="64">
        <f>IF(AND(AND(B122="Autumn",SUM(D119:E122)&gt;Variables!$B$27),SUM(J122:Q122)&lt;Variables!$B$28*H121),$F$1*(Variables!$B$28*H121-SUM(J122:Q122)),0)</f>
        <v>0</v>
      </c>
      <c r="V122" s="96">
        <f>IF(AND((J122+K122)=0,(Q122+T122)=0),$H$1*H122*Variables!$I$23*0.25,0)</f>
        <v>0</v>
      </c>
      <c r="W122" s="97">
        <f>IF(AND((K122+J122)=0,(T122+Q122)=0),$I$1*H122*Variables!$Q$23*0.25,0)</f>
        <v>0</v>
      </c>
      <c r="X122" s="95">
        <f>IF(AND(NOT(K122=0),(H122-H121)&gt;0),(H122-H121)*(Variables!$M$5*$H$1+Variables!$U$5*$I$1),0)+IF(AND(NOT((J122+N122+Q122)=0),(H121-H122)&gt;0),(H121-H122)*(Variables!$M$4*$H$1+Variables!$U$4*$I$1),0)</f>
        <v>0</v>
      </c>
      <c r="Y122" s="95">
        <f>IF(SUM(T122,U121:U122)&gt;0,H122*Variables!$Y$11*0.25*(1-$J$1),0)</f>
        <v>0</v>
      </c>
      <c r="Z122" s="95">
        <f>IF(T122=0,H122*$J$1*Variables!$Y$5*0.25,0)</f>
        <v>0</v>
      </c>
      <c r="AA122" s="95">
        <f t="shared" si="2"/>
        <v>0</v>
      </c>
      <c r="AB122" s="91">
        <f>AA122/Variables!$E$49</f>
        <v>0</v>
      </c>
    </row>
    <row r="123" spans="1:28" x14ac:dyDescent="0.25">
      <c r="A123" s="61">
        <f>'Water runs'!C130</f>
        <v>13208</v>
      </c>
      <c r="B123" s="61" t="str">
        <f>'Water runs'!B130</f>
        <v>Summer</v>
      </c>
      <c r="C123" s="54">
        <f>'Water runs'!D130/100</f>
        <v>1.21228571428571</v>
      </c>
      <c r="D123" s="108">
        <f>VLOOKUP(ROW(D123)+4,'Water runs'!$BS$3:$CF$423,MATCH($B$1,Scenarios,0)+1)</f>
        <v>0</v>
      </c>
      <c r="E123" s="54">
        <f>IF(B123=Variables!$D$8,C123-Variables!$E$8,IF(B123=Variables!$D$9,C123-Variables!$E$9,IF(B123=Variables!$D$10,C123-Variables!$E$10,IF(B123=Variables!$D$11,C123-Variables!$E$11,"ELSE"))))</f>
        <v>-4.6084421768711747E-2</v>
      </c>
      <c r="F123" s="108">
        <f>VLOOKUP(ROW(F123)+4,'Water runs'!$CH$3:$CU$423,MATCH($B$1,Scenarios,0)+1)</f>
        <v>0</v>
      </c>
      <c r="G123" s="65">
        <f>H123/Variables!$E$49</f>
        <v>0.161</v>
      </c>
      <c r="H123" s="62">
        <f>IF((H122+I123)&gt;(1.1*Variables!$E$50),(1.1*Variables!$E$50),IF((H122+I123)&gt;0,H122+I123,0))</f>
        <v>0.99820000000000009</v>
      </c>
      <c r="I123" s="64">
        <f>SUM(J123:U123)</f>
        <v>-1.1102230246251565E-16</v>
      </c>
      <c r="J123" s="63">
        <f>IF(SUM(E119:E122)&lt;Variables!$B$3,-H122,0)</f>
        <v>-0.9982000000000002</v>
      </c>
      <c r="K123" s="64">
        <f>IF(AND(H122&lt;Variables!$B$6*Variables!$E$50,OR(SUM(D120:D123)&gt;Variables!$B$5,SUM(E120:E123)&gt;Variables!$B$4)),Variables!$B$6*Variables!$E$50+Variables!$B$7*$G$1*Variables!$E$50*SUM(D120:D123),0)</f>
        <v>0</v>
      </c>
      <c r="L123" s="64">
        <f>IF(B123="Winter",Variables!$B$8*H122,0)</f>
        <v>0</v>
      </c>
      <c r="M123" s="64">
        <f>IF(AND(B123="Spring",AND(NOT(H122=0),H122&lt;(Variables!$B$9*Variables!$E$50))),(Variables!$B$10*Variables!$E$50+Variables!$B$11*Variables!$E$50*SUM(E120:E123)+$G$1*SUM(D122:D123)*Variables!$E$50*Variables!$B$12),0)</f>
        <v>0</v>
      </c>
      <c r="N123" s="64">
        <f>IF(AND(B123="Spring",AND(SUM(D120:D123)&gt;Variables!$B$13,SUM(D116:D119)&gt;Variables!$B$13)),-Variables!$B$14*Variables!$E$50,0)</f>
        <v>0</v>
      </c>
      <c r="O123" s="64">
        <f>IF(AND(B123="Summer",SUM(C119:D123)&gt;Variables!$B$15),(Variables!$B$16*Variables!$E$50*SUM(C119:C123)+$G$1*Variables!$B$16*Variables!$E$50*SUM(D119:D123)+$G$1*Variables!$E$50*Variables!$B$17*F123),0)</f>
        <v>0</v>
      </c>
      <c r="P123" s="64">
        <f>IF(AND(AND(B123="Autumn",SUM(D122:E123)&gt;0),NOT(H122=0)),Variables!$B$18*Variables!$E$50+Variables!$B$19*Variables!$E$50*SUM(E122:E123)+$G$1*Variables!$B$19*Variables!$E$50*SUM(D122:D123),0)</f>
        <v>0</v>
      </c>
      <c r="Q123" s="64">
        <f>IF(AND(B123="Autumn",AND((E123+E122)&lt;Variables!$B$20,(D122+D123)=0)),-Variables!$B$21*Variables!$E$50,0)</f>
        <v>0</v>
      </c>
      <c r="R123" s="64">
        <f>IF(B123="Autumn",(SUM(F122:F123)*$G$1*Variables!$B$22*Variables!$E$50),0)</f>
        <v>0</v>
      </c>
      <c r="S123" s="64">
        <f>IF(B123="Spring",($G$1*Variables!$E$50*SUM('Guts (option 1)'!F122:F123)*Variables!$B$23),0)</f>
        <v>0</v>
      </c>
      <c r="T123" s="63">
        <f>IF((H122+SUM(J123:Q123))&lt;(Variables!$B$26*Variables!$E$50),$F$1*((Variables!$B$26*Variables!$E$50)-H122-SUM(J123:Q123)),0)</f>
        <v>0.99820000000000009</v>
      </c>
      <c r="U123" s="64">
        <f>IF(AND(AND(B123="Autumn",SUM(D120:E123)&gt;Variables!$B$27),SUM(J123:Q123)&lt;Variables!$B$28*H122),$F$1*(Variables!$B$28*H122-SUM(J123:Q123)),0)</f>
        <v>0</v>
      </c>
      <c r="V123" s="96">
        <f>IF(AND((J123+K123)=0,(Q123+T123)=0),$H$1*H123*Variables!$I$23*0.25,0)</f>
        <v>0</v>
      </c>
      <c r="W123" s="97">
        <f>IF(AND((K123+J123)=0,(T123+Q123)=0),$I$1*H123*Variables!$Q$23*0.25,0)</f>
        <v>0</v>
      </c>
      <c r="X123" s="95">
        <f>IF(AND(NOT(K123=0),(H123-H122)&gt;0),(H123-H122)*(Variables!$M$5*$H$1+Variables!$U$5*$I$1),0)+IF(AND(NOT((J123+N123+Q123)=0),(H122-H123)&gt;0),(H122-H123)*(Variables!$M$4*$H$1+Variables!$U$4*$I$1),0)</f>
        <v>1.3877787807814457E-14</v>
      </c>
      <c r="Y123" s="95">
        <f>IF(SUM(T123,U122:U123)&gt;0,H123*Variables!$Y$11*0.25*(1-$J$1),0)</f>
        <v>0</v>
      </c>
      <c r="Z123" s="95">
        <f>IF(T123=0,H123*$J$1*Variables!$Y$5*0.25,0)</f>
        <v>0</v>
      </c>
      <c r="AA123" s="95">
        <f t="shared" si="2"/>
        <v>1.3877787807814457E-14</v>
      </c>
      <c r="AB123" s="91">
        <f>AA123/Variables!$E$49</f>
        <v>2.2383528722281381E-15</v>
      </c>
    </row>
    <row r="124" spans="1:28" x14ac:dyDescent="0.25">
      <c r="A124" s="61">
        <f>'Water runs'!C131</f>
        <v>13301</v>
      </c>
      <c r="B124" s="61" t="str">
        <f>'Water runs'!B131</f>
        <v>Autumn</v>
      </c>
      <c r="C124" s="54">
        <f>'Water runs'!D131/100</f>
        <v>0.63285714285714301</v>
      </c>
      <c r="D124" s="108">
        <f>VLOOKUP(ROW(D124)+4,'Water runs'!$BS$3:$CF$423,MATCH($B$1,Scenarios,0)+1)</f>
        <v>0</v>
      </c>
      <c r="E124" s="54">
        <f>IF(B124=Variables!$D$8,C124-Variables!$E$8,IF(B124=Variables!$D$9,C124-Variables!$E$9,IF(B124=Variables!$D$10,C124-Variables!$E$10,IF(B124=Variables!$D$11,C124-Variables!$E$11,"ELSE"))))</f>
        <v>-0.36178615646258483</v>
      </c>
      <c r="F124" s="108">
        <f>VLOOKUP(ROW(F124)+4,'Water runs'!$CH$3:$CU$423,MATCH($B$1,Scenarios,0)+1)</f>
        <v>0</v>
      </c>
      <c r="G124" s="65">
        <f>H124/Variables!$E$49</f>
        <v>0.161</v>
      </c>
      <c r="H124" s="62">
        <f>IF((H123+I124)&gt;(1.1*Variables!$E$50),(1.1*Variables!$E$50),IF((H123+I124)&gt;0,H123+I124,0))</f>
        <v>0.99820000000000009</v>
      </c>
      <c r="I124" s="64">
        <f>SUM(J124:U124)</f>
        <v>0</v>
      </c>
      <c r="J124" s="63">
        <f>IF(SUM(E120:E123)&lt;Variables!$B$3,-H123,0)</f>
        <v>0</v>
      </c>
      <c r="K124" s="64">
        <f>IF(AND(H123&lt;Variables!$B$6*Variables!$E$50,OR(SUM(D121:D124)&gt;Variables!$B$5,SUM(E121:E124)&gt;Variables!$B$4)),Variables!$B$6*Variables!$E$50+Variables!$B$7*$G$1*Variables!$E$50*SUM(D121:D124),0)</f>
        <v>0</v>
      </c>
      <c r="L124" s="64">
        <f>IF(B124="Winter",Variables!$B$8*H123,0)</f>
        <v>0</v>
      </c>
      <c r="M124" s="64">
        <f>IF(AND(B124="Spring",AND(NOT(H123=0),H123&lt;(Variables!$B$9*Variables!$E$50))),(Variables!$B$10*Variables!$E$50+Variables!$B$11*Variables!$E$50*SUM(E121:E124)+$G$1*SUM(D123:D124)*Variables!$E$50*Variables!$B$12),0)</f>
        <v>0</v>
      </c>
      <c r="N124" s="64">
        <f>IF(AND(B124="Spring",AND(SUM(D121:D124)&gt;Variables!$B$13,SUM(D117:D120)&gt;Variables!$B$13)),-Variables!$B$14*Variables!$E$50,0)</f>
        <v>0</v>
      </c>
      <c r="O124" s="64">
        <f>IF(AND(B124="Summer",SUM(C120:D124)&gt;Variables!$B$15),(Variables!$B$16*Variables!$E$50*SUM(C120:C124)+$G$1*Variables!$B$16*Variables!$E$50*SUM(D120:D124)+$G$1*Variables!$E$50*Variables!$B$17*F124),0)</f>
        <v>0</v>
      </c>
      <c r="P124" s="64">
        <f>IF(AND(AND(B124="Autumn",SUM(D123:E124)&gt;0),NOT(H123=0)),Variables!$B$18*Variables!$E$50+Variables!$B$19*Variables!$E$50*SUM(E123:E124)+$G$1*Variables!$B$19*Variables!$E$50*SUM(D123:D124),0)</f>
        <v>0</v>
      </c>
      <c r="Q124" s="64">
        <f>IF(AND(B124="Autumn",AND((E124+E123)&lt;Variables!$B$20,(D123+D124)=0)),-Variables!$B$21*Variables!$E$50,0)</f>
        <v>0</v>
      </c>
      <c r="R124" s="64">
        <f>IF(B124="Autumn",(SUM(F123:F124)*$G$1*Variables!$B$22*Variables!$E$50),0)</f>
        <v>0</v>
      </c>
      <c r="S124" s="64">
        <f>IF(B124="Spring",($G$1*Variables!$E$50*SUM('Guts (option 1)'!F123:F124)*Variables!$B$23),0)</f>
        <v>0</v>
      </c>
      <c r="T124" s="63">
        <f>IF((H123+SUM(J124:Q124))&lt;(Variables!$B$26*Variables!$E$50),$F$1*((Variables!$B$26*Variables!$E$50)-H123-SUM(J124:Q124)),0)</f>
        <v>0</v>
      </c>
      <c r="U124" s="64">
        <f>IF(AND(AND(B124="Autumn",SUM(D121:E124)&gt;Variables!$B$27),SUM(J124:Q124)&lt;Variables!$B$28*H123),$F$1*(Variables!$B$28*H123-SUM(J124:Q124)),0)</f>
        <v>0</v>
      </c>
      <c r="V124" s="96">
        <f>IF(AND((J124+K124)=0,(Q124+T124)=0),$H$1*H124*Variables!$I$23*0.25,0)</f>
        <v>19.235463730000003</v>
      </c>
      <c r="W124" s="97">
        <f>IF(AND((K124+J124)=0,(T124+Q124)=0),$I$1*H124*Variables!$Q$23*0.25,0)</f>
        <v>20.13444265</v>
      </c>
      <c r="X124" s="95">
        <f>IF(AND(NOT(K124=0),(H124-H123)&gt;0),(H124-H123)*(Variables!$M$5*$H$1+Variables!$U$5*$I$1),0)+IF(AND(NOT((J124+N124+Q124)=0),(H123-H124)&gt;0),(H123-H124)*(Variables!$M$4*$H$1+Variables!$U$4*$I$1),0)</f>
        <v>0</v>
      </c>
      <c r="Y124" s="95">
        <f>IF(SUM(T124,U123:U124)&gt;0,H124*Variables!$Y$11*0.25*(1-$J$1),0)</f>
        <v>0</v>
      </c>
      <c r="Z124" s="95">
        <f>IF(T124=0,H124*$J$1*Variables!$Y$5*0.25,0)</f>
        <v>6.4883000000000006</v>
      </c>
      <c r="AA124" s="95">
        <f t="shared" si="2"/>
        <v>45.858206380000006</v>
      </c>
      <c r="AB124" s="91">
        <f>AA124/Variables!$E$49</f>
        <v>7.3964849000000008</v>
      </c>
    </row>
    <row r="125" spans="1:28" x14ac:dyDescent="0.25">
      <c r="A125" s="61">
        <f>'Water runs'!C132</f>
        <v>13393</v>
      </c>
      <c r="B125" s="61" t="str">
        <f>'Water runs'!B132</f>
        <v>Winter</v>
      </c>
      <c r="C125" s="54">
        <f>'Water runs'!D132/100</f>
        <v>0.78571428571428603</v>
      </c>
      <c r="D125" s="108">
        <f>VLOOKUP(ROW(D125)+4,'Water runs'!$BS$3:$CF$423,MATCH($B$1,Scenarios,0)+1)</f>
        <v>0</v>
      </c>
      <c r="E125" s="54">
        <f>IF(B125=Variables!$D$8,C125-Variables!$E$8,IF(B125=Variables!$D$9,C125-Variables!$E$9,IF(B125=Variables!$D$10,C125-Variables!$E$10,IF(B125=Variables!$D$11,C125-Variables!$E$11,"ELSE"))))</f>
        <v>0.2139466600529103</v>
      </c>
      <c r="F125" s="108">
        <f>VLOOKUP(ROW(F125)+4,'Water runs'!$CH$3:$CU$423,MATCH($B$1,Scenarios,0)+1)</f>
        <v>0</v>
      </c>
      <c r="G125" s="65">
        <f>H125/Variables!$E$49</f>
        <v>0.26483081534003849</v>
      </c>
      <c r="H125" s="62">
        <f>IF((H124+I125)&gt;(1.1*Variables!$E$50),(1.1*Variables!$E$50),IF((H124+I125)&gt;0,H124+I125,0))</f>
        <v>1.6419510551082386</v>
      </c>
      <c r="I125" s="64">
        <f t="shared" ref="I125:I188" si="4">SUM(J125:U125)</f>
        <v>0.6437510551082386</v>
      </c>
      <c r="J125" s="63">
        <f>IF(SUM(E121:E124)&lt;Variables!$B$3,-H124,0)</f>
        <v>0</v>
      </c>
      <c r="K125" s="64">
        <f>IF(AND(H124&lt;Variables!$B$6*Variables!$E$50,OR(SUM(D122:D125)&gt;Variables!$B$5,SUM(E122:E125)&gt;Variables!$B$4)),Variables!$B$6*Variables!$E$50+Variables!$B$7*$G$1*Variables!$E$50*SUM(D122:D125),0)</f>
        <v>1.1408</v>
      </c>
      <c r="L125" s="64">
        <f>IF(B125="Winter",Variables!$B$8*H124,0)</f>
        <v>-0.49704894489176149</v>
      </c>
      <c r="M125" s="64">
        <f>IF(AND(B125="Spring",AND(NOT(H124=0),H124&lt;(Variables!$B$9*Variables!$E$50))),(Variables!$B$10*Variables!$E$50+Variables!$B$11*Variables!$E$50*SUM(E122:E125)+$G$1*SUM(D124:D125)*Variables!$E$50*Variables!$B$12),0)</f>
        <v>0</v>
      </c>
      <c r="N125" s="64">
        <f>IF(AND(B125="Spring",AND(SUM(D122:D125)&gt;Variables!$B$13,SUM(D118:D121)&gt;Variables!$B$13)),-Variables!$B$14*Variables!$E$50,0)</f>
        <v>0</v>
      </c>
      <c r="O125" s="64">
        <f>IF(AND(B125="Summer",SUM(C121:D125)&gt;Variables!$B$15),(Variables!$B$16*Variables!$E$50*SUM(C121:C125)+$G$1*Variables!$B$16*Variables!$E$50*SUM(D121:D125)+$G$1*Variables!$E$50*Variables!$B$17*F125),0)</f>
        <v>0</v>
      </c>
      <c r="P125" s="64">
        <f>IF(AND(AND(B125="Autumn",SUM(D124:E125)&gt;0),NOT(H124=0)),Variables!$B$18*Variables!$E$50+Variables!$B$19*Variables!$E$50*SUM(E124:E125)+$G$1*Variables!$B$19*Variables!$E$50*SUM(D124:D125),0)</f>
        <v>0</v>
      </c>
      <c r="Q125" s="64">
        <f>IF(AND(B125="Autumn",AND((E125+E124)&lt;Variables!$B$20,(D124+D125)=0)),-Variables!$B$21*Variables!$E$50,0)</f>
        <v>0</v>
      </c>
      <c r="R125" s="64">
        <f>IF(B125="Autumn",(SUM(F124:F125)*$G$1*Variables!$B$22*Variables!$E$50),0)</f>
        <v>0</v>
      </c>
      <c r="S125" s="64">
        <f>IF(B125="Spring",($G$1*Variables!$E$50*SUM('Guts (option 1)'!F124:F125)*Variables!$B$23),0)</f>
        <v>0</v>
      </c>
      <c r="T125" s="63">
        <f>IF((H124+SUM(J125:Q125))&lt;(Variables!$B$26*Variables!$E$50),$F$1*((Variables!$B$26*Variables!$E$50)-H124-SUM(J125:Q125)),0)</f>
        <v>0</v>
      </c>
      <c r="U125" s="64">
        <f>IF(AND(AND(B125="Autumn",SUM(D122:E125)&gt;Variables!$B$27),SUM(J125:Q125)&lt;Variables!$B$28*H124),$F$1*(Variables!$B$28*H124-SUM(J125:Q125)),0)</f>
        <v>0</v>
      </c>
      <c r="V125" s="96">
        <f>IF(AND((J125+K125)=0,(Q125+T125)=0),$H$1*H125*Variables!$I$23*0.25,0)</f>
        <v>0</v>
      </c>
      <c r="W125" s="97">
        <f>IF(AND((K125+J125)=0,(T125+Q125)=0),$I$1*H125*Variables!$Q$23*0.25,0)</f>
        <v>0</v>
      </c>
      <c r="X125" s="95">
        <f>IF(AND(NOT(K125=0),(H125-H124)&gt;0),(H125-H124)*(Variables!$M$5*$H$1+Variables!$U$5*$I$1),0)+IF(AND(NOT((J125+N125+Q125)=0),(H124-H125)&gt;0),(H124-H125)*(Variables!$M$4*$H$1+Variables!$U$4*$I$1),0)</f>
        <v>-160.93776377705962</v>
      </c>
      <c r="Y125" s="95">
        <f>IF(SUM(T125,U124:U125)&gt;0,H125*Variables!$Y$11*0.25*(1-$J$1),0)</f>
        <v>0</v>
      </c>
      <c r="Z125" s="95">
        <f>IF(T125=0,H125*$J$1*Variables!$Y$5*0.25,0)</f>
        <v>10.67268185820355</v>
      </c>
      <c r="AA125" s="95">
        <f t="shared" si="2"/>
        <v>-150.26508191885605</v>
      </c>
      <c r="AB125" s="91">
        <f>AA125/Variables!$E$49</f>
        <v>-24.236303535299363</v>
      </c>
    </row>
    <row r="126" spans="1:28" x14ac:dyDescent="0.25">
      <c r="A126" s="61">
        <f>'Water runs'!C133</f>
        <v>13484</v>
      </c>
      <c r="B126" s="61" t="str">
        <f>'Water runs'!B133</f>
        <v>Spring</v>
      </c>
      <c r="C126" s="54">
        <f>'Water runs'!D133/100</f>
        <v>0</v>
      </c>
      <c r="D126" s="108">
        <f>VLOOKUP(ROW(D126)+4,'Water runs'!$BS$3:$CF$423,MATCH($B$1,Scenarios,0)+1)</f>
        <v>0</v>
      </c>
      <c r="E126" s="54">
        <f>IF(B126=Variables!$D$8,C126-Variables!$E$8,IF(B126=Variables!$D$9,C126-Variables!$E$9,IF(B126=Variables!$D$10,C126-Variables!$E$10,IF(B126=Variables!$D$11,C126-Variables!$E$11,"ELSE"))))</f>
        <v>-0.76398220899470914</v>
      </c>
      <c r="F126" s="108">
        <f>VLOOKUP(ROW(F126)+4,'Water runs'!$CH$3:$CU$423,MATCH($B$1,Scenarios,0)+1)</f>
        <v>0</v>
      </c>
      <c r="G126" s="65">
        <f>H126/Variables!$E$49</f>
        <v>0.161</v>
      </c>
      <c r="H126" s="62">
        <f>IF((H125+I126)&gt;(1.1*Variables!$E$50),(1.1*Variables!$E$50),IF((H125+I126)&gt;0,H125+I126,0))</f>
        <v>0.99820000000000009</v>
      </c>
      <c r="I126" s="64">
        <f t="shared" si="4"/>
        <v>-0.64375105510823849</v>
      </c>
      <c r="J126" s="63">
        <f>IF(SUM(E122:E125)&lt;Variables!$B$3,-H125,0)</f>
        <v>0</v>
      </c>
      <c r="K126" s="64">
        <f>IF(AND(H125&lt;Variables!$B$6*Variables!$E$50,OR(SUM(D123:D126)&gt;Variables!$B$5,SUM(E123:E126)&gt;Variables!$B$4)),Variables!$B$6*Variables!$E$50+Variables!$B$7*$G$1*Variables!$E$50*SUM(D123:D126),0)</f>
        <v>0</v>
      </c>
      <c r="L126" s="64">
        <f>IF(B126="Winter",Variables!$B$8*H125,0)</f>
        <v>0</v>
      </c>
      <c r="M126" s="64">
        <f>IF(AND(B126="Spring",AND(NOT(H125=0),H125&lt;(Variables!$B$9*Variables!$E$50))),(Variables!$B$10*Variables!$E$50+Variables!$B$11*Variables!$E$50*SUM(E123:E126)+$G$1*SUM(D125:D126)*Variables!$E$50*Variables!$B$12),0)</f>
        <v>-0.65239316204087838</v>
      </c>
      <c r="N126" s="64">
        <f>IF(AND(B126="Spring",AND(SUM(D123:D126)&gt;Variables!$B$13,SUM(D119:D122)&gt;Variables!$B$13)),-Variables!$B$14*Variables!$E$50,0)</f>
        <v>0</v>
      </c>
      <c r="O126" s="64">
        <f>IF(AND(B126="Summer",SUM(C122:D126)&gt;Variables!$B$15),(Variables!$B$16*Variables!$E$50*SUM(C122:C126)+$G$1*Variables!$B$16*Variables!$E$50*SUM(D122:D126)+$G$1*Variables!$E$50*Variables!$B$17*F126),0)</f>
        <v>0</v>
      </c>
      <c r="P126" s="64">
        <f>IF(AND(AND(B126="Autumn",SUM(D125:E126)&gt;0),NOT(H125=0)),Variables!$B$18*Variables!$E$50+Variables!$B$19*Variables!$E$50*SUM(E125:E126)+$G$1*Variables!$B$19*Variables!$E$50*SUM(D125:D126),0)</f>
        <v>0</v>
      </c>
      <c r="Q126" s="64">
        <f>IF(AND(B126="Autumn",AND((E126+E125)&lt;Variables!$B$20,(D125+D126)=0)),-Variables!$B$21*Variables!$E$50,0)</f>
        <v>0</v>
      </c>
      <c r="R126" s="64">
        <f>IF(B126="Autumn",(SUM(F125:F126)*$G$1*Variables!$B$22*Variables!$E$50),0)</f>
        <v>0</v>
      </c>
      <c r="S126" s="64">
        <f>IF(B126="Spring",($G$1*Variables!$E$50*SUM('Guts (option 1)'!F125:F126)*Variables!$B$23),0)</f>
        <v>0</v>
      </c>
      <c r="T126" s="63">
        <f>IF((H125+SUM(J126:Q126))&lt;(Variables!$B$26*Variables!$E$50),$F$1*((Variables!$B$26*Variables!$E$50)-H125-SUM(J126:Q126)),0)</f>
        <v>8.6421069326398925E-3</v>
      </c>
      <c r="U126" s="64">
        <f>IF(AND(AND(B126="Autumn",SUM(D123:E126)&gt;Variables!$B$27),SUM(J126:Q126)&lt;Variables!$B$28*H125),$F$1*(Variables!$B$28*H125-SUM(J126:Q126)),0)</f>
        <v>0</v>
      </c>
      <c r="V126" s="96">
        <f>IF(AND((J126+K126)=0,(Q126+T126)=0),$H$1*H126*Variables!$I$23*0.25,0)</f>
        <v>0</v>
      </c>
      <c r="W126" s="97">
        <f>IF(AND((K126+J126)=0,(T126+Q126)=0),$I$1*H126*Variables!$Q$23*0.25,0)</f>
        <v>0</v>
      </c>
      <c r="X126" s="95">
        <f>IF(AND(NOT(K126=0),(H126-H125)&gt;0),(H126-H125)*(Variables!$M$5*$H$1+Variables!$U$5*$I$1),0)+IF(AND(NOT((J126+N126+Q126)=0),(H125-H126)&gt;0),(H125-H126)*(Variables!$M$4*$H$1+Variables!$U$4*$I$1),0)</f>
        <v>0</v>
      </c>
      <c r="Y126" s="95">
        <f>IF(SUM(T126,U125:U126)&gt;0,H126*Variables!$Y$11*0.25*(1-$J$1),0)</f>
        <v>0</v>
      </c>
      <c r="Z126" s="95">
        <f>IF(T126=0,H126*$J$1*Variables!$Y$5*0.25,0)</f>
        <v>0</v>
      </c>
      <c r="AA126" s="95">
        <f t="shared" si="2"/>
        <v>0</v>
      </c>
      <c r="AB126" s="91">
        <f>AA126/Variables!$E$49</f>
        <v>0</v>
      </c>
    </row>
    <row r="127" spans="1:28" x14ac:dyDescent="0.25">
      <c r="A127" s="61">
        <f>'Water runs'!C134</f>
        <v>13574</v>
      </c>
      <c r="B127" s="61" t="str">
        <f>'Water runs'!B134</f>
        <v>Summer</v>
      </c>
      <c r="C127" s="54">
        <f>'Water runs'!D134/100</f>
        <v>1.6675476190476202</v>
      </c>
      <c r="D127" s="108">
        <f>VLOOKUP(ROW(D127)+4,'Water runs'!$BS$3:$CF$423,MATCH($B$1,Scenarios,0)+1)</f>
        <v>1.0126762682206511E-4</v>
      </c>
      <c r="E127" s="54">
        <f>IF(B127=Variables!$D$8,C127-Variables!$E$8,IF(B127=Variables!$D$9,C127-Variables!$E$9,IF(B127=Variables!$D$10,C127-Variables!$E$10,IF(B127=Variables!$D$11,C127-Variables!$E$11,"ELSE"))))</f>
        <v>0.40917748299319845</v>
      </c>
      <c r="F127" s="108">
        <f>VLOOKUP(ROW(F127)+4,'Water runs'!$CH$3:$CU$423,MATCH($B$1,Scenarios,0)+1)</f>
        <v>0</v>
      </c>
      <c r="G127" s="65">
        <f>H127/Variables!$E$49</f>
        <v>0.161</v>
      </c>
      <c r="H127" s="62">
        <f>IF((H126+I127)&gt;(1.1*Variables!$E$50),(1.1*Variables!$E$50),IF((H126+I127)&gt;0,H126+I127,0))</f>
        <v>0.99820000000000009</v>
      </c>
      <c r="I127" s="64">
        <f t="shared" si="4"/>
        <v>0</v>
      </c>
      <c r="J127" s="63">
        <f>IF(SUM(E123:E126)&lt;Variables!$B$3,-H126,0)</f>
        <v>0</v>
      </c>
      <c r="K127" s="64">
        <f>IF(AND(H126&lt;Variables!$B$6*Variables!$E$50,OR(SUM(D124:D127)&gt;Variables!$B$5,SUM(E124:E127)&gt;Variables!$B$4)),Variables!$B$6*Variables!$E$50+Variables!$B$7*$G$1*Variables!$E$50*SUM(D124:D127),0)</f>
        <v>0</v>
      </c>
      <c r="L127" s="64">
        <f>IF(B127="Winter",Variables!$B$8*H126,0)</f>
        <v>0</v>
      </c>
      <c r="M127" s="64">
        <f>IF(AND(B127="Spring",AND(NOT(H126=0),H126&lt;(Variables!$B$9*Variables!$E$50))),(Variables!$B$10*Variables!$E$50+Variables!$B$11*Variables!$E$50*SUM(E124:E127)+$G$1*SUM(D126:D127)*Variables!$E$50*Variables!$B$12),0)</f>
        <v>0</v>
      </c>
      <c r="N127" s="64">
        <f>IF(AND(B127="Spring",AND(SUM(D124:D127)&gt;Variables!$B$13,SUM(D120:D123)&gt;Variables!$B$13)),-Variables!$B$14*Variables!$E$50,0)</f>
        <v>0</v>
      </c>
      <c r="O127" s="64">
        <f>IF(AND(B127="Summer",SUM(C123:D127)&gt;Variables!$B$15),(Variables!$B$16*Variables!$E$50*SUM(C123:C127)+$G$1*Variables!$B$16*Variables!$E$50*SUM(D123:D127)+$G$1*Variables!$E$50*Variables!$B$17*F127),0)</f>
        <v>0</v>
      </c>
      <c r="P127" s="64">
        <f>IF(AND(AND(B127="Autumn",SUM(D126:E127)&gt;0),NOT(H126=0)),Variables!$B$18*Variables!$E$50+Variables!$B$19*Variables!$E$50*SUM(E126:E127)+$G$1*Variables!$B$19*Variables!$E$50*SUM(D126:D127),0)</f>
        <v>0</v>
      </c>
      <c r="Q127" s="64">
        <f>IF(AND(B127="Autumn",AND((E127+E126)&lt;Variables!$B$20,(D126+D127)=0)),-Variables!$B$21*Variables!$E$50,0)</f>
        <v>0</v>
      </c>
      <c r="R127" s="64">
        <f>IF(B127="Autumn",(SUM(F126:F127)*$G$1*Variables!$B$22*Variables!$E$50),0)</f>
        <v>0</v>
      </c>
      <c r="S127" s="64">
        <f>IF(B127="Spring",($G$1*Variables!$E$50*SUM('Guts (option 1)'!F126:F127)*Variables!$B$23),0)</f>
        <v>0</v>
      </c>
      <c r="T127" s="63">
        <f>IF((H126+SUM(J127:Q127))&lt;(Variables!$B$26*Variables!$E$50),$F$1*((Variables!$B$26*Variables!$E$50)-H126-SUM(J127:Q127)),0)</f>
        <v>0</v>
      </c>
      <c r="U127" s="64">
        <f>IF(AND(AND(B127="Autumn",SUM(D124:E127)&gt;Variables!$B$27),SUM(J127:Q127)&lt;Variables!$B$28*H126),$F$1*(Variables!$B$28*H126-SUM(J127:Q127)),0)</f>
        <v>0</v>
      </c>
      <c r="V127" s="96">
        <f>IF(AND((J127+K127)=0,(Q127+T127)=0),$H$1*H127*Variables!$I$23*0.25,0)</f>
        <v>19.235463730000003</v>
      </c>
      <c r="W127" s="97">
        <f>IF(AND((K127+J127)=0,(T127+Q127)=0),$I$1*H127*Variables!$Q$23*0.25,0)</f>
        <v>20.13444265</v>
      </c>
      <c r="X127" s="95">
        <f>IF(AND(NOT(K127=0),(H127-H126)&gt;0),(H127-H126)*(Variables!$M$5*$H$1+Variables!$U$5*$I$1),0)+IF(AND(NOT((J127+N127+Q127)=0),(H126-H127)&gt;0),(H126-H127)*(Variables!$M$4*$H$1+Variables!$U$4*$I$1),0)</f>
        <v>0</v>
      </c>
      <c r="Y127" s="95">
        <f>IF(SUM(T127,U126:U127)&gt;0,H127*Variables!$Y$11*0.25*(1-$J$1),0)</f>
        <v>0</v>
      </c>
      <c r="Z127" s="95">
        <f>IF(T127=0,H127*$J$1*Variables!$Y$5*0.25,0)</f>
        <v>6.4883000000000006</v>
      </c>
      <c r="AA127" s="95">
        <f t="shared" si="2"/>
        <v>45.858206380000006</v>
      </c>
      <c r="AB127" s="91">
        <f>AA127/Variables!$E$49</f>
        <v>7.3964849000000008</v>
      </c>
    </row>
    <row r="128" spans="1:28" x14ac:dyDescent="0.25">
      <c r="A128" s="61">
        <f>'Water runs'!C135</f>
        <v>13666</v>
      </c>
      <c r="B128" s="61" t="str">
        <f>'Water runs'!B135</f>
        <v>Autumn</v>
      </c>
      <c r="C128" s="54">
        <f>'Water runs'!D135/100</f>
        <v>0.60233333333333294</v>
      </c>
      <c r="D128" s="108">
        <f>VLOOKUP(ROW(D128)+4,'Water runs'!$BS$3:$CF$423,MATCH($B$1,Scenarios,0)+1)</f>
        <v>8.5473360834210879E-2</v>
      </c>
      <c r="E128" s="54">
        <f>IF(B128=Variables!$D$8,C128-Variables!$E$8,IF(B128=Variables!$D$9,C128-Variables!$E$9,IF(B128=Variables!$D$10,C128-Variables!$E$10,IF(B128=Variables!$D$11,C128-Variables!$E$11,"ELSE"))))</f>
        <v>-0.39230996598639489</v>
      </c>
      <c r="F128" s="108">
        <f>VLOOKUP(ROW(F128)+4,'Water runs'!$CH$3:$CU$423,MATCH($B$1,Scenarios,0)+1)</f>
        <v>0</v>
      </c>
      <c r="G128" s="65">
        <f>H128/Variables!$E$49</f>
        <v>0.2482801640176131</v>
      </c>
      <c r="H128" s="62">
        <f>IF((H127+I128)&gt;(1.1*Variables!$E$50),(1.1*Variables!$E$50),IF((H127+I128)&gt;0,H127+I128,0))</f>
        <v>1.5393370169092013</v>
      </c>
      <c r="I128" s="64">
        <f t="shared" si="4"/>
        <v>0.54113701690920135</v>
      </c>
      <c r="J128" s="63">
        <f>IF(SUM(E124:E127)&lt;Variables!$B$3,-H127,0)</f>
        <v>0</v>
      </c>
      <c r="K128" s="64">
        <f>IF(AND(H127&lt;Variables!$B$6*Variables!$E$50,OR(SUM(D125:D128)&gt;Variables!$B$5,SUM(E125:E128)&gt;Variables!$B$4)),Variables!$B$6*Variables!$E$50+Variables!$B$7*$G$1*Variables!$E$50*SUM(D125:D128),0)</f>
        <v>0</v>
      </c>
      <c r="L128" s="64">
        <f>IF(B128="Winter",Variables!$B$8*H127,0)</f>
        <v>0</v>
      </c>
      <c r="M128" s="64">
        <f>IF(AND(B128="Spring",AND(NOT(H127=0),H127&lt;(Variables!$B$9*Variables!$E$50))),(Variables!$B$10*Variables!$E$50+Variables!$B$11*Variables!$E$50*SUM(E125:E128)+$G$1*SUM(D127:D128)*Variables!$E$50*Variables!$B$12),0)</f>
        <v>0</v>
      </c>
      <c r="N128" s="64">
        <f>IF(AND(B128="Spring",AND(SUM(D125:D128)&gt;Variables!$B$13,SUM(D121:D124)&gt;Variables!$B$13)),-Variables!$B$14*Variables!$E$50,0)</f>
        <v>0</v>
      </c>
      <c r="O128" s="64">
        <f>IF(AND(B128="Summer",SUM(C124:D128)&gt;Variables!$B$15),(Variables!$B$16*Variables!$E$50*SUM(C124:C128)+$G$1*Variables!$B$16*Variables!$E$50*SUM(D124:D128)+$G$1*Variables!$E$50*Variables!$B$17*F128),0)</f>
        <v>0</v>
      </c>
      <c r="P128" s="64">
        <f>IF(AND(AND(B128="Autumn",SUM(D127:E128)&gt;0),NOT(H127=0)),Variables!$B$18*Variables!$E$50+Variables!$B$19*Variables!$E$50*SUM(E127:E128)+$G$1*Variables!$B$19*Variables!$E$50*SUM(D127:D128),0)</f>
        <v>0.54113701690920135</v>
      </c>
      <c r="Q128" s="64">
        <f>IF(AND(B128="Autumn",AND((E128+E127)&lt;Variables!$B$20,(D127+D128)=0)),-Variables!$B$21*Variables!$E$50,0)</f>
        <v>0</v>
      </c>
      <c r="R128" s="64">
        <f>IF(B128="Autumn",(SUM(F127:F128)*$G$1*Variables!$B$22*Variables!$E$50),0)</f>
        <v>0</v>
      </c>
      <c r="S128" s="64">
        <f>IF(B128="Spring",($G$1*Variables!$E$50*SUM('Guts (option 1)'!F127:F128)*Variables!$B$23),0)</f>
        <v>0</v>
      </c>
      <c r="T128" s="63">
        <f>IF((H127+SUM(J128:Q128))&lt;(Variables!$B$26*Variables!$E$50),$F$1*((Variables!$B$26*Variables!$E$50)-H127-SUM(J128:Q128)),0)</f>
        <v>0</v>
      </c>
      <c r="U128" s="64">
        <f>IF(AND(AND(B128="Autumn",SUM(D125:E128)&gt;Variables!$B$27),SUM(J128:Q128)&lt;Variables!$B$28*H127),$F$1*(Variables!$B$28*H127-SUM(J128:Q128)),0)</f>
        <v>0</v>
      </c>
      <c r="V128" s="96">
        <f>IF(AND((J128+K128)=0,(Q128+T128)=0),$H$1*H128*Variables!$I$23*0.25,0)</f>
        <v>29.663255216392848</v>
      </c>
      <c r="W128" s="97">
        <f>IF(AND((K128+J128)=0,(T128+Q128)=0),$I$1*H128*Variables!$Q$23*0.25,0)</f>
        <v>31.049582133821271</v>
      </c>
      <c r="X128" s="95">
        <f>IF(AND(NOT(K128=0),(H128-H127)&gt;0),(H128-H127)*(Variables!$M$5*$H$1+Variables!$U$5*$I$1),0)+IF(AND(NOT((J128+N128+Q128)=0),(H127-H128)&gt;0),(H127-H128)*(Variables!$M$4*$H$1+Variables!$U$4*$I$1),0)</f>
        <v>0</v>
      </c>
      <c r="Y128" s="95">
        <f>IF(SUM(T128,U127:U128)&gt;0,H128*Variables!$Y$11*0.25*(1-$J$1),0)</f>
        <v>0</v>
      </c>
      <c r="Z128" s="95">
        <f>IF(T128=0,H128*$J$1*Variables!$Y$5*0.25,0)</f>
        <v>10.005690609909809</v>
      </c>
      <c r="AA128" s="95">
        <f t="shared" si="2"/>
        <v>70.718527960123922</v>
      </c>
      <c r="AB128" s="91">
        <f>AA128/Variables!$E$49</f>
        <v>11.406214187116761</v>
      </c>
    </row>
    <row r="129" spans="1:28" x14ac:dyDescent="0.25">
      <c r="A129" s="61">
        <f>'Water runs'!C136</f>
        <v>13758</v>
      </c>
      <c r="B129" s="61" t="str">
        <f>'Water runs'!B136</f>
        <v>Winter</v>
      </c>
      <c r="C129" s="54">
        <f>'Water runs'!D136/100</f>
        <v>0.42841666666666695</v>
      </c>
      <c r="D129" s="108">
        <f>VLOOKUP(ROW(D129)+4,'Water runs'!$BS$3:$CF$423,MATCH($B$1,Scenarios,0)+1)</f>
        <v>0</v>
      </c>
      <c r="E129" s="54">
        <f>IF(B129=Variables!$D$8,C129-Variables!$E$8,IF(B129=Variables!$D$9,C129-Variables!$E$9,IF(B129=Variables!$D$10,C129-Variables!$E$10,IF(B129=Variables!$D$11,C129-Variables!$E$11,"ELSE"))))</f>
        <v>-0.14335095899470879</v>
      </c>
      <c r="F129" s="108">
        <f>VLOOKUP(ROW(F129)+4,'Water runs'!$CH$3:$CU$423,MATCH($B$1,Scenarios,0)+1)</f>
        <v>0</v>
      </c>
      <c r="G129" s="65">
        <f>H129/Variables!$E$49</f>
        <v>0.161</v>
      </c>
      <c r="H129" s="62">
        <f>IF((H128+I129)&gt;(1.1*Variables!$E$50),(1.1*Variables!$E$50),IF((H128+I129)&gt;0,H128+I129,0))</f>
        <v>0.99820000000000009</v>
      </c>
      <c r="I129" s="64">
        <f t="shared" si="4"/>
        <v>-0.54113701690920124</v>
      </c>
      <c r="J129" s="63">
        <f>IF(SUM(E125:E128)&lt;Variables!$B$3,-H128,0)</f>
        <v>0</v>
      </c>
      <c r="K129" s="64">
        <f>IF(AND(H128&lt;Variables!$B$6*Variables!$E$50,OR(SUM(D126:D129)&gt;Variables!$B$5,SUM(E126:E129)&gt;Variables!$B$4)),Variables!$B$6*Variables!$E$50+Variables!$B$7*$G$1*Variables!$E$50*SUM(D126:D129),0)</f>
        <v>0</v>
      </c>
      <c r="L129" s="64">
        <f>IF(B129="Winter",Variables!$B$8*H128,0)</f>
        <v>-0.76650555007768995</v>
      </c>
      <c r="M129" s="64">
        <f>IF(AND(B129="Spring",AND(NOT(H128=0),H128&lt;(Variables!$B$9*Variables!$E$50))),(Variables!$B$10*Variables!$E$50+Variables!$B$11*Variables!$E$50*SUM(E126:E129)+$G$1*SUM(D128:D129)*Variables!$E$50*Variables!$B$12),0)</f>
        <v>0</v>
      </c>
      <c r="N129" s="64">
        <f>IF(AND(B129="Spring",AND(SUM(D126:D129)&gt;Variables!$B$13,SUM(D122:D125)&gt;Variables!$B$13)),-Variables!$B$14*Variables!$E$50,0)</f>
        <v>0</v>
      </c>
      <c r="O129" s="64">
        <f>IF(AND(B129="Summer",SUM(C125:D129)&gt;Variables!$B$15),(Variables!$B$16*Variables!$E$50*SUM(C125:C129)+$G$1*Variables!$B$16*Variables!$E$50*SUM(D125:D129)+$G$1*Variables!$E$50*Variables!$B$17*F129),0)</f>
        <v>0</v>
      </c>
      <c r="P129" s="64">
        <f>IF(AND(AND(B129="Autumn",SUM(D128:E129)&gt;0),NOT(H128=0)),Variables!$B$18*Variables!$E$50+Variables!$B$19*Variables!$E$50*SUM(E128:E129)+$G$1*Variables!$B$19*Variables!$E$50*SUM(D128:D129),0)</f>
        <v>0</v>
      </c>
      <c r="Q129" s="64">
        <f>IF(AND(B129="Autumn",AND((E129+E128)&lt;Variables!$B$20,(D128+D129)=0)),-Variables!$B$21*Variables!$E$50,0)</f>
        <v>0</v>
      </c>
      <c r="R129" s="64">
        <f>IF(B129="Autumn",(SUM(F128:F129)*$G$1*Variables!$B$22*Variables!$E$50),0)</f>
        <v>0</v>
      </c>
      <c r="S129" s="64">
        <f>IF(B129="Spring",($G$1*Variables!$E$50*SUM('Guts (option 1)'!F128:F129)*Variables!$B$23),0)</f>
        <v>0</v>
      </c>
      <c r="T129" s="63">
        <f>IF((H128+SUM(J129:Q129))&lt;(Variables!$B$26*Variables!$E$50),$F$1*((Variables!$B$26*Variables!$E$50)-H128-SUM(J129:Q129)),0)</f>
        <v>0.2253685331684887</v>
      </c>
      <c r="U129" s="64">
        <f>IF(AND(AND(B129="Autumn",SUM(D126:E129)&gt;Variables!$B$27),SUM(J129:Q129)&lt;Variables!$B$28*H128),$F$1*(Variables!$B$28*H128-SUM(J129:Q129)),0)</f>
        <v>0</v>
      </c>
      <c r="V129" s="96">
        <f>IF(AND((J129+K129)=0,(Q129+T129)=0),$H$1*H129*Variables!$I$23*0.25,0)</f>
        <v>0</v>
      </c>
      <c r="W129" s="97">
        <f>IF(AND((K129+J129)=0,(T129+Q129)=0),$I$1*H129*Variables!$Q$23*0.25,0)</f>
        <v>0</v>
      </c>
      <c r="X129" s="95">
        <f>IF(AND(NOT(K129=0),(H129-H128)&gt;0),(H129-H128)*(Variables!$M$5*$H$1+Variables!$U$5*$I$1),0)+IF(AND(NOT((J129+N129+Q129)=0),(H128-H129)&gt;0),(H128-H129)*(Variables!$M$4*$H$1+Variables!$U$4*$I$1),0)</f>
        <v>0</v>
      </c>
      <c r="Y129" s="95">
        <f>IF(SUM(T129,U128:U129)&gt;0,H129*Variables!$Y$11*0.25*(1-$J$1),0)</f>
        <v>0</v>
      </c>
      <c r="Z129" s="95">
        <f>IF(T129=0,H129*$J$1*Variables!$Y$5*0.25,0)</f>
        <v>0</v>
      </c>
      <c r="AA129" s="95">
        <f t="shared" si="2"/>
        <v>0</v>
      </c>
      <c r="AB129" s="91">
        <f>AA129/Variables!$E$49</f>
        <v>0</v>
      </c>
    </row>
    <row r="130" spans="1:28" x14ac:dyDescent="0.25">
      <c r="A130" s="61">
        <f>'Water runs'!C137</f>
        <v>13849</v>
      </c>
      <c r="B130" s="61" t="str">
        <f>'Water runs'!B137</f>
        <v>Spring</v>
      </c>
      <c r="C130" s="54">
        <f>'Water runs'!D137/100</f>
        <v>0.1125</v>
      </c>
      <c r="D130" s="108">
        <f>VLOOKUP(ROW(D130)+4,'Water runs'!$BS$3:$CF$423,MATCH($B$1,Scenarios,0)+1)</f>
        <v>0</v>
      </c>
      <c r="E130" s="54">
        <f>IF(B130=Variables!$D$8,C130-Variables!$E$8,IF(B130=Variables!$D$9,C130-Variables!$E$9,IF(B130=Variables!$D$10,C130-Variables!$E$10,IF(B130=Variables!$D$11,C130-Variables!$E$11,"ELSE"))))</f>
        <v>-0.6514822089947091</v>
      </c>
      <c r="F130" s="108">
        <f>VLOOKUP(ROW(F130)+4,'Water runs'!$CH$3:$CU$423,MATCH($B$1,Scenarios,0)+1)</f>
        <v>0</v>
      </c>
      <c r="G130" s="65">
        <f>H130/Variables!$E$49</f>
        <v>0.161</v>
      </c>
      <c r="H130" s="62">
        <f>IF((H129+I130)&gt;(1.1*Variables!$E$50),(1.1*Variables!$E$50),IF((H129+I130)&gt;0,H129+I130,0))</f>
        <v>0.99820000000000009</v>
      </c>
      <c r="I130" s="64">
        <f t="shared" si="4"/>
        <v>0</v>
      </c>
      <c r="J130" s="63">
        <f>IF(SUM(E126:E129)&lt;Variables!$B$3,-H129,0)</f>
        <v>0</v>
      </c>
      <c r="K130" s="64">
        <f>IF(AND(H129&lt;Variables!$B$6*Variables!$E$50,OR(SUM(D127:D130)&gt;Variables!$B$5,SUM(E127:E130)&gt;Variables!$B$4)),Variables!$B$6*Variables!$E$50+Variables!$B$7*$G$1*Variables!$E$50*SUM(D127:D130),0)</f>
        <v>0</v>
      </c>
      <c r="L130" s="64">
        <f>IF(B130="Winter",Variables!$B$8*H129,0)</f>
        <v>0</v>
      </c>
      <c r="M130" s="64">
        <f>IF(AND(B130="Spring",AND(NOT(H129=0),H129&lt;(Variables!$B$9*Variables!$E$50))),(Variables!$B$10*Variables!$E$50+Variables!$B$11*Variables!$E$50*SUM(E127:E130)+$G$1*SUM(D129:D130)*Variables!$E$50*Variables!$B$12),0)</f>
        <v>-0.52984259793968813</v>
      </c>
      <c r="N130" s="64">
        <f>IF(AND(B130="Spring",AND(SUM(D127:D130)&gt;Variables!$B$13,SUM(D123:D126)&gt;Variables!$B$13)),-Variables!$B$14*Variables!$E$50,0)</f>
        <v>0</v>
      </c>
      <c r="O130" s="64">
        <f>IF(AND(B130="Summer",SUM(C126:D130)&gt;Variables!$B$15),(Variables!$B$16*Variables!$E$50*SUM(C126:C130)+$G$1*Variables!$B$16*Variables!$E$50*SUM(D126:D130)+$G$1*Variables!$E$50*Variables!$B$17*F130),0)</f>
        <v>0</v>
      </c>
      <c r="P130" s="64">
        <f>IF(AND(AND(B130="Autumn",SUM(D129:E130)&gt;0),NOT(H129=0)),Variables!$B$18*Variables!$E$50+Variables!$B$19*Variables!$E$50*SUM(E129:E130)+$G$1*Variables!$B$19*Variables!$E$50*SUM(D129:D130),0)</f>
        <v>0</v>
      </c>
      <c r="Q130" s="64">
        <f>IF(AND(B130="Autumn",AND((E130+E129)&lt;Variables!$B$20,(D129+D130)=0)),-Variables!$B$21*Variables!$E$50,0)</f>
        <v>0</v>
      </c>
      <c r="R130" s="64">
        <f>IF(B130="Autumn",(SUM(F129:F130)*$G$1*Variables!$B$22*Variables!$E$50),0)</f>
        <v>0</v>
      </c>
      <c r="S130" s="64">
        <f>IF(B130="Spring",($G$1*Variables!$E$50*SUM('Guts (option 1)'!F129:F130)*Variables!$B$23),0)</f>
        <v>0</v>
      </c>
      <c r="T130" s="63">
        <f>IF((H129+SUM(J130:Q130))&lt;(Variables!$B$26*Variables!$E$50),$F$1*((Variables!$B$26*Variables!$E$50)-H129-SUM(J130:Q130)),0)</f>
        <v>0.52984259793968813</v>
      </c>
      <c r="U130" s="64">
        <f>IF(AND(AND(B130="Autumn",SUM(D127:E130)&gt;Variables!$B$27),SUM(J130:Q130)&lt;Variables!$B$28*H129),$F$1*(Variables!$B$28*H129-SUM(J130:Q130)),0)</f>
        <v>0</v>
      </c>
      <c r="V130" s="96">
        <f>IF(AND((J130+K130)=0,(Q130+T130)=0),$H$1*H130*Variables!$I$23*0.25,0)</f>
        <v>0</v>
      </c>
      <c r="W130" s="97">
        <f>IF(AND((K130+J130)=0,(T130+Q130)=0),$I$1*H130*Variables!$Q$23*0.25,0)</f>
        <v>0</v>
      </c>
      <c r="X130" s="95">
        <f>IF(AND(NOT(K130=0),(H130-H129)&gt;0),(H130-H129)*(Variables!$M$5*$H$1+Variables!$U$5*$I$1),0)+IF(AND(NOT((J130+N130+Q130)=0),(H129-H130)&gt;0),(H129-H130)*(Variables!$M$4*$H$1+Variables!$U$4*$I$1),0)</f>
        <v>0</v>
      </c>
      <c r="Y130" s="95">
        <f>IF(SUM(T130,U129:U130)&gt;0,H130*Variables!$Y$11*0.25*(1-$J$1),0)</f>
        <v>0</v>
      </c>
      <c r="Z130" s="95">
        <f>IF(T130=0,H130*$J$1*Variables!$Y$5*0.25,0)</f>
        <v>0</v>
      </c>
      <c r="AA130" s="95">
        <f t="shared" si="2"/>
        <v>0</v>
      </c>
      <c r="AB130" s="91">
        <f>AA130/Variables!$E$49</f>
        <v>0</v>
      </c>
    </row>
    <row r="131" spans="1:28" x14ac:dyDescent="0.25">
      <c r="A131" s="61">
        <f>'Water runs'!C138</f>
        <v>13939</v>
      </c>
      <c r="B131" s="61" t="str">
        <f>'Water runs'!B138</f>
        <v>Summer</v>
      </c>
      <c r="C131" s="54">
        <f>'Water runs'!D138/100</f>
        <v>0.29828571428571399</v>
      </c>
      <c r="D131" s="108">
        <f>VLOOKUP(ROW(D131)+4,'Water runs'!$BS$3:$CF$423,MATCH($B$1,Scenarios,0)+1)</f>
        <v>0</v>
      </c>
      <c r="E131" s="54">
        <f>IF(B131=Variables!$D$8,C131-Variables!$E$8,IF(B131=Variables!$D$9,C131-Variables!$E$9,IF(B131=Variables!$D$10,C131-Variables!$E$10,IF(B131=Variables!$D$11,C131-Variables!$E$11,"ELSE"))))</f>
        <v>-0.96008442176870767</v>
      </c>
      <c r="F131" s="108">
        <f>VLOOKUP(ROW(F131)+4,'Water runs'!$CH$3:$CU$423,MATCH($B$1,Scenarios,0)+1)</f>
        <v>0</v>
      </c>
      <c r="G131" s="65">
        <f>H131/Variables!$E$49</f>
        <v>0.161</v>
      </c>
      <c r="H131" s="62">
        <f>IF((H130+I131)&gt;(1.1*Variables!$E$50),(1.1*Variables!$E$50),IF((H130+I131)&gt;0,H130+I131,0))</f>
        <v>0.99820000000000009</v>
      </c>
      <c r="I131" s="64">
        <f t="shared" si="4"/>
        <v>0</v>
      </c>
      <c r="J131" s="63">
        <f>IF(SUM(E127:E130)&lt;Variables!$B$3,-H130,0)</f>
        <v>0</v>
      </c>
      <c r="K131" s="64">
        <f>IF(AND(H130&lt;Variables!$B$6*Variables!$E$50,OR(SUM(D128:D131)&gt;Variables!$B$5,SUM(E128:E131)&gt;Variables!$B$4)),Variables!$B$6*Variables!$E$50+Variables!$B$7*$G$1*Variables!$E$50*SUM(D128:D131),0)</f>
        <v>0</v>
      </c>
      <c r="L131" s="64">
        <f>IF(B131="Winter",Variables!$B$8*H130,0)</f>
        <v>0</v>
      </c>
      <c r="M131" s="64">
        <f>IF(AND(B131="Spring",AND(NOT(H130=0),H130&lt;(Variables!$B$9*Variables!$E$50))),(Variables!$B$10*Variables!$E$50+Variables!$B$11*Variables!$E$50*SUM(E128:E131)+$G$1*SUM(D130:D131)*Variables!$E$50*Variables!$B$12),0)</f>
        <v>0</v>
      </c>
      <c r="N131" s="64">
        <f>IF(AND(B131="Spring",AND(SUM(D128:D131)&gt;Variables!$B$13,SUM(D124:D127)&gt;Variables!$B$13)),-Variables!$B$14*Variables!$E$50,0)</f>
        <v>0</v>
      </c>
      <c r="O131" s="64">
        <f>IF(AND(B131="Summer",SUM(C127:D131)&gt;Variables!$B$15),(Variables!$B$16*Variables!$E$50*SUM(C127:C131)+$G$1*Variables!$B$16*Variables!$E$50*SUM(D127:D131)+$G$1*Variables!$E$50*Variables!$B$17*F131),0)</f>
        <v>0</v>
      </c>
      <c r="P131" s="64">
        <f>IF(AND(AND(B131="Autumn",SUM(D130:E131)&gt;0),NOT(H130=0)),Variables!$B$18*Variables!$E$50+Variables!$B$19*Variables!$E$50*SUM(E130:E131)+$G$1*Variables!$B$19*Variables!$E$50*SUM(D130:D131),0)</f>
        <v>0</v>
      </c>
      <c r="Q131" s="64">
        <f>IF(AND(B131="Autumn",AND((E131+E130)&lt;Variables!$B$20,(D130+D131)=0)),-Variables!$B$21*Variables!$E$50,0)</f>
        <v>0</v>
      </c>
      <c r="R131" s="64">
        <f>IF(B131="Autumn",(SUM(F130:F131)*$G$1*Variables!$B$22*Variables!$E$50),0)</f>
        <v>0</v>
      </c>
      <c r="S131" s="64">
        <f>IF(B131="Spring",($G$1*Variables!$E$50*SUM('Guts (option 1)'!F130:F131)*Variables!$B$23),0)</f>
        <v>0</v>
      </c>
      <c r="T131" s="63">
        <f>IF((H130+SUM(J131:Q131))&lt;(Variables!$B$26*Variables!$E$50),$F$1*((Variables!$B$26*Variables!$E$50)-H130-SUM(J131:Q131)),0)</f>
        <v>0</v>
      </c>
      <c r="U131" s="64">
        <f>IF(AND(AND(B131="Autumn",SUM(D128:E131)&gt;Variables!$B$27),SUM(J131:Q131)&lt;Variables!$B$28*H130),$F$1*(Variables!$B$28*H130-SUM(J131:Q131)),0)</f>
        <v>0</v>
      </c>
      <c r="V131" s="96">
        <f>IF(AND((J131+K131)=0,(Q131+T131)=0),$H$1*H131*Variables!$I$23*0.25,0)</f>
        <v>19.235463730000003</v>
      </c>
      <c r="W131" s="97">
        <f>IF(AND((K131+J131)=0,(T131+Q131)=0),$I$1*H131*Variables!$Q$23*0.25,0)</f>
        <v>20.13444265</v>
      </c>
      <c r="X131" s="95">
        <f>IF(AND(NOT(K131=0),(H131-H130)&gt;0),(H131-H130)*(Variables!$M$5*$H$1+Variables!$U$5*$I$1),0)+IF(AND(NOT((J131+N131+Q131)=0),(H130-H131)&gt;0),(H130-H131)*(Variables!$M$4*$H$1+Variables!$U$4*$I$1),0)</f>
        <v>0</v>
      </c>
      <c r="Y131" s="95">
        <f>IF(SUM(T131,U130:U131)&gt;0,H131*Variables!$Y$11*0.25*(1-$J$1),0)</f>
        <v>0</v>
      </c>
      <c r="Z131" s="95">
        <f>IF(T131=0,H131*$J$1*Variables!$Y$5*0.25,0)</f>
        <v>6.4883000000000006</v>
      </c>
      <c r="AA131" s="95">
        <f t="shared" si="2"/>
        <v>45.858206380000006</v>
      </c>
      <c r="AB131" s="91">
        <f>AA131/Variables!$E$49</f>
        <v>7.3964849000000008</v>
      </c>
    </row>
    <row r="132" spans="1:28" x14ac:dyDescent="0.25">
      <c r="A132" s="61">
        <f>'Water runs'!C139</f>
        <v>14031</v>
      </c>
      <c r="B132" s="61" t="str">
        <f>'Water runs'!B139</f>
        <v>Autumn</v>
      </c>
      <c r="C132" s="54">
        <f>'Water runs'!D139/100</f>
        <v>0.41542857142857104</v>
      </c>
      <c r="D132" s="108">
        <f>VLOOKUP(ROW(D132)+4,'Water runs'!$BS$3:$CF$423,MATCH($B$1,Scenarios,0)+1)</f>
        <v>0</v>
      </c>
      <c r="E132" s="54">
        <f>IF(B132=Variables!$D$8,C132-Variables!$E$8,IF(B132=Variables!$D$9,C132-Variables!$E$9,IF(B132=Variables!$D$10,C132-Variables!$E$10,IF(B132=Variables!$D$11,C132-Variables!$E$11,"ELSE"))))</f>
        <v>-0.5792147278911568</v>
      </c>
      <c r="F132" s="108">
        <f>VLOOKUP(ROW(F132)+4,'Water runs'!$CH$3:$CU$423,MATCH($B$1,Scenarios,0)+1)</f>
        <v>0</v>
      </c>
      <c r="G132" s="65">
        <f>H132/Variables!$E$49</f>
        <v>0.161</v>
      </c>
      <c r="H132" s="62">
        <f>IF((H131+I132)&gt;(1.1*Variables!$E$50),(1.1*Variables!$E$50),IF((H131+I132)&gt;0,H131+I132,0))</f>
        <v>0.99820000000000009</v>
      </c>
      <c r="I132" s="64">
        <f t="shared" si="4"/>
        <v>0</v>
      </c>
      <c r="J132" s="63">
        <f>IF(SUM(E128:E131)&lt;Variables!$B$3,-H131,0)</f>
        <v>-0.99820000000000009</v>
      </c>
      <c r="K132" s="64">
        <f>IF(AND(H131&lt;Variables!$B$6*Variables!$E$50,OR(SUM(D129:D132)&gt;Variables!$B$5,SUM(E129:E132)&gt;Variables!$B$4)),Variables!$B$6*Variables!$E$50+Variables!$B$7*$G$1*Variables!$E$50*SUM(D129:D132),0)</f>
        <v>0</v>
      </c>
      <c r="L132" s="64">
        <f>IF(B132="Winter",Variables!$B$8*H131,0)</f>
        <v>0</v>
      </c>
      <c r="M132" s="64">
        <f>IF(AND(B132="Spring",AND(NOT(H131=0),H131&lt;(Variables!$B$9*Variables!$E$50))),(Variables!$B$10*Variables!$E$50+Variables!$B$11*Variables!$E$50*SUM(E129:E132)+$G$1*SUM(D131:D132)*Variables!$E$50*Variables!$B$12),0)</f>
        <v>0</v>
      </c>
      <c r="N132" s="64">
        <f>IF(AND(B132="Spring",AND(SUM(D129:D132)&gt;Variables!$B$13,SUM(D125:D128)&gt;Variables!$B$13)),-Variables!$B$14*Variables!$E$50,0)</f>
        <v>0</v>
      </c>
      <c r="O132" s="64">
        <f>IF(AND(B132="Summer",SUM(C128:D132)&gt;Variables!$B$15),(Variables!$B$16*Variables!$E$50*SUM(C128:C132)+$G$1*Variables!$B$16*Variables!$E$50*SUM(D128:D132)+$G$1*Variables!$E$50*Variables!$B$17*F132),0)</f>
        <v>0</v>
      </c>
      <c r="P132" s="64">
        <f>IF(AND(AND(B132="Autumn",SUM(D131:E132)&gt;0),NOT(H131=0)),Variables!$B$18*Variables!$E$50+Variables!$B$19*Variables!$E$50*SUM(E131:E132)+$G$1*Variables!$B$19*Variables!$E$50*SUM(D131:D132),0)</f>
        <v>0</v>
      </c>
      <c r="Q132" s="64">
        <f>IF(AND(B132="Autumn",AND((E132+E131)&lt;Variables!$B$20,(D131+D132)=0)),-Variables!$B$21*Variables!$E$50,0)</f>
        <v>0</v>
      </c>
      <c r="R132" s="64">
        <f>IF(B132="Autumn",(SUM(F131:F132)*$G$1*Variables!$B$22*Variables!$E$50),0)</f>
        <v>0</v>
      </c>
      <c r="S132" s="64">
        <f>IF(B132="Spring",($G$1*Variables!$E$50*SUM('Guts (option 1)'!F131:F132)*Variables!$B$23),0)</f>
        <v>0</v>
      </c>
      <c r="T132" s="63">
        <f>IF((H131+SUM(J132:Q132))&lt;(Variables!$B$26*Variables!$E$50),$F$1*((Variables!$B$26*Variables!$E$50)-H131-SUM(J132:Q132)),0)</f>
        <v>0.99820000000000009</v>
      </c>
      <c r="U132" s="64">
        <f>IF(AND(AND(B132="Autumn",SUM(D129:E132)&gt;Variables!$B$27),SUM(J132:Q132)&lt;Variables!$B$28*H131),$F$1*(Variables!$B$28*H131-SUM(J132:Q132)),0)</f>
        <v>0</v>
      </c>
      <c r="V132" s="96">
        <f>IF(AND((J132+K132)=0,(Q132+T132)=0),$H$1*H132*Variables!$I$23*0.25,0)</f>
        <v>0</v>
      </c>
      <c r="W132" s="97">
        <f>IF(AND((K132+J132)=0,(T132+Q132)=0),$I$1*H132*Variables!$Q$23*0.25,0)</f>
        <v>0</v>
      </c>
      <c r="X132" s="95">
        <f>IF(AND(NOT(K132=0),(H132-H131)&gt;0),(H132-H131)*(Variables!$M$5*$H$1+Variables!$U$5*$I$1),0)+IF(AND(NOT((J132+N132+Q132)=0),(H131-H132)&gt;0),(H131-H132)*(Variables!$M$4*$H$1+Variables!$U$4*$I$1),0)</f>
        <v>0</v>
      </c>
      <c r="Y132" s="95">
        <f>IF(SUM(T132,U131:U132)&gt;0,H132*Variables!$Y$11*0.25*(1-$J$1),0)</f>
        <v>0</v>
      </c>
      <c r="Z132" s="95">
        <f>IF(T132=0,H132*$J$1*Variables!$Y$5*0.25,0)</f>
        <v>0</v>
      </c>
      <c r="AA132" s="95">
        <f t="shared" si="2"/>
        <v>0</v>
      </c>
      <c r="AB132" s="91">
        <f>AA132/Variables!$E$49</f>
        <v>0</v>
      </c>
    </row>
    <row r="133" spans="1:28" x14ac:dyDescent="0.25">
      <c r="A133" s="61">
        <f>'Water runs'!C140</f>
        <v>14123</v>
      </c>
      <c r="B133" s="61" t="str">
        <f>'Water runs'!B140</f>
        <v>Winter</v>
      </c>
      <c r="C133" s="54">
        <f>'Water runs'!D140/100</f>
        <v>0.875</v>
      </c>
      <c r="D133" s="108">
        <f>VLOOKUP(ROW(D133)+4,'Water runs'!$BS$3:$CF$423,MATCH($B$1,Scenarios,0)+1)</f>
        <v>4.9813537716054757E-3</v>
      </c>
      <c r="E133" s="54">
        <f>IF(B133=Variables!$D$8,C133-Variables!$E$8,IF(B133=Variables!$D$9,C133-Variables!$E$9,IF(B133=Variables!$D$10,C133-Variables!$E$10,IF(B133=Variables!$D$11,C133-Variables!$E$11,"ELSE"))))</f>
        <v>0.30323237433862427</v>
      </c>
      <c r="F133" s="108">
        <f>VLOOKUP(ROW(F133)+4,'Water runs'!$CH$3:$CU$423,MATCH($B$1,Scenarios,0)+1)</f>
        <v>0</v>
      </c>
      <c r="G133" s="65">
        <f>H133/Variables!$E$49</f>
        <v>0.161</v>
      </c>
      <c r="H133" s="62">
        <f>IF((H132+I133)&gt;(1.1*Variables!$E$50),(1.1*Variables!$E$50),IF((H132+I133)&gt;0,H132+I133,0))</f>
        <v>0.99820000000000009</v>
      </c>
      <c r="I133" s="64">
        <f t="shared" si="4"/>
        <v>0</v>
      </c>
      <c r="J133" s="63">
        <f>IF(SUM(E129:E132)&lt;Variables!$B$3,-H132,0)</f>
        <v>-0.99820000000000009</v>
      </c>
      <c r="K133" s="64">
        <f>IF(AND(H132&lt;Variables!$B$6*Variables!$E$50,OR(SUM(D130:D133)&gt;Variables!$B$5,SUM(E130:E133)&gt;Variables!$B$4)),Variables!$B$6*Variables!$E$50+Variables!$B$7*$G$1*Variables!$E$50*SUM(D130:D133),0)</f>
        <v>0</v>
      </c>
      <c r="L133" s="64">
        <f>IF(B133="Winter",Variables!$B$8*H132,0)</f>
        <v>-0.49704894489176149</v>
      </c>
      <c r="M133" s="64">
        <f>IF(AND(B133="Spring",AND(NOT(H132=0),H132&lt;(Variables!$B$9*Variables!$E$50))),(Variables!$B$10*Variables!$E$50+Variables!$B$11*Variables!$E$50*SUM(E130:E133)+$G$1*SUM(D132:D133)*Variables!$E$50*Variables!$B$12),0)</f>
        <v>0</v>
      </c>
      <c r="N133" s="64">
        <f>IF(AND(B133="Spring",AND(SUM(D130:D133)&gt;Variables!$B$13,SUM(D126:D129)&gt;Variables!$B$13)),-Variables!$B$14*Variables!$E$50,0)</f>
        <v>0</v>
      </c>
      <c r="O133" s="64">
        <f>IF(AND(B133="Summer",SUM(C129:D133)&gt;Variables!$B$15),(Variables!$B$16*Variables!$E$50*SUM(C129:C133)+$G$1*Variables!$B$16*Variables!$E$50*SUM(D129:D133)+$G$1*Variables!$E$50*Variables!$B$17*F133),0)</f>
        <v>0</v>
      </c>
      <c r="P133" s="64">
        <f>IF(AND(AND(B133="Autumn",SUM(D132:E133)&gt;0),NOT(H132=0)),Variables!$B$18*Variables!$E$50+Variables!$B$19*Variables!$E$50*SUM(E132:E133)+$G$1*Variables!$B$19*Variables!$E$50*SUM(D132:D133),0)</f>
        <v>0</v>
      </c>
      <c r="Q133" s="64">
        <f>IF(AND(B133="Autumn",AND((E133+E132)&lt;Variables!$B$20,(D132+D133)=0)),-Variables!$B$21*Variables!$E$50,0)</f>
        <v>0</v>
      </c>
      <c r="R133" s="64">
        <f>IF(B133="Autumn",(SUM(F132:F133)*$G$1*Variables!$B$22*Variables!$E$50),0)</f>
        <v>0</v>
      </c>
      <c r="S133" s="64">
        <f>IF(B133="Spring",($G$1*Variables!$E$50*SUM('Guts (option 1)'!F132:F133)*Variables!$B$23),0)</f>
        <v>0</v>
      </c>
      <c r="T133" s="63">
        <f>IF((H132+SUM(J133:Q133))&lt;(Variables!$B$26*Variables!$E$50),$F$1*((Variables!$B$26*Variables!$E$50)-H132-SUM(J133:Q133)),0)</f>
        <v>1.4952489448917616</v>
      </c>
      <c r="U133" s="64">
        <f>IF(AND(AND(B133="Autumn",SUM(D130:E133)&gt;Variables!$B$27),SUM(J133:Q133)&lt;Variables!$B$28*H132),$F$1*(Variables!$B$28*H132-SUM(J133:Q133)),0)</f>
        <v>0</v>
      </c>
      <c r="V133" s="96">
        <f>IF(AND((J133+K133)=0,(Q133+T133)=0),$H$1*H133*Variables!$I$23*0.25,0)</f>
        <v>0</v>
      </c>
      <c r="W133" s="97">
        <f>IF(AND((K133+J133)=0,(T133+Q133)=0),$I$1*H133*Variables!$Q$23*0.25,0)</f>
        <v>0</v>
      </c>
      <c r="X133" s="95">
        <f>IF(AND(NOT(K133=0),(H133-H132)&gt;0),(H133-H132)*(Variables!$M$5*$H$1+Variables!$U$5*$I$1),0)+IF(AND(NOT((J133+N133+Q133)=0),(H132-H133)&gt;0),(H132-H133)*(Variables!$M$4*$H$1+Variables!$U$4*$I$1),0)</f>
        <v>0</v>
      </c>
      <c r="Y133" s="95">
        <f>IF(SUM(T133,U132:U133)&gt;0,H133*Variables!$Y$11*0.25*(1-$J$1),0)</f>
        <v>0</v>
      </c>
      <c r="Z133" s="95">
        <f>IF(T133=0,H133*$J$1*Variables!$Y$5*0.25,0)</f>
        <v>0</v>
      </c>
      <c r="AA133" s="95">
        <f t="shared" si="2"/>
        <v>0</v>
      </c>
      <c r="AB133" s="91">
        <f>AA133/Variables!$E$49</f>
        <v>0</v>
      </c>
    </row>
    <row r="134" spans="1:28" x14ac:dyDescent="0.25">
      <c r="A134" s="61">
        <f>'Water runs'!C141</f>
        <v>14214</v>
      </c>
      <c r="B134" s="61" t="str">
        <f>'Water runs'!B141</f>
        <v>Spring</v>
      </c>
      <c r="C134" s="54">
        <f>'Water runs'!D141/100</f>
        <v>0.122142857142857</v>
      </c>
      <c r="D134" s="108">
        <f>VLOOKUP(ROW(D134)+4,'Water runs'!$BS$3:$CF$423,MATCH($B$1,Scenarios,0)+1)</f>
        <v>0</v>
      </c>
      <c r="E134" s="54">
        <f>IF(B134=Variables!$D$8,C134-Variables!$E$8,IF(B134=Variables!$D$9,C134-Variables!$E$9,IF(B134=Variables!$D$10,C134-Variables!$E$10,IF(B134=Variables!$D$11,C134-Variables!$E$11,"ELSE"))))</f>
        <v>-0.64183935185185215</v>
      </c>
      <c r="F134" s="108">
        <f>VLOOKUP(ROW(F134)+4,'Water runs'!$CH$3:$CU$423,MATCH($B$1,Scenarios,0)+1)</f>
        <v>0</v>
      </c>
      <c r="G134" s="65">
        <f>H134/Variables!$E$49</f>
        <v>0.161</v>
      </c>
      <c r="H134" s="62">
        <f>IF((H133+I134)&gt;(1.1*Variables!$E$50),(1.1*Variables!$E$50),IF((H133+I134)&gt;0,H133+I134,0))</f>
        <v>0.99820000000000009</v>
      </c>
      <c r="I134" s="64">
        <f t="shared" si="4"/>
        <v>0</v>
      </c>
      <c r="J134" s="63">
        <f>IF(SUM(E130:E133)&lt;Variables!$B$3,-H133,0)</f>
        <v>-0.99820000000000009</v>
      </c>
      <c r="K134" s="64">
        <f>IF(AND(H133&lt;Variables!$B$6*Variables!$E$50,OR(SUM(D131:D134)&gt;Variables!$B$5,SUM(E131:E134)&gt;Variables!$B$4)),Variables!$B$6*Variables!$E$50+Variables!$B$7*$G$1*Variables!$E$50*SUM(D131:D134),0)</f>
        <v>0</v>
      </c>
      <c r="L134" s="64">
        <f>IF(B134="Winter",Variables!$B$8*H133,0)</f>
        <v>0</v>
      </c>
      <c r="M134" s="64">
        <f>IF(AND(B134="Spring",AND(NOT(H133=0),H133&lt;(Variables!$B$9*Variables!$E$50))),(Variables!$B$10*Variables!$E$50+Variables!$B$11*Variables!$E$50*SUM(E131:E134)+$G$1*SUM(D133:D134)*Variables!$E$50*Variables!$B$12),0)</f>
        <v>-1.2771338541778523</v>
      </c>
      <c r="N134" s="64">
        <f>IF(AND(B134="Spring",AND(SUM(D131:D134)&gt;Variables!$B$13,SUM(D127:D130)&gt;Variables!$B$13)),-Variables!$B$14*Variables!$E$50,0)</f>
        <v>0</v>
      </c>
      <c r="O134" s="64">
        <f>IF(AND(B134="Summer",SUM(C130:D134)&gt;Variables!$B$15),(Variables!$B$16*Variables!$E$50*SUM(C130:C134)+$G$1*Variables!$B$16*Variables!$E$50*SUM(D130:D134)+$G$1*Variables!$E$50*Variables!$B$17*F134),0)</f>
        <v>0</v>
      </c>
      <c r="P134" s="64">
        <f>IF(AND(AND(B134="Autumn",SUM(D133:E134)&gt;0),NOT(H133=0)),Variables!$B$18*Variables!$E$50+Variables!$B$19*Variables!$E$50*SUM(E133:E134)+$G$1*Variables!$B$19*Variables!$E$50*SUM(D133:D134),0)</f>
        <v>0</v>
      </c>
      <c r="Q134" s="64">
        <f>IF(AND(B134="Autumn",AND((E134+E133)&lt;Variables!$B$20,(D133+D134)=0)),-Variables!$B$21*Variables!$E$50,0)</f>
        <v>0</v>
      </c>
      <c r="R134" s="64">
        <f>IF(B134="Autumn",(SUM(F133:F134)*$G$1*Variables!$B$22*Variables!$E$50),0)</f>
        <v>0</v>
      </c>
      <c r="S134" s="64">
        <f>IF(B134="Spring",($G$1*Variables!$E$50*SUM('Guts (option 1)'!F133:F134)*Variables!$B$23),0)</f>
        <v>0</v>
      </c>
      <c r="T134" s="63">
        <f>IF((H133+SUM(J134:Q134))&lt;(Variables!$B$26*Variables!$E$50),$F$1*((Variables!$B$26*Variables!$E$50)-H133-SUM(J134:Q134)),0)</f>
        <v>2.2753338541778523</v>
      </c>
      <c r="U134" s="64">
        <f>IF(AND(AND(B134="Autumn",SUM(D131:E134)&gt;Variables!$B$27),SUM(J134:Q134)&lt;Variables!$B$28*H133),$F$1*(Variables!$B$28*H133-SUM(J134:Q134)),0)</f>
        <v>0</v>
      </c>
      <c r="V134" s="96">
        <f>IF(AND((J134+K134)=0,(Q134+T134)=0),$H$1*H134*Variables!$I$23*0.25,0)</f>
        <v>0</v>
      </c>
      <c r="W134" s="97">
        <f>IF(AND((K134+J134)=0,(T134+Q134)=0),$I$1*H134*Variables!$Q$23*0.25,0)</f>
        <v>0</v>
      </c>
      <c r="X134" s="95">
        <f>IF(AND(NOT(K134=0),(H134-H133)&gt;0),(H134-H133)*(Variables!$M$5*$H$1+Variables!$U$5*$I$1),0)+IF(AND(NOT((J134+N134+Q134)=0),(H133-H134)&gt;0),(H133-H134)*(Variables!$M$4*$H$1+Variables!$U$4*$I$1),0)</f>
        <v>0</v>
      </c>
      <c r="Y134" s="95">
        <f>IF(SUM(T134,U133:U134)&gt;0,H134*Variables!$Y$11*0.25*(1-$J$1),0)</f>
        <v>0</v>
      </c>
      <c r="Z134" s="95">
        <f>IF(T134=0,H134*$J$1*Variables!$Y$5*0.25,0)</f>
        <v>0</v>
      </c>
      <c r="AA134" s="95">
        <f t="shared" si="2"/>
        <v>0</v>
      </c>
      <c r="AB134" s="91">
        <f>AA134/Variables!$E$49</f>
        <v>0</v>
      </c>
    </row>
    <row r="135" spans="1:28" x14ac:dyDescent="0.25">
      <c r="A135" s="61">
        <f>'Water runs'!C142</f>
        <v>14304</v>
      </c>
      <c r="B135" s="61" t="str">
        <f>'Water runs'!B142</f>
        <v>Summer</v>
      </c>
      <c r="C135" s="54">
        <f>'Water runs'!D142/100</f>
        <v>0.85549999999999993</v>
      </c>
      <c r="D135" s="108">
        <f>VLOOKUP(ROW(D135)+4,'Water runs'!$BS$3:$CF$423,MATCH($B$1,Scenarios,0)+1)</f>
        <v>5.7774804234396156E-3</v>
      </c>
      <c r="E135" s="54">
        <f>IF(B135=Variables!$D$8,C135-Variables!$E$8,IF(B135=Variables!$D$9,C135-Variables!$E$9,IF(B135=Variables!$D$10,C135-Variables!$E$10,IF(B135=Variables!$D$11,C135-Variables!$E$11,"ELSE"))))</f>
        <v>-0.40287013605442179</v>
      </c>
      <c r="F135" s="108">
        <f>VLOOKUP(ROW(F135)+4,'Water runs'!$CH$3:$CU$423,MATCH($B$1,Scenarios,0)+1)</f>
        <v>0</v>
      </c>
      <c r="G135" s="65">
        <f>H135/Variables!$E$49</f>
        <v>0.161</v>
      </c>
      <c r="H135" s="62">
        <f>IF((H134+I135)&gt;(1.1*Variables!$E$50),(1.1*Variables!$E$50),IF((H134+I135)&gt;0,H134+I135,0))</f>
        <v>0.99820000000000009</v>
      </c>
      <c r="I135" s="64">
        <f t="shared" si="4"/>
        <v>0</v>
      </c>
      <c r="J135" s="63">
        <f>IF(SUM(E131:E134)&lt;Variables!$B$3,-H134,0)</f>
        <v>-0.99820000000000009</v>
      </c>
      <c r="K135" s="64">
        <f>IF(AND(H134&lt;Variables!$B$6*Variables!$E$50,OR(SUM(D132:D135)&gt;Variables!$B$5,SUM(E132:E135)&gt;Variables!$B$4)),Variables!$B$6*Variables!$E$50+Variables!$B$7*$G$1*Variables!$E$50*SUM(D132:D135),0)</f>
        <v>0</v>
      </c>
      <c r="L135" s="64">
        <f>IF(B135="Winter",Variables!$B$8*H134,0)</f>
        <v>0</v>
      </c>
      <c r="M135" s="64">
        <f>IF(AND(B135="Spring",AND(NOT(H134=0),H134&lt;(Variables!$B$9*Variables!$E$50))),(Variables!$B$10*Variables!$E$50+Variables!$B$11*Variables!$E$50*SUM(E132:E135)+$G$1*SUM(D134:D135)*Variables!$E$50*Variables!$B$12),0)</f>
        <v>0</v>
      </c>
      <c r="N135" s="64">
        <f>IF(AND(B135="Spring",AND(SUM(D132:D135)&gt;Variables!$B$13,SUM(D128:D131)&gt;Variables!$B$13)),-Variables!$B$14*Variables!$E$50,0)</f>
        <v>0</v>
      </c>
      <c r="O135" s="64">
        <f>IF(AND(B135="Summer",SUM(C131:D135)&gt;Variables!$B$15),(Variables!$B$16*Variables!$E$50*SUM(C131:C135)+$G$1*Variables!$B$16*Variables!$E$50*SUM(D131:D135)+$G$1*Variables!$E$50*Variables!$B$17*F135),0)</f>
        <v>0</v>
      </c>
      <c r="P135" s="64">
        <f>IF(AND(AND(B135="Autumn",SUM(D134:E135)&gt;0),NOT(H134=0)),Variables!$B$18*Variables!$E$50+Variables!$B$19*Variables!$E$50*SUM(E134:E135)+$G$1*Variables!$B$19*Variables!$E$50*SUM(D134:D135),0)</f>
        <v>0</v>
      </c>
      <c r="Q135" s="64">
        <f>IF(AND(B135="Autumn",AND((E135+E134)&lt;Variables!$B$20,(D134+D135)=0)),-Variables!$B$21*Variables!$E$50,0)</f>
        <v>0</v>
      </c>
      <c r="R135" s="64">
        <f>IF(B135="Autumn",(SUM(F134:F135)*$G$1*Variables!$B$22*Variables!$E$50),0)</f>
        <v>0</v>
      </c>
      <c r="S135" s="64">
        <f>IF(B135="Spring",($G$1*Variables!$E$50*SUM('Guts (option 1)'!F134:F135)*Variables!$B$23),0)</f>
        <v>0</v>
      </c>
      <c r="T135" s="63">
        <f>IF((H134+SUM(J135:Q135))&lt;(Variables!$B$26*Variables!$E$50),$F$1*((Variables!$B$26*Variables!$E$50)-H134-SUM(J135:Q135)),0)</f>
        <v>0.99820000000000009</v>
      </c>
      <c r="U135" s="64">
        <f>IF(AND(AND(B135="Autumn",SUM(D132:E135)&gt;Variables!$B$27),SUM(J135:Q135)&lt;Variables!$B$28*H134),$F$1*(Variables!$B$28*H134-SUM(J135:Q135)),0)</f>
        <v>0</v>
      </c>
      <c r="V135" s="96">
        <f>IF(AND((J135+K135)=0,(Q135+T135)=0),$H$1*H135*Variables!$I$23*0.25,0)</f>
        <v>0</v>
      </c>
      <c r="W135" s="97">
        <f>IF(AND((K135+J135)=0,(T135+Q135)=0),$I$1*H135*Variables!$Q$23*0.25,0)</f>
        <v>0</v>
      </c>
      <c r="X135" s="95">
        <f>IF(AND(NOT(K135=0),(H135-H134)&gt;0),(H135-H134)*(Variables!$M$5*$H$1+Variables!$U$5*$I$1),0)+IF(AND(NOT((J135+N135+Q135)=0),(H134-H135)&gt;0),(H134-H135)*(Variables!$M$4*$H$1+Variables!$U$4*$I$1),0)</f>
        <v>0</v>
      </c>
      <c r="Y135" s="95">
        <f>IF(SUM(T135,U134:U135)&gt;0,H135*Variables!$Y$11*0.25*(1-$J$1),0)</f>
        <v>0</v>
      </c>
      <c r="Z135" s="95">
        <f>IF(T135=0,H135*$J$1*Variables!$Y$5*0.25,0)</f>
        <v>0</v>
      </c>
      <c r="AA135" s="95">
        <f t="shared" si="2"/>
        <v>0</v>
      </c>
      <c r="AB135" s="91">
        <f>AA135/Variables!$E$49</f>
        <v>0</v>
      </c>
    </row>
    <row r="136" spans="1:28" x14ac:dyDescent="0.25">
      <c r="A136" s="61">
        <f>'Water runs'!C143</f>
        <v>14396</v>
      </c>
      <c r="B136" s="61" t="str">
        <f>'Water runs'!B143</f>
        <v>Autumn</v>
      </c>
      <c r="C136" s="54">
        <f>'Water runs'!D143/100</f>
        <v>1.2301428571428601</v>
      </c>
      <c r="D136" s="108">
        <f>VLOOKUP(ROW(D136)+4,'Water runs'!$BS$3:$CF$423,MATCH($B$1,Scenarios,0)+1)</f>
        <v>7.6155789040293267E-3</v>
      </c>
      <c r="E136" s="54">
        <f>IF(B136=Variables!$D$8,C136-Variables!$E$8,IF(B136=Variables!$D$9,C136-Variables!$E$9,IF(B136=Variables!$D$10,C136-Variables!$E$10,IF(B136=Variables!$D$11,C136-Variables!$E$11,"ELSE"))))</f>
        <v>0.23549955782313226</v>
      </c>
      <c r="F136" s="108">
        <f>VLOOKUP(ROW(F136)+4,'Water runs'!$CH$3:$CU$423,MATCH($B$1,Scenarios,0)+1)</f>
        <v>0</v>
      </c>
      <c r="G136" s="65">
        <f>H136/Variables!$E$49</f>
        <v>0.161</v>
      </c>
      <c r="H136" s="62">
        <f>IF((H135+I136)&gt;(1.1*Variables!$E$50),(1.1*Variables!$E$50),IF((H135+I136)&gt;0,H135+I136,0))</f>
        <v>0.99820000000000009</v>
      </c>
      <c r="I136" s="64">
        <f t="shared" si="4"/>
        <v>0</v>
      </c>
      <c r="J136" s="63">
        <f>IF(SUM(E132:E135)&lt;Variables!$B$3,-H135,0)</f>
        <v>0</v>
      </c>
      <c r="K136" s="64">
        <f>IF(AND(H135&lt;Variables!$B$6*Variables!$E$50,OR(SUM(D133:D136)&gt;Variables!$B$5,SUM(E133:E136)&gt;Variables!$B$4)),Variables!$B$6*Variables!$E$50+Variables!$B$7*$G$1*Variables!$E$50*SUM(D133:D136),0)</f>
        <v>0</v>
      </c>
      <c r="L136" s="64">
        <f>IF(B136="Winter",Variables!$B$8*H135,0)</f>
        <v>0</v>
      </c>
      <c r="M136" s="64">
        <f>IF(AND(B136="Spring",AND(NOT(H135=0),H135&lt;(Variables!$B$9*Variables!$E$50))),(Variables!$B$10*Variables!$E$50+Variables!$B$11*Variables!$E$50*SUM(E133:E136)+$G$1*SUM(D135:D136)*Variables!$E$50*Variables!$B$12),0)</f>
        <v>0</v>
      </c>
      <c r="N136" s="64">
        <f>IF(AND(B136="Spring",AND(SUM(D133:D136)&gt;Variables!$B$13,SUM(D129:D132)&gt;Variables!$B$13)),-Variables!$B$14*Variables!$E$50,0)</f>
        <v>0</v>
      </c>
      <c r="O136" s="64">
        <f>IF(AND(B136="Summer",SUM(C132:D136)&gt;Variables!$B$15),(Variables!$B$16*Variables!$E$50*SUM(C132:C136)+$G$1*Variables!$B$16*Variables!$E$50*SUM(D132:D136)+$G$1*Variables!$E$50*Variables!$B$17*F136),0)</f>
        <v>0</v>
      </c>
      <c r="P136" s="64">
        <f>IF(AND(AND(B136="Autumn",SUM(D135:E136)&gt;0),NOT(H135=0)),Variables!$B$18*Variables!$E$50+Variables!$B$19*Variables!$E$50*SUM(E135:E136)+$G$1*Variables!$B$19*Variables!$E$50*SUM(D135:D136),0)</f>
        <v>0</v>
      </c>
      <c r="Q136" s="64">
        <f>IF(AND(B136="Autumn",AND((E136+E135)&lt;Variables!$B$20,(D135+D136)=0)),-Variables!$B$21*Variables!$E$50,0)</f>
        <v>0</v>
      </c>
      <c r="R136" s="64">
        <f>IF(B136="Autumn",(SUM(F135:F136)*$G$1*Variables!$B$22*Variables!$E$50),0)</f>
        <v>0</v>
      </c>
      <c r="S136" s="64">
        <f>IF(B136="Spring",($G$1*Variables!$E$50*SUM('Guts (option 1)'!F135:F136)*Variables!$B$23),0)</f>
        <v>0</v>
      </c>
      <c r="T136" s="63">
        <f>IF((H135+SUM(J136:Q136))&lt;(Variables!$B$26*Variables!$E$50),$F$1*((Variables!$B$26*Variables!$E$50)-H135-SUM(J136:Q136)),0)</f>
        <v>0</v>
      </c>
      <c r="U136" s="64">
        <f>IF(AND(AND(B136="Autumn",SUM(D133:E136)&gt;Variables!$B$27),SUM(J136:Q136)&lt;Variables!$B$28*H135),$F$1*(Variables!$B$28*H135-SUM(J136:Q136)),0)</f>
        <v>0</v>
      </c>
      <c r="V136" s="96">
        <f>IF(AND((J136+K136)=0,(Q136+T136)=0),$H$1*H136*Variables!$I$23*0.25,0)</f>
        <v>19.235463730000003</v>
      </c>
      <c r="W136" s="97">
        <f>IF(AND((K136+J136)=0,(T136+Q136)=0),$I$1*H136*Variables!$Q$23*0.25,0)</f>
        <v>20.13444265</v>
      </c>
      <c r="X136" s="95">
        <f>IF(AND(NOT(K136=0),(H136-H135)&gt;0),(H136-H135)*(Variables!$M$5*$H$1+Variables!$U$5*$I$1),0)+IF(AND(NOT((J136+N136+Q136)=0),(H135-H136)&gt;0),(H135-H136)*(Variables!$M$4*$H$1+Variables!$U$4*$I$1),0)</f>
        <v>0</v>
      </c>
      <c r="Y136" s="95">
        <f>IF(SUM(T136,U135:U136)&gt;0,H136*Variables!$Y$11*0.25*(1-$J$1),0)</f>
        <v>0</v>
      </c>
      <c r="Z136" s="95">
        <f>IF(T136=0,H136*$J$1*Variables!$Y$5*0.25,0)</f>
        <v>6.4883000000000006</v>
      </c>
      <c r="AA136" s="95">
        <f t="shared" si="2"/>
        <v>45.858206380000006</v>
      </c>
      <c r="AB136" s="91">
        <f>AA136/Variables!$E$49</f>
        <v>7.3964849000000008</v>
      </c>
    </row>
    <row r="137" spans="1:28" x14ac:dyDescent="0.25">
      <c r="A137" s="61">
        <f>'Water runs'!C144</f>
        <v>14488</v>
      </c>
      <c r="B137" s="61" t="str">
        <f>'Water runs'!B144</f>
        <v>Winter</v>
      </c>
      <c r="C137" s="54">
        <f>'Water runs'!D144/100</f>
        <v>1.1114285714285699</v>
      </c>
      <c r="D137" s="108">
        <f>VLOOKUP(ROW(D137)+4,'Water runs'!$BS$3:$CF$423,MATCH($B$1,Scenarios,0)+1)</f>
        <v>0</v>
      </c>
      <c r="E137" s="54">
        <f>IF(B137=Variables!$D$8,C137-Variables!$E$8,IF(B137=Variables!$D$9,C137-Variables!$E$9,IF(B137=Variables!$D$10,C137-Variables!$E$10,IF(B137=Variables!$D$11,C137-Variables!$E$11,"ELSE"))))</f>
        <v>0.53966094576719414</v>
      </c>
      <c r="F137" s="108">
        <f>VLOOKUP(ROW(F137)+4,'Water runs'!$CH$3:$CU$423,MATCH($B$1,Scenarios,0)+1)</f>
        <v>0</v>
      </c>
      <c r="G137" s="65">
        <f>H137/Variables!$E$49</f>
        <v>0.26494429408763359</v>
      </c>
      <c r="H137" s="62">
        <f>IF((H136+I137)&gt;(1.1*Variables!$E$50),(1.1*Variables!$E$50),IF((H136+I137)&gt;0,H136+I137,0))</f>
        <v>1.6426546233433283</v>
      </c>
      <c r="I137" s="64">
        <f t="shared" si="4"/>
        <v>0.64445462334332815</v>
      </c>
      <c r="J137" s="63">
        <f>IF(SUM(E133:E136)&lt;Variables!$B$3,-H136,0)</f>
        <v>0</v>
      </c>
      <c r="K137" s="64">
        <f>IF(AND(H136&lt;Variables!$B$6*Variables!$E$50,OR(SUM(D134:D137)&gt;Variables!$B$5,SUM(E134:E137)&gt;Variables!$B$4)),Variables!$B$6*Variables!$E$50+Variables!$B$7*$G$1*Variables!$E$50*SUM(D134:D137),0)</f>
        <v>1.1415035682350896</v>
      </c>
      <c r="L137" s="64">
        <f>IF(B137="Winter",Variables!$B$8*H136,0)</f>
        <v>-0.49704894489176149</v>
      </c>
      <c r="M137" s="64">
        <f>IF(AND(B137="Spring",AND(NOT(H136=0),H136&lt;(Variables!$B$9*Variables!$E$50))),(Variables!$B$10*Variables!$E$50+Variables!$B$11*Variables!$E$50*SUM(E134:E137)+$G$1*SUM(D136:D137)*Variables!$E$50*Variables!$B$12),0)</f>
        <v>0</v>
      </c>
      <c r="N137" s="64">
        <f>IF(AND(B137="Spring",AND(SUM(D134:D137)&gt;Variables!$B$13,SUM(D130:D133)&gt;Variables!$B$13)),-Variables!$B$14*Variables!$E$50,0)</f>
        <v>0</v>
      </c>
      <c r="O137" s="64">
        <f>IF(AND(B137="Summer",SUM(C133:D137)&gt;Variables!$B$15),(Variables!$B$16*Variables!$E$50*SUM(C133:C137)+$G$1*Variables!$B$16*Variables!$E$50*SUM(D133:D137)+$G$1*Variables!$E$50*Variables!$B$17*F137),0)</f>
        <v>0</v>
      </c>
      <c r="P137" s="64">
        <f>IF(AND(AND(B137="Autumn",SUM(D136:E137)&gt;0),NOT(H136=0)),Variables!$B$18*Variables!$E$50+Variables!$B$19*Variables!$E$50*SUM(E136:E137)+$G$1*Variables!$B$19*Variables!$E$50*SUM(D136:D137),0)</f>
        <v>0</v>
      </c>
      <c r="Q137" s="64">
        <f>IF(AND(B137="Autumn",AND((E137+E136)&lt;Variables!$B$20,(D136+D137)=0)),-Variables!$B$21*Variables!$E$50,0)</f>
        <v>0</v>
      </c>
      <c r="R137" s="64">
        <f>IF(B137="Autumn",(SUM(F136:F137)*$G$1*Variables!$B$22*Variables!$E$50),0)</f>
        <v>0</v>
      </c>
      <c r="S137" s="64">
        <f>IF(B137="Spring",($G$1*Variables!$E$50*SUM('Guts (option 1)'!F136:F137)*Variables!$B$23),0)</f>
        <v>0</v>
      </c>
      <c r="T137" s="63">
        <f>IF((H136+SUM(J137:Q137))&lt;(Variables!$B$26*Variables!$E$50),$F$1*((Variables!$B$26*Variables!$E$50)-H136-SUM(J137:Q137)),0)</f>
        <v>0</v>
      </c>
      <c r="U137" s="64">
        <f>IF(AND(AND(B137="Autumn",SUM(D134:E137)&gt;Variables!$B$27),SUM(J137:Q137)&lt;Variables!$B$28*H136),$F$1*(Variables!$B$28*H136-SUM(J137:Q137)),0)</f>
        <v>0</v>
      </c>
      <c r="V137" s="96">
        <f>IF(AND((J137+K137)=0,(Q137+T137)=0),$H$1*H137*Variables!$I$23*0.25,0)</f>
        <v>0</v>
      </c>
      <c r="W137" s="97">
        <f>IF(AND((K137+J137)=0,(T137+Q137)=0),$I$1*H137*Variables!$Q$23*0.25,0)</f>
        <v>0</v>
      </c>
      <c r="X137" s="95">
        <f>IF(AND(NOT(K137=0),(H137-H136)&gt;0),(H137-H136)*(Variables!$M$5*$H$1+Variables!$U$5*$I$1),0)+IF(AND(NOT((J137+N137+Q137)=0),(H136-H137)&gt;0),(H136-H137)*(Variables!$M$4*$H$1+Variables!$U$4*$I$1),0)</f>
        <v>-161.11365583583208</v>
      </c>
      <c r="Y137" s="95">
        <f>IF(SUM(T137,U136:U137)&gt;0,H137*Variables!$Y$11*0.25*(1-$J$1),0)</f>
        <v>0</v>
      </c>
      <c r="Z137" s="95">
        <f>IF(T137=0,H137*$J$1*Variables!$Y$5*0.25,0)</f>
        <v>10.677255051731635</v>
      </c>
      <c r="AA137" s="95">
        <f t="shared" si="2"/>
        <v>-150.43640078410044</v>
      </c>
      <c r="AB137" s="91">
        <f>AA137/Variables!$E$49</f>
        <v>-24.26393561033878</v>
      </c>
    </row>
    <row r="138" spans="1:28" x14ac:dyDescent="0.25">
      <c r="A138" s="61">
        <f>'Water runs'!C145</f>
        <v>14579</v>
      </c>
      <c r="B138" s="61" t="str">
        <f>'Water runs'!B145</f>
        <v>Spring</v>
      </c>
      <c r="C138" s="54">
        <f>'Water runs'!D145/100</f>
        <v>0.35166666666666702</v>
      </c>
      <c r="D138" s="108">
        <f>VLOOKUP(ROW(D138)+4,'Water runs'!$BS$3:$CF$423,MATCH($B$1,Scenarios,0)+1)</f>
        <v>0</v>
      </c>
      <c r="E138" s="54">
        <f>IF(B138=Variables!$D$8,C138-Variables!$E$8,IF(B138=Variables!$D$9,C138-Variables!$E$9,IF(B138=Variables!$D$10,C138-Variables!$E$10,IF(B138=Variables!$D$11,C138-Variables!$E$11,"ELSE"))))</f>
        <v>-0.41231554232804213</v>
      </c>
      <c r="F138" s="108">
        <f>VLOOKUP(ROW(F138)+4,'Water runs'!$CH$3:$CU$423,MATCH($B$1,Scenarios,0)+1)</f>
        <v>0</v>
      </c>
      <c r="G138" s="65">
        <f>H138/Variables!$E$49</f>
        <v>0.26054758230892516</v>
      </c>
      <c r="H138" s="62">
        <f>IF((H137+I138)&gt;(1.1*Variables!$E$50),(1.1*Variables!$E$50),IF((H137+I138)&gt;0,H137+I138,0))</f>
        <v>1.6153950103153361</v>
      </c>
      <c r="I138" s="64">
        <f t="shared" si="4"/>
        <v>-2.7259613027992395E-2</v>
      </c>
      <c r="J138" s="63">
        <f>IF(SUM(E134:E137)&lt;Variables!$B$3,-H137,0)</f>
        <v>0</v>
      </c>
      <c r="K138" s="64">
        <f>IF(AND(H137&lt;Variables!$B$6*Variables!$E$50,OR(SUM(D135:D138)&gt;Variables!$B$5,SUM(E135:E138)&gt;Variables!$B$4)),Variables!$B$6*Variables!$E$50+Variables!$B$7*$G$1*Variables!$E$50*SUM(D135:D138),0)</f>
        <v>0</v>
      </c>
      <c r="L138" s="64">
        <f>IF(B138="Winter",Variables!$B$8*H137,0)</f>
        <v>0</v>
      </c>
      <c r="M138" s="64">
        <f>IF(AND(B138="Spring",AND(NOT(H137=0),H137&lt;(Variables!$B$9*Variables!$E$50))),(Variables!$B$10*Variables!$E$50+Variables!$B$11*Variables!$E$50*SUM(E135:E138)+$G$1*SUM(D137:D138)*Variables!$E$50*Variables!$B$12),0)</f>
        <v>-2.7259613027992395E-2</v>
      </c>
      <c r="N138" s="64">
        <f>IF(AND(B138="Spring",AND(SUM(D135:D138)&gt;Variables!$B$13,SUM(D131:D134)&gt;Variables!$B$13)),-Variables!$B$14*Variables!$E$50,0)</f>
        <v>0</v>
      </c>
      <c r="O138" s="64">
        <f>IF(AND(B138="Summer",SUM(C134:D138)&gt;Variables!$B$15),(Variables!$B$16*Variables!$E$50*SUM(C134:C138)+$G$1*Variables!$B$16*Variables!$E$50*SUM(D134:D138)+$G$1*Variables!$E$50*Variables!$B$17*F138),0)</f>
        <v>0</v>
      </c>
      <c r="P138" s="64">
        <f>IF(AND(AND(B138="Autumn",SUM(D137:E138)&gt;0),NOT(H137=0)),Variables!$B$18*Variables!$E$50+Variables!$B$19*Variables!$E$50*SUM(E137:E138)+$G$1*Variables!$B$19*Variables!$E$50*SUM(D137:D138),0)</f>
        <v>0</v>
      </c>
      <c r="Q138" s="64">
        <f>IF(AND(B138="Autumn",AND((E138+E137)&lt;Variables!$B$20,(D137+D138)=0)),-Variables!$B$21*Variables!$E$50,0)</f>
        <v>0</v>
      </c>
      <c r="R138" s="64">
        <f>IF(B138="Autumn",(SUM(F137:F138)*$G$1*Variables!$B$22*Variables!$E$50),0)</f>
        <v>0</v>
      </c>
      <c r="S138" s="64">
        <f>IF(B138="Spring",($G$1*Variables!$E$50*SUM('Guts (option 1)'!F137:F138)*Variables!$B$23),0)</f>
        <v>0</v>
      </c>
      <c r="T138" s="63">
        <f>IF((H137+SUM(J138:Q138))&lt;(Variables!$B$26*Variables!$E$50),$F$1*((Variables!$B$26*Variables!$E$50)-H137-SUM(J138:Q138)),0)</f>
        <v>0</v>
      </c>
      <c r="U138" s="64">
        <f>IF(AND(AND(B138="Autumn",SUM(D135:E138)&gt;Variables!$B$27),SUM(J138:Q138)&lt;Variables!$B$28*H137),$F$1*(Variables!$B$28*H137-SUM(J138:Q138)),0)</f>
        <v>0</v>
      </c>
      <c r="V138" s="96">
        <f>IF(AND((J138+K138)=0,(Q138+T138)=0),$H$1*H138*Variables!$I$23*0.25,0)</f>
        <v>31.128904158028075</v>
      </c>
      <c r="W138" s="97">
        <f>IF(AND((K138+J138)=0,(T138+Q138)=0),$I$1*H138*Variables!$Q$23*0.25,0)</f>
        <v>32.583728904318065</v>
      </c>
      <c r="X138" s="95">
        <f>IF(AND(NOT(K138=0),(H138-H137)&gt;0),(H138-H137)*(Variables!$M$5*$H$1+Variables!$U$5*$I$1),0)+IF(AND(NOT((J138+N138+Q138)=0),(H137-H138)&gt;0),(H137-H138)*(Variables!$M$4*$H$1+Variables!$U$4*$I$1),0)</f>
        <v>0</v>
      </c>
      <c r="Y138" s="95">
        <f>IF(SUM(T138,U137:U138)&gt;0,H138*Variables!$Y$11*0.25*(1-$J$1),0)</f>
        <v>0</v>
      </c>
      <c r="Z138" s="95">
        <f>IF(T138=0,H138*$J$1*Variables!$Y$5*0.25,0)</f>
        <v>10.500067567049685</v>
      </c>
      <c r="AA138" s="95">
        <f t="shared" si="2"/>
        <v>74.212700629395826</v>
      </c>
      <c r="AB138" s="91">
        <f>AA138/Variables!$E$49</f>
        <v>11.9697904240961</v>
      </c>
    </row>
    <row r="139" spans="1:28" x14ac:dyDescent="0.25">
      <c r="A139" s="61">
        <f>'Water runs'!C146</f>
        <v>14669</v>
      </c>
      <c r="B139" s="61" t="str">
        <f>'Water runs'!B146</f>
        <v>Summer</v>
      </c>
      <c r="C139" s="54">
        <f>'Water runs'!D146/100</f>
        <v>0.32426190476190497</v>
      </c>
      <c r="D139" s="108">
        <f>VLOOKUP(ROW(D139)+4,'Water runs'!$BS$3:$CF$423,MATCH($B$1,Scenarios,0)+1)</f>
        <v>3.6154680559624384E-3</v>
      </c>
      <c r="E139" s="54">
        <f>IF(B139=Variables!$D$8,C139-Variables!$E$8,IF(B139=Variables!$D$9,C139-Variables!$E$9,IF(B139=Variables!$D$10,C139-Variables!$E$10,IF(B139=Variables!$D$11,C139-Variables!$E$11,"ELSE"))))</f>
        <v>-0.93410823129251674</v>
      </c>
      <c r="F139" s="108">
        <f>VLOOKUP(ROW(F139)+4,'Water runs'!$CH$3:$CU$423,MATCH($B$1,Scenarios,0)+1)</f>
        <v>0</v>
      </c>
      <c r="G139" s="65">
        <f>H139/Variables!$E$49</f>
        <v>0.26054758230892516</v>
      </c>
      <c r="H139" s="62">
        <f>IF((H138+I139)&gt;(1.1*Variables!$E$50),(1.1*Variables!$E$50),IF((H138+I139)&gt;0,H138+I139,0))</f>
        <v>1.6153950103153361</v>
      </c>
      <c r="I139" s="64">
        <f t="shared" si="4"/>
        <v>0</v>
      </c>
      <c r="J139" s="63">
        <f>IF(SUM(E135:E138)&lt;Variables!$B$3,-H138,0)</f>
        <v>0</v>
      </c>
      <c r="K139" s="64">
        <f>IF(AND(H138&lt;Variables!$B$6*Variables!$E$50,OR(SUM(D136:D139)&gt;Variables!$B$5,SUM(E136:E139)&gt;Variables!$B$4)),Variables!$B$6*Variables!$E$50+Variables!$B$7*$G$1*Variables!$E$50*SUM(D136:D139),0)</f>
        <v>0</v>
      </c>
      <c r="L139" s="64">
        <f>IF(B139="Winter",Variables!$B$8*H138,0)</f>
        <v>0</v>
      </c>
      <c r="M139" s="64">
        <f>IF(AND(B139="Spring",AND(NOT(H138=0),H138&lt;(Variables!$B$9*Variables!$E$50))),(Variables!$B$10*Variables!$E$50+Variables!$B$11*Variables!$E$50*SUM(E136:E139)+$G$1*SUM(D138:D139)*Variables!$E$50*Variables!$B$12),0)</f>
        <v>0</v>
      </c>
      <c r="N139" s="64">
        <f>IF(AND(B139="Spring",AND(SUM(D136:D139)&gt;Variables!$B$13,SUM(D132:D135)&gt;Variables!$B$13)),-Variables!$B$14*Variables!$E$50,0)</f>
        <v>0</v>
      </c>
      <c r="O139" s="64">
        <f>IF(AND(B139="Summer",SUM(C135:D139)&gt;Variables!$B$15),(Variables!$B$16*Variables!$E$50*SUM(C135:C139)+$G$1*Variables!$B$16*Variables!$E$50*SUM(D135:D139)+$G$1*Variables!$E$50*Variables!$B$17*F139),0)</f>
        <v>0</v>
      </c>
      <c r="P139" s="64">
        <f>IF(AND(AND(B139="Autumn",SUM(D138:E139)&gt;0),NOT(H138=0)),Variables!$B$18*Variables!$E$50+Variables!$B$19*Variables!$E$50*SUM(E138:E139)+$G$1*Variables!$B$19*Variables!$E$50*SUM(D138:D139),0)</f>
        <v>0</v>
      </c>
      <c r="Q139" s="64">
        <f>IF(AND(B139="Autumn",AND((E139+E138)&lt;Variables!$B$20,(D138+D139)=0)),-Variables!$B$21*Variables!$E$50,0)</f>
        <v>0</v>
      </c>
      <c r="R139" s="64">
        <f>IF(B139="Autumn",(SUM(F138:F139)*$G$1*Variables!$B$22*Variables!$E$50),0)</f>
        <v>0</v>
      </c>
      <c r="S139" s="64">
        <f>IF(B139="Spring",($G$1*Variables!$E$50*SUM('Guts (option 1)'!F138:F139)*Variables!$B$23),0)</f>
        <v>0</v>
      </c>
      <c r="T139" s="63">
        <f>IF((H138+SUM(J139:Q139))&lt;(Variables!$B$26*Variables!$E$50),$F$1*((Variables!$B$26*Variables!$E$50)-H138-SUM(J139:Q139)),0)</f>
        <v>0</v>
      </c>
      <c r="U139" s="64">
        <f>IF(AND(AND(B139="Autumn",SUM(D136:E139)&gt;Variables!$B$27),SUM(J139:Q139)&lt;Variables!$B$28*H138),$F$1*(Variables!$B$28*H138-SUM(J139:Q139)),0)</f>
        <v>0</v>
      </c>
      <c r="V139" s="96">
        <f>IF(AND((J139+K139)=0,(Q139+T139)=0),$H$1*H139*Variables!$I$23*0.25,0)</f>
        <v>31.128904158028075</v>
      </c>
      <c r="W139" s="97">
        <f>IF(AND((K139+J139)=0,(T139+Q139)=0),$I$1*H139*Variables!$Q$23*0.25,0)</f>
        <v>32.583728904318065</v>
      </c>
      <c r="X139" s="95">
        <f>IF(AND(NOT(K139=0),(H139-H138)&gt;0),(H139-H138)*(Variables!$M$5*$H$1+Variables!$U$5*$I$1),0)+IF(AND(NOT((J139+N139+Q139)=0),(H138-H139)&gt;0),(H138-H139)*(Variables!$M$4*$H$1+Variables!$U$4*$I$1),0)</f>
        <v>0</v>
      </c>
      <c r="Y139" s="95">
        <f>IF(SUM(T139,U138:U139)&gt;0,H139*Variables!$Y$11*0.25*(1-$J$1),0)</f>
        <v>0</v>
      </c>
      <c r="Z139" s="95">
        <f>IF(T139=0,H139*$J$1*Variables!$Y$5*0.25,0)</f>
        <v>10.500067567049685</v>
      </c>
      <c r="AA139" s="95">
        <f t="shared" si="2"/>
        <v>74.212700629395826</v>
      </c>
      <c r="AB139" s="91">
        <f>AA139/Variables!$E$49</f>
        <v>11.9697904240961</v>
      </c>
    </row>
    <row r="140" spans="1:28" x14ac:dyDescent="0.25">
      <c r="A140" s="61">
        <f>'Water runs'!C147</f>
        <v>14762</v>
      </c>
      <c r="B140" s="61" t="str">
        <f>'Water runs'!B147</f>
        <v>Autumn</v>
      </c>
      <c r="C140" s="54">
        <f>'Water runs'!D147/100</f>
        <v>0.91014285714285703</v>
      </c>
      <c r="D140" s="108">
        <f>VLOOKUP(ROW(D140)+4,'Water runs'!$BS$3:$CF$423,MATCH($B$1,Scenarios,0)+1)</f>
        <v>1.7062051164300589E-2</v>
      </c>
      <c r="E140" s="54">
        <f>IF(B140=Variables!$D$8,C140-Variables!$E$8,IF(B140=Variables!$D$9,C140-Variables!$E$9,IF(B140=Variables!$D$10,C140-Variables!$E$10,IF(B140=Variables!$D$11,C140-Variables!$E$11,"ELSE"))))</f>
        <v>-8.4500442176870805E-2</v>
      </c>
      <c r="F140" s="108">
        <f>VLOOKUP(ROW(F140)+4,'Water runs'!$CH$3:$CU$423,MATCH($B$1,Scenarios,0)+1)</f>
        <v>0</v>
      </c>
      <c r="G140" s="65">
        <f>H140/Variables!$E$49</f>
        <v>0.26054758230892516</v>
      </c>
      <c r="H140" s="62">
        <f>IF((H139+I140)&gt;(1.1*Variables!$E$50),(1.1*Variables!$E$50),IF((H139+I140)&gt;0,H139+I140,0))</f>
        <v>1.6153950103153361</v>
      </c>
      <c r="I140" s="64">
        <f t="shared" si="4"/>
        <v>0</v>
      </c>
      <c r="J140" s="63">
        <f>IF(SUM(E136:E139)&lt;Variables!$B$3,-H139,0)</f>
        <v>0</v>
      </c>
      <c r="K140" s="64">
        <f>IF(AND(H139&lt;Variables!$B$6*Variables!$E$50,OR(SUM(D137:D140)&gt;Variables!$B$5,SUM(E137:E140)&gt;Variables!$B$4)),Variables!$B$6*Variables!$E$50+Variables!$B$7*$G$1*Variables!$E$50*SUM(D137:D140),0)</f>
        <v>0</v>
      </c>
      <c r="L140" s="64">
        <f>IF(B140="Winter",Variables!$B$8*H139,0)</f>
        <v>0</v>
      </c>
      <c r="M140" s="64">
        <f>IF(AND(B140="Spring",AND(NOT(H139=0),H139&lt;(Variables!$B$9*Variables!$E$50))),(Variables!$B$10*Variables!$E$50+Variables!$B$11*Variables!$E$50*SUM(E137:E140)+$G$1*SUM(D139:D140)*Variables!$E$50*Variables!$B$12),0)</f>
        <v>0</v>
      </c>
      <c r="N140" s="64">
        <f>IF(AND(B140="Spring",AND(SUM(D137:D140)&gt;Variables!$B$13,SUM(D133:D136)&gt;Variables!$B$13)),-Variables!$B$14*Variables!$E$50,0)</f>
        <v>0</v>
      </c>
      <c r="O140" s="64">
        <f>IF(AND(B140="Summer",SUM(C136:D140)&gt;Variables!$B$15),(Variables!$B$16*Variables!$E$50*SUM(C136:C140)+$G$1*Variables!$B$16*Variables!$E$50*SUM(D136:D140)+$G$1*Variables!$E$50*Variables!$B$17*F140),0)</f>
        <v>0</v>
      </c>
      <c r="P140" s="64">
        <f>IF(AND(AND(B140="Autumn",SUM(D139:E140)&gt;0),NOT(H139=0)),Variables!$B$18*Variables!$E$50+Variables!$B$19*Variables!$E$50*SUM(E139:E140)+$G$1*Variables!$B$19*Variables!$E$50*SUM(D139:D140),0)</f>
        <v>0</v>
      </c>
      <c r="Q140" s="64">
        <f>IF(AND(B140="Autumn",AND((E140+E139)&lt;Variables!$B$20,(D139+D140)=0)),-Variables!$B$21*Variables!$E$50,0)</f>
        <v>0</v>
      </c>
      <c r="R140" s="64">
        <f>IF(B140="Autumn",(SUM(F139:F140)*$G$1*Variables!$B$22*Variables!$E$50),0)</f>
        <v>0</v>
      </c>
      <c r="S140" s="64">
        <f>IF(B140="Spring",($G$1*Variables!$E$50*SUM('Guts (option 1)'!F139:F140)*Variables!$B$23),0)</f>
        <v>0</v>
      </c>
      <c r="T140" s="63">
        <f>IF((H139+SUM(J140:Q140))&lt;(Variables!$B$26*Variables!$E$50),$F$1*((Variables!$B$26*Variables!$E$50)-H139-SUM(J140:Q140)),0)</f>
        <v>0</v>
      </c>
      <c r="U140" s="64">
        <f>IF(AND(AND(B140="Autumn",SUM(D137:E140)&gt;Variables!$B$27),SUM(J140:Q140)&lt;Variables!$B$28*H139),$F$1*(Variables!$B$28*H139-SUM(J140:Q140)),0)</f>
        <v>0</v>
      </c>
      <c r="V140" s="96">
        <f>IF(AND((J140+K140)=0,(Q140+T140)=0),$H$1*H140*Variables!$I$23*0.25,0)</f>
        <v>31.128904158028075</v>
      </c>
      <c r="W140" s="97">
        <f>IF(AND((K140+J140)=0,(T140+Q140)=0),$I$1*H140*Variables!$Q$23*0.25,0)</f>
        <v>32.583728904318065</v>
      </c>
      <c r="X140" s="95">
        <f>IF(AND(NOT(K140=0),(H140-H139)&gt;0),(H140-H139)*(Variables!$M$5*$H$1+Variables!$U$5*$I$1),0)+IF(AND(NOT((J140+N140+Q140)=0),(H139-H140)&gt;0),(H139-H140)*(Variables!$M$4*$H$1+Variables!$U$4*$I$1),0)</f>
        <v>0</v>
      </c>
      <c r="Y140" s="95">
        <f>IF(SUM(T140,U139:U140)&gt;0,H140*Variables!$Y$11*0.25*(1-$J$1),0)</f>
        <v>0</v>
      </c>
      <c r="Z140" s="95">
        <f>IF(T140=0,H140*$J$1*Variables!$Y$5*0.25,0)</f>
        <v>10.500067567049685</v>
      </c>
      <c r="AA140" s="95">
        <f t="shared" si="2"/>
        <v>74.212700629395826</v>
      </c>
      <c r="AB140" s="91">
        <f>AA140/Variables!$E$49</f>
        <v>11.9697904240961</v>
      </c>
    </row>
    <row r="141" spans="1:28" x14ac:dyDescent="0.25">
      <c r="A141" s="61">
        <f>'Water runs'!C148</f>
        <v>14854</v>
      </c>
      <c r="B141" s="61" t="str">
        <f>'Water runs'!B148</f>
        <v>Winter</v>
      </c>
      <c r="C141" s="54">
        <f>'Water runs'!D148/100</f>
        <v>0</v>
      </c>
      <c r="D141" s="108">
        <f>VLOOKUP(ROW(D141)+4,'Water runs'!$BS$3:$CF$423,MATCH($B$1,Scenarios,0)+1)</f>
        <v>0</v>
      </c>
      <c r="E141" s="54">
        <f>IF(B141=Variables!$D$8,C141-Variables!$E$8,IF(B141=Variables!$D$9,C141-Variables!$E$9,IF(B141=Variables!$D$10,C141-Variables!$E$10,IF(B141=Variables!$D$11,C141-Variables!$E$11,"ELSE"))))</f>
        <v>-0.57176762566137573</v>
      </c>
      <c r="F141" s="108">
        <f>VLOOKUP(ROW(F141)+4,'Water runs'!$CH$3:$CU$423,MATCH($B$1,Scenarios,0)+1)</f>
        <v>0</v>
      </c>
      <c r="G141" s="65">
        <f>H141/Variables!$E$49</f>
        <v>0.161</v>
      </c>
      <c r="H141" s="62">
        <f>IF((H140+I141)&gt;(1.1*Variables!$E$50),(1.1*Variables!$E$50),IF((H140+I141)&gt;0,H140+I141,0))</f>
        <v>0.99820000000000009</v>
      </c>
      <c r="I141" s="64">
        <f t="shared" si="4"/>
        <v>-0.61719501031533597</v>
      </c>
      <c r="J141" s="63">
        <f>IF(SUM(E137:E140)&lt;Variables!$B$3,-H140,0)</f>
        <v>0</v>
      </c>
      <c r="K141" s="64">
        <f>IF(AND(H140&lt;Variables!$B$6*Variables!$E$50,OR(SUM(D138:D141)&gt;Variables!$B$5,SUM(E138:E141)&gt;Variables!$B$4)),Variables!$B$6*Variables!$E$50+Variables!$B$7*$G$1*Variables!$E$50*SUM(D138:D141),0)</f>
        <v>0</v>
      </c>
      <c r="L141" s="64">
        <f>IF(B141="Winter",Variables!$B$8*H140,0)</f>
        <v>-0.80437826634006604</v>
      </c>
      <c r="M141" s="64">
        <f>IF(AND(B141="Spring",AND(NOT(H140=0),H140&lt;(Variables!$B$9*Variables!$E$50))),(Variables!$B$10*Variables!$E$50+Variables!$B$11*Variables!$E$50*SUM(E138:E141)+$G$1*SUM(D140:D141)*Variables!$E$50*Variables!$B$12),0)</f>
        <v>0</v>
      </c>
      <c r="N141" s="64">
        <f>IF(AND(B141="Spring",AND(SUM(D138:D141)&gt;Variables!$B$13,SUM(D134:D137)&gt;Variables!$B$13)),-Variables!$B$14*Variables!$E$50,0)</f>
        <v>0</v>
      </c>
      <c r="O141" s="64">
        <f>IF(AND(B141="Summer",SUM(C137:D141)&gt;Variables!$B$15),(Variables!$B$16*Variables!$E$50*SUM(C137:C141)+$G$1*Variables!$B$16*Variables!$E$50*SUM(D137:D141)+$G$1*Variables!$E$50*Variables!$B$17*F141),0)</f>
        <v>0</v>
      </c>
      <c r="P141" s="64">
        <f>IF(AND(AND(B141="Autumn",SUM(D140:E141)&gt;0),NOT(H140=0)),Variables!$B$18*Variables!$E$50+Variables!$B$19*Variables!$E$50*SUM(E140:E141)+$G$1*Variables!$B$19*Variables!$E$50*SUM(D140:D141),0)</f>
        <v>0</v>
      </c>
      <c r="Q141" s="64">
        <f>IF(AND(B141="Autumn",AND((E141+E140)&lt;Variables!$B$20,(D140+D141)=0)),-Variables!$B$21*Variables!$E$50,0)</f>
        <v>0</v>
      </c>
      <c r="R141" s="64">
        <f>IF(B141="Autumn",(SUM(F140:F141)*$G$1*Variables!$B$22*Variables!$E$50),0)</f>
        <v>0</v>
      </c>
      <c r="S141" s="64">
        <f>IF(B141="Spring",($G$1*Variables!$E$50*SUM('Guts (option 1)'!F140:F141)*Variables!$B$23),0)</f>
        <v>0</v>
      </c>
      <c r="T141" s="63">
        <f>IF((H140+SUM(J141:Q141))&lt;(Variables!$B$26*Variables!$E$50),$F$1*((Variables!$B$26*Variables!$E$50)-H140-SUM(J141:Q141)),0)</f>
        <v>0.18718325602473007</v>
      </c>
      <c r="U141" s="64">
        <f>IF(AND(AND(B141="Autumn",SUM(D138:E141)&gt;Variables!$B$27),SUM(J141:Q141)&lt;Variables!$B$28*H140),$F$1*(Variables!$B$28*H140-SUM(J141:Q141)),0)</f>
        <v>0</v>
      </c>
      <c r="V141" s="96">
        <f>IF(AND((J141+K141)=0,(Q141+T141)=0),$H$1*H141*Variables!$I$23*0.25,0)</f>
        <v>0</v>
      </c>
      <c r="W141" s="97">
        <f>IF(AND((K141+J141)=0,(T141+Q141)=0),$I$1*H141*Variables!$Q$23*0.25,0)</f>
        <v>0</v>
      </c>
      <c r="X141" s="95">
        <f>IF(AND(NOT(K141=0),(H141-H140)&gt;0),(H141-H140)*(Variables!$M$5*$H$1+Variables!$U$5*$I$1),0)+IF(AND(NOT((J141+N141+Q141)=0),(H140-H141)&gt;0),(H140-H141)*(Variables!$M$4*$H$1+Variables!$U$4*$I$1),0)</f>
        <v>0</v>
      </c>
      <c r="Y141" s="95">
        <f>IF(SUM(T141,U140:U141)&gt;0,H141*Variables!$Y$11*0.25*(1-$J$1),0)</f>
        <v>0</v>
      </c>
      <c r="Z141" s="95">
        <f>IF(T141=0,H141*$J$1*Variables!$Y$5*0.25,0)</f>
        <v>0</v>
      </c>
      <c r="AA141" s="95">
        <f t="shared" si="2"/>
        <v>0</v>
      </c>
      <c r="AB141" s="91">
        <f>AA141/Variables!$E$49</f>
        <v>0</v>
      </c>
    </row>
    <row r="142" spans="1:28" x14ac:dyDescent="0.25">
      <c r="A142" s="61">
        <f>'Water runs'!C149</f>
        <v>14945</v>
      </c>
      <c r="B142" s="61" t="str">
        <f>'Water runs'!B149</f>
        <v>Spring</v>
      </c>
      <c r="C142" s="54">
        <f>'Water runs'!D149/100</f>
        <v>0.45157142857142901</v>
      </c>
      <c r="D142" s="108">
        <f>VLOOKUP(ROW(D142)+4,'Water runs'!$BS$3:$CF$423,MATCH($B$1,Scenarios,0)+1)</f>
        <v>0</v>
      </c>
      <c r="E142" s="54">
        <f>IF(B142=Variables!$D$8,C142-Variables!$E$8,IF(B142=Variables!$D$9,C142-Variables!$E$9,IF(B142=Variables!$D$10,C142-Variables!$E$10,IF(B142=Variables!$D$11,C142-Variables!$E$11,"ELSE"))))</f>
        <v>-0.31241078042328013</v>
      </c>
      <c r="F142" s="108">
        <f>VLOOKUP(ROW(F142)+4,'Water runs'!$CH$3:$CU$423,MATCH($B$1,Scenarios,0)+1)</f>
        <v>0</v>
      </c>
      <c r="G142" s="65">
        <f>H142/Variables!$E$49</f>
        <v>0.161</v>
      </c>
      <c r="H142" s="62">
        <f>IF((H141+I142)&gt;(1.1*Variables!$E$50),(1.1*Variables!$E$50),IF((H141+I142)&gt;0,H141+I142,0))</f>
        <v>0.99820000000000009</v>
      </c>
      <c r="I142" s="64">
        <f t="shared" si="4"/>
        <v>0</v>
      </c>
      <c r="J142" s="63">
        <f>IF(SUM(E138:E141)&lt;Variables!$B$3,-H141,0)</f>
        <v>-0.99820000000000009</v>
      </c>
      <c r="K142" s="64">
        <f>IF(AND(H141&lt;Variables!$B$6*Variables!$E$50,OR(SUM(D139:D142)&gt;Variables!$B$5,SUM(E139:E142)&gt;Variables!$B$4)),Variables!$B$6*Variables!$E$50+Variables!$B$7*$G$1*Variables!$E$50*SUM(D139:D142),0)</f>
        <v>0</v>
      </c>
      <c r="L142" s="64">
        <f>IF(B142="Winter",Variables!$B$8*H141,0)</f>
        <v>0</v>
      </c>
      <c r="M142" s="64">
        <f>IF(AND(B142="Spring",AND(NOT(H141=0),H141&lt;(Variables!$B$9*Variables!$E$50))),(Variables!$B$10*Variables!$E$50+Variables!$B$11*Variables!$E$50*SUM(E139:E142)+$G$1*SUM(D141:D142)*Variables!$E$50*Variables!$B$12),0)</f>
        <v>-1.2959153765768467</v>
      </c>
      <c r="N142" s="64">
        <f>IF(AND(B142="Spring",AND(SUM(D139:D142)&gt;Variables!$B$13,SUM(D135:D138)&gt;Variables!$B$13)),-Variables!$B$14*Variables!$E$50,0)</f>
        <v>0</v>
      </c>
      <c r="O142" s="64">
        <f>IF(AND(B142="Summer",SUM(C138:D142)&gt;Variables!$B$15),(Variables!$B$16*Variables!$E$50*SUM(C138:C142)+$G$1*Variables!$B$16*Variables!$E$50*SUM(D138:D142)+$G$1*Variables!$E$50*Variables!$B$17*F142),0)</f>
        <v>0</v>
      </c>
      <c r="P142" s="64">
        <f>IF(AND(AND(B142="Autumn",SUM(D141:E142)&gt;0),NOT(H141=0)),Variables!$B$18*Variables!$E$50+Variables!$B$19*Variables!$E$50*SUM(E141:E142)+$G$1*Variables!$B$19*Variables!$E$50*SUM(D141:D142),0)</f>
        <v>0</v>
      </c>
      <c r="Q142" s="64">
        <f>IF(AND(B142="Autumn",AND((E142+E141)&lt;Variables!$B$20,(D141+D142)=0)),-Variables!$B$21*Variables!$E$50,0)</f>
        <v>0</v>
      </c>
      <c r="R142" s="64">
        <f>IF(B142="Autumn",(SUM(F141:F142)*$G$1*Variables!$B$22*Variables!$E$50),0)</f>
        <v>0</v>
      </c>
      <c r="S142" s="64">
        <f>IF(B142="Spring",($G$1*Variables!$E$50*SUM('Guts (option 1)'!F141:F142)*Variables!$B$23),0)</f>
        <v>0</v>
      </c>
      <c r="T142" s="63">
        <f>IF((H141+SUM(J142:Q142))&lt;(Variables!$B$26*Variables!$E$50),$F$1*((Variables!$B$26*Variables!$E$50)-H141-SUM(J142:Q142)),0)</f>
        <v>2.2941153765768467</v>
      </c>
      <c r="U142" s="64">
        <f>IF(AND(AND(B142="Autumn",SUM(D139:E142)&gt;Variables!$B$27),SUM(J142:Q142)&lt;Variables!$B$28*H141),$F$1*(Variables!$B$28*H141-SUM(J142:Q142)),0)</f>
        <v>0</v>
      </c>
      <c r="V142" s="96">
        <f>IF(AND((J142+K142)=0,(Q142+T142)=0),$H$1*H142*Variables!$I$23*0.25,0)</f>
        <v>0</v>
      </c>
      <c r="W142" s="97">
        <f>IF(AND((K142+J142)=0,(T142+Q142)=0),$I$1*H142*Variables!$Q$23*0.25,0)</f>
        <v>0</v>
      </c>
      <c r="X142" s="95">
        <f>IF(AND(NOT(K142=0),(H142-H141)&gt;0),(H142-H141)*(Variables!$M$5*$H$1+Variables!$U$5*$I$1),0)+IF(AND(NOT((J142+N142+Q142)=0),(H141-H142)&gt;0),(H141-H142)*(Variables!$M$4*$H$1+Variables!$U$4*$I$1),0)</f>
        <v>0</v>
      </c>
      <c r="Y142" s="95">
        <f>IF(SUM(T142,U141:U142)&gt;0,H142*Variables!$Y$11*0.25*(1-$J$1),0)</f>
        <v>0</v>
      </c>
      <c r="Z142" s="95">
        <f>IF(T142=0,H142*$J$1*Variables!$Y$5*0.25,0)</f>
        <v>0</v>
      </c>
      <c r="AA142" s="95">
        <f t="shared" si="2"/>
        <v>0</v>
      </c>
      <c r="AB142" s="91">
        <f>AA142/Variables!$E$49</f>
        <v>0</v>
      </c>
    </row>
    <row r="143" spans="1:28" x14ac:dyDescent="0.25">
      <c r="A143" s="61">
        <f>'Water runs'!C150</f>
        <v>15035</v>
      </c>
      <c r="B143" s="61" t="str">
        <f>'Water runs'!B150</f>
        <v>Summer</v>
      </c>
      <c r="C143" s="54">
        <f>'Water runs'!D150/100</f>
        <v>2.1008571428571399</v>
      </c>
      <c r="D143" s="108">
        <f>VLOOKUP(ROW(D143)+4,'Water runs'!$BS$3:$CF$423,MATCH($B$1,Scenarios,0)+1)</f>
        <v>7.5239313058694052E-2</v>
      </c>
      <c r="E143" s="54">
        <f>IF(B143=Variables!$D$8,C143-Variables!$E$8,IF(B143=Variables!$D$9,C143-Variables!$E$9,IF(B143=Variables!$D$10,C143-Variables!$E$10,IF(B143=Variables!$D$11,C143-Variables!$E$11,"ELSE"))))</f>
        <v>0.84248700680271815</v>
      </c>
      <c r="F143" s="108">
        <f>VLOOKUP(ROW(F143)+4,'Water runs'!$CH$3:$CU$423,MATCH($B$1,Scenarios,0)+1)</f>
        <v>0</v>
      </c>
      <c r="G143" s="65">
        <f>H143/Variables!$E$49</f>
        <v>0.18478206502019009</v>
      </c>
      <c r="H143" s="62">
        <f>IF((H142+I143)&gt;(1.1*Variables!$E$50),(1.1*Variables!$E$50),IF((H142+I143)&gt;0,H142+I143,0))</f>
        <v>1.1456488031251786</v>
      </c>
      <c r="I143" s="64">
        <f t="shared" si="4"/>
        <v>0.1474488031251785</v>
      </c>
      <c r="J143" s="63">
        <f>IF(SUM(E139:E142)&lt;Variables!$B$3,-H142,0)</f>
        <v>-0.99820000000000009</v>
      </c>
      <c r="K143" s="64">
        <f>IF(AND(H142&lt;Variables!$B$6*Variables!$E$50,OR(SUM(D140:D143)&gt;Variables!$B$5,SUM(E140:E143)&gt;Variables!$B$4)),Variables!$B$6*Variables!$E$50+Variables!$B$7*$G$1*Variables!$E$50*SUM(D140:D143),0)</f>
        <v>1.1456488031251786</v>
      </c>
      <c r="L143" s="64">
        <f>IF(B143="Winter",Variables!$B$8*H142,0)</f>
        <v>0</v>
      </c>
      <c r="M143" s="64">
        <f>IF(AND(B143="Spring",AND(NOT(H142=0),H142&lt;(Variables!$B$9*Variables!$E$50))),(Variables!$B$10*Variables!$E$50+Variables!$B$11*Variables!$E$50*SUM(E140:E143)+$G$1*SUM(D142:D143)*Variables!$E$50*Variables!$B$12),0)</f>
        <v>0</v>
      </c>
      <c r="N143" s="64">
        <f>IF(AND(B143="Spring",AND(SUM(D140:D143)&gt;Variables!$B$13,SUM(D136:D139)&gt;Variables!$B$13)),-Variables!$B$14*Variables!$E$50,0)</f>
        <v>0</v>
      </c>
      <c r="O143" s="64">
        <f>IF(AND(B143="Summer",SUM(C139:D143)&gt;Variables!$B$15),(Variables!$B$16*Variables!$E$50*SUM(C139:C143)+$G$1*Variables!$B$16*Variables!$E$50*SUM(D139:D143)+$G$1*Variables!$E$50*Variables!$B$17*F143),0)</f>
        <v>0</v>
      </c>
      <c r="P143" s="64">
        <f>IF(AND(AND(B143="Autumn",SUM(D142:E143)&gt;0),NOT(H142=0)),Variables!$B$18*Variables!$E$50+Variables!$B$19*Variables!$E$50*SUM(E142:E143)+$G$1*Variables!$B$19*Variables!$E$50*SUM(D142:D143),0)</f>
        <v>0</v>
      </c>
      <c r="Q143" s="64">
        <f>IF(AND(B143="Autumn",AND((E143+E142)&lt;Variables!$B$20,(D142+D143)=0)),-Variables!$B$21*Variables!$E$50,0)</f>
        <v>0</v>
      </c>
      <c r="R143" s="64">
        <f>IF(B143="Autumn",(SUM(F142:F143)*$G$1*Variables!$B$22*Variables!$E$50),0)</f>
        <v>0</v>
      </c>
      <c r="S143" s="64">
        <f>IF(B143="Spring",($G$1*Variables!$E$50*SUM('Guts (option 1)'!F142:F143)*Variables!$B$23),0)</f>
        <v>0</v>
      </c>
      <c r="T143" s="63">
        <f>IF((H142+SUM(J143:Q143))&lt;(Variables!$B$26*Variables!$E$50),$F$1*((Variables!$B$26*Variables!$E$50)-H142-SUM(J143:Q143)),0)</f>
        <v>0</v>
      </c>
      <c r="U143" s="64">
        <f>IF(AND(AND(B143="Autumn",SUM(D140:E143)&gt;Variables!$B$27),SUM(J143:Q143)&lt;Variables!$B$28*H142),$F$1*(Variables!$B$28*H142-SUM(J143:Q143)),0)</f>
        <v>0</v>
      </c>
      <c r="V143" s="96">
        <f>IF(AND((J143+K143)=0,(Q143+T143)=0),$H$1*H143*Variables!$I$23*0.25,0)</f>
        <v>0</v>
      </c>
      <c r="W143" s="97">
        <f>IF(AND((K143+J143)=0,(T143+Q143)=0),$I$1*H143*Variables!$Q$23*0.25,0)</f>
        <v>0</v>
      </c>
      <c r="X143" s="95">
        <f>IF(AND(NOT(K143=0),(H143-H142)&gt;0),(H143-H142)*(Variables!$M$5*$H$1+Variables!$U$5*$I$1),0)+IF(AND(NOT((J143+N143+Q143)=0),(H142-H143)&gt;0),(H142-H143)*(Variables!$M$4*$H$1+Variables!$U$4*$I$1),0)</f>
        <v>-36.862200781294625</v>
      </c>
      <c r="Y143" s="95">
        <f>IF(SUM(T143,U142:U143)&gt;0,H143*Variables!$Y$11*0.25*(1-$J$1),0)</f>
        <v>0</v>
      </c>
      <c r="Z143" s="95">
        <f>IF(T143=0,H143*$J$1*Variables!$Y$5*0.25,0)</f>
        <v>7.4467172203136611</v>
      </c>
      <c r="AA143" s="95">
        <f t="shared" si="2"/>
        <v>-29.415483560980963</v>
      </c>
      <c r="AB143" s="91">
        <f>AA143/Variables!$E$49</f>
        <v>-4.7444328324162841</v>
      </c>
    </row>
    <row r="144" spans="1:28" x14ac:dyDescent="0.25">
      <c r="A144" s="61">
        <f>'Water runs'!C151</f>
        <v>15127</v>
      </c>
      <c r="B144" s="61" t="str">
        <f>'Water runs'!B151</f>
        <v>Autumn</v>
      </c>
      <c r="C144" s="54">
        <f>'Water runs'!D151/100</f>
        <v>0.38</v>
      </c>
      <c r="D144" s="108">
        <f>VLOOKUP(ROW(D144)+4,'Water runs'!$BS$3:$CF$423,MATCH($B$1,Scenarios,0)+1)</f>
        <v>0.12534509378538228</v>
      </c>
      <c r="E144" s="54">
        <f>IF(B144=Variables!$D$8,C144-Variables!$E$8,IF(B144=Variables!$D$9,C144-Variables!$E$9,IF(B144=Variables!$D$10,C144-Variables!$E$10,IF(B144=Variables!$D$11,C144-Variables!$E$11,"ELSE"))))</f>
        <v>-0.61464329931972783</v>
      </c>
      <c r="F144" s="108">
        <f>VLOOKUP(ROW(F144)+4,'Water runs'!$CH$3:$CU$423,MATCH($B$1,Scenarios,0)+1)</f>
        <v>5.6032510154474698E-2</v>
      </c>
      <c r="G144" s="65">
        <f>H144/Variables!$E$49</f>
        <v>0.3776297547204322</v>
      </c>
      <c r="H144" s="62">
        <f>IF((H143+I144)&gt;(1.1*Variables!$E$50),(1.1*Variables!$E$50),IF((H143+I144)&gt;0,H143+I144,0))</f>
        <v>2.3413044792666797</v>
      </c>
      <c r="I144" s="64">
        <f t="shared" si="4"/>
        <v>1.1956556761415011</v>
      </c>
      <c r="J144" s="63">
        <f>IF(SUM(E140:E143)&lt;Variables!$B$3,-H143,0)</f>
        <v>0</v>
      </c>
      <c r="K144" s="64">
        <f>IF(AND(H143&lt;Variables!$B$6*Variables!$E$50,OR(SUM(D141:D144)&gt;Variables!$B$5,SUM(E141:E144)&gt;Variables!$B$4)),Variables!$B$6*Variables!$E$50+Variables!$B$7*$G$1*Variables!$E$50*SUM(D141:D144),0)</f>
        <v>0</v>
      </c>
      <c r="L144" s="64">
        <f>IF(B144="Winter",Variables!$B$8*H143,0)</f>
        <v>0</v>
      </c>
      <c r="M144" s="64">
        <f>IF(AND(B144="Spring",AND(NOT(H143=0),H143&lt;(Variables!$B$9*Variables!$E$50))),(Variables!$B$10*Variables!$E$50+Variables!$B$11*Variables!$E$50*SUM(E141:E144)+$G$1*SUM(D143:D144)*Variables!$E$50*Variables!$B$12),0)</f>
        <v>0</v>
      </c>
      <c r="N144" s="64">
        <f>IF(AND(B144="Spring",AND(SUM(D141:D144)&gt;Variables!$B$13,SUM(D137:D140)&gt;Variables!$B$13)),-Variables!$B$14*Variables!$E$50,0)</f>
        <v>0</v>
      </c>
      <c r="O144" s="64">
        <f>IF(AND(B144="Summer",SUM(C140:D144)&gt;Variables!$B$15),(Variables!$B$16*Variables!$E$50*SUM(C140:C144)+$G$1*Variables!$B$16*Variables!$E$50*SUM(D140:D144)+$G$1*Variables!$E$50*Variables!$B$17*F144),0)</f>
        <v>0</v>
      </c>
      <c r="P144" s="64">
        <f>IF(AND(AND(B144="Autumn",SUM(D143:E144)&gt;0),NOT(H143=0)),Variables!$B$18*Variables!$E$50+Variables!$B$19*Variables!$E$50*SUM(E143:E144)+$G$1*Variables!$B$19*Variables!$E$50*SUM(D143:D144),0)</f>
        <v>1.1877955513218135</v>
      </c>
      <c r="Q144" s="64">
        <f>IF(AND(B144="Autumn",AND((E144+E143)&lt;Variables!$B$20,(D143+D144)=0)),-Variables!$B$21*Variables!$E$50,0)</f>
        <v>0</v>
      </c>
      <c r="R144" s="64">
        <f>IF(B144="Autumn",(SUM(F143:F144)*$G$1*Variables!$B$22*Variables!$E$50),0)</f>
        <v>7.8601248196876559E-3</v>
      </c>
      <c r="S144" s="64">
        <f>IF(B144="Spring",($G$1*Variables!$E$50*SUM('Guts (option 1)'!F143:F144)*Variables!$B$23),0)</f>
        <v>0</v>
      </c>
      <c r="T144" s="63">
        <f>IF((H143+SUM(J144:Q144))&lt;(Variables!$B$26*Variables!$E$50),$F$1*((Variables!$B$26*Variables!$E$50)-H143-SUM(J144:Q144)),0)</f>
        <v>0</v>
      </c>
      <c r="U144" s="64">
        <f>IF(AND(AND(B144="Autumn",SUM(D141:E144)&gt;Variables!$B$27),SUM(J144:Q144)&lt;Variables!$B$28*H143),$F$1*(Variables!$B$28*H143-SUM(J144:Q144)),0)</f>
        <v>0</v>
      </c>
      <c r="V144" s="96">
        <f>IF(AND((J144+K144)=0,(Q144+T144)=0),$H$1*H144*Variables!$I$23*0.25,0)</f>
        <v>45.117288511140814</v>
      </c>
      <c r="W144" s="97">
        <f>IF(AND((K144+J144)=0,(T144+Q144)=0),$I$1*H144*Variables!$Q$23*0.25,0)</f>
        <v>47.225867325168373</v>
      </c>
      <c r="X144" s="95">
        <f>IF(AND(NOT(K144=0),(H144-H143)&gt;0),(H144-H143)*(Variables!$M$5*$H$1+Variables!$U$5*$I$1),0)+IF(AND(NOT((J144+N144+Q144)=0),(H143-H144)&gt;0),(H143-H144)*(Variables!$M$4*$H$1+Variables!$U$4*$I$1),0)</f>
        <v>0</v>
      </c>
      <c r="Y144" s="95">
        <f>IF(SUM(T144,U143:U144)&gt;0,H144*Variables!$Y$11*0.25*(1-$J$1),0)</f>
        <v>0</v>
      </c>
      <c r="Z144" s="95">
        <f>IF(T144=0,H144*$J$1*Variables!$Y$5*0.25,0)</f>
        <v>15.218479115233418</v>
      </c>
      <c r="AA144" s="95">
        <f t="shared" ref="AA144:AA207" si="5">SUM(V144:Z144)</f>
        <v>107.56163495154262</v>
      </c>
      <c r="AB144" s="91">
        <f>AA144/Variables!$E$49</f>
        <v>17.348650798635905</v>
      </c>
    </row>
    <row r="145" spans="1:28" x14ac:dyDescent="0.25">
      <c r="A145" s="61">
        <f>'Water runs'!C152</f>
        <v>15219</v>
      </c>
      <c r="B145" s="61" t="str">
        <f>'Water runs'!B152</f>
        <v>Winter</v>
      </c>
      <c r="C145" s="54">
        <f>'Water runs'!D152/100</f>
        <v>0</v>
      </c>
      <c r="D145" s="108">
        <f>VLOOKUP(ROW(D145)+4,'Water runs'!$BS$3:$CF$423,MATCH($B$1,Scenarios,0)+1)</f>
        <v>0</v>
      </c>
      <c r="E145" s="54">
        <f>IF(B145=Variables!$D$8,C145-Variables!$E$8,IF(B145=Variables!$D$9,C145-Variables!$E$9,IF(B145=Variables!$D$10,C145-Variables!$E$10,IF(B145=Variables!$D$11,C145-Variables!$E$11,"ELSE"))))</f>
        <v>-0.57176762566137573</v>
      </c>
      <c r="F145" s="108">
        <f>VLOOKUP(ROW(F145)+4,'Water runs'!$CH$3:$CU$423,MATCH($B$1,Scenarios,0)+1)</f>
        <v>0</v>
      </c>
      <c r="G145" s="65">
        <f>H145/Variables!$E$49</f>
        <v>0.18959081348267875</v>
      </c>
      <c r="H145" s="62">
        <f>IF((H144+I145)&gt;(1.1*Variables!$E$50),(1.1*Variables!$E$50),IF((H144+I145)&gt;0,H144+I145,0))</f>
        <v>1.1754630435926083</v>
      </c>
      <c r="I145" s="64">
        <f t="shared" si="4"/>
        <v>-1.1658414356740714</v>
      </c>
      <c r="J145" s="63">
        <f>IF(SUM(E141:E144)&lt;Variables!$B$3,-H144,0)</f>
        <v>0</v>
      </c>
      <c r="K145" s="64">
        <f>IF(AND(H144&lt;Variables!$B$6*Variables!$E$50,OR(SUM(D142:D145)&gt;Variables!$B$5,SUM(E142:E145)&gt;Variables!$B$4)),Variables!$B$6*Variables!$E$50+Variables!$B$7*$G$1*Variables!$E$50*SUM(D142:D145),0)</f>
        <v>0</v>
      </c>
      <c r="L145" s="64">
        <f>IF(B145="Winter",Variables!$B$8*H144,0)</f>
        <v>-1.1658414356740714</v>
      </c>
      <c r="M145" s="64">
        <f>IF(AND(B145="Spring",AND(NOT(H144=0),H144&lt;(Variables!$B$9*Variables!$E$50))),(Variables!$B$10*Variables!$E$50+Variables!$B$11*Variables!$E$50*SUM(E142:E145)+$G$1*SUM(D144:D145)*Variables!$E$50*Variables!$B$12),0)</f>
        <v>0</v>
      </c>
      <c r="N145" s="64">
        <f>IF(AND(B145="Spring",AND(SUM(D142:D145)&gt;Variables!$B$13,SUM(D138:D141)&gt;Variables!$B$13)),-Variables!$B$14*Variables!$E$50,0)</f>
        <v>0</v>
      </c>
      <c r="O145" s="64">
        <f>IF(AND(B145="Summer",SUM(C141:D145)&gt;Variables!$B$15),(Variables!$B$16*Variables!$E$50*SUM(C141:C145)+$G$1*Variables!$B$16*Variables!$E$50*SUM(D141:D145)+$G$1*Variables!$E$50*Variables!$B$17*F145),0)</f>
        <v>0</v>
      </c>
      <c r="P145" s="64">
        <f>IF(AND(AND(B145="Autumn",SUM(D144:E145)&gt;0),NOT(H144=0)),Variables!$B$18*Variables!$E$50+Variables!$B$19*Variables!$E$50*SUM(E144:E145)+$G$1*Variables!$B$19*Variables!$E$50*SUM(D144:D145),0)</f>
        <v>0</v>
      </c>
      <c r="Q145" s="64">
        <f>IF(AND(B145="Autumn",AND((E145+E144)&lt;Variables!$B$20,(D144+D145)=0)),-Variables!$B$21*Variables!$E$50,0)</f>
        <v>0</v>
      </c>
      <c r="R145" s="64">
        <f>IF(B145="Autumn",(SUM(F144:F145)*$G$1*Variables!$B$22*Variables!$E$50),0)</f>
        <v>0</v>
      </c>
      <c r="S145" s="64">
        <f>IF(B145="Spring",($G$1*Variables!$E$50*SUM('Guts (option 1)'!F144:F145)*Variables!$B$23),0)</f>
        <v>0</v>
      </c>
      <c r="T145" s="63">
        <f>IF((H144+SUM(J145:Q145))&lt;(Variables!$B$26*Variables!$E$50),$F$1*((Variables!$B$26*Variables!$E$50)-H144-SUM(J145:Q145)),0)</f>
        <v>0</v>
      </c>
      <c r="U145" s="64">
        <f>IF(AND(AND(B145="Autumn",SUM(D142:E145)&gt;Variables!$B$27),SUM(J145:Q145)&lt;Variables!$B$28*H144),$F$1*(Variables!$B$28*H144-SUM(J145:Q145)),0)</f>
        <v>0</v>
      </c>
      <c r="V145" s="96">
        <f>IF(AND((J145+K145)=0,(Q145+T145)=0),$H$1*H145*Variables!$I$23*0.25,0)</f>
        <v>22.651349169486103</v>
      </c>
      <c r="W145" s="97">
        <f>IF(AND((K145+J145)=0,(T145+Q145)=0),$I$1*H145*Variables!$Q$23*0.25,0)</f>
        <v>23.709971186545602</v>
      </c>
      <c r="X145" s="95">
        <f>IF(AND(NOT(K145=0),(H145-H144)&gt;0),(H145-H144)*(Variables!$M$5*$H$1+Variables!$U$5*$I$1),0)+IF(AND(NOT((J145+N145+Q145)=0),(H144-H145)&gt;0),(H144-H145)*(Variables!$M$4*$H$1+Variables!$U$4*$I$1),0)</f>
        <v>0</v>
      </c>
      <c r="Y145" s="95">
        <f>IF(SUM(T145,U144:U145)&gt;0,H145*Variables!$Y$11*0.25*(1-$J$1),0)</f>
        <v>0</v>
      </c>
      <c r="Z145" s="95">
        <f>IF(T145=0,H145*$J$1*Variables!$Y$5*0.25,0)</f>
        <v>7.6405097833519537</v>
      </c>
      <c r="AA145" s="95">
        <f t="shared" si="5"/>
        <v>54.001830139383657</v>
      </c>
      <c r="AB145" s="91">
        <f>AA145/Variables!$E$49</f>
        <v>8.7099726031263955</v>
      </c>
    </row>
    <row r="146" spans="1:28" x14ac:dyDescent="0.25">
      <c r="A146" s="61">
        <f>'Water runs'!C153</f>
        <v>15310</v>
      </c>
      <c r="B146" s="61" t="str">
        <f>'Water runs'!B153</f>
        <v>Spring</v>
      </c>
      <c r="C146" s="54">
        <f>'Water runs'!D153/100</f>
        <v>0.11785714285714301</v>
      </c>
      <c r="D146" s="108">
        <f>VLOOKUP(ROW(D146)+4,'Water runs'!$BS$3:$CF$423,MATCH($B$1,Scenarios,0)+1)</f>
        <v>0</v>
      </c>
      <c r="E146" s="54">
        <f>IF(B146=Variables!$D$8,C146-Variables!$E$8,IF(B146=Variables!$D$9,C146-Variables!$E$9,IF(B146=Variables!$D$10,C146-Variables!$E$10,IF(B146=Variables!$D$11,C146-Variables!$E$11,"ELSE"))))</f>
        <v>-0.64612506613756615</v>
      </c>
      <c r="F146" s="108">
        <f>VLOOKUP(ROW(F146)+4,'Water runs'!$CH$3:$CU$423,MATCH($B$1,Scenarios,0)+1)</f>
        <v>0</v>
      </c>
      <c r="G146" s="65">
        <f>H146/Variables!$E$49</f>
        <v>0.161</v>
      </c>
      <c r="H146" s="62">
        <f>IF((H145+I146)&gt;(1.1*Variables!$E$50),(1.1*Variables!$E$50),IF((H145+I146)&gt;0,H145+I146,0))</f>
        <v>0.99820000000000009</v>
      </c>
      <c r="I146" s="64">
        <f t="shared" si="4"/>
        <v>-0.17726304359260825</v>
      </c>
      <c r="J146" s="63">
        <f>IF(SUM(E142:E145)&lt;Variables!$B$3,-H145,0)</f>
        <v>0</v>
      </c>
      <c r="K146" s="64">
        <f>IF(AND(H145&lt;Variables!$B$6*Variables!$E$50,OR(SUM(D143:D146)&gt;Variables!$B$5,SUM(E143:E146)&gt;Variables!$B$4)),Variables!$B$6*Variables!$E$50+Variables!$B$7*$G$1*Variables!$E$50*SUM(D143:D146),0)</f>
        <v>0</v>
      </c>
      <c r="L146" s="64">
        <f>IF(B146="Winter",Variables!$B$8*H145,0)</f>
        <v>0</v>
      </c>
      <c r="M146" s="64">
        <f>IF(AND(B146="Spring",AND(NOT(H145=0),H145&lt;(Variables!$B$9*Variables!$E$50))),(Variables!$B$10*Variables!$E$50+Variables!$B$11*Variables!$E$50*SUM(E143:E146)+$G$1*SUM(D145:D146)*Variables!$E$50*Variables!$B$12),0)</f>
        <v>-0.67428443052074571</v>
      </c>
      <c r="N146" s="64">
        <f>IF(AND(B146="Spring",AND(SUM(D143:D146)&gt;Variables!$B$13,SUM(D139:D142)&gt;Variables!$B$13)),-Variables!$B$14*Variables!$E$50,0)</f>
        <v>0</v>
      </c>
      <c r="O146" s="64">
        <f>IF(AND(B146="Summer",SUM(C142:D146)&gt;Variables!$B$15),(Variables!$B$16*Variables!$E$50*SUM(C142:C146)+$G$1*Variables!$B$16*Variables!$E$50*SUM(D142:D146)+$G$1*Variables!$E$50*Variables!$B$17*F146),0)</f>
        <v>0</v>
      </c>
      <c r="P146" s="64">
        <f>IF(AND(AND(B146="Autumn",SUM(D145:E146)&gt;0),NOT(H145=0)),Variables!$B$18*Variables!$E$50+Variables!$B$19*Variables!$E$50*SUM(E145:E146)+$G$1*Variables!$B$19*Variables!$E$50*SUM(D145:D146),0)</f>
        <v>0</v>
      </c>
      <c r="Q146" s="64">
        <f>IF(AND(B146="Autumn",AND((E146+E145)&lt;Variables!$B$20,(D145+D146)=0)),-Variables!$B$21*Variables!$E$50,0)</f>
        <v>0</v>
      </c>
      <c r="R146" s="64">
        <f>IF(B146="Autumn",(SUM(F145:F146)*$G$1*Variables!$B$22*Variables!$E$50),0)</f>
        <v>0</v>
      </c>
      <c r="S146" s="64">
        <f>IF(B146="Spring",($G$1*Variables!$E$50*SUM('Guts (option 1)'!F145:F146)*Variables!$B$23),0)</f>
        <v>0</v>
      </c>
      <c r="T146" s="63">
        <f>IF((H145+SUM(J146:Q146))&lt;(Variables!$B$26*Variables!$E$50),$F$1*((Variables!$B$26*Variables!$E$50)-H145-SUM(J146:Q146)),0)</f>
        <v>0.49702138692813747</v>
      </c>
      <c r="U146" s="64">
        <f>IF(AND(AND(B146="Autumn",SUM(D143:E146)&gt;Variables!$B$27),SUM(J146:Q146)&lt;Variables!$B$28*H145),$F$1*(Variables!$B$28*H145-SUM(J146:Q146)),0)</f>
        <v>0</v>
      </c>
      <c r="V146" s="96">
        <f>IF(AND((J146+K146)=0,(Q146+T146)=0),$H$1*H146*Variables!$I$23*0.25,0)</f>
        <v>0</v>
      </c>
      <c r="W146" s="97">
        <f>IF(AND((K146+J146)=0,(T146+Q146)=0),$I$1*H146*Variables!$Q$23*0.25,0)</f>
        <v>0</v>
      </c>
      <c r="X146" s="95">
        <f>IF(AND(NOT(K146=0),(H146-H145)&gt;0),(H146-H145)*(Variables!$M$5*$H$1+Variables!$U$5*$I$1),0)+IF(AND(NOT((J146+N146+Q146)=0),(H145-H146)&gt;0),(H145-H146)*(Variables!$M$4*$H$1+Variables!$U$4*$I$1),0)</f>
        <v>0</v>
      </c>
      <c r="Y146" s="95">
        <f>IF(SUM(T146,U145:U146)&gt;0,H146*Variables!$Y$11*0.25*(1-$J$1),0)</f>
        <v>0</v>
      </c>
      <c r="Z146" s="95">
        <f>IF(T146=0,H146*$J$1*Variables!$Y$5*0.25,0)</f>
        <v>0</v>
      </c>
      <c r="AA146" s="95">
        <f t="shared" si="5"/>
        <v>0</v>
      </c>
      <c r="AB146" s="91">
        <f>AA146/Variables!$E$49</f>
        <v>0</v>
      </c>
    </row>
    <row r="147" spans="1:28" x14ac:dyDescent="0.25">
      <c r="A147" s="61">
        <f>'Water runs'!C154</f>
        <v>15400</v>
      </c>
      <c r="B147" s="61" t="str">
        <f>'Water runs'!B154</f>
        <v>Summer</v>
      </c>
      <c r="C147" s="54">
        <f>'Water runs'!D154/100</f>
        <v>0.81885714285714295</v>
      </c>
      <c r="D147" s="108">
        <f>VLOOKUP(ROW(D147)+4,'Water runs'!$BS$3:$CF$423,MATCH($B$1,Scenarios,0)+1)</f>
        <v>3.4765437572744043E-2</v>
      </c>
      <c r="E147" s="54">
        <f>IF(B147=Variables!$D$8,C147-Variables!$E$8,IF(B147=Variables!$D$9,C147-Variables!$E$9,IF(B147=Variables!$D$10,C147-Variables!$E$10,IF(B147=Variables!$D$11,C147-Variables!$E$11,"ELSE"))))</f>
        <v>-0.43951299319727877</v>
      </c>
      <c r="F147" s="108">
        <f>VLOOKUP(ROW(F147)+4,'Water runs'!$CH$3:$CU$423,MATCH($B$1,Scenarios,0)+1)</f>
        <v>0</v>
      </c>
      <c r="G147" s="65">
        <f>H147/Variables!$E$49</f>
        <v>0.34635660883231073</v>
      </c>
      <c r="H147" s="62">
        <f>IF((H146+I147)&gt;(1.1*Variables!$E$50),(1.1*Variables!$E$50),IF((H146+I147)&gt;0,H146+I147,0))</f>
        <v>2.1474109747603265</v>
      </c>
      <c r="I147" s="64">
        <f t="shared" si="4"/>
        <v>1.1492109747603263</v>
      </c>
      <c r="J147" s="63">
        <f>IF(SUM(E143:E146)&lt;Variables!$B$3,-H146,0)</f>
        <v>0</v>
      </c>
      <c r="K147" s="64">
        <f>IF(AND(H146&lt;Variables!$B$6*Variables!$E$50,OR(SUM(D144:D147)&gt;Variables!$B$5,SUM(E144:E147)&gt;Variables!$B$4)),Variables!$B$6*Variables!$E$50+Variables!$B$7*$G$1*Variables!$E$50*SUM(D144:D147),0)</f>
        <v>1.1492109747603263</v>
      </c>
      <c r="L147" s="64">
        <f>IF(B147="Winter",Variables!$B$8*H146,0)</f>
        <v>0</v>
      </c>
      <c r="M147" s="64">
        <f>IF(AND(B147="Spring",AND(NOT(H146=0),H146&lt;(Variables!$B$9*Variables!$E$50))),(Variables!$B$10*Variables!$E$50+Variables!$B$11*Variables!$E$50*SUM(E144:E147)+$G$1*SUM(D146:D147)*Variables!$E$50*Variables!$B$12),0)</f>
        <v>0</v>
      </c>
      <c r="N147" s="64">
        <f>IF(AND(B147="Spring",AND(SUM(D144:D147)&gt;Variables!$B$13,SUM(D140:D143)&gt;Variables!$B$13)),-Variables!$B$14*Variables!$E$50,0)</f>
        <v>0</v>
      </c>
      <c r="O147" s="64">
        <f>IF(AND(B147="Summer",SUM(C143:D147)&gt;Variables!$B$15),(Variables!$B$16*Variables!$E$50*SUM(C143:C147)+$G$1*Variables!$B$16*Variables!$E$50*SUM(D143:D147)+$G$1*Variables!$E$50*Variables!$B$17*F147),0)</f>
        <v>0</v>
      </c>
      <c r="P147" s="64">
        <f>IF(AND(AND(B147="Autumn",SUM(D146:E147)&gt;0),NOT(H146=0)),Variables!$B$18*Variables!$E$50+Variables!$B$19*Variables!$E$50*SUM(E146:E147)+$G$1*Variables!$B$19*Variables!$E$50*SUM(D146:D147),0)</f>
        <v>0</v>
      </c>
      <c r="Q147" s="64">
        <f>IF(AND(B147="Autumn",AND((E147+E146)&lt;Variables!$B$20,(D146+D147)=0)),-Variables!$B$21*Variables!$E$50,0)</f>
        <v>0</v>
      </c>
      <c r="R147" s="64">
        <f>IF(B147="Autumn",(SUM(F146:F147)*$G$1*Variables!$B$22*Variables!$E$50),0)</f>
        <v>0</v>
      </c>
      <c r="S147" s="64">
        <f>IF(B147="Spring",($G$1*Variables!$E$50*SUM('Guts (option 1)'!F146:F147)*Variables!$B$23),0)</f>
        <v>0</v>
      </c>
      <c r="T147" s="63">
        <f>IF((H146+SUM(J147:Q147))&lt;(Variables!$B$26*Variables!$E$50),$F$1*((Variables!$B$26*Variables!$E$50)-H146-SUM(J147:Q147)),0)</f>
        <v>0</v>
      </c>
      <c r="U147" s="64">
        <f>IF(AND(AND(B147="Autumn",SUM(D144:E147)&gt;Variables!$B$27),SUM(J147:Q147)&lt;Variables!$B$28*H146),$F$1*(Variables!$B$28*H146-SUM(J147:Q147)),0)</f>
        <v>0</v>
      </c>
      <c r="V147" s="96">
        <f>IF(AND((J147+K147)=0,(Q147+T147)=0),$H$1*H147*Variables!$I$23*0.25,0)</f>
        <v>0</v>
      </c>
      <c r="W147" s="97">
        <f>IF(AND((K147+J147)=0,(T147+Q147)=0),$I$1*H147*Variables!$Q$23*0.25,0)</f>
        <v>0</v>
      </c>
      <c r="X147" s="95">
        <f>IF(AND(NOT(K147=0),(H147-H146)&gt;0),(H147-H146)*(Variables!$M$5*$H$1+Variables!$U$5*$I$1),0)+IF(AND(NOT((J147+N147+Q147)=0),(H146-H147)&gt;0),(H146-H147)*(Variables!$M$4*$H$1+Variables!$U$4*$I$1),0)</f>
        <v>-287.30274369008157</v>
      </c>
      <c r="Y147" s="95">
        <f>IF(SUM(T147,U146:U147)&gt;0,H147*Variables!$Y$11*0.25*(1-$J$1),0)</f>
        <v>0</v>
      </c>
      <c r="Z147" s="95">
        <f>IF(T147=0,H147*$J$1*Variables!$Y$5*0.25,0)</f>
        <v>13.958171335942122</v>
      </c>
      <c r="AA147" s="95">
        <f t="shared" si="5"/>
        <v>-273.34457235413947</v>
      </c>
      <c r="AB147" s="91">
        <f>AA147/Variables!$E$49</f>
        <v>-44.087834250667655</v>
      </c>
    </row>
    <row r="148" spans="1:28" x14ac:dyDescent="0.25">
      <c r="A148" s="61">
        <f>'Water runs'!C155</f>
        <v>15492</v>
      </c>
      <c r="B148" s="61" t="str">
        <f>'Water runs'!B155</f>
        <v>Autumn</v>
      </c>
      <c r="C148" s="54">
        <f>'Water runs'!D155/100</f>
        <v>0.97857142857142909</v>
      </c>
      <c r="D148" s="108">
        <f>VLOOKUP(ROW(D148)+4,'Water runs'!$BS$3:$CF$423,MATCH($B$1,Scenarios,0)+1)</f>
        <v>0.18037070760655272</v>
      </c>
      <c r="E148" s="54">
        <f>IF(B148=Variables!$D$8,C148-Variables!$E$8,IF(B148=Variables!$D$9,C148-Variables!$E$9,IF(B148=Variables!$D$10,C148-Variables!$E$10,IF(B148=Variables!$D$11,C148-Variables!$E$11,"ELSE"))))</f>
        <v>-1.6071870748298744E-2</v>
      </c>
      <c r="F148" s="108">
        <f>VLOOKUP(ROW(F148)+4,'Water runs'!$CH$3:$CU$423,MATCH($B$1,Scenarios,0)+1)</f>
        <v>0.12880505783893775</v>
      </c>
      <c r="G148" s="65">
        <f>H148/Variables!$E$49</f>
        <v>0.16391427540913017</v>
      </c>
      <c r="H148" s="62">
        <f>IF((H147+I148)&gt;(1.1*Variables!$E$50),(1.1*Variables!$E$50),IF((H147+I148)&gt;0,H147+I148,0))</f>
        <v>1.0162685075366071</v>
      </c>
      <c r="I148" s="64">
        <f t="shared" si="4"/>
        <v>-1.1311424672237194</v>
      </c>
      <c r="J148" s="63">
        <f>IF(SUM(E144:E147)&lt;Variables!$B$3,-H147,0)</f>
        <v>-2.1474109747603265</v>
      </c>
      <c r="K148" s="64">
        <f>IF(AND(H147&lt;Variables!$B$6*Variables!$E$50,OR(SUM(D145:D148)&gt;Variables!$B$5,SUM(E145:E148)&gt;Variables!$B$4)),Variables!$B$6*Variables!$E$50+Variables!$B$7*$G$1*Variables!$E$50*SUM(D145:D148),0)</f>
        <v>0</v>
      </c>
      <c r="L148" s="64">
        <f>IF(B148="Winter",Variables!$B$8*H147,0)</f>
        <v>0</v>
      </c>
      <c r="M148" s="64">
        <f>IF(AND(B148="Spring",AND(NOT(H147=0),H147&lt;(Variables!$B$9*Variables!$E$50))),(Variables!$B$10*Variables!$E$50+Variables!$B$11*Variables!$E$50*SUM(E145:E148)+$G$1*SUM(D147:D148)*Variables!$E$50*Variables!$B$12),0)</f>
        <v>0</v>
      </c>
      <c r="N148" s="64">
        <f>IF(AND(B148="Spring",AND(SUM(D145:D148)&gt;Variables!$B$13,SUM(D141:D144)&gt;Variables!$B$13)),-Variables!$B$14*Variables!$E$50,0)</f>
        <v>0</v>
      </c>
      <c r="O148" s="64">
        <f>IF(AND(B148="Summer",SUM(C144:D148)&gt;Variables!$B$15),(Variables!$B$16*Variables!$E$50*SUM(C144:C148)+$G$1*Variables!$B$16*Variables!$E$50*SUM(D144:D148)+$G$1*Variables!$E$50*Variables!$B$17*F148),0)</f>
        <v>0</v>
      </c>
      <c r="P148" s="64">
        <f>IF(AND(AND(B148="Autumn",SUM(D147:E148)&gt;0),NOT(H147=0)),Variables!$B$18*Variables!$E$50+Variables!$B$19*Variables!$E$50*SUM(E147:E148)+$G$1*Variables!$B$19*Variables!$E$50*SUM(D147:D148),0)</f>
        <v>0</v>
      </c>
      <c r="Q148" s="64">
        <f>IF(AND(B148="Autumn",AND((E148+E147)&lt;Variables!$B$20,(D147+D148)=0)),-Variables!$B$21*Variables!$E$50,0)</f>
        <v>0</v>
      </c>
      <c r="R148" s="64">
        <f>IF(B148="Autumn",(SUM(F147:F148)*$G$1*Variables!$B$22*Variables!$E$50),0)</f>
        <v>1.8068507536607072E-2</v>
      </c>
      <c r="S148" s="64">
        <f>IF(B148="Spring",($G$1*Variables!$E$50*SUM('Guts (option 1)'!F147:F148)*Variables!$B$23),0)</f>
        <v>0</v>
      </c>
      <c r="T148" s="63">
        <f>IF((H147+SUM(J148:Q148))&lt;(Variables!$B$26*Variables!$E$50),$F$1*((Variables!$B$26*Variables!$E$50)-H147-SUM(J148:Q148)),0)</f>
        <v>0.9982000000000002</v>
      </c>
      <c r="U148" s="64">
        <f>IF(AND(AND(B148="Autumn",SUM(D145:E148)&gt;Variables!$B$27),SUM(J148:Q148)&lt;Variables!$B$28*H147),$F$1*(Variables!$B$28*H147-SUM(J148:Q148)),0)</f>
        <v>0</v>
      </c>
      <c r="V148" s="96">
        <f>IF(AND((J148+K148)=0,(Q148+T148)=0),$H$1*H148*Variables!$I$23*0.25,0)</f>
        <v>0</v>
      </c>
      <c r="W148" s="97">
        <f>IF(AND((K148+J148)=0,(T148+Q148)=0),$I$1*H148*Variables!$Q$23*0.25,0)</f>
        <v>0</v>
      </c>
      <c r="X148" s="95">
        <f>IF(AND(NOT(K148=0),(H148-H147)&gt;0),(H148-H147)*(Variables!$M$5*$H$1+Variables!$U$5*$I$1),0)+IF(AND(NOT((J148+N148+Q148)=0),(H147-H148)&gt;0),(H147-H148)*(Variables!$M$4*$H$1+Variables!$U$4*$I$1),0)</f>
        <v>141.39280840296493</v>
      </c>
      <c r="Y148" s="95">
        <f>IF(SUM(T148,U147:U148)&gt;0,H148*Variables!$Y$11*0.25*(1-$J$1),0)</f>
        <v>0</v>
      </c>
      <c r="Z148" s="95">
        <f>IF(T148=0,H148*$J$1*Variables!$Y$5*0.25,0)</f>
        <v>0</v>
      </c>
      <c r="AA148" s="95">
        <f t="shared" si="5"/>
        <v>141.39280840296493</v>
      </c>
      <c r="AB148" s="91">
        <f>AA148/Variables!$E$49</f>
        <v>22.805291677897568</v>
      </c>
    </row>
    <row r="149" spans="1:28" x14ac:dyDescent="0.25">
      <c r="A149" s="61">
        <f>'Water runs'!C156</f>
        <v>15584</v>
      </c>
      <c r="B149" s="61" t="str">
        <f>'Water runs'!B156</f>
        <v>Winter</v>
      </c>
      <c r="C149" s="54">
        <f>'Water runs'!D156/100</f>
        <v>0.70928571428571408</v>
      </c>
      <c r="D149" s="108">
        <f>VLOOKUP(ROW(D149)+4,'Water runs'!$BS$3:$CF$423,MATCH($B$1,Scenarios,0)+1)</f>
        <v>0</v>
      </c>
      <c r="E149" s="54">
        <f>IF(B149=Variables!$D$8,C149-Variables!$E$8,IF(B149=Variables!$D$9,C149-Variables!$E$9,IF(B149=Variables!$D$10,C149-Variables!$E$10,IF(B149=Variables!$D$11,C149-Variables!$E$11,"ELSE"))))</f>
        <v>0.13751808862433834</v>
      </c>
      <c r="F149" s="108">
        <f>VLOOKUP(ROW(F149)+4,'Water runs'!$CH$3:$CU$423,MATCH($B$1,Scenarios,0)+1)</f>
        <v>0</v>
      </c>
      <c r="G149" s="65">
        <f>H149/Variables!$E$49</f>
        <v>0.26811677937465767</v>
      </c>
      <c r="H149" s="62">
        <f>IF((H148+I149)&gt;(1.1*Variables!$E$50),(1.1*Variables!$E$50),IF((H148+I149)&gt;0,H148+I149,0))</f>
        <v>1.6623240321228776</v>
      </c>
      <c r="I149" s="64">
        <f t="shared" si="4"/>
        <v>0.64605552458627047</v>
      </c>
      <c r="J149" s="63">
        <f>IF(SUM(E145:E148)&lt;Variables!$B$3,-H148,0)</f>
        <v>0</v>
      </c>
      <c r="K149" s="64">
        <f>IF(AND(H148&lt;Variables!$B$6*Variables!$E$50,OR(SUM(D146:D149)&gt;Variables!$B$5,SUM(E146:E149)&gt;Variables!$B$4)),Variables!$B$6*Variables!$E$50+Variables!$B$7*$G$1*Variables!$E$50*SUM(D146:D149),0)</f>
        <v>1.1521015969142565</v>
      </c>
      <c r="L149" s="64">
        <f>IF(B149="Winter",Variables!$B$8*H148,0)</f>
        <v>-0.50604607232798604</v>
      </c>
      <c r="M149" s="64">
        <f>IF(AND(B149="Spring",AND(NOT(H148=0),H148&lt;(Variables!$B$9*Variables!$E$50))),(Variables!$B$10*Variables!$E$50+Variables!$B$11*Variables!$E$50*SUM(E146:E149)+$G$1*SUM(D148:D149)*Variables!$E$50*Variables!$B$12),0)</f>
        <v>0</v>
      </c>
      <c r="N149" s="64">
        <f>IF(AND(B149="Spring",AND(SUM(D146:D149)&gt;Variables!$B$13,SUM(D142:D145)&gt;Variables!$B$13)),-Variables!$B$14*Variables!$E$50,0)</f>
        <v>0</v>
      </c>
      <c r="O149" s="64">
        <f>IF(AND(B149="Summer",SUM(C145:D149)&gt;Variables!$B$15),(Variables!$B$16*Variables!$E$50*SUM(C145:C149)+$G$1*Variables!$B$16*Variables!$E$50*SUM(D145:D149)+$G$1*Variables!$E$50*Variables!$B$17*F149),0)</f>
        <v>0</v>
      </c>
      <c r="P149" s="64">
        <f>IF(AND(AND(B149="Autumn",SUM(D148:E149)&gt;0),NOT(H148=0)),Variables!$B$18*Variables!$E$50+Variables!$B$19*Variables!$E$50*SUM(E148:E149)+$G$1*Variables!$B$19*Variables!$E$50*SUM(D148:D149),0)</f>
        <v>0</v>
      </c>
      <c r="Q149" s="64">
        <f>IF(AND(B149="Autumn",AND((E149+E148)&lt;Variables!$B$20,(D148+D149)=0)),-Variables!$B$21*Variables!$E$50,0)</f>
        <v>0</v>
      </c>
      <c r="R149" s="64">
        <f>IF(B149="Autumn",(SUM(F148:F149)*$G$1*Variables!$B$22*Variables!$E$50),0)</f>
        <v>0</v>
      </c>
      <c r="S149" s="64">
        <f>IF(B149="Spring",($G$1*Variables!$E$50*SUM('Guts (option 1)'!F148:F149)*Variables!$B$23),0)</f>
        <v>0</v>
      </c>
      <c r="T149" s="63">
        <f>IF((H148+SUM(J149:Q149))&lt;(Variables!$B$26*Variables!$E$50),$F$1*((Variables!$B$26*Variables!$E$50)-H148-SUM(J149:Q149)),0)</f>
        <v>0</v>
      </c>
      <c r="U149" s="64">
        <f>IF(AND(AND(B149="Autumn",SUM(D146:E149)&gt;Variables!$B$27),SUM(J149:Q149)&lt;Variables!$B$28*H148),$F$1*(Variables!$B$28*H148-SUM(J149:Q149)),0)</f>
        <v>0</v>
      </c>
      <c r="V149" s="96">
        <f>IF(AND((J149+K149)=0,(Q149+T149)=0),$H$1*H149*Variables!$I$23*0.25,0)</f>
        <v>0</v>
      </c>
      <c r="W149" s="97">
        <f>IF(AND((K149+J149)=0,(T149+Q149)=0),$I$1*H149*Variables!$Q$23*0.25,0)</f>
        <v>0</v>
      </c>
      <c r="X149" s="95">
        <f>IF(AND(NOT(K149=0),(H149-H148)&gt;0),(H149-H148)*(Variables!$M$5*$H$1+Variables!$U$5*$I$1),0)+IF(AND(NOT((J149+N149+Q149)=0),(H148-H149)&gt;0),(H148-H149)*(Variables!$M$4*$H$1+Variables!$U$4*$I$1),0)</f>
        <v>-161.51388114656763</v>
      </c>
      <c r="Y149" s="95">
        <f>IF(SUM(T149,U148:U149)&gt;0,H149*Variables!$Y$11*0.25*(1-$J$1),0)</f>
        <v>0</v>
      </c>
      <c r="Z149" s="95">
        <f>IF(T149=0,H149*$J$1*Variables!$Y$5*0.25,0)</f>
        <v>10.805106208798705</v>
      </c>
      <c r="AA149" s="95">
        <f t="shared" si="5"/>
        <v>-150.70877493776891</v>
      </c>
      <c r="AB149" s="91">
        <f>AA149/Variables!$E$49</f>
        <v>-24.307866925446596</v>
      </c>
    </row>
    <row r="150" spans="1:28" x14ac:dyDescent="0.25">
      <c r="A150" s="61">
        <f>'Water runs'!C157</f>
        <v>15675</v>
      </c>
      <c r="B150" s="61" t="str">
        <f>'Water runs'!B157</f>
        <v>Spring</v>
      </c>
      <c r="C150" s="54">
        <f>'Water runs'!D157/100</f>
        <v>0.7811904761904761</v>
      </c>
      <c r="D150" s="108">
        <f>VLOOKUP(ROW(D150)+4,'Water runs'!$BS$3:$CF$423,MATCH($B$1,Scenarios,0)+1)</f>
        <v>0</v>
      </c>
      <c r="E150" s="54">
        <f>IF(B150=Variables!$D$8,C150-Variables!$E$8,IF(B150=Variables!$D$9,C150-Variables!$E$9,IF(B150=Variables!$D$10,C150-Variables!$E$10,IF(B150=Variables!$D$11,C150-Variables!$E$11,"ELSE"))))</f>
        <v>1.7208267195766958E-2</v>
      </c>
      <c r="F150" s="108">
        <f>VLOOKUP(ROW(F150)+4,'Water runs'!$CH$3:$CU$423,MATCH($B$1,Scenarios,0)+1)</f>
        <v>0</v>
      </c>
      <c r="G150" s="65">
        <f>H150/Variables!$E$49</f>
        <v>0.23506787569667142</v>
      </c>
      <c r="H150" s="62">
        <f>IF((H149+I150)&gt;(1.1*Variables!$E$50),(1.1*Variables!$E$50),IF((H149+I150)&gt;0,H149+I150,0))</f>
        <v>1.4574208293193629</v>
      </c>
      <c r="I150" s="64">
        <f t="shared" si="4"/>
        <v>-0.20490320280351471</v>
      </c>
      <c r="J150" s="63">
        <f>IF(SUM(E146:E149)&lt;Variables!$B$3,-H149,0)</f>
        <v>0</v>
      </c>
      <c r="K150" s="64">
        <f>IF(AND(H149&lt;Variables!$B$6*Variables!$E$50,OR(SUM(D147:D150)&gt;Variables!$B$5,SUM(E147:E150)&gt;Variables!$B$4)),Variables!$B$6*Variables!$E$50+Variables!$B$7*$G$1*Variables!$E$50*SUM(D147:D150),0)</f>
        <v>0</v>
      </c>
      <c r="L150" s="64">
        <f>IF(B150="Winter",Variables!$B$8*H149,0)</f>
        <v>0</v>
      </c>
      <c r="M150" s="64">
        <f>IF(AND(B150="Spring",AND(NOT(H149=0),H149&lt;(Variables!$B$9*Variables!$E$50))),(Variables!$B$10*Variables!$E$50+Variables!$B$11*Variables!$E$50*SUM(E147:E150)+$G$1*SUM(D149:D150)*Variables!$E$50*Variables!$B$12),0)</f>
        <v>-0.20490320280351471</v>
      </c>
      <c r="N150" s="64">
        <f>IF(AND(B150="Spring",AND(SUM(D147:D150)&gt;Variables!$B$13,SUM(D143:D146)&gt;Variables!$B$13)),-Variables!$B$14*Variables!$E$50,0)</f>
        <v>0</v>
      </c>
      <c r="O150" s="64">
        <f>IF(AND(B150="Summer",SUM(C146:D150)&gt;Variables!$B$15),(Variables!$B$16*Variables!$E$50*SUM(C146:C150)+$G$1*Variables!$B$16*Variables!$E$50*SUM(D146:D150)+$G$1*Variables!$E$50*Variables!$B$17*F150),0)</f>
        <v>0</v>
      </c>
      <c r="P150" s="64">
        <f>IF(AND(AND(B150="Autumn",SUM(D149:E150)&gt;0),NOT(H149=0)),Variables!$B$18*Variables!$E$50+Variables!$B$19*Variables!$E$50*SUM(E149:E150)+$G$1*Variables!$B$19*Variables!$E$50*SUM(D149:D150),0)</f>
        <v>0</v>
      </c>
      <c r="Q150" s="64">
        <f>IF(AND(B150="Autumn",AND((E150+E149)&lt;Variables!$B$20,(D149+D150)=0)),-Variables!$B$21*Variables!$E$50,0)</f>
        <v>0</v>
      </c>
      <c r="R150" s="64">
        <f>IF(B150="Autumn",(SUM(F149:F150)*$G$1*Variables!$B$22*Variables!$E$50),0)</f>
        <v>0</v>
      </c>
      <c r="S150" s="64">
        <f>IF(B150="Spring",($G$1*Variables!$E$50*SUM('Guts (option 1)'!F149:F150)*Variables!$B$23),0)</f>
        <v>0</v>
      </c>
      <c r="T150" s="63">
        <f>IF((H149+SUM(J150:Q150))&lt;(Variables!$B$26*Variables!$E$50),$F$1*((Variables!$B$26*Variables!$E$50)-H149-SUM(J150:Q150)),0)</f>
        <v>0</v>
      </c>
      <c r="U150" s="64">
        <f>IF(AND(AND(B150="Autumn",SUM(D147:E150)&gt;Variables!$B$27),SUM(J150:Q150)&lt;Variables!$B$28*H149),$F$1*(Variables!$B$28*H149-SUM(J150:Q150)),0)</f>
        <v>0</v>
      </c>
      <c r="V150" s="96">
        <f>IF(AND((J150+K150)=0,(Q150+T150)=0),$H$1*H150*Variables!$I$23*0.25,0)</f>
        <v>28.084717994108523</v>
      </c>
      <c r="W150" s="97">
        <f>IF(AND((K150+J150)=0,(T150+Q150)=0),$I$1*H150*Variables!$Q$23*0.25,0)</f>
        <v>29.397271192993536</v>
      </c>
      <c r="X150" s="95">
        <f>IF(AND(NOT(K150=0),(H150-H149)&gt;0),(H150-H149)*(Variables!$M$5*$H$1+Variables!$U$5*$I$1),0)+IF(AND(NOT((J150+N150+Q150)=0),(H149-H150)&gt;0),(H149-H150)*(Variables!$M$4*$H$1+Variables!$U$4*$I$1),0)</f>
        <v>0</v>
      </c>
      <c r="Y150" s="95">
        <f>IF(SUM(T150,U149:U150)&gt;0,H150*Variables!$Y$11*0.25*(1-$J$1),0)</f>
        <v>0</v>
      </c>
      <c r="Z150" s="95">
        <f>IF(T150=0,H150*$J$1*Variables!$Y$5*0.25,0)</f>
        <v>9.4732353905758586</v>
      </c>
      <c r="AA150" s="95">
        <f t="shared" si="5"/>
        <v>66.95522457767791</v>
      </c>
      <c r="AB150" s="91">
        <f>AA150/Variables!$E$49</f>
        <v>10.799229770593211</v>
      </c>
    </row>
    <row r="151" spans="1:28" x14ac:dyDescent="0.25">
      <c r="A151" s="61">
        <f>'Water runs'!C158</f>
        <v>15765</v>
      </c>
      <c r="B151" s="61" t="str">
        <f>'Water runs'!B158</f>
        <v>Summer</v>
      </c>
      <c r="C151" s="54">
        <f>'Water runs'!D158/100</f>
        <v>1.88014285714286</v>
      </c>
      <c r="D151" s="108">
        <f>VLOOKUP(ROW(D151)+4,'Water runs'!$BS$3:$CF$423,MATCH($B$1,Scenarios,0)+1)</f>
        <v>3.2135408831423844E-2</v>
      </c>
      <c r="E151" s="54">
        <f>IF(B151=Variables!$D$8,C151-Variables!$E$8,IF(B151=Variables!$D$9,C151-Variables!$E$9,IF(B151=Variables!$D$10,C151-Variables!$E$10,IF(B151=Variables!$D$11,C151-Variables!$E$11,"ELSE"))))</f>
        <v>0.62177272108843828</v>
      </c>
      <c r="F151" s="108">
        <f>VLOOKUP(ROW(F151)+4,'Water runs'!$CH$3:$CU$423,MATCH($B$1,Scenarios,0)+1)</f>
        <v>0</v>
      </c>
      <c r="G151" s="65">
        <f>H151/Variables!$E$49</f>
        <v>0.23506787569667142</v>
      </c>
      <c r="H151" s="62">
        <f>IF((H150+I151)&gt;(1.1*Variables!$E$50),(1.1*Variables!$E$50),IF((H150+I151)&gt;0,H150+I151,0))</f>
        <v>1.4574208293193629</v>
      </c>
      <c r="I151" s="64">
        <f t="shared" si="4"/>
        <v>0</v>
      </c>
      <c r="J151" s="63">
        <f>IF(SUM(E147:E150)&lt;Variables!$B$3,-H150,0)</f>
        <v>0</v>
      </c>
      <c r="K151" s="64">
        <f>IF(AND(H150&lt;Variables!$B$6*Variables!$E$50,OR(SUM(D148:D151)&gt;Variables!$B$5,SUM(E148:E151)&gt;Variables!$B$4)),Variables!$B$6*Variables!$E$50+Variables!$B$7*$G$1*Variables!$E$50*SUM(D148:D151),0)</f>
        <v>0</v>
      </c>
      <c r="L151" s="64">
        <f>IF(B151="Winter",Variables!$B$8*H150,0)</f>
        <v>0</v>
      </c>
      <c r="M151" s="64">
        <f>IF(AND(B151="Spring",AND(NOT(H150=0),H150&lt;(Variables!$B$9*Variables!$E$50))),(Variables!$B$10*Variables!$E$50+Variables!$B$11*Variables!$E$50*SUM(E148:E151)+$G$1*SUM(D150:D151)*Variables!$E$50*Variables!$B$12),0)</f>
        <v>0</v>
      </c>
      <c r="N151" s="64">
        <f>IF(AND(B151="Spring",AND(SUM(D148:D151)&gt;Variables!$B$13,SUM(D144:D147)&gt;Variables!$B$13)),-Variables!$B$14*Variables!$E$50,0)</f>
        <v>0</v>
      </c>
      <c r="O151" s="64">
        <f>IF(AND(B151="Summer",SUM(C147:D151)&gt;Variables!$B$15),(Variables!$B$16*Variables!$E$50*SUM(C147:C151)+$G$1*Variables!$B$16*Variables!$E$50*SUM(D147:D151)+$G$1*Variables!$E$50*Variables!$B$17*F151),0)</f>
        <v>0</v>
      </c>
      <c r="P151" s="64">
        <f>IF(AND(AND(B151="Autumn",SUM(D150:E151)&gt;0),NOT(H150=0)),Variables!$B$18*Variables!$E$50+Variables!$B$19*Variables!$E$50*SUM(E150:E151)+$G$1*Variables!$B$19*Variables!$E$50*SUM(D150:D151),0)</f>
        <v>0</v>
      </c>
      <c r="Q151" s="64">
        <f>IF(AND(B151="Autumn",AND((E151+E150)&lt;Variables!$B$20,(D150+D151)=0)),-Variables!$B$21*Variables!$E$50,0)</f>
        <v>0</v>
      </c>
      <c r="R151" s="64">
        <f>IF(B151="Autumn",(SUM(F150:F151)*$G$1*Variables!$B$22*Variables!$E$50),0)</f>
        <v>0</v>
      </c>
      <c r="S151" s="64">
        <f>IF(B151="Spring",($G$1*Variables!$E$50*SUM('Guts (option 1)'!F150:F151)*Variables!$B$23),0)</f>
        <v>0</v>
      </c>
      <c r="T151" s="63">
        <f>IF((H150+SUM(J151:Q151))&lt;(Variables!$B$26*Variables!$E$50),$F$1*((Variables!$B$26*Variables!$E$50)-H150-SUM(J151:Q151)),0)</f>
        <v>0</v>
      </c>
      <c r="U151" s="64">
        <f>IF(AND(AND(B151="Autumn",SUM(D148:E151)&gt;Variables!$B$27),SUM(J151:Q151)&lt;Variables!$B$28*H150),$F$1*(Variables!$B$28*H150-SUM(J151:Q151)),0)</f>
        <v>0</v>
      </c>
      <c r="V151" s="96">
        <f>IF(AND((J151+K151)=0,(Q151+T151)=0),$H$1*H151*Variables!$I$23*0.25,0)</f>
        <v>28.084717994108523</v>
      </c>
      <c r="W151" s="97">
        <f>IF(AND((K151+J151)=0,(T151+Q151)=0),$I$1*H151*Variables!$Q$23*0.25,0)</f>
        <v>29.397271192993536</v>
      </c>
      <c r="X151" s="95">
        <f>IF(AND(NOT(K151=0),(H151-H150)&gt;0),(H151-H150)*(Variables!$M$5*$H$1+Variables!$U$5*$I$1),0)+IF(AND(NOT((J151+N151+Q151)=0),(H150-H151)&gt;0),(H150-H151)*(Variables!$M$4*$H$1+Variables!$U$4*$I$1),0)</f>
        <v>0</v>
      </c>
      <c r="Y151" s="95">
        <f>IF(SUM(T151,U150:U151)&gt;0,H151*Variables!$Y$11*0.25*(1-$J$1),0)</f>
        <v>0</v>
      </c>
      <c r="Z151" s="95">
        <f>IF(T151=0,H151*$J$1*Variables!$Y$5*0.25,0)</f>
        <v>9.4732353905758586</v>
      </c>
      <c r="AA151" s="95">
        <f t="shared" si="5"/>
        <v>66.95522457767791</v>
      </c>
      <c r="AB151" s="91">
        <f>AA151/Variables!$E$49</f>
        <v>10.799229770593211</v>
      </c>
    </row>
    <row r="152" spans="1:28" x14ac:dyDescent="0.25">
      <c r="A152" s="61">
        <f>'Water runs'!C159</f>
        <v>15857</v>
      </c>
      <c r="B152" s="61" t="str">
        <f>'Water runs'!B159</f>
        <v>Autumn</v>
      </c>
      <c r="C152" s="54">
        <f>'Water runs'!D159/100</f>
        <v>0.16491428571428599</v>
      </c>
      <c r="D152" s="108">
        <f>VLOOKUP(ROW(D152)+4,'Water runs'!$BS$3:$CF$423,MATCH($B$1,Scenarios,0)+1)</f>
        <v>0</v>
      </c>
      <c r="E152" s="54">
        <f>IF(B152=Variables!$D$8,C152-Variables!$E$8,IF(B152=Variables!$D$9,C152-Variables!$E$9,IF(B152=Variables!$D$10,C152-Variables!$E$10,IF(B152=Variables!$D$11,C152-Variables!$E$11,"ELSE"))))</f>
        <v>-0.82972901360544182</v>
      </c>
      <c r="F152" s="108">
        <f>VLOOKUP(ROW(F152)+4,'Water runs'!$CH$3:$CU$423,MATCH($B$1,Scenarios,0)+1)</f>
        <v>0</v>
      </c>
      <c r="G152" s="65">
        <f>H152/Variables!$E$49</f>
        <v>0.23506787569667142</v>
      </c>
      <c r="H152" s="62">
        <f>IF((H151+I152)&gt;(1.1*Variables!$E$50),(1.1*Variables!$E$50),IF((H151+I152)&gt;0,H151+I152,0))</f>
        <v>1.4574208293193629</v>
      </c>
      <c r="I152" s="64">
        <f t="shared" si="4"/>
        <v>0</v>
      </c>
      <c r="J152" s="63">
        <f>IF(SUM(E148:E151)&lt;Variables!$B$3,-H151,0)</f>
        <v>0</v>
      </c>
      <c r="K152" s="64">
        <f>IF(AND(H151&lt;Variables!$B$6*Variables!$E$50,OR(SUM(D149:D152)&gt;Variables!$B$5,SUM(E149:E152)&gt;Variables!$B$4)),Variables!$B$6*Variables!$E$50+Variables!$B$7*$G$1*Variables!$E$50*SUM(D149:D152),0)</f>
        <v>0</v>
      </c>
      <c r="L152" s="64">
        <f>IF(B152="Winter",Variables!$B$8*H151,0)</f>
        <v>0</v>
      </c>
      <c r="M152" s="64">
        <f>IF(AND(B152="Spring",AND(NOT(H151=0),H151&lt;(Variables!$B$9*Variables!$E$50))),(Variables!$B$10*Variables!$E$50+Variables!$B$11*Variables!$E$50*SUM(E149:E152)+$G$1*SUM(D151:D152)*Variables!$E$50*Variables!$B$12),0)</f>
        <v>0</v>
      </c>
      <c r="N152" s="64">
        <f>IF(AND(B152="Spring",AND(SUM(D149:D152)&gt;Variables!$B$13,SUM(D145:D148)&gt;Variables!$B$13)),-Variables!$B$14*Variables!$E$50,0)</f>
        <v>0</v>
      </c>
      <c r="O152" s="64">
        <f>IF(AND(B152="Summer",SUM(C148:D152)&gt;Variables!$B$15),(Variables!$B$16*Variables!$E$50*SUM(C148:C152)+$G$1*Variables!$B$16*Variables!$E$50*SUM(D148:D152)+$G$1*Variables!$E$50*Variables!$B$17*F152),0)</f>
        <v>0</v>
      </c>
      <c r="P152" s="64">
        <f>IF(AND(AND(B152="Autumn",SUM(D151:E152)&gt;0),NOT(H151=0)),Variables!$B$18*Variables!$E$50+Variables!$B$19*Variables!$E$50*SUM(E151:E152)+$G$1*Variables!$B$19*Variables!$E$50*SUM(D151:D152),0)</f>
        <v>0</v>
      </c>
      <c r="Q152" s="64">
        <f>IF(AND(B152="Autumn",AND((E152+E151)&lt;Variables!$B$20,(D151+D152)=0)),-Variables!$B$21*Variables!$E$50,0)</f>
        <v>0</v>
      </c>
      <c r="R152" s="64">
        <f>IF(B152="Autumn",(SUM(F151:F152)*$G$1*Variables!$B$22*Variables!$E$50),0)</f>
        <v>0</v>
      </c>
      <c r="S152" s="64">
        <f>IF(B152="Spring",($G$1*Variables!$E$50*SUM('Guts (option 1)'!F151:F152)*Variables!$B$23),0)</f>
        <v>0</v>
      </c>
      <c r="T152" s="63">
        <f>IF((H151+SUM(J152:Q152))&lt;(Variables!$B$26*Variables!$E$50),$F$1*((Variables!$B$26*Variables!$E$50)-H151-SUM(J152:Q152)),0)</f>
        <v>0</v>
      </c>
      <c r="U152" s="64">
        <f>IF(AND(AND(B152="Autumn",SUM(D149:E152)&gt;Variables!$B$27),SUM(J152:Q152)&lt;Variables!$B$28*H151),$F$1*(Variables!$B$28*H151-SUM(J152:Q152)),0)</f>
        <v>0</v>
      </c>
      <c r="V152" s="96">
        <f>IF(AND((J152+K152)=0,(Q152+T152)=0),$H$1*H152*Variables!$I$23*0.25,0)</f>
        <v>28.084717994108523</v>
      </c>
      <c r="W152" s="97">
        <f>IF(AND((K152+J152)=0,(T152+Q152)=0),$I$1*H152*Variables!$Q$23*0.25,0)</f>
        <v>29.397271192993536</v>
      </c>
      <c r="X152" s="95">
        <f>IF(AND(NOT(K152=0),(H152-H151)&gt;0),(H152-H151)*(Variables!$M$5*$H$1+Variables!$U$5*$I$1),0)+IF(AND(NOT((J152+N152+Q152)=0),(H151-H152)&gt;0),(H151-H152)*(Variables!$M$4*$H$1+Variables!$U$4*$I$1),0)</f>
        <v>0</v>
      </c>
      <c r="Y152" s="95">
        <f>IF(SUM(T152,U151:U152)&gt;0,H152*Variables!$Y$11*0.25*(1-$J$1),0)</f>
        <v>0</v>
      </c>
      <c r="Z152" s="95">
        <f>IF(T152=0,H152*$J$1*Variables!$Y$5*0.25,0)</f>
        <v>9.4732353905758586</v>
      </c>
      <c r="AA152" s="95">
        <f t="shared" si="5"/>
        <v>66.95522457767791</v>
      </c>
      <c r="AB152" s="91">
        <f>AA152/Variables!$E$49</f>
        <v>10.799229770593211</v>
      </c>
    </row>
    <row r="153" spans="1:28" x14ac:dyDescent="0.25">
      <c r="A153" s="61">
        <f>'Water runs'!C160</f>
        <v>15949</v>
      </c>
      <c r="B153" s="61" t="str">
        <f>'Water runs'!B160</f>
        <v>Winter</v>
      </c>
      <c r="C153" s="54">
        <f>'Water runs'!D160/100</f>
        <v>0.435142857142857</v>
      </c>
      <c r="D153" s="108">
        <f>VLOOKUP(ROW(D153)+4,'Water runs'!$BS$3:$CF$423,MATCH($B$1,Scenarios,0)+1)</f>
        <v>0</v>
      </c>
      <c r="E153" s="54">
        <f>IF(B153=Variables!$D$8,C153-Variables!$E$8,IF(B153=Variables!$D$9,C153-Variables!$E$9,IF(B153=Variables!$D$10,C153-Variables!$E$10,IF(B153=Variables!$D$11,C153-Variables!$E$11,"ELSE"))))</f>
        <v>-0.13662476851851874</v>
      </c>
      <c r="F153" s="108">
        <f>VLOOKUP(ROW(F153)+4,'Water runs'!$CH$3:$CU$423,MATCH($B$1,Scenarios,0)+1)</f>
        <v>0</v>
      </c>
      <c r="G153" s="65">
        <f>H153/Variables!$E$49</f>
        <v>0.161</v>
      </c>
      <c r="H153" s="62">
        <f>IF((H152+I153)&gt;(1.1*Variables!$E$50),(1.1*Variables!$E$50),IF((H152+I153)&gt;0,H152+I153,0))</f>
        <v>0.99820000000000009</v>
      </c>
      <c r="I153" s="64">
        <f t="shared" si="4"/>
        <v>-0.45922082931936281</v>
      </c>
      <c r="J153" s="63">
        <f>IF(SUM(E149:E152)&lt;Variables!$B$3,-H152,0)</f>
        <v>0</v>
      </c>
      <c r="K153" s="64">
        <f>IF(AND(H152&lt;Variables!$B$6*Variables!$E$50,OR(SUM(D150:D153)&gt;Variables!$B$5,SUM(E150:E153)&gt;Variables!$B$4)),Variables!$B$6*Variables!$E$50+Variables!$B$7*$G$1*Variables!$E$50*SUM(D150:D153),0)</f>
        <v>0</v>
      </c>
      <c r="L153" s="64">
        <f>IF(B153="Winter",Variables!$B$8*H152,0)</f>
        <v>-0.7257157738694302</v>
      </c>
      <c r="M153" s="64">
        <f>IF(AND(B153="Spring",AND(NOT(H152=0),H152&lt;(Variables!$B$9*Variables!$E$50))),(Variables!$B$10*Variables!$E$50+Variables!$B$11*Variables!$E$50*SUM(E150:E153)+$G$1*SUM(D152:D153)*Variables!$E$50*Variables!$B$12),0)</f>
        <v>0</v>
      </c>
      <c r="N153" s="64">
        <f>IF(AND(B153="Spring",AND(SUM(D150:D153)&gt;Variables!$B$13,SUM(D146:D149)&gt;Variables!$B$13)),-Variables!$B$14*Variables!$E$50,0)</f>
        <v>0</v>
      </c>
      <c r="O153" s="64">
        <f>IF(AND(B153="Summer",SUM(C149:D153)&gt;Variables!$B$15),(Variables!$B$16*Variables!$E$50*SUM(C149:C153)+$G$1*Variables!$B$16*Variables!$E$50*SUM(D149:D153)+$G$1*Variables!$E$50*Variables!$B$17*F153),0)</f>
        <v>0</v>
      </c>
      <c r="P153" s="64">
        <f>IF(AND(AND(B153="Autumn",SUM(D152:E153)&gt;0),NOT(H152=0)),Variables!$B$18*Variables!$E$50+Variables!$B$19*Variables!$E$50*SUM(E152:E153)+$G$1*Variables!$B$19*Variables!$E$50*SUM(D152:D153),0)</f>
        <v>0</v>
      </c>
      <c r="Q153" s="64">
        <f>IF(AND(B153="Autumn",AND((E153+E152)&lt;Variables!$B$20,(D152+D153)=0)),-Variables!$B$21*Variables!$E$50,0)</f>
        <v>0</v>
      </c>
      <c r="R153" s="64">
        <f>IF(B153="Autumn",(SUM(F152:F153)*$G$1*Variables!$B$22*Variables!$E$50),0)</f>
        <v>0</v>
      </c>
      <c r="S153" s="64">
        <f>IF(B153="Spring",($G$1*Variables!$E$50*SUM('Guts (option 1)'!F152:F153)*Variables!$B$23),0)</f>
        <v>0</v>
      </c>
      <c r="T153" s="63">
        <f>IF((H152+SUM(J153:Q153))&lt;(Variables!$B$26*Variables!$E$50),$F$1*((Variables!$B$26*Variables!$E$50)-H152-SUM(J153:Q153)),0)</f>
        <v>0.26649494455006739</v>
      </c>
      <c r="U153" s="64">
        <f>IF(AND(AND(B153="Autumn",SUM(D150:E153)&gt;Variables!$B$27),SUM(J153:Q153)&lt;Variables!$B$28*H152),$F$1*(Variables!$B$28*H152-SUM(J153:Q153)),0)</f>
        <v>0</v>
      </c>
      <c r="V153" s="96">
        <f>IF(AND((J153+K153)=0,(Q153+T153)=0),$H$1*H153*Variables!$I$23*0.25,0)</f>
        <v>0</v>
      </c>
      <c r="W153" s="97">
        <f>IF(AND((K153+J153)=0,(T153+Q153)=0),$I$1*H153*Variables!$Q$23*0.25,0)</f>
        <v>0</v>
      </c>
      <c r="X153" s="95">
        <f>IF(AND(NOT(K153=0),(H153-H152)&gt;0),(H153-H152)*(Variables!$M$5*$H$1+Variables!$U$5*$I$1),0)+IF(AND(NOT((J153+N153+Q153)=0),(H152-H153)&gt;0),(H152-H153)*(Variables!$M$4*$H$1+Variables!$U$4*$I$1),0)</f>
        <v>0</v>
      </c>
      <c r="Y153" s="95">
        <f>IF(SUM(T153,U152:U153)&gt;0,H153*Variables!$Y$11*0.25*(1-$J$1),0)</f>
        <v>0</v>
      </c>
      <c r="Z153" s="95">
        <f>IF(T153=0,H153*$J$1*Variables!$Y$5*0.25,0)</f>
        <v>0</v>
      </c>
      <c r="AA153" s="95">
        <f t="shared" si="5"/>
        <v>0</v>
      </c>
      <c r="AB153" s="91">
        <f>AA153/Variables!$E$49</f>
        <v>0</v>
      </c>
    </row>
    <row r="154" spans="1:28" x14ac:dyDescent="0.25">
      <c r="A154" s="61">
        <f>'Water runs'!C161</f>
        <v>16040</v>
      </c>
      <c r="B154" s="61" t="str">
        <f>'Water runs'!B161</f>
        <v>Spring</v>
      </c>
      <c r="C154" s="54">
        <f>'Water runs'!D161/100</f>
        <v>0.51085714285714301</v>
      </c>
      <c r="D154" s="108">
        <f>VLOOKUP(ROW(D154)+4,'Water runs'!$BS$3:$CF$423,MATCH($B$1,Scenarios,0)+1)</f>
        <v>0</v>
      </c>
      <c r="E154" s="54">
        <f>IF(B154=Variables!$D$8,C154-Variables!$E$8,IF(B154=Variables!$D$9,C154-Variables!$E$9,IF(B154=Variables!$D$10,C154-Variables!$E$10,IF(B154=Variables!$D$11,C154-Variables!$E$11,"ELSE"))))</f>
        <v>-0.25312506613756613</v>
      </c>
      <c r="F154" s="108">
        <f>VLOOKUP(ROW(F154)+4,'Water runs'!$CH$3:$CU$423,MATCH($B$1,Scenarios,0)+1)</f>
        <v>0</v>
      </c>
      <c r="G154" s="65">
        <f>H154/Variables!$E$49</f>
        <v>0.161</v>
      </c>
      <c r="H154" s="62">
        <f>IF((H153+I154)&gt;(1.1*Variables!$E$50),(1.1*Variables!$E$50),IF((H153+I154)&gt;0,H153+I154,0))</f>
        <v>0.99820000000000009</v>
      </c>
      <c r="I154" s="64">
        <f t="shared" si="4"/>
        <v>0</v>
      </c>
      <c r="J154" s="63">
        <f>IF(SUM(E150:E153)&lt;Variables!$B$3,-H153,0)</f>
        <v>0</v>
      </c>
      <c r="K154" s="64">
        <f>IF(AND(H153&lt;Variables!$B$6*Variables!$E$50,OR(SUM(D151:D154)&gt;Variables!$B$5,SUM(E151:E154)&gt;Variables!$B$4)),Variables!$B$6*Variables!$E$50+Variables!$B$7*$G$1*Variables!$E$50*SUM(D151:D154),0)</f>
        <v>0</v>
      </c>
      <c r="L154" s="64">
        <f>IF(B154="Winter",Variables!$B$8*H153,0)</f>
        <v>0</v>
      </c>
      <c r="M154" s="64">
        <f>IF(AND(B154="Spring",AND(NOT(H153=0),H153&lt;(Variables!$B$9*Variables!$E$50))),(Variables!$B$10*Variables!$E$50+Variables!$B$11*Variables!$E$50*SUM(E151:E154)+$G$1*SUM(D153:D154)*Variables!$E$50*Variables!$B$12),0)</f>
        <v>-0.40707474272914396</v>
      </c>
      <c r="N154" s="64">
        <f>IF(AND(B154="Spring",AND(SUM(D151:D154)&gt;Variables!$B$13,SUM(D147:D150)&gt;Variables!$B$13)),-Variables!$B$14*Variables!$E$50,0)</f>
        <v>0</v>
      </c>
      <c r="O154" s="64">
        <f>IF(AND(B154="Summer",SUM(C150:D154)&gt;Variables!$B$15),(Variables!$B$16*Variables!$E$50*SUM(C150:C154)+$G$1*Variables!$B$16*Variables!$E$50*SUM(D150:D154)+$G$1*Variables!$E$50*Variables!$B$17*F154),0)</f>
        <v>0</v>
      </c>
      <c r="P154" s="64">
        <f>IF(AND(AND(B154="Autumn",SUM(D153:E154)&gt;0),NOT(H153=0)),Variables!$B$18*Variables!$E$50+Variables!$B$19*Variables!$E$50*SUM(E153:E154)+$G$1*Variables!$B$19*Variables!$E$50*SUM(D153:D154),0)</f>
        <v>0</v>
      </c>
      <c r="Q154" s="64">
        <f>IF(AND(B154="Autumn",AND((E154+E153)&lt;Variables!$B$20,(D153+D154)=0)),-Variables!$B$21*Variables!$E$50,0)</f>
        <v>0</v>
      </c>
      <c r="R154" s="64">
        <f>IF(B154="Autumn",(SUM(F153:F154)*$G$1*Variables!$B$22*Variables!$E$50),0)</f>
        <v>0</v>
      </c>
      <c r="S154" s="64">
        <f>IF(B154="Spring",($G$1*Variables!$E$50*SUM('Guts (option 1)'!F153:F154)*Variables!$B$23),0)</f>
        <v>0</v>
      </c>
      <c r="T154" s="63">
        <f>IF((H153+SUM(J154:Q154))&lt;(Variables!$B$26*Variables!$E$50),$F$1*((Variables!$B$26*Variables!$E$50)-H153-SUM(J154:Q154)),0)</f>
        <v>0.40707474272914396</v>
      </c>
      <c r="U154" s="64">
        <f>IF(AND(AND(B154="Autumn",SUM(D151:E154)&gt;Variables!$B$27),SUM(J154:Q154)&lt;Variables!$B$28*H153),$F$1*(Variables!$B$28*H153-SUM(J154:Q154)),0)</f>
        <v>0</v>
      </c>
      <c r="V154" s="96">
        <f>IF(AND((J154+K154)=0,(Q154+T154)=0),$H$1*H154*Variables!$I$23*0.25,0)</f>
        <v>0</v>
      </c>
      <c r="W154" s="97">
        <f>IF(AND((K154+J154)=0,(T154+Q154)=0),$I$1*H154*Variables!$Q$23*0.25,0)</f>
        <v>0</v>
      </c>
      <c r="X154" s="95">
        <f>IF(AND(NOT(K154=0),(H154-H153)&gt;0),(H154-H153)*(Variables!$M$5*$H$1+Variables!$U$5*$I$1),0)+IF(AND(NOT((J154+N154+Q154)=0),(H153-H154)&gt;0),(H153-H154)*(Variables!$M$4*$H$1+Variables!$U$4*$I$1),0)</f>
        <v>0</v>
      </c>
      <c r="Y154" s="95">
        <f>IF(SUM(T154,U153:U154)&gt;0,H154*Variables!$Y$11*0.25*(1-$J$1),0)</f>
        <v>0</v>
      </c>
      <c r="Z154" s="95">
        <f>IF(T154=0,H154*$J$1*Variables!$Y$5*0.25,0)</f>
        <v>0</v>
      </c>
      <c r="AA154" s="95">
        <f t="shared" si="5"/>
        <v>0</v>
      </c>
      <c r="AB154" s="91">
        <f>AA154/Variables!$E$49</f>
        <v>0</v>
      </c>
    </row>
    <row r="155" spans="1:28" x14ac:dyDescent="0.25">
      <c r="A155" s="61">
        <f>'Water runs'!C162</f>
        <v>16130</v>
      </c>
      <c r="B155" s="61" t="str">
        <f>'Water runs'!B162</f>
        <v>Summer</v>
      </c>
      <c r="C155" s="54">
        <f>'Water runs'!D162/100</f>
        <v>0.17857142857142899</v>
      </c>
      <c r="D155" s="108">
        <f>VLOOKUP(ROW(D155)+4,'Water runs'!$BS$3:$CF$423,MATCH($B$1,Scenarios,0)+1)</f>
        <v>0</v>
      </c>
      <c r="E155" s="54">
        <f>IF(B155=Variables!$D$8,C155-Variables!$E$8,IF(B155=Variables!$D$9,C155-Variables!$E$9,IF(B155=Variables!$D$10,C155-Variables!$E$10,IF(B155=Variables!$D$11,C155-Variables!$E$11,"ELSE"))))</f>
        <v>-1.0797987074829927</v>
      </c>
      <c r="F155" s="108">
        <f>VLOOKUP(ROW(F155)+4,'Water runs'!$CH$3:$CU$423,MATCH($B$1,Scenarios,0)+1)</f>
        <v>0</v>
      </c>
      <c r="G155" s="65">
        <f>H155/Variables!$E$49</f>
        <v>0.161</v>
      </c>
      <c r="H155" s="62">
        <f>IF((H154+I155)&gt;(1.1*Variables!$E$50),(1.1*Variables!$E$50),IF((H154+I155)&gt;0,H154+I155,0))</f>
        <v>0.99820000000000009</v>
      </c>
      <c r="I155" s="64">
        <f t="shared" si="4"/>
        <v>0</v>
      </c>
      <c r="J155" s="63">
        <f>IF(SUM(E151:E154)&lt;Variables!$B$3,-H154,0)</f>
        <v>0</v>
      </c>
      <c r="K155" s="64">
        <f>IF(AND(H154&lt;Variables!$B$6*Variables!$E$50,OR(SUM(D152:D155)&gt;Variables!$B$5,SUM(E152:E155)&gt;Variables!$B$4)),Variables!$B$6*Variables!$E$50+Variables!$B$7*$G$1*Variables!$E$50*SUM(D152:D155),0)</f>
        <v>0</v>
      </c>
      <c r="L155" s="64">
        <f>IF(B155="Winter",Variables!$B$8*H154,0)</f>
        <v>0</v>
      </c>
      <c r="M155" s="64">
        <f>IF(AND(B155="Spring",AND(NOT(H154=0),H154&lt;(Variables!$B$9*Variables!$E$50))),(Variables!$B$10*Variables!$E$50+Variables!$B$11*Variables!$E$50*SUM(E152:E155)+$G$1*SUM(D154:D155)*Variables!$E$50*Variables!$B$12),0)</f>
        <v>0</v>
      </c>
      <c r="N155" s="64">
        <f>IF(AND(B155="Spring",AND(SUM(D152:D155)&gt;Variables!$B$13,SUM(D148:D151)&gt;Variables!$B$13)),-Variables!$B$14*Variables!$E$50,0)</f>
        <v>0</v>
      </c>
      <c r="O155" s="64">
        <f>IF(AND(B155="Summer",SUM(C151:D155)&gt;Variables!$B$15),(Variables!$B$16*Variables!$E$50*SUM(C151:C155)+$G$1*Variables!$B$16*Variables!$E$50*SUM(D151:D155)+$G$1*Variables!$E$50*Variables!$B$17*F155),0)</f>
        <v>0</v>
      </c>
      <c r="P155" s="64">
        <f>IF(AND(AND(B155="Autumn",SUM(D154:E155)&gt;0),NOT(H154=0)),Variables!$B$18*Variables!$E$50+Variables!$B$19*Variables!$E$50*SUM(E154:E155)+$G$1*Variables!$B$19*Variables!$E$50*SUM(D154:D155),0)</f>
        <v>0</v>
      </c>
      <c r="Q155" s="64">
        <f>IF(AND(B155="Autumn",AND((E155+E154)&lt;Variables!$B$20,(D154+D155)=0)),-Variables!$B$21*Variables!$E$50,0)</f>
        <v>0</v>
      </c>
      <c r="R155" s="64">
        <f>IF(B155="Autumn",(SUM(F154:F155)*$G$1*Variables!$B$22*Variables!$E$50),0)</f>
        <v>0</v>
      </c>
      <c r="S155" s="64">
        <f>IF(B155="Spring",($G$1*Variables!$E$50*SUM('Guts (option 1)'!F154:F155)*Variables!$B$23),0)</f>
        <v>0</v>
      </c>
      <c r="T155" s="63">
        <f>IF((H154+SUM(J155:Q155))&lt;(Variables!$B$26*Variables!$E$50),$F$1*((Variables!$B$26*Variables!$E$50)-H154-SUM(J155:Q155)),0)</f>
        <v>0</v>
      </c>
      <c r="U155" s="64">
        <f>IF(AND(AND(B155="Autumn",SUM(D152:E155)&gt;Variables!$B$27),SUM(J155:Q155)&lt;Variables!$B$28*H154),$F$1*(Variables!$B$28*H154-SUM(J155:Q155)),0)</f>
        <v>0</v>
      </c>
      <c r="V155" s="96">
        <f>IF(AND((J155+K155)=0,(Q155+T155)=0),$H$1*H155*Variables!$I$23*0.25,0)</f>
        <v>19.235463730000003</v>
      </c>
      <c r="W155" s="97">
        <f>IF(AND((K155+J155)=0,(T155+Q155)=0),$I$1*H155*Variables!$Q$23*0.25,0)</f>
        <v>20.13444265</v>
      </c>
      <c r="X155" s="95">
        <f>IF(AND(NOT(K155=0),(H155-H154)&gt;0),(H155-H154)*(Variables!$M$5*$H$1+Variables!$U$5*$I$1),0)+IF(AND(NOT((J155+N155+Q155)=0),(H154-H155)&gt;0),(H154-H155)*(Variables!$M$4*$H$1+Variables!$U$4*$I$1),0)</f>
        <v>0</v>
      </c>
      <c r="Y155" s="95">
        <f>IF(SUM(T155,U154:U155)&gt;0,H155*Variables!$Y$11*0.25*(1-$J$1),0)</f>
        <v>0</v>
      </c>
      <c r="Z155" s="95">
        <f>IF(T155=0,H155*$J$1*Variables!$Y$5*0.25,0)</f>
        <v>6.4883000000000006</v>
      </c>
      <c r="AA155" s="95">
        <f t="shared" si="5"/>
        <v>45.858206380000006</v>
      </c>
      <c r="AB155" s="91">
        <f>AA155/Variables!$E$49</f>
        <v>7.3964849000000008</v>
      </c>
    </row>
    <row r="156" spans="1:28" x14ac:dyDescent="0.25">
      <c r="A156" s="61">
        <f>'Water runs'!C163</f>
        <v>16223</v>
      </c>
      <c r="B156" s="61" t="str">
        <f>'Water runs'!B163</f>
        <v>Autumn</v>
      </c>
      <c r="C156" s="54">
        <f>'Water runs'!D163/100</f>
        <v>0</v>
      </c>
      <c r="D156" s="108">
        <f>VLOOKUP(ROW(D156)+4,'Water runs'!$BS$3:$CF$423,MATCH($B$1,Scenarios,0)+1)</f>
        <v>0</v>
      </c>
      <c r="E156" s="54">
        <f>IF(B156=Variables!$D$8,C156-Variables!$E$8,IF(B156=Variables!$D$9,C156-Variables!$E$9,IF(B156=Variables!$D$10,C156-Variables!$E$10,IF(B156=Variables!$D$11,C156-Variables!$E$11,"ELSE"))))</f>
        <v>-0.99464329931972784</v>
      </c>
      <c r="F156" s="108">
        <f>VLOOKUP(ROW(F156)+4,'Water runs'!$CH$3:$CU$423,MATCH($B$1,Scenarios,0)+1)</f>
        <v>0</v>
      </c>
      <c r="G156" s="65">
        <f>H156/Variables!$E$49</f>
        <v>0.161</v>
      </c>
      <c r="H156" s="62">
        <f>IF((H155+I156)&gt;(1.1*Variables!$E$50),(1.1*Variables!$E$50),IF((H155+I156)&gt;0,H155+I156,0))</f>
        <v>0.99820000000000009</v>
      </c>
      <c r="I156" s="64">
        <f t="shared" si="4"/>
        <v>0</v>
      </c>
      <c r="J156" s="63">
        <f>IF(SUM(E152:E155)&lt;Variables!$B$3,-H155,0)</f>
        <v>-0.99820000000000009</v>
      </c>
      <c r="K156" s="64">
        <f>IF(AND(H155&lt;Variables!$B$6*Variables!$E$50,OR(SUM(D153:D156)&gt;Variables!$B$5,SUM(E153:E156)&gt;Variables!$B$4)),Variables!$B$6*Variables!$E$50+Variables!$B$7*$G$1*Variables!$E$50*SUM(D153:D156),0)</f>
        <v>0</v>
      </c>
      <c r="L156" s="64">
        <f>IF(B156="Winter",Variables!$B$8*H155,0)</f>
        <v>0</v>
      </c>
      <c r="M156" s="64">
        <f>IF(AND(B156="Spring",AND(NOT(H155=0),H155&lt;(Variables!$B$9*Variables!$E$50))),(Variables!$B$10*Variables!$E$50+Variables!$B$11*Variables!$E$50*SUM(E153:E156)+$G$1*SUM(D155:D156)*Variables!$E$50*Variables!$B$12),0)</f>
        <v>0</v>
      </c>
      <c r="N156" s="64">
        <f>IF(AND(B156="Spring",AND(SUM(D153:D156)&gt;Variables!$B$13,SUM(D149:D152)&gt;Variables!$B$13)),-Variables!$B$14*Variables!$E$50,0)</f>
        <v>0</v>
      </c>
      <c r="O156" s="64">
        <f>IF(AND(B156="Summer",SUM(C152:D156)&gt;Variables!$B$15),(Variables!$B$16*Variables!$E$50*SUM(C152:C156)+$G$1*Variables!$B$16*Variables!$E$50*SUM(D152:D156)+$G$1*Variables!$E$50*Variables!$B$17*F156),0)</f>
        <v>0</v>
      </c>
      <c r="P156" s="64">
        <f>IF(AND(AND(B156="Autumn",SUM(D155:E156)&gt;0),NOT(H155=0)),Variables!$B$18*Variables!$E$50+Variables!$B$19*Variables!$E$50*SUM(E155:E156)+$G$1*Variables!$B$19*Variables!$E$50*SUM(D155:D156),0)</f>
        <v>0</v>
      </c>
      <c r="Q156" s="64">
        <f>IF(AND(B156="Autumn",AND((E156+E155)&lt;Variables!$B$20,(D155+D156)=0)),-Variables!$B$21*Variables!$E$50,0)</f>
        <v>-4.0327172013864514</v>
      </c>
      <c r="R156" s="64">
        <f>IF(B156="Autumn",(SUM(F155:F156)*$G$1*Variables!$B$22*Variables!$E$50),0)</f>
        <v>0</v>
      </c>
      <c r="S156" s="64">
        <f>IF(B156="Spring",($G$1*Variables!$E$50*SUM('Guts (option 1)'!F155:F156)*Variables!$B$23),0)</f>
        <v>0</v>
      </c>
      <c r="T156" s="63">
        <f>IF((H155+SUM(J156:Q156))&lt;(Variables!$B$26*Variables!$E$50),$F$1*((Variables!$B$26*Variables!$E$50)-H155-SUM(J156:Q156)),0)</f>
        <v>5.0309172013864512</v>
      </c>
      <c r="U156" s="64">
        <f>IF(AND(AND(B156="Autumn",SUM(D153:E156)&gt;Variables!$B$27),SUM(J156:Q156)&lt;Variables!$B$28*H155),$F$1*(Variables!$B$28*H155-SUM(J156:Q156)),0)</f>
        <v>0</v>
      </c>
      <c r="V156" s="96">
        <f>IF(AND((J156+K156)=0,(Q156+T156)=0),$H$1*H156*Variables!$I$23*0.25,0)</f>
        <v>0</v>
      </c>
      <c r="W156" s="97">
        <f>IF(AND((K156+J156)=0,(T156+Q156)=0),$I$1*H156*Variables!$Q$23*0.25,0)</f>
        <v>0</v>
      </c>
      <c r="X156" s="95">
        <f>IF(AND(NOT(K156=0),(H156-H155)&gt;0),(H156-H155)*(Variables!$M$5*$H$1+Variables!$U$5*$I$1),0)+IF(AND(NOT((J156+N156+Q156)=0),(H155-H156)&gt;0),(H155-H156)*(Variables!$M$4*$H$1+Variables!$U$4*$I$1),0)</f>
        <v>0</v>
      </c>
      <c r="Y156" s="95">
        <f>IF(SUM(T156,U155:U156)&gt;0,H156*Variables!$Y$11*0.25*(1-$J$1),0)</f>
        <v>0</v>
      </c>
      <c r="Z156" s="95">
        <f>IF(T156=0,H156*$J$1*Variables!$Y$5*0.25,0)</f>
        <v>0</v>
      </c>
      <c r="AA156" s="95">
        <f t="shared" si="5"/>
        <v>0</v>
      </c>
      <c r="AB156" s="91">
        <f>AA156/Variables!$E$49</f>
        <v>0</v>
      </c>
    </row>
    <row r="157" spans="1:28" x14ac:dyDescent="0.25">
      <c r="A157" s="61">
        <f>'Water runs'!C164</f>
        <v>16315</v>
      </c>
      <c r="B157" s="61" t="str">
        <f>'Water runs'!B164</f>
        <v>Winter</v>
      </c>
      <c r="C157" s="54">
        <f>'Water runs'!D164/100</f>
        <v>0.74314285714285699</v>
      </c>
      <c r="D157" s="108">
        <f>VLOOKUP(ROW(D157)+4,'Water runs'!$BS$3:$CF$423,MATCH($B$1,Scenarios,0)+1)</f>
        <v>0</v>
      </c>
      <c r="E157" s="54">
        <f>IF(B157=Variables!$D$8,C157-Variables!$E$8,IF(B157=Variables!$D$9,C157-Variables!$E$9,IF(B157=Variables!$D$10,C157-Variables!$E$10,IF(B157=Variables!$D$11,C157-Variables!$E$11,"ELSE"))))</f>
        <v>0.17137523148148126</v>
      </c>
      <c r="F157" s="108">
        <f>VLOOKUP(ROW(F157)+4,'Water runs'!$CH$3:$CU$423,MATCH($B$1,Scenarios,0)+1)</f>
        <v>0</v>
      </c>
      <c r="G157" s="65">
        <f>H157/Variables!$E$49</f>
        <v>0.161</v>
      </c>
      <c r="H157" s="62">
        <f>IF((H156+I157)&gt;(1.1*Variables!$E$50),(1.1*Variables!$E$50),IF((H156+I157)&gt;0,H156+I157,0))</f>
        <v>0.99820000000000009</v>
      </c>
      <c r="I157" s="64">
        <f t="shared" si="4"/>
        <v>0</v>
      </c>
      <c r="J157" s="63">
        <f>IF(SUM(E153:E156)&lt;Variables!$B$3,-H156,0)</f>
        <v>-0.99820000000000009</v>
      </c>
      <c r="K157" s="64">
        <f>IF(AND(H156&lt;Variables!$B$6*Variables!$E$50,OR(SUM(D154:D157)&gt;Variables!$B$5,SUM(E154:E157)&gt;Variables!$B$4)),Variables!$B$6*Variables!$E$50+Variables!$B$7*$G$1*Variables!$E$50*SUM(D154:D157),0)</f>
        <v>0</v>
      </c>
      <c r="L157" s="64">
        <f>IF(B157="Winter",Variables!$B$8*H156,0)</f>
        <v>-0.49704894489176149</v>
      </c>
      <c r="M157" s="64">
        <f>IF(AND(B157="Spring",AND(NOT(H156=0),H156&lt;(Variables!$B$9*Variables!$E$50))),(Variables!$B$10*Variables!$E$50+Variables!$B$11*Variables!$E$50*SUM(E154:E157)+$G$1*SUM(D156:D157)*Variables!$E$50*Variables!$B$12),0)</f>
        <v>0</v>
      </c>
      <c r="N157" s="64">
        <f>IF(AND(B157="Spring",AND(SUM(D154:D157)&gt;Variables!$B$13,SUM(D150:D153)&gt;Variables!$B$13)),-Variables!$B$14*Variables!$E$50,0)</f>
        <v>0</v>
      </c>
      <c r="O157" s="64">
        <f>IF(AND(B157="Summer",SUM(C153:D157)&gt;Variables!$B$15),(Variables!$B$16*Variables!$E$50*SUM(C153:C157)+$G$1*Variables!$B$16*Variables!$E$50*SUM(D153:D157)+$G$1*Variables!$E$50*Variables!$B$17*F157),0)</f>
        <v>0</v>
      </c>
      <c r="P157" s="64">
        <f>IF(AND(AND(B157="Autumn",SUM(D156:E157)&gt;0),NOT(H156=0)),Variables!$B$18*Variables!$E$50+Variables!$B$19*Variables!$E$50*SUM(E156:E157)+$G$1*Variables!$B$19*Variables!$E$50*SUM(D156:D157),0)</f>
        <v>0</v>
      </c>
      <c r="Q157" s="64">
        <f>IF(AND(B157="Autumn",AND((E157+E156)&lt;Variables!$B$20,(D156+D157)=0)),-Variables!$B$21*Variables!$E$50,0)</f>
        <v>0</v>
      </c>
      <c r="R157" s="64">
        <f>IF(B157="Autumn",(SUM(F156:F157)*$G$1*Variables!$B$22*Variables!$E$50),0)</f>
        <v>0</v>
      </c>
      <c r="S157" s="64">
        <f>IF(B157="Spring",($G$1*Variables!$E$50*SUM('Guts (option 1)'!F156:F157)*Variables!$B$23),0)</f>
        <v>0</v>
      </c>
      <c r="T157" s="63">
        <f>IF((H156+SUM(J157:Q157))&lt;(Variables!$B$26*Variables!$E$50),$F$1*((Variables!$B$26*Variables!$E$50)-H156-SUM(J157:Q157)),0)</f>
        <v>1.4952489448917616</v>
      </c>
      <c r="U157" s="64">
        <f>IF(AND(AND(B157="Autumn",SUM(D154:E157)&gt;Variables!$B$27),SUM(J157:Q157)&lt;Variables!$B$28*H156),$F$1*(Variables!$B$28*H156-SUM(J157:Q157)),0)</f>
        <v>0</v>
      </c>
      <c r="V157" s="96">
        <f>IF(AND((J157+K157)=0,(Q157+T157)=0),$H$1*H157*Variables!$I$23*0.25,0)</f>
        <v>0</v>
      </c>
      <c r="W157" s="97">
        <f>IF(AND((K157+J157)=0,(T157+Q157)=0),$I$1*H157*Variables!$Q$23*0.25,0)</f>
        <v>0</v>
      </c>
      <c r="X157" s="95">
        <f>IF(AND(NOT(K157=0),(H157-H156)&gt;0),(H157-H156)*(Variables!$M$5*$H$1+Variables!$U$5*$I$1),0)+IF(AND(NOT((J157+N157+Q157)=0),(H156-H157)&gt;0),(H156-H157)*(Variables!$M$4*$H$1+Variables!$U$4*$I$1),0)</f>
        <v>0</v>
      </c>
      <c r="Y157" s="95">
        <f>IF(SUM(T157,U156:U157)&gt;0,H157*Variables!$Y$11*0.25*(1-$J$1),0)</f>
        <v>0</v>
      </c>
      <c r="Z157" s="95">
        <f>IF(T157=0,H157*$J$1*Variables!$Y$5*0.25,0)</f>
        <v>0</v>
      </c>
      <c r="AA157" s="95">
        <f t="shared" si="5"/>
        <v>0</v>
      </c>
      <c r="AB157" s="91">
        <f>AA157/Variables!$E$49</f>
        <v>0</v>
      </c>
    </row>
    <row r="158" spans="1:28" x14ac:dyDescent="0.25">
      <c r="A158" s="61">
        <f>'Water runs'!C165</f>
        <v>16406</v>
      </c>
      <c r="B158" s="61" t="str">
        <f>'Water runs'!B165</f>
        <v>Spring</v>
      </c>
      <c r="C158" s="54">
        <f>'Water runs'!D165/100</f>
        <v>0.129142857142857</v>
      </c>
      <c r="D158" s="108">
        <f>VLOOKUP(ROW(D158)+4,'Water runs'!$BS$3:$CF$423,MATCH($B$1,Scenarios,0)+1)</f>
        <v>0</v>
      </c>
      <c r="E158" s="54">
        <f>IF(B158=Variables!$D$8,C158-Variables!$E$8,IF(B158=Variables!$D$9,C158-Variables!$E$9,IF(B158=Variables!$D$10,C158-Variables!$E$10,IF(B158=Variables!$D$11,C158-Variables!$E$11,"ELSE"))))</f>
        <v>-0.63483935185185214</v>
      </c>
      <c r="F158" s="108">
        <f>VLOOKUP(ROW(F158)+4,'Water runs'!$CH$3:$CU$423,MATCH($B$1,Scenarios,0)+1)</f>
        <v>0</v>
      </c>
      <c r="G158" s="65">
        <f>H158/Variables!$E$49</f>
        <v>0.161</v>
      </c>
      <c r="H158" s="62">
        <f>IF((H157+I158)&gt;(1.1*Variables!$E$50),(1.1*Variables!$E$50),IF((H157+I158)&gt;0,H157+I158,0))</f>
        <v>0.99820000000000009</v>
      </c>
      <c r="I158" s="64">
        <f t="shared" si="4"/>
        <v>0</v>
      </c>
      <c r="J158" s="63">
        <f>IF(SUM(E154:E157)&lt;Variables!$B$3,-H157,0)</f>
        <v>-0.99820000000000009</v>
      </c>
      <c r="K158" s="64">
        <f>IF(AND(H157&lt;Variables!$B$6*Variables!$E$50,OR(SUM(D155:D158)&gt;Variables!$B$5,SUM(E155:E158)&gt;Variables!$B$4)),Variables!$B$6*Variables!$E$50+Variables!$B$7*$G$1*Variables!$E$50*SUM(D155:D158),0)</f>
        <v>0</v>
      </c>
      <c r="L158" s="64">
        <f>IF(B158="Winter",Variables!$B$8*H157,0)</f>
        <v>0</v>
      </c>
      <c r="M158" s="64">
        <f>IF(AND(B158="Spring",AND(NOT(H157=0),H157&lt;(Variables!$B$9*Variables!$E$50))),(Variables!$B$10*Variables!$E$50+Variables!$B$11*Variables!$E$50*SUM(E155:E158)+$G$1*SUM(D157:D158)*Variables!$E$50*Variables!$B$12),0)</f>
        <v>-1.7284706259846088</v>
      </c>
      <c r="N158" s="64">
        <f>IF(AND(B158="Spring",AND(SUM(D155:D158)&gt;Variables!$B$13,SUM(D151:D154)&gt;Variables!$B$13)),-Variables!$B$14*Variables!$E$50,0)</f>
        <v>0</v>
      </c>
      <c r="O158" s="64">
        <f>IF(AND(B158="Summer",SUM(C154:D158)&gt;Variables!$B$15),(Variables!$B$16*Variables!$E$50*SUM(C154:C158)+$G$1*Variables!$B$16*Variables!$E$50*SUM(D154:D158)+$G$1*Variables!$E$50*Variables!$B$17*F158),0)</f>
        <v>0</v>
      </c>
      <c r="P158" s="64">
        <f>IF(AND(AND(B158="Autumn",SUM(D157:E158)&gt;0),NOT(H157=0)),Variables!$B$18*Variables!$E$50+Variables!$B$19*Variables!$E$50*SUM(E157:E158)+$G$1*Variables!$B$19*Variables!$E$50*SUM(D157:D158),0)</f>
        <v>0</v>
      </c>
      <c r="Q158" s="64">
        <f>IF(AND(B158="Autumn",AND((E158+E157)&lt;Variables!$B$20,(D157+D158)=0)),-Variables!$B$21*Variables!$E$50,0)</f>
        <v>0</v>
      </c>
      <c r="R158" s="64">
        <f>IF(B158="Autumn",(SUM(F157:F158)*$G$1*Variables!$B$22*Variables!$E$50),0)</f>
        <v>0</v>
      </c>
      <c r="S158" s="64">
        <f>IF(B158="Spring",($G$1*Variables!$E$50*SUM('Guts (option 1)'!F157:F158)*Variables!$B$23),0)</f>
        <v>0</v>
      </c>
      <c r="T158" s="63">
        <f>IF((H157+SUM(J158:Q158))&lt;(Variables!$B$26*Variables!$E$50),$F$1*((Variables!$B$26*Variables!$E$50)-H157-SUM(J158:Q158)),0)</f>
        <v>2.726670625984609</v>
      </c>
      <c r="U158" s="64">
        <f>IF(AND(AND(B158="Autumn",SUM(D155:E158)&gt;Variables!$B$27),SUM(J158:Q158)&lt;Variables!$B$28*H157),$F$1*(Variables!$B$28*H157-SUM(J158:Q158)),0)</f>
        <v>0</v>
      </c>
      <c r="V158" s="96">
        <f>IF(AND((J158+K158)=0,(Q158+T158)=0),$H$1*H158*Variables!$I$23*0.25,0)</f>
        <v>0</v>
      </c>
      <c r="W158" s="97">
        <f>IF(AND((K158+J158)=0,(T158+Q158)=0),$I$1*H158*Variables!$Q$23*0.25,0)</f>
        <v>0</v>
      </c>
      <c r="X158" s="95">
        <f>IF(AND(NOT(K158=0),(H158-H157)&gt;0),(H158-H157)*(Variables!$M$5*$H$1+Variables!$U$5*$I$1),0)+IF(AND(NOT((J158+N158+Q158)=0),(H157-H158)&gt;0),(H157-H158)*(Variables!$M$4*$H$1+Variables!$U$4*$I$1),0)</f>
        <v>0</v>
      </c>
      <c r="Y158" s="95">
        <f>IF(SUM(T158,U157:U158)&gt;0,H158*Variables!$Y$11*0.25*(1-$J$1),0)</f>
        <v>0</v>
      </c>
      <c r="Z158" s="95">
        <f>IF(T158=0,H158*$J$1*Variables!$Y$5*0.25,0)</f>
        <v>0</v>
      </c>
      <c r="AA158" s="95">
        <f t="shared" si="5"/>
        <v>0</v>
      </c>
      <c r="AB158" s="91">
        <f>AA158/Variables!$E$49</f>
        <v>0</v>
      </c>
    </row>
    <row r="159" spans="1:28" x14ac:dyDescent="0.25">
      <c r="A159" s="61">
        <f>'Water runs'!C166</f>
        <v>16496</v>
      </c>
      <c r="B159" s="61" t="str">
        <f>'Water runs'!B166</f>
        <v>Summer</v>
      </c>
      <c r="C159" s="54">
        <f>'Water runs'!D166/100</f>
        <v>0.65042857142857202</v>
      </c>
      <c r="D159" s="108">
        <f>VLOOKUP(ROW(D159)+4,'Water runs'!$BS$3:$CF$423,MATCH($B$1,Scenarios,0)+1)</f>
        <v>0</v>
      </c>
      <c r="E159" s="54">
        <f>IF(B159=Variables!$D$8,C159-Variables!$E$8,IF(B159=Variables!$D$9,C159-Variables!$E$9,IF(B159=Variables!$D$10,C159-Variables!$E$10,IF(B159=Variables!$D$11,C159-Variables!$E$11,"ELSE"))))</f>
        <v>-0.6079415646258497</v>
      </c>
      <c r="F159" s="108">
        <f>VLOOKUP(ROW(F159)+4,'Water runs'!$CH$3:$CU$423,MATCH($B$1,Scenarios,0)+1)</f>
        <v>0</v>
      </c>
      <c r="G159" s="65">
        <f>H159/Variables!$E$49</f>
        <v>0.161</v>
      </c>
      <c r="H159" s="62">
        <f>IF((H158+I159)&gt;(1.1*Variables!$E$50),(1.1*Variables!$E$50),IF((H158+I159)&gt;0,H158+I159,0))</f>
        <v>0.99820000000000009</v>
      </c>
      <c r="I159" s="64">
        <f t="shared" si="4"/>
        <v>0</v>
      </c>
      <c r="J159" s="63">
        <f>IF(SUM(E155:E158)&lt;Variables!$B$3,-H158,0)</f>
        <v>-0.99820000000000009</v>
      </c>
      <c r="K159" s="64">
        <f>IF(AND(H158&lt;Variables!$B$6*Variables!$E$50,OR(SUM(D156:D159)&gt;Variables!$B$5,SUM(E156:E159)&gt;Variables!$B$4)),Variables!$B$6*Variables!$E$50+Variables!$B$7*$G$1*Variables!$E$50*SUM(D156:D159),0)</f>
        <v>0</v>
      </c>
      <c r="L159" s="64">
        <f>IF(B159="Winter",Variables!$B$8*H158,0)</f>
        <v>0</v>
      </c>
      <c r="M159" s="64">
        <f>IF(AND(B159="Spring",AND(NOT(H158=0),H158&lt;(Variables!$B$9*Variables!$E$50))),(Variables!$B$10*Variables!$E$50+Variables!$B$11*Variables!$E$50*SUM(E156:E159)+$G$1*SUM(D158:D159)*Variables!$E$50*Variables!$B$12),0)</f>
        <v>0</v>
      </c>
      <c r="N159" s="64">
        <f>IF(AND(B159="Spring",AND(SUM(D156:D159)&gt;Variables!$B$13,SUM(D152:D155)&gt;Variables!$B$13)),-Variables!$B$14*Variables!$E$50,0)</f>
        <v>0</v>
      </c>
      <c r="O159" s="64">
        <f>IF(AND(B159="Summer",SUM(C155:D159)&gt;Variables!$B$15),(Variables!$B$16*Variables!$E$50*SUM(C155:C159)+$G$1*Variables!$B$16*Variables!$E$50*SUM(D155:D159)+$G$1*Variables!$E$50*Variables!$B$17*F159),0)</f>
        <v>0</v>
      </c>
      <c r="P159" s="64">
        <f>IF(AND(AND(B159="Autumn",SUM(D158:E159)&gt;0),NOT(H158=0)),Variables!$B$18*Variables!$E$50+Variables!$B$19*Variables!$E$50*SUM(E158:E159)+$G$1*Variables!$B$19*Variables!$E$50*SUM(D158:D159),0)</f>
        <v>0</v>
      </c>
      <c r="Q159" s="64">
        <f>IF(AND(B159="Autumn",AND((E159+E158)&lt;Variables!$B$20,(D158+D159)=0)),-Variables!$B$21*Variables!$E$50,0)</f>
        <v>0</v>
      </c>
      <c r="R159" s="64">
        <f>IF(B159="Autumn",(SUM(F158:F159)*$G$1*Variables!$B$22*Variables!$E$50),0)</f>
        <v>0</v>
      </c>
      <c r="S159" s="64">
        <f>IF(B159="Spring",($G$1*Variables!$E$50*SUM('Guts (option 1)'!F158:F159)*Variables!$B$23),0)</f>
        <v>0</v>
      </c>
      <c r="T159" s="63">
        <f>IF((H158+SUM(J159:Q159))&lt;(Variables!$B$26*Variables!$E$50),$F$1*((Variables!$B$26*Variables!$E$50)-H158-SUM(J159:Q159)),0)</f>
        <v>0.99820000000000009</v>
      </c>
      <c r="U159" s="64">
        <f>IF(AND(AND(B159="Autumn",SUM(D156:E159)&gt;Variables!$B$27),SUM(J159:Q159)&lt;Variables!$B$28*H158),$F$1*(Variables!$B$28*H158-SUM(J159:Q159)),0)</f>
        <v>0</v>
      </c>
      <c r="V159" s="96">
        <f>IF(AND((J159+K159)=0,(Q159+T159)=0),$H$1*H159*Variables!$I$23*0.25,0)</f>
        <v>0</v>
      </c>
      <c r="W159" s="97">
        <f>IF(AND((K159+J159)=0,(T159+Q159)=0),$I$1*H159*Variables!$Q$23*0.25,0)</f>
        <v>0</v>
      </c>
      <c r="X159" s="95">
        <f>IF(AND(NOT(K159=0),(H159-H158)&gt;0),(H159-H158)*(Variables!$M$5*$H$1+Variables!$U$5*$I$1),0)+IF(AND(NOT((J159+N159+Q159)=0),(H158-H159)&gt;0),(H158-H159)*(Variables!$M$4*$H$1+Variables!$U$4*$I$1),0)</f>
        <v>0</v>
      </c>
      <c r="Y159" s="95">
        <f>IF(SUM(T159,U158:U159)&gt;0,H159*Variables!$Y$11*0.25*(1-$J$1),0)</f>
        <v>0</v>
      </c>
      <c r="Z159" s="95">
        <f>IF(T159=0,H159*$J$1*Variables!$Y$5*0.25,0)</f>
        <v>0</v>
      </c>
      <c r="AA159" s="95">
        <f t="shared" si="5"/>
        <v>0</v>
      </c>
      <c r="AB159" s="91">
        <f>AA159/Variables!$E$49</f>
        <v>0</v>
      </c>
    </row>
    <row r="160" spans="1:28" x14ac:dyDescent="0.25">
      <c r="A160" s="61">
        <f>'Water runs'!C167</f>
        <v>16588</v>
      </c>
      <c r="B160" s="61" t="str">
        <f>'Water runs'!B167</f>
        <v>Autumn</v>
      </c>
      <c r="C160" s="54">
        <f>'Water runs'!D167/100</f>
        <v>0.51083333333333303</v>
      </c>
      <c r="D160" s="108">
        <f>VLOOKUP(ROW(D160)+4,'Water runs'!$BS$3:$CF$423,MATCH($B$1,Scenarios,0)+1)</f>
        <v>0</v>
      </c>
      <c r="E160" s="54">
        <f>IF(B160=Variables!$D$8,C160-Variables!$E$8,IF(B160=Variables!$D$9,C160-Variables!$E$9,IF(B160=Variables!$D$10,C160-Variables!$E$10,IF(B160=Variables!$D$11,C160-Variables!$E$11,"ELSE"))))</f>
        <v>-0.48380996598639481</v>
      </c>
      <c r="F160" s="108">
        <f>VLOOKUP(ROW(F160)+4,'Water runs'!$CH$3:$CU$423,MATCH($B$1,Scenarios,0)+1)</f>
        <v>0</v>
      </c>
      <c r="G160" s="65">
        <f>H160/Variables!$E$49</f>
        <v>0.161</v>
      </c>
      <c r="H160" s="62">
        <f>IF((H159+I160)&gt;(1.1*Variables!$E$50),(1.1*Variables!$E$50),IF((H159+I160)&gt;0,H159+I160,0))</f>
        <v>0.99820000000000009</v>
      </c>
      <c r="I160" s="64">
        <f t="shared" si="4"/>
        <v>0</v>
      </c>
      <c r="J160" s="63">
        <f>IF(SUM(E156:E159)&lt;Variables!$B$3,-H159,0)</f>
        <v>-0.99820000000000009</v>
      </c>
      <c r="K160" s="64">
        <f>IF(AND(H159&lt;Variables!$B$6*Variables!$E$50,OR(SUM(D157:D160)&gt;Variables!$B$5,SUM(E157:E160)&gt;Variables!$B$4)),Variables!$B$6*Variables!$E$50+Variables!$B$7*$G$1*Variables!$E$50*SUM(D157:D160),0)</f>
        <v>0</v>
      </c>
      <c r="L160" s="64">
        <f>IF(B160="Winter",Variables!$B$8*H159,0)</f>
        <v>0</v>
      </c>
      <c r="M160" s="64">
        <f>IF(AND(B160="Spring",AND(NOT(H159=0),H159&lt;(Variables!$B$9*Variables!$E$50))),(Variables!$B$10*Variables!$E$50+Variables!$B$11*Variables!$E$50*SUM(E157:E160)+$G$1*SUM(D159:D160)*Variables!$E$50*Variables!$B$12),0)</f>
        <v>0</v>
      </c>
      <c r="N160" s="64">
        <f>IF(AND(B160="Spring",AND(SUM(D157:D160)&gt;Variables!$B$13,SUM(D153:D156)&gt;Variables!$B$13)),-Variables!$B$14*Variables!$E$50,0)</f>
        <v>0</v>
      </c>
      <c r="O160" s="64">
        <f>IF(AND(B160="Summer",SUM(C156:D160)&gt;Variables!$B$15),(Variables!$B$16*Variables!$E$50*SUM(C156:C160)+$G$1*Variables!$B$16*Variables!$E$50*SUM(D156:D160)+$G$1*Variables!$E$50*Variables!$B$17*F160),0)</f>
        <v>0</v>
      </c>
      <c r="P160" s="64">
        <f>IF(AND(AND(B160="Autumn",SUM(D159:E160)&gt;0),NOT(H159=0)),Variables!$B$18*Variables!$E$50+Variables!$B$19*Variables!$E$50*SUM(E159:E160)+$G$1*Variables!$B$19*Variables!$E$50*SUM(D159:D160),0)</f>
        <v>0</v>
      </c>
      <c r="Q160" s="64">
        <f>IF(AND(B160="Autumn",AND((E160+E159)&lt;Variables!$B$20,(D159+D160)=0)),-Variables!$B$21*Variables!$E$50,0)</f>
        <v>0</v>
      </c>
      <c r="R160" s="64">
        <f>IF(B160="Autumn",(SUM(F159:F160)*$G$1*Variables!$B$22*Variables!$E$50),0)</f>
        <v>0</v>
      </c>
      <c r="S160" s="64">
        <f>IF(B160="Spring",($G$1*Variables!$E$50*SUM('Guts (option 1)'!F159:F160)*Variables!$B$23),0)</f>
        <v>0</v>
      </c>
      <c r="T160" s="63">
        <f>IF((H159+SUM(J160:Q160))&lt;(Variables!$B$26*Variables!$E$50),$F$1*((Variables!$B$26*Variables!$E$50)-H159-SUM(J160:Q160)),0)</f>
        <v>0.99820000000000009</v>
      </c>
      <c r="U160" s="64">
        <f>IF(AND(AND(B160="Autumn",SUM(D157:E160)&gt;Variables!$B$27),SUM(J160:Q160)&lt;Variables!$B$28*H159),$F$1*(Variables!$B$28*H159-SUM(J160:Q160)),0)</f>
        <v>0</v>
      </c>
      <c r="V160" s="96">
        <f>IF(AND((J160+K160)=0,(Q160+T160)=0),$H$1*H160*Variables!$I$23*0.25,0)</f>
        <v>0</v>
      </c>
      <c r="W160" s="97">
        <f>IF(AND((K160+J160)=0,(T160+Q160)=0),$I$1*H160*Variables!$Q$23*0.25,0)</f>
        <v>0</v>
      </c>
      <c r="X160" s="95">
        <f>IF(AND(NOT(K160=0),(H160-H159)&gt;0),(H160-H159)*(Variables!$M$5*$H$1+Variables!$U$5*$I$1),0)+IF(AND(NOT((J160+N160+Q160)=0),(H159-H160)&gt;0),(H159-H160)*(Variables!$M$4*$H$1+Variables!$U$4*$I$1),0)</f>
        <v>0</v>
      </c>
      <c r="Y160" s="95">
        <f>IF(SUM(T160,U159:U160)&gt;0,H160*Variables!$Y$11*0.25*(1-$J$1),0)</f>
        <v>0</v>
      </c>
      <c r="Z160" s="95">
        <f>IF(T160=0,H160*$J$1*Variables!$Y$5*0.25,0)</f>
        <v>0</v>
      </c>
      <c r="AA160" s="95">
        <f t="shared" si="5"/>
        <v>0</v>
      </c>
      <c r="AB160" s="91">
        <f>AA160/Variables!$E$49</f>
        <v>0</v>
      </c>
    </row>
    <row r="161" spans="1:28" x14ac:dyDescent="0.25">
      <c r="A161" s="61">
        <f>'Water runs'!C168</f>
        <v>16680</v>
      </c>
      <c r="B161" s="61" t="str">
        <f>'Water runs'!B168</f>
        <v>Winter</v>
      </c>
      <c r="C161" s="54">
        <f>'Water runs'!D168/100</f>
        <v>0.84757142857142798</v>
      </c>
      <c r="D161" s="108">
        <f>VLOOKUP(ROW(D161)+4,'Water runs'!$BS$3:$CF$423,MATCH($B$1,Scenarios,0)+1)</f>
        <v>0</v>
      </c>
      <c r="E161" s="54">
        <f>IF(B161=Variables!$D$8,C161-Variables!$E$8,IF(B161=Variables!$D$9,C161-Variables!$E$9,IF(B161=Variables!$D$10,C161-Variables!$E$10,IF(B161=Variables!$D$11,C161-Variables!$E$11,"ELSE"))))</f>
        <v>0.27580380291005224</v>
      </c>
      <c r="F161" s="108">
        <f>VLOOKUP(ROW(F161)+4,'Water runs'!$CH$3:$CU$423,MATCH($B$1,Scenarios,0)+1)</f>
        <v>0</v>
      </c>
      <c r="G161" s="65">
        <f>H161/Variables!$E$49</f>
        <v>0.161</v>
      </c>
      <c r="H161" s="62">
        <f>IF((H160+I161)&gt;(1.1*Variables!$E$50),(1.1*Variables!$E$50),IF((H160+I161)&gt;0,H160+I161,0))</f>
        <v>0.99820000000000009</v>
      </c>
      <c r="I161" s="64">
        <f t="shared" si="4"/>
        <v>0</v>
      </c>
      <c r="J161" s="63">
        <f>IF(SUM(E157:E160)&lt;Variables!$B$3,-H160,0)</f>
        <v>0</v>
      </c>
      <c r="K161" s="64">
        <f>IF(AND(H160&lt;Variables!$B$6*Variables!$E$50,OR(SUM(D158:D161)&gt;Variables!$B$5,SUM(E158:E161)&gt;Variables!$B$4)),Variables!$B$6*Variables!$E$50+Variables!$B$7*$G$1*Variables!$E$50*SUM(D158:D161),0)</f>
        <v>0</v>
      </c>
      <c r="L161" s="64">
        <f>IF(B161="Winter",Variables!$B$8*H160,0)</f>
        <v>-0.49704894489176149</v>
      </c>
      <c r="M161" s="64">
        <f>IF(AND(B161="Spring",AND(NOT(H160=0),H160&lt;(Variables!$B$9*Variables!$E$50))),(Variables!$B$10*Variables!$E$50+Variables!$B$11*Variables!$E$50*SUM(E158:E161)+$G$1*SUM(D160:D161)*Variables!$E$50*Variables!$B$12),0)</f>
        <v>0</v>
      </c>
      <c r="N161" s="64">
        <f>IF(AND(B161="Spring",AND(SUM(D158:D161)&gt;Variables!$B$13,SUM(D154:D157)&gt;Variables!$B$13)),-Variables!$B$14*Variables!$E$50,0)</f>
        <v>0</v>
      </c>
      <c r="O161" s="64">
        <f>IF(AND(B161="Summer",SUM(C157:D161)&gt;Variables!$B$15),(Variables!$B$16*Variables!$E$50*SUM(C157:C161)+$G$1*Variables!$B$16*Variables!$E$50*SUM(D157:D161)+$G$1*Variables!$E$50*Variables!$B$17*F161),0)</f>
        <v>0</v>
      </c>
      <c r="P161" s="64">
        <f>IF(AND(AND(B161="Autumn",SUM(D160:E161)&gt;0),NOT(H160=0)),Variables!$B$18*Variables!$E$50+Variables!$B$19*Variables!$E$50*SUM(E160:E161)+$G$1*Variables!$B$19*Variables!$E$50*SUM(D160:D161),0)</f>
        <v>0</v>
      </c>
      <c r="Q161" s="64">
        <f>IF(AND(B161="Autumn",AND((E161+E160)&lt;Variables!$B$20,(D160+D161)=0)),-Variables!$B$21*Variables!$E$50,0)</f>
        <v>0</v>
      </c>
      <c r="R161" s="64">
        <f>IF(B161="Autumn",(SUM(F160:F161)*$G$1*Variables!$B$22*Variables!$E$50),0)</f>
        <v>0</v>
      </c>
      <c r="S161" s="64">
        <f>IF(B161="Spring",($G$1*Variables!$E$50*SUM('Guts (option 1)'!F160:F161)*Variables!$B$23),0)</f>
        <v>0</v>
      </c>
      <c r="T161" s="63">
        <f>IF((H160+SUM(J161:Q161))&lt;(Variables!$B$26*Variables!$E$50),$F$1*((Variables!$B$26*Variables!$E$50)-H160-SUM(J161:Q161)),0)</f>
        <v>0.49704894489176149</v>
      </c>
      <c r="U161" s="64">
        <f>IF(AND(AND(B161="Autumn",SUM(D158:E161)&gt;Variables!$B$27),SUM(J161:Q161)&lt;Variables!$B$28*H160),$F$1*(Variables!$B$28*H160-SUM(J161:Q161)),0)</f>
        <v>0</v>
      </c>
      <c r="V161" s="96">
        <f>IF(AND((J161+K161)=0,(Q161+T161)=0),$H$1*H161*Variables!$I$23*0.25,0)</f>
        <v>0</v>
      </c>
      <c r="W161" s="97">
        <f>IF(AND((K161+J161)=0,(T161+Q161)=0),$I$1*H161*Variables!$Q$23*0.25,0)</f>
        <v>0</v>
      </c>
      <c r="X161" s="95">
        <f>IF(AND(NOT(K161=0),(H161-H160)&gt;0),(H161-H160)*(Variables!$M$5*$H$1+Variables!$U$5*$I$1),0)+IF(AND(NOT((J161+N161+Q161)=0),(H160-H161)&gt;0),(H160-H161)*(Variables!$M$4*$H$1+Variables!$U$4*$I$1),0)</f>
        <v>0</v>
      </c>
      <c r="Y161" s="95">
        <f>IF(SUM(T161,U160:U161)&gt;0,H161*Variables!$Y$11*0.25*(1-$J$1),0)</f>
        <v>0</v>
      </c>
      <c r="Z161" s="95">
        <f>IF(T161=0,H161*$J$1*Variables!$Y$5*0.25,0)</f>
        <v>0</v>
      </c>
      <c r="AA161" s="95">
        <f t="shared" si="5"/>
        <v>0</v>
      </c>
      <c r="AB161" s="91">
        <f>AA161/Variables!$E$49</f>
        <v>0</v>
      </c>
    </row>
    <row r="162" spans="1:28" x14ac:dyDescent="0.25">
      <c r="A162" s="61">
        <f>'Water runs'!C169</f>
        <v>16771</v>
      </c>
      <c r="B162" s="61" t="str">
        <f>'Water runs'!B169</f>
        <v>Spring</v>
      </c>
      <c r="C162" s="54">
        <f>'Water runs'!D169/100</f>
        <v>0.15014285714285699</v>
      </c>
      <c r="D162" s="108">
        <f>VLOOKUP(ROW(D162)+4,'Water runs'!$BS$3:$CF$423,MATCH($B$1,Scenarios,0)+1)</f>
        <v>0</v>
      </c>
      <c r="E162" s="54">
        <f>IF(B162=Variables!$D$8,C162-Variables!$E$8,IF(B162=Variables!$D$9,C162-Variables!$E$9,IF(B162=Variables!$D$10,C162-Variables!$E$10,IF(B162=Variables!$D$11,C162-Variables!$E$11,"ELSE"))))</f>
        <v>-0.61383935185185212</v>
      </c>
      <c r="F162" s="108">
        <f>VLOOKUP(ROW(F162)+4,'Water runs'!$CH$3:$CU$423,MATCH($B$1,Scenarios,0)+1)</f>
        <v>0</v>
      </c>
      <c r="G162" s="65">
        <f>H162/Variables!$E$49</f>
        <v>0.161</v>
      </c>
      <c r="H162" s="62">
        <f>IF((H161+I162)&gt;(1.1*Variables!$E$50),(1.1*Variables!$E$50),IF((H161+I162)&gt;0,H161+I162,0))</f>
        <v>0.99820000000000009</v>
      </c>
      <c r="I162" s="64">
        <f t="shared" si="4"/>
        <v>0</v>
      </c>
      <c r="J162" s="63">
        <f>IF(SUM(E158:E161)&lt;Variables!$B$3,-H161,0)</f>
        <v>0</v>
      </c>
      <c r="K162" s="64">
        <f>IF(AND(H161&lt;Variables!$B$6*Variables!$E$50,OR(SUM(D159:D162)&gt;Variables!$B$5,SUM(E159:E162)&gt;Variables!$B$4)),Variables!$B$6*Variables!$E$50+Variables!$B$7*$G$1*Variables!$E$50*SUM(D159:D162),0)</f>
        <v>0</v>
      </c>
      <c r="L162" s="64">
        <f>IF(B162="Winter",Variables!$B$8*H161,0)</f>
        <v>0</v>
      </c>
      <c r="M162" s="64">
        <f>IF(AND(B162="Spring",AND(NOT(H161=0),H161&lt;(Variables!$B$9*Variables!$E$50))),(Variables!$B$10*Variables!$E$50+Variables!$B$11*Variables!$E$50*SUM(E159:E162)+$G$1*SUM(D161:D162)*Variables!$E$50*Variables!$B$12),0)</f>
        <v>-0.97377319907976767</v>
      </c>
      <c r="N162" s="64">
        <f>IF(AND(B162="Spring",AND(SUM(D159:D162)&gt;Variables!$B$13,SUM(D155:D158)&gt;Variables!$B$13)),-Variables!$B$14*Variables!$E$50,0)</f>
        <v>0</v>
      </c>
      <c r="O162" s="64">
        <f>IF(AND(B162="Summer",SUM(C158:D162)&gt;Variables!$B$15),(Variables!$B$16*Variables!$E$50*SUM(C158:C162)+$G$1*Variables!$B$16*Variables!$E$50*SUM(D158:D162)+$G$1*Variables!$E$50*Variables!$B$17*F162),0)</f>
        <v>0</v>
      </c>
      <c r="P162" s="64">
        <f>IF(AND(AND(B162="Autumn",SUM(D161:E162)&gt;0),NOT(H161=0)),Variables!$B$18*Variables!$E$50+Variables!$B$19*Variables!$E$50*SUM(E161:E162)+$G$1*Variables!$B$19*Variables!$E$50*SUM(D161:D162),0)</f>
        <v>0</v>
      </c>
      <c r="Q162" s="64">
        <f>IF(AND(B162="Autumn",AND((E162+E161)&lt;Variables!$B$20,(D161+D162)=0)),-Variables!$B$21*Variables!$E$50,0)</f>
        <v>0</v>
      </c>
      <c r="R162" s="64">
        <f>IF(B162="Autumn",(SUM(F161:F162)*$G$1*Variables!$B$22*Variables!$E$50),0)</f>
        <v>0</v>
      </c>
      <c r="S162" s="64">
        <f>IF(B162="Spring",($G$1*Variables!$E$50*SUM('Guts (option 1)'!F161:F162)*Variables!$B$23),0)</f>
        <v>0</v>
      </c>
      <c r="T162" s="63">
        <f>IF((H161+SUM(J162:Q162))&lt;(Variables!$B$26*Variables!$E$50),$F$1*((Variables!$B$26*Variables!$E$50)-H161-SUM(J162:Q162)),0)</f>
        <v>0.97377319907976767</v>
      </c>
      <c r="U162" s="64">
        <f>IF(AND(AND(B162="Autumn",SUM(D159:E162)&gt;Variables!$B$27),SUM(J162:Q162)&lt;Variables!$B$28*H161),$F$1*(Variables!$B$28*H161-SUM(J162:Q162)),0)</f>
        <v>0</v>
      </c>
      <c r="V162" s="96">
        <f>IF(AND((J162+K162)=0,(Q162+T162)=0),$H$1*H162*Variables!$I$23*0.25,0)</f>
        <v>0</v>
      </c>
      <c r="W162" s="97">
        <f>IF(AND((K162+J162)=0,(T162+Q162)=0),$I$1*H162*Variables!$Q$23*0.25,0)</f>
        <v>0</v>
      </c>
      <c r="X162" s="95">
        <f>IF(AND(NOT(K162=0),(H162-H161)&gt;0),(H162-H161)*(Variables!$M$5*$H$1+Variables!$U$5*$I$1),0)+IF(AND(NOT((J162+N162+Q162)=0),(H161-H162)&gt;0),(H161-H162)*(Variables!$M$4*$H$1+Variables!$U$4*$I$1),0)</f>
        <v>0</v>
      </c>
      <c r="Y162" s="95">
        <f>IF(SUM(T162,U161:U162)&gt;0,H162*Variables!$Y$11*0.25*(1-$J$1),0)</f>
        <v>0</v>
      </c>
      <c r="Z162" s="95">
        <f>IF(T162=0,H162*$J$1*Variables!$Y$5*0.25,0)</f>
        <v>0</v>
      </c>
      <c r="AA162" s="95">
        <f t="shared" si="5"/>
        <v>0</v>
      </c>
      <c r="AB162" s="91">
        <f>AA162/Variables!$E$49</f>
        <v>0</v>
      </c>
    </row>
    <row r="163" spans="1:28" x14ac:dyDescent="0.25">
      <c r="A163" s="61">
        <f>'Water runs'!C170</f>
        <v>16861</v>
      </c>
      <c r="B163" s="61" t="str">
        <f>'Water runs'!B170</f>
        <v>Summer</v>
      </c>
      <c r="C163" s="54">
        <f>'Water runs'!D170/100</f>
        <v>0.9928571428571431</v>
      </c>
      <c r="D163" s="108">
        <f>VLOOKUP(ROW(D163)+4,'Water runs'!$BS$3:$CF$423,MATCH($B$1,Scenarios,0)+1)</f>
        <v>2.6161727329590892E-3</v>
      </c>
      <c r="E163" s="54">
        <f>IF(B163=Variables!$D$8,C163-Variables!$E$8,IF(B163=Variables!$D$9,C163-Variables!$E$9,IF(B163=Variables!$D$10,C163-Variables!$E$10,IF(B163=Variables!$D$11,C163-Variables!$E$11,"ELSE"))))</f>
        <v>-0.26551299319727861</v>
      </c>
      <c r="F163" s="108">
        <f>VLOOKUP(ROW(F163)+4,'Water runs'!$CH$3:$CU$423,MATCH($B$1,Scenarios,0)+1)</f>
        <v>0</v>
      </c>
      <c r="G163" s="65">
        <f>H163/Variables!$E$49</f>
        <v>0.161</v>
      </c>
      <c r="H163" s="62">
        <f>IF((H162+I163)&gt;(1.1*Variables!$E$50),(1.1*Variables!$E$50),IF((H162+I163)&gt;0,H162+I163,0))</f>
        <v>0.99820000000000009</v>
      </c>
      <c r="I163" s="64">
        <f t="shared" si="4"/>
        <v>0</v>
      </c>
      <c r="J163" s="63">
        <f>IF(SUM(E159:E162)&lt;Variables!$B$3,-H162,0)</f>
        <v>0</v>
      </c>
      <c r="K163" s="64">
        <f>IF(AND(H162&lt;Variables!$B$6*Variables!$E$50,OR(SUM(D160:D163)&gt;Variables!$B$5,SUM(E160:E163)&gt;Variables!$B$4)),Variables!$B$6*Variables!$E$50+Variables!$B$7*$G$1*Variables!$E$50*SUM(D160:D163),0)</f>
        <v>0</v>
      </c>
      <c r="L163" s="64">
        <f>IF(B163="Winter",Variables!$B$8*H162,0)</f>
        <v>0</v>
      </c>
      <c r="M163" s="64">
        <f>IF(AND(B163="Spring",AND(NOT(H162=0),H162&lt;(Variables!$B$9*Variables!$E$50))),(Variables!$B$10*Variables!$E$50+Variables!$B$11*Variables!$E$50*SUM(E160:E163)+$G$1*SUM(D162:D163)*Variables!$E$50*Variables!$B$12),0)</f>
        <v>0</v>
      </c>
      <c r="N163" s="64">
        <f>IF(AND(B163="Spring",AND(SUM(D160:D163)&gt;Variables!$B$13,SUM(D156:D159)&gt;Variables!$B$13)),-Variables!$B$14*Variables!$E$50,0)</f>
        <v>0</v>
      </c>
      <c r="O163" s="64">
        <f>IF(AND(B163="Summer",SUM(C159:D163)&gt;Variables!$B$15),(Variables!$B$16*Variables!$E$50*SUM(C159:C163)+$G$1*Variables!$B$16*Variables!$E$50*SUM(D159:D163)+$G$1*Variables!$E$50*Variables!$B$17*F163),0)</f>
        <v>0</v>
      </c>
      <c r="P163" s="64">
        <f>IF(AND(AND(B163="Autumn",SUM(D162:E163)&gt;0),NOT(H162=0)),Variables!$B$18*Variables!$E$50+Variables!$B$19*Variables!$E$50*SUM(E162:E163)+$G$1*Variables!$B$19*Variables!$E$50*SUM(D162:D163),0)</f>
        <v>0</v>
      </c>
      <c r="Q163" s="64">
        <f>IF(AND(B163="Autumn",AND((E163+E162)&lt;Variables!$B$20,(D162+D163)=0)),-Variables!$B$21*Variables!$E$50,0)</f>
        <v>0</v>
      </c>
      <c r="R163" s="64">
        <f>IF(B163="Autumn",(SUM(F162:F163)*$G$1*Variables!$B$22*Variables!$E$50),0)</f>
        <v>0</v>
      </c>
      <c r="S163" s="64">
        <f>IF(B163="Spring",($G$1*Variables!$E$50*SUM('Guts (option 1)'!F162:F163)*Variables!$B$23),0)</f>
        <v>0</v>
      </c>
      <c r="T163" s="63">
        <f>IF((H162+SUM(J163:Q163))&lt;(Variables!$B$26*Variables!$E$50),$F$1*((Variables!$B$26*Variables!$E$50)-H162-SUM(J163:Q163)),0)</f>
        <v>0</v>
      </c>
      <c r="U163" s="64">
        <f>IF(AND(AND(B163="Autumn",SUM(D160:E163)&gt;Variables!$B$27),SUM(J163:Q163)&lt;Variables!$B$28*H162),$F$1*(Variables!$B$28*H162-SUM(J163:Q163)),0)</f>
        <v>0</v>
      </c>
      <c r="V163" s="96">
        <f>IF(AND((J163+K163)=0,(Q163+T163)=0),$H$1*H163*Variables!$I$23*0.25,0)</f>
        <v>19.235463730000003</v>
      </c>
      <c r="W163" s="97">
        <f>IF(AND((K163+J163)=0,(T163+Q163)=0),$I$1*H163*Variables!$Q$23*0.25,0)</f>
        <v>20.13444265</v>
      </c>
      <c r="X163" s="95">
        <f>IF(AND(NOT(K163=0),(H163-H162)&gt;0),(H163-H162)*(Variables!$M$5*$H$1+Variables!$U$5*$I$1),0)+IF(AND(NOT((J163+N163+Q163)=0),(H162-H163)&gt;0),(H162-H163)*(Variables!$M$4*$H$1+Variables!$U$4*$I$1),0)</f>
        <v>0</v>
      </c>
      <c r="Y163" s="95">
        <f>IF(SUM(T163,U162:U163)&gt;0,H163*Variables!$Y$11*0.25*(1-$J$1),0)</f>
        <v>0</v>
      </c>
      <c r="Z163" s="95">
        <f>IF(T163=0,H163*$J$1*Variables!$Y$5*0.25,0)</f>
        <v>6.4883000000000006</v>
      </c>
      <c r="AA163" s="95">
        <f t="shared" si="5"/>
        <v>45.858206380000006</v>
      </c>
      <c r="AB163" s="91">
        <f>AA163/Variables!$E$49</f>
        <v>7.3964849000000008</v>
      </c>
    </row>
    <row r="164" spans="1:28" x14ac:dyDescent="0.25">
      <c r="A164" s="61">
        <f>'Water runs'!C171</f>
        <v>16953</v>
      </c>
      <c r="B164" s="61" t="str">
        <f>'Water runs'!B171</f>
        <v>Autumn</v>
      </c>
      <c r="C164" s="54">
        <f>'Water runs'!D171/100</f>
        <v>0.46028571428571396</v>
      </c>
      <c r="D164" s="108">
        <f>VLOOKUP(ROW(D164)+4,'Water runs'!$BS$3:$CF$423,MATCH($B$1,Scenarios,0)+1)</f>
        <v>0</v>
      </c>
      <c r="E164" s="54">
        <f>IF(B164=Variables!$D$8,C164-Variables!$E$8,IF(B164=Variables!$D$9,C164-Variables!$E$9,IF(B164=Variables!$D$10,C164-Variables!$E$10,IF(B164=Variables!$D$11,C164-Variables!$E$11,"ELSE"))))</f>
        <v>-0.53435758503401387</v>
      </c>
      <c r="F164" s="108">
        <f>VLOOKUP(ROW(F164)+4,'Water runs'!$CH$3:$CU$423,MATCH($B$1,Scenarios,0)+1)</f>
        <v>0</v>
      </c>
      <c r="G164" s="65">
        <f>H164/Variables!$E$49</f>
        <v>0.161</v>
      </c>
      <c r="H164" s="62">
        <f>IF((H163+I164)&gt;(1.1*Variables!$E$50),(1.1*Variables!$E$50),IF((H163+I164)&gt;0,H163+I164,0))</f>
        <v>0.99820000000000009</v>
      </c>
      <c r="I164" s="64">
        <f t="shared" si="4"/>
        <v>0</v>
      </c>
      <c r="J164" s="63">
        <f>IF(SUM(E160:E163)&lt;Variables!$B$3,-H163,0)</f>
        <v>0</v>
      </c>
      <c r="K164" s="64">
        <f>IF(AND(H163&lt;Variables!$B$6*Variables!$E$50,OR(SUM(D161:D164)&gt;Variables!$B$5,SUM(E161:E164)&gt;Variables!$B$4)),Variables!$B$6*Variables!$E$50+Variables!$B$7*$G$1*Variables!$E$50*SUM(D161:D164),0)</f>
        <v>0</v>
      </c>
      <c r="L164" s="64">
        <f>IF(B164="Winter",Variables!$B$8*H163,0)</f>
        <v>0</v>
      </c>
      <c r="M164" s="64">
        <f>IF(AND(B164="Spring",AND(NOT(H163=0),H163&lt;(Variables!$B$9*Variables!$E$50))),(Variables!$B$10*Variables!$E$50+Variables!$B$11*Variables!$E$50*SUM(E161:E164)+$G$1*SUM(D163:D164)*Variables!$E$50*Variables!$B$12),0)</f>
        <v>0</v>
      </c>
      <c r="N164" s="64">
        <f>IF(AND(B164="Spring",AND(SUM(D161:D164)&gt;Variables!$B$13,SUM(D157:D160)&gt;Variables!$B$13)),-Variables!$B$14*Variables!$E$50,0)</f>
        <v>0</v>
      </c>
      <c r="O164" s="64">
        <f>IF(AND(B164="Summer",SUM(C160:D164)&gt;Variables!$B$15),(Variables!$B$16*Variables!$E$50*SUM(C160:C164)+$G$1*Variables!$B$16*Variables!$E$50*SUM(D160:D164)+$G$1*Variables!$E$50*Variables!$B$17*F164),0)</f>
        <v>0</v>
      </c>
      <c r="P164" s="64">
        <f>IF(AND(AND(B164="Autumn",SUM(D163:E164)&gt;0),NOT(H163=0)),Variables!$B$18*Variables!$E$50+Variables!$B$19*Variables!$E$50*SUM(E163:E164)+$G$1*Variables!$B$19*Variables!$E$50*SUM(D163:D164),0)</f>
        <v>0</v>
      </c>
      <c r="Q164" s="64">
        <f>IF(AND(B164="Autumn",AND((E164+E163)&lt;Variables!$B$20,(D163+D164)=0)),-Variables!$B$21*Variables!$E$50,0)</f>
        <v>0</v>
      </c>
      <c r="R164" s="64">
        <f>IF(B164="Autumn",(SUM(F163:F164)*$G$1*Variables!$B$22*Variables!$E$50),0)</f>
        <v>0</v>
      </c>
      <c r="S164" s="64">
        <f>IF(B164="Spring",($G$1*Variables!$E$50*SUM('Guts (option 1)'!F163:F164)*Variables!$B$23),0)</f>
        <v>0</v>
      </c>
      <c r="T164" s="63">
        <f>IF((H163+SUM(J164:Q164))&lt;(Variables!$B$26*Variables!$E$50),$F$1*((Variables!$B$26*Variables!$E$50)-H163-SUM(J164:Q164)),0)</f>
        <v>0</v>
      </c>
      <c r="U164" s="64">
        <f>IF(AND(AND(B164="Autumn",SUM(D161:E164)&gt;Variables!$B$27),SUM(J164:Q164)&lt;Variables!$B$28*H163),$F$1*(Variables!$B$28*H163-SUM(J164:Q164)),0)</f>
        <v>0</v>
      </c>
      <c r="V164" s="96">
        <f>IF(AND((J164+K164)=0,(Q164+T164)=0),$H$1*H164*Variables!$I$23*0.25,0)</f>
        <v>19.235463730000003</v>
      </c>
      <c r="W164" s="97">
        <f>IF(AND((K164+J164)=0,(T164+Q164)=0),$I$1*H164*Variables!$Q$23*0.25,0)</f>
        <v>20.13444265</v>
      </c>
      <c r="X164" s="95">
        <f>IF(AND(NOT(K164=0),(H164-H163)&gt;0),(H164-H163)*(Variables!$M$5*$H$1+Variables!$U$5*$I$1),0)+IF(AND(NOT((J164+N164+Q164)=0),(H163-H164)&gt;0),(H163-H164)*(Variables!$M$4*$H$1+Variables!$U$4*$I$1),0)</f>
        <v>0</v>
      </c>
      <c r="Y164" s="95">
        <f>IF(SUM(T164,U163:U164)&gt;0,H164*Variables!$Y$11*0.25*(1-$J$1),0)</f>
        <v>0</v>
      </c>
      <c r="Z164" s="95">
        <f>IF(T164=0,H164*$J$1*Variables!$Y$5*0.25,0)</f>
        <v>6.4883000000000006</v>
      </c>
      <c r="AA164" s="95">
        <f t="shared" si="5"/>
        <v>45.858206380000006</v>
      </c>
      <c r="AB164" s="91">
        <f>AA164/Variables!$E$49</f>
        <v>7.3964849000000008</v>
      </c>
    </row>
    <row r="165" spans="1:28" x14ac:dyDescent="0.25">
      <c r="A165" s="61">
        <f>'Water runs'!C172</f>
        <v>17045</v>
      </c>
      <c r="B165" s="61" t="str">
        <f>'Water runs'!B172</f>
        <v>Winter</v>
      </c>
      <c r="C165" s="54">
        <f>'Water runs'!D172/100</f>
        <v>0.17399999999999999</v>
      </c>
      <c r="D165" s="108">
        <f>VLOOKUP(ROW(D165)+4,'Water runs'!$BS$3:$CF$423,MATCH($B$1,Scenarios,0)+1)</f>
        <v>0</v>
      </c>
      <c r="E165" s="54">
        <f>IF(B165=Variables!$D$8,C165-Variables!$E$8,IF(B165=Variables!$D$9,C165-Variables!$E$9,IF(B165=Variables!$D$10,C165-Variables!$E$10,IF(B165=Variables!$D$11,C165-Variables!$E$11,"ELSE"))))</f>
        <v>-0.39776762566137575</v>
      </c>
      <c r="F165" s="108">
        <f>VLOOKUP(ROW(F165)+4,'Water runs'!$CH$3:$CU$423,MATCH($B$1,Scenarios,0)+1)</f>
        <v>0</v>
      </c>
      <c r="G165" s="65">
        <f>H165/Variables!$E$49</f>
        <v>0.161</v>
      </c>
      <c r="H165" s="62">
        <f>IF((H164+I165)&gt;(1.1*Variables!$E$50),(1.1*Variables!$E$50),IF((H164+I165)&gt;0,H164+I165,0))</f>
        <v>0.99820000000000009</v>
      </c>
      <c r="I165" s="64">
        <f t="shared" si="4"/>
        <v>0</v>
      </c>
      <c r="J165" s="63">
        <f>IF(SUM(E161:E164)&lt;Variables!$B$3,-H164,0)</f>
        <v>0</v>
      </c>
      <c r="K165" s="64">
        <f>IF(AND(H164&lt;Variables!$B$6*Variables!$E$50,OR(SUM(D162:D165)&gt;Variables!$B$5,SUM(E162:E165)&gt;Variables!$B$4)),Variables!$B$6*Variables!$E$50+Variables!$B$7*$G$1*Variables!$E$50*SUM(D162:D165),0)</f>
        <v>0</v>
      </c>
      <c r="L165" s="64">
        <f>IF(B165="Winter",Variables!$B$8*H164,0)</f>
        <v>-0.49704894489176149</v>
      </c>
      <c r="M165" s="64">
        <f>IF(AND(B165="Spring",AND(NOT(H164=0),H164&lt;(Variables!$B$9*Variables!$E$50))),(Variables!$B$10*Variables!$E$50+Variables!$B$11*Variables!$E$50*SUM(E162:E165)+$G$1*SUM(D164:D165)*Variables!$E$50*Variables!$B$12),0)</f>
        <v>0</v>
      </c>
      <c r="N165" s="64">
        <f>IF(AND(B165="Spring",AND(SUM(D162:D165)&gt;Variables!$B$13,SUM(D158:D161)&gt;Variables!$B$13)),-Variables!$B$14*Variables!$E$50,0)</f>
        <v>0</v>
      </c>
      <c r="O165" s="64">
        <f>IF(AND(B165="Summer",SUM(C161:D165)&gt;Variables!$B$15),(Variables!$B$16*Variables!$E$50*SUM(C161:C165)+$G$1*Variables!$B$16*Variables!$E$50*SUM(D161:D165)+$G$1*Variables!$E$50*Variables!$B$17*F165),0)</f>
        <v>0</v>
      </c>
      <c r="P165" s="64">
        <f>IF(AND(AND(B165="Autumn",SUM(D164:E165)&gt;0),NOT(H164=0)),Variables!$B$18*Variables!$E$50+Variables!$B$19*Variables!$E$50*SUM(E164:E165)+$G$1*Variables!$B$19*Variables!$E$50*SUM(D164:D165),0)</f>
        <v>0</v>
      </c>
      <c r="Q165" s="64">
        <f>IF(AND(B165="Autumn",AND((E165+E164)&lt;Variables!$B$20,(D164+D165)=0)),-Variables!$B$21*Variables!$E$50,0)</f>
        <v>0</v>
      </c>
      <c r="R165" s="64">
        <f>IF(B165="Autumn",(SUM(F164:F165)*$G$1*Variables!$B$22*Variables!$E$50),0)</f>
        <v>0</v>
      </c>
      <c r="S165" s="64">
        <f>IF(B165="Spring",($G$1*Variables!$E$50*SUM('Guts (option 1)'!F164:F165)*Variables!$B$23),0)</f>
        <v>0</v>
      </c>
      <c r="T165" s="63">
        <f>IF((H164+SUM(J165:Q165))&lt;(Variables!$B$26*Variables!$E$50),$F$1*((Variables!$B$26*Variables!$E$50)-H164-SUM(J165:Q165)),0)</f>
        <v>0.49704894489176149</v>
      </c>
      <c r="U165" s="64">
        <f>IF(AND(AND(B165="Autumn",SUM(D162:E165)&gt;Variables!$B$27),SUM(J165:Q165)&lt;Variables!$B$28*H164),$F$1*(Variables!$B$28*H164-SUM(J165:Q165)),0)</f>
        <v>0</v>
      </c>
      <c r="V165" s="96">
        <f>IF(AND((J165+K165)=0,(Q165+T165)=0),$H$1*H165*Variables!$I$23*0.25,0)</f>
        <v>0</v>
      </c>
      <c r="W165" s="97">
        <f>IF(AND((K165+J165)=0,(T165+Q165)=0),$I$1*H165*Variables!$Q$23*0.25,0)</f>
        <v>0</v>
      </c>
      <c r="X165" s="95">
        <f>IF(AND(NOT(K165=0),(H165-H164)&gt;0),(H165-H164)*(Variables!$M$5*$H$1+Variables!$U$5*$I$1),0)+IF(AND(NOT((J165+N165+Q165)=0),(H164-H165)&gt;0),(H164-H165)*(Variables!$M$4*$H$1+Variables!$U$4*$I$1),0)</f>
        <v>0</v>
      </c>
      <c r="Y165" s="95">
        <f>IF(SUM(T165,U164:U165)&gt;0,H165*Variables!$Y$11*0.25*(1-$J$1),0)</f>
        <v>0</v>
      </c>
      <c r="Z165" s="95">
        <f>IF(T165=0,H165*$J$1*Variables!$Y$5*0.25,0)</f>
        <v>0</v>
      </c>
      <c r="AA165" s="95">
        <f t="shared" si="5"/>
        <v>0</v>
      </c>
      <c r="AB165" s="91">
        <f>AA165/Variables!$E$49</f>
        <v>0</v>
      </c>
    </row>
    <row r="166" spans="1:28" x14ac:dyDescent="0.25">
      <c r="A166" s="61">
        <f>'Water runs'!C173</f>
        <v>17136</v>
      </c>
      <c r="B166" s="61" t="str">
        <f>'Water runs'!B173</f>
        <v>Spring</v>
      </c>
      <c r="C166" s="54">
        <f>'Water runs'!D173/100</f>
        <v>0.76971428571428602</v>
      </c>
      <c r="D166" s="108">
        <f>VLOOKUP(ROW(D166)+4,'Water runs'!$BS$3:$CF$423,MATCH($B$1,Scenarios,0)+1)</f>
        <v>0</v>
      </c>
      <c r="E166" s="54">
        <f>IF(B166=Variables!$D$8,C166-Variables!$E$8,IF(B166=Variables!$D$9,C166-Variables!$E$9,IF(B166=Variables!$D$10,C166-Variables!$E$10,IF(B166=Variables!$D$11,C166-Variables!$E$11,"ELSE"))))</f>
        <v>5.7320767195768729E-3</v>
      </c>
      <c r="F166" s="108">
        <f>VLOOKUP(ROW(F166)+4,'Water runs'!$CH$3:$CU$423,MATCH($B$1,Scenarios,0)+1)</f>
        <v>0</v>
      </c>
      <c r="G166" s="65">
        <f>H166/Variables!$E$49</f>
        <v>0.161</v>
      </c>
      <c r="H166" s="62">
        <f>IF((H165+I166)&gt;(1.1*Variables!$E$50),(1.1*Variables!$E$50),IF((H165+I166)&gt;0,H165+I166,0))</f>
        <v>0.99820000000000009</v>
      </c>
      <c r="I166" s="64">
        <f t="shared" si="4"/>
        <v>0</v>
      </c>
      <c r="J166" s="63">
        <f>IF(SUM(E162:E165)&lt;Variables!$B$3,-H165,0)</f>
        <v>-0.99820000000000009</v>
      </c>
      <c r="K166" s="64">
        <f>IF(AND(H165&lt;Variables!$B$6*Variables!$E$50,OR(SUM(D163:D166)&gt;Variables!$B$5,SUM(E163:E166)&gt;Variables!$B$4)),Variables!$B$6*Variables!$E$50+Variables!$B$7*$G$1*Variables!$E$50*SUM(D163:D166),0)</f>
        <v>0</v>
      </c>
      <c r="L166" s="64">
        <f>IF(B166="Winter",Variables!$B$8*H165,0)</f>
        <v>0</v>
      </c>
      <c r="M166" s="64">
        <f>IF(AND(B166="Spring",AND(NOT(H165=0),H165&lt;(Variables!$B$9*Variables!$E$50))),(Variables!$B$10*Variables!$E$50+Variables!$B$11*Variables!$E$50*SUM(E163:E166)+$G$1*SUM(D165:D166)*Variables!$E$50*Variables!$B$12),0)</f>
        <v>-0.81176159657431468</v>
      </c>
      <c r="N166" s="64">
        <f>IF(AND(B166="Spring",AND(SUM(D163:D166)&gt;Variables!$B$13,SUM(D159:D162)&gt;Variables!$B$13)),-Variables!$B$14*Variables!$E$50,0)</f>
        <v>0</v>
      </c>
      <c r="O166" s="64">
        <f>IF(AND(B166="Summer",SUM(C162:D166)&gt;Variables!$B$15),(Variables!$B$16*Variables!$E$50*SUM(C162:C166)+$G$1*Variables!$B$16*Variables!$E$50*SUM(D162:D166)+$G$1*Variables!$E$50*Variables!$B$17*F166),0)</f>
        <v>0</v>
      </c>
      <c r="P166" s="64">
        <f>IF(AND(AND(B166="Autumn",SUM(D165:E166)&gt;0),NOT(H165=0)),Variables!$B$18*Variables!$E$50+Variables!$B$19*Variables!$E$50*SUM(E165:E166)+$G$1*Variables!$B$19*Variables!$E$50*SUM(D165:D166),0)</f>
        <v>0</v>
      </c>
      <c r="Q166" s="64">
        <f>IF(AND(B166="Autumn",AND((E166+E165)&lt;Variables!$B$20,(D165+D166)=0)),-Variables!$B$21*Variables!$E$50,0)</f>
        <v>0</v>
      </c>
      <c r="R166" s="64">
        <f>IF(B166="Autumn",(SUM(F165:F166)*$G$1*Variables!$B$22*Variables!$E$50),0)</f>
        <v>0</v>
      </c>
      <c r="S166" s="64">
        <f>IF(B166="Spring",($G$1*Variables!$E$50*SUM('Guts (option 1)'!F165:F166)*Variables!$B$23),0)</f>
        <v>0</v>
      </c>
      <c r="T166" s="63">
        <f>IF((H165+SUM(J166:Q166))&lt;(Variables!$B$26*Variables!$E$50),$F$1*((Variables!$B$26*Variables!$E$50)-H165-SUM(J166:Q166)),0)</f>
        <v>1.8099615965743148</v>
      </c>
      <c r="U166" s="64">
        <f>IF(AND(AND(B166="Autumn",SUM(D163:E166)&gt;Variables!$B$27),SUM(J166:Q166)&lt;Variables!$B$28*H165),$F$1*(Variables!$B$28*H165-SUM(J166:Q166)),0)</f>
        <v>0</v>
      </c>
      <c r="V166" s="96">
        <f>IF(AND((J166+K166)=0,(Q166+T166)=0),$H$1*H166*Variables!$I$23*0.25,0)</f>
        <v>0</v>
      </c>
      <c r="W166" s="97">
        <f>IF(AND((K166+J166)=0,(T166+Q166)=0),$I$1*H166*Variables!$Q$23*0.25,0)</f>
        <v>0</v>
      </c>
      <c r="X166" s="95">
        <f>IF(AND(NOT(K166=0),(H166-H165)&gt;0),(H166-H165)*(Variables!$M$5*$H$1+Variables!$U$5*$I$1),0)+IF(AND(NOT((J166+N166+Q166)=0),(H165-H166)&gt;0),(H165-H166)*(Variables!$M$4*$H$1+Variables!$U$4*$I$1),0)</f>
        <v>0</v>
      </c>
      <c r="Y166" s="95">
        <f>IF(SUM(T166,U165:U166)&gt;0,H166*Variables!$Y$11*0.25*(1-$J$1),0)</f>
        <v>0</v>
      </c>
      <c r="Z166" s="95">
        <f>IF(T166=0,H166*$J$1*Variables!$Y$5*0.25,0)</f>
        <v>0</v>
      </c>
      <c r="AA166" s="95">
        <f t="shared" si="5"/>
        <v>0</v>
      </c>
      <c r="AB166" s="91">
        <f>AA166/Variables!$E$49</f>
        <v>0</v>
      </c>
    </row>
    <row r="167" spans="1:28" x14ac:dyDescent="0.25">
      <c r="A167" s="61">
        <f>'Water runs'!C174</f>
        <v>17226</v>
      </c>
      <c r="B167" s="61" t="str">
        <f>'Water runs'!B174</f>
        <v>Summer</v>
      </c>
      <c r="C167" s="54">
        <f>'Water runs'!D174/100</f>
        <v>1.58507142857143</v>
      </c>
      <c r="D167" s="108">
        <f>VLOOKUP(ROW(D167)+4,'Water runs'!$BS$3:$CF$423,MATCH($B$1,Scenarios,0)+1)</f>
        <v>2.866610186937347E-3</v>
      </c>
      <c r="E167" s="54">
        <f>IF(B167=Variables!$D$8,C167-Variables!$E$8,IF(B167=Variables!$D$9,C167-Variables!$E$9,IF(B167=Variables!$D$10,C167-Variables!$E$10,IF(B167=Variables!$D$11,C167-Variables!$E$11,"ELSE"))))</f>
        <v>0.3267012925170083</v>
      </c>
      <c r="F167" s="108">
        <f>VLOOKUP(ROW(F167)+4,'Water runs'!$CH$3:$CU$423,MATCH($B$1,Scenarios,0)+1)</f>
        <v>0</v>
      </c>
      <c r="G167" s="65">
        <f>H167/Variables!$E$49</f>
        <v>0.161</v>
      </c>
      <c r="H167" s="62">
        <f>IF((H166+I167)&gt;(1.1*Variables!$E$50),(1.1*Variables!$E$50),IF((H166+I167)&gt;0,H166+I167,0))</f>
        <v>0.99820000000000009</v>
      </c>
      <c r="I167" s="64">
        <f t="shared" si="4"/>
        <v>0</v>
      </c>
      <c r="J167" s="63">
        <f>IF(SUM(E163:E166)&lt;Variables!$B$3,-H166,0)</f>
        <v>0</v>
      </c>
      <c r="K167" s="64">
        <f>IF(AND(H166&lt;Variables!$B$6*Variables!$E$50,OR(SUM(D164:D167)&gt;Variables!$B$5,SUM(E164:E167)&gt;Variables!$B$4)),Variables!$B$6*Variables!$E$50+Variables!$B$7*$G$1*Variables!$E$50*SUM(D164:D167),0)</f>
        <v>0</v>
      </c>
      <c r="L167" s="64">
        <f>IF(B167="Winter",Variables!$B$8*H166,0)</f>
        <v>0</v>
      </c>
      <c r="M167" s="64">
        <f>IF(AND(B167="Spring",AND(NOT(H166=0),H166&lt;(Variables!$B$9*Variables!$E$50))),(Variables!$B$10*Variables!$E$50+Variables!$B$11*Variables!$E$50*SUM(E164:E167)+$G$1*SUM(D166:D167)*Variables!$E$50*Variables!$B$12),0)</f>
        <v>0</v>
      </c>
      <c r="N167" s="64">
        <f>IF(AND(B167="Spring",AND(SUM(D164:D167)&gt;Variables!$B$13,SUM(D160:D163)&gt;Variables!$B$13)),-Variables!$B$14*Variables!$E$50,0)</f>
        <v>0</v>
      </c>
      <c r="O167" s="64">
        <f>IF(AND(B167="Summer",SUM(C163:D167)&gt;Variables!$B$15),(Variables!$B$16*Variables!$E$50*SUM(C163:C167)+$G$1*Variables!$B$16*Variables!$E$50*SUM(D163:D167)+$G$1*Variables!$E$50*Variables!$B$17*F167),0)</f>
        <v>0</v>
      </c>
      <c r="P167" s="64">
        <f>IF(AND(AND(B167="Autumn",SUM(D166:E167)&gt;0),NOT(H166=0)),Variables!$B$18*Variables!$E$50+Variables!$B$19*Variables!$E$50*SUM(E166:E167)+$G$1*Variables!$B$19*Variables!$E$50*SUM(D166:D167),0)</f>
        <v>0</v>
      </c>
      <c r="Q167" s="64">
        <f>IF(AND(B167="Autumn",AND((E167+E166)&lt;Variables!$B$20,(D166+D167)=0)),-Variables!$B$21*Variables!$E$50,0)</f>
        <v>0</v>
      </c>
      <c r="R167" s="64">
        <f>IF(B167="Autumn",(SUM(F166:F167)*$G$1*Variables!$B$22*Variables!$E$50),0)</f>
        <v>0</v>
      </c>
      <c r="S167" s="64">
        <f>IF(B167="Spring",($G$1*Variables!$E$50*SUM('Guts (option 1)'!F166:F167)*Variables!$B$23),0)</f>
        <v>0</v>
      </c>
      <c r="T167" s="63">
        <f>IF((H166+SUM(J167:Q167))&lt;(Variables!$B$26*Variables!$E$50),$F$1*((Variables!$B$26*Variables!$E$50)-H166-SUM(J167:Q167)),0)</f>
        <v>0</v>
      </c>
      <c r="U167" s="64">
        <f>IF(AND(AND(B167="Autumn",SUM(D164:E167)&gt;Variables!$B$27),SUM(J167:Q167)&lt;Variables!$B$28*H166),$F$1*(Variables!$B$28*H166-SUM(J167:Q167)),0)</f>
        <v>0</v>
      </c>
      <c r="V167" s="96">
        <f>IF(AND((J167+K167)=0,(Q167+T167)=0),$H$1*H167*Variables!$I$23*0.25,0)</f>
        <v>19.235463730000003</v>
      </c>
      <c r="W167" s="97">
        <f>IF(AND((K167+J167)=0,(T167+Q167)=0),$I$1*H167*Variables!$Q$23*0.25,0)</f>
        <v>20.13444265</v>
      </c>
      <c r="X167" s="95">
        <f>IF(AND(NOT(K167=0),(H167-H166)&gt;0),(H167-H166)*(Variables!$M$5*$H$1+Variables!$U$5*$I$1),0)+IF(AND(NOT((J167+N167+Q167)=0),(H166-H167)&gt;0),(H166-H167)*(Variables!$M$4*$H$1+Variables!$U$4*$I$1),0)</f>
        <v>0</v>
      </c>
      <c r="Y167" s="95">
        <f>IF(SUM(T167,U166:U167)&gt;0,H167*Variables!$Y$11*0.25*(1-$J$1),0)</f>
        <v>0</v>
      </c>
      <c r="Z167" s="95">
        <f>IF(T167=0,H167*$J$1*Variables!$Y$5*0.25,0)</f>
        <v>6.4883000000000006</v>
      </c>
      <c r="AA167" s="95">
        <f t="shared" si="5"/>
        <v>45.858206380000006</v>
      </c>
      <c r="AB167" s="91">
        <f>AA167/Variables!$E$49</f>
        <v>7.3964849000000008</v>
      </c>
    </row>
    <row r="168" spans="1:28" x14ac:dyDescent="0.25">
      <c r="A168" s="61">
        <f>'Water runs'!C175</f>
        <v>17318</v>
      </c>
      <c r="B168" s="61" t="str">
        <f>'Water runs'!B175</f>
        <v>Autumn</v>
      </c>
      <c r="C168" s="54">
        <f>'Water runs'!D175/100</f>
        <v>0.89800000000000002</v>
      </c>
      <c r="D168" s="108">
        <f>VLOOKUP(ROW(D168)+4,'Water runs'!$BS$3:$CF$423,MATCH($B$1,Scenarios,0)+1)</f>
        <v>9.3889183603987361E-2</v>
      </c>
      <c r="E168" s="54">
        <f>IF(B168=Variables!$D$8,C168-Variables!$E$8,IF(B168=Variables!$D$9,C168-Variables!$E$9,IF(B168=Variables!$D$10,C168-Variables!$E$10,IF(B168=Variables!$D$11,C168-Variables!$E$11,"ELSE"))))</f>
        <v>-9.6643299319727816E-2</v>
      </c>
      <c r="F168" s="108">
        <f>VLOOKUP(ROW(F168)+4,'Water runs'!$CH$3:$CU$423,MATCH($B$1,Scenarios,0)+1)</f>
        <v>3.7403621564699639E-2</v>
      </c>
      <c r="G168" s="65">
        <f>H168/Variables!$E$49</f>
        <v>0.51204544593174328</v>
      </c>
      <c r="H168" s="62">
        <f>IF((H167+I168)&gt;(1.1*Variables!$E$50),(1.1*Variables!$E$50),IF((H167+I168)&gt;0,H167+I168,0))</f>
        <v>3.1746817647768086</v>
      </c>
      <c r="I168" s="64">
        <f t="shared" si="4"/>
        <v>2.1764817647768084</v>
      </c>
      <c r="J168" s="63">
        <f>IF(SUM(E164:E167)&lt;Variables!$B$3,-H167,0)</f>
        <v>0</v>
      </c>
      <c r="K168" s="64">
        <f>IF(AND(H167&lt;Variables!$B$6*Variables!$E$50,OR(SUM(D165:D168)&gt;Variables!$B$5,SUM(E165:E168)&gt;Variables!$B$4)),Variables!$B$6*Variables!$E$50+Variables!$B$7*$G$1*Variables!$E$50*SUM(D165:D168),0)</f>
        <v>1.1458828045637457</v>
      </c>
      <c r="L168" s="64">
        <f>IF(B168="Winter",Variables!$B$8*H167,0)</f>
        <v>0</v>
      </c>
      <c r="M168" s="64">
        <f>IF(AND(B168="Spring",AND(NOT(H167=0),H167&lt;(Variables!$B$9*Variables!$E$50))),(Variables!$B$10*Variables!$E$50+Variables!$B$11*Variables!$E$50*SUM(E165:E168)+$G$1*SUM(D167:D168)*Variables!$E$50*Variables!$B$12),0)</f>
        <v>0</v>
      </c>
      <c r="N168" s="64">
        <f>IF(AND(B168="Spring",AND(SUM(D165:D168)&gt;Variables!$B$13,SUM(D161:D164)&gt;Variables!$B$13)),-Variables!$B$14*Variables!$E$50,0)</f>
        <v>0</v>
      </c>
      <c r="O168" s="64">
        <f>IF(AND(B168="Summer",SUM(C164:D168)&gt;Variables!$B$15),(Variables!$B$16*Variables!$E$50*SUM(C164:C168)+$G$1*Variables!$B$16*Variables!$E$50*SUM(D164:D168)+$G$1*Variables!$E$50*Variables!$B$17*F168),0)</f>
        <v>0</v>
      </c>
      <c r="P168" s="64">
        <f>IF(AND(AND(B168="Autumn",SUM(D167:E168)&gt;0),NOT(H167=0)),Variables!$B$18*Variables!$E$50+Variables!$B$19*Variables!$E$50*SUM(E167:E168)+$G$1*Variables!$B$19*Variables!$E$50*SUM(D167:D168),0)</f>
        <v>1.0253520574168753</v>
      </c>
      <c r="Q168" s="64">
        <f>IF(AND(B168="Autumn",AND((E168+E167)&lt;Variables!$B$20,(D167+D168)=0)),-Variables!$B$21*Variables!$E$50,0)</f>
        <v>0</v>
      </c>
      <c r="R168" s="64">
        <f>IF(B168="Autumn",(SUM(F167:F168)*$G$1*Variables!$B$22*Variables!$E$50),0)</f>
        <v>5.2469027961871825E-3</v>
      </c>
      <c r="S168" s="64">
        <f>IF(B168="Spring",($G$1*Variables!$E$50*SUM('Guts (option 1)'!F167:F168)*Variables!$B$23),0)</f>
        <v>0</v>
      </c>
      <c r="T168" s="63">
        <f>IF((H167+SUM(J168:Q168))&lt;(Variables!$B$26*Variables!$E$50),$F$1*((Variables!$B$26*Variables!$E$50)-H167-SUM(J168:Q168)),0)</f>
        <v>0</v>
      </c>
      <c r="U168" s="64">
        <f>IF(AND(AND(B168="Autumn",SUM(D165:E168)&gt;Variables!$B$27),SUM(J168:Q168)&lt;Variables!$B$28*H167),$F$1*(Variables!$B$28*H167-SUM(J168:Q168)),0)</f>
        <v>0</v>
      </c>
      <c r="V168" s="96">
        <f>IF(AND((J168+K168)=0,(Q168+T168)=0),$H$1*H168*Variables!$I$23*0.25,0)</f>
        <v>0</v>
      </c>
      <c r="W168" s="97">
        <f>IF(AND((K168+J168)=0,(T168+Q168)=0),$I$1*H168*Variables!$Q$23*0.25,0)</f>
        <v>0</v>
      </c>
      <c r="X168" s="95">
        <f>IF(AND(NOT(K168=0),(H168-H167)&gt;0),(H168-H167)*(Variables!$M$5*$H$1+Variables!$U$5*$I$1),0)+IF(AND(NOT((J168+N168+Q168)=0),(H167-H168)&gt;0),(H167-H168)*(Variables!$M$4*$H$1+Variables!$U$4*$I$1),0)</f>
        <v>-544.12044119420216</v>
      </c>
      <c r="Y168" s="95">
        <f>IF(SUM(T168,U167:U168)&gt;0,H168*Variables!$Y$11*0.25*(1-$J$1),0)</f>
        <v>0</v>
      </c>
      <c r="Z168" s="95">
        <f>IF(T168=0,H168*$J$1*Variables!$Y$5*0.25,0)</f>
        <v>20.635431471049255</v>
      </c>
      <c r="AA168" s="95">
        <f t="shared" si="5"/>
        <v>-523.48500972315287</v>
      </c>
      <c r="AB168" s="91">
        <f>AA168/Variables!$E$49</f>
        <v>-84.43306608437949</v>
      </c>
    </row>
    <row r="169" spans="1:28" x14ac:dyDescent="0.25">
      <c r="A169" s="61">
        <f>'Water runs'!C176</f>
        <v>17410</v>
      </c>
      <c r="B169" s="61" t="str">
        <f>'Water runs'!B176</f>
        <v>Winter</v>
      </c>
      <c r="C169" s="54">
        <f>'Water runs'!D176/100</f>
        <v>0.652107142857143</v>
      </c>
      <c r="D169" s="108">
        <f>VLOOKUP(ROW(D169)+4,'Water runs'!$BS$3:$CF$423,MATCH($B$1,Scenarios,0)+1)</f>
        <v>0</v>
      </c>
      <c r="E169" s="54">
        <f>IF(B169=Variables!$D$8,C169-Variables!$E$8,IF(B169=Variables!$D$9,C169-Variables!$E$9,IF(B169=Variables!$D$10,C169-Variables!$E$10,IF(B169=Variables!$D$11,C169-Variables!$E$11,"ELSE"))))</f>
        <v>8.0339517195767263E-2</v>
      </c>
      <c r="F169" s="108">
        <f>VLOOKUP(ROW(F169)+4,'Water runs'!$CH$3:$CU$423,MATCH($B$1,Scenarios,0)+1)</f>
        <v>0</v>
      </c>
      <c r="G169" s="65">
        <f>H169/Variables!$E$49</f>
        <v>0.25707485022246213</v>
      </c>
      <c r="H169" s="62">
        <f>IF((H168+I169)&gt;(1.1*Variables!$E$50),(1.1*Variables!$E$50),IF((H168+I169)&gt;0,H168+I169,0))</f>
        <v>1.5938640713792651</v>
      </c>
      <c r="I169" s="64">
        <f t="shared" si="4"/>
        <v>-1.5808176933975435</v>
      </c>
      <c r="J169" s="63">
        <f>IF(SUM(E165:E168)&lt;Variables!$B$3,-H168,0)</f>
        <v>0</v>
      </c>
      <c r="K169" s="64">
        <f>IF(AND(H168&lt;Variables!$B$6*Variables!$E$50,OR(SUM(D166:D169)&gt;Variables!$B$5,SUM(E166:E169)&gt;Variables!$B$4)),Variables!$B$6*Variables!$E$50+Variables!$B$7*$G$1*Variables!$E$50*SUM(D166:D169),0)</f>
        <v>0</v>
      </c>
      <c r="L169" s="64">
        <f>IF(B169="Winter",Variables!$B$8*H168,0)</f>
        <v>-1.5808176933975435</v>
      </c>
      <c r="M169" s="64">
        <f>IF(AND(B169="Spring",AND(NOT(H168=0),H168&lt;(Variables!$B$9*Variables!$E$50))),(Variables!$B$10*Variables!$E$50+Variables!$B$11*Variables!$E$50*SUM(E166:E169)+$G$1*SUM(D168:D169)*Variables!$E$50*Variables!$B$12),0)</f>
        <v>0</v>
      </c>
      <c r="N169" s="64">
        <f>IF(AND(B169="Spring",AND(SUM(D166:D169)&gt;Variables!$B$13,SUM(D162:D165)&gt;Variables!$B$13)),-Variables!$B$14*Variables!$E$50,0)</f>
        <v>0</v>
      </c>
      <c r="O169" s="64">
        <f>IF(AND(B169="Summer",SUM(C165:D169)&gt;Variables!$B$15),(Variables!$B$16*Variables!$E$50*SUM(C165:C169)+$G$1*Variables!$B$16*Variables!$E$50*SUM(D165:D169)+$G$1*Variables!$E$50*Variables!$B$17*F169),0)</f>
        <v>0</v>
      </c>
      <c r="P169" s="64">
        <f>IF(AND(AND(B169="Autumn",SUM(D168:E169)&gt;0),NOT(H168=0)),Variables!$B$18*Variables!$E$50+Variables!$B$19*Variables!$E$50*SUM(E168:E169)+$G$1*Variables!$B$19*Variables!$E$50*SUM(D168:D169),0)</f>
        <v>0</v>
      </c>
      <c r="Q169" s="64">
        <f>IF(AND(B169="Autumn",AND((E169+E168)&lt;Variables!$B$20,(D168+D169)=0)),-Variables!$B$21*Variables!$E$50,0)</f>
        <v>0</v>
      </c>
      <c r="R169" s="64">
        <f>IF(B169="Autumn",(SUM(F168:F169)*$G$1*Variables!$B$22*Variables!$E$50),0)</f>
        <v>0</v>
      </c>
      <c r="S169" s="64">
        <f>IF(B169="Spring",($G$1*Variables!$E$50*SUM('Guts (option 1)'!F168:F169)*Variables!$B$23),0)</f>
        <v>0</v>
      </c>
      <c r="T169" s="63">
        <f>IF((H168+SUM(J169:Q169))&lt;(Variables!$B$26*Variables!$E$50),$F$1*((Variables!$B$26*Variables!$E$50)-H168-SUM(J169:Q169)),0)</f>
        <v>0</v>
      </c>
      <c r="U169" s="64">
        <f>IF(AND(AND(B169="Autumn",SUM(D166:E169)&gt;Variables!$B$27),SUM(J169:Q169)&lt;Variables!$B$28*H168),$F$1*(Variables!$B$28*H168-SUM(J169:Q169)),0)</f>
        <v>0</v>
      </c>
      <c r="V169" s="96">
        <f>IF(AND((J169+K169)=0,(Q169+T169)=0),$H$1*H169*Variables!$I$23*0.25,0)</f>
        <v>30.713999735089146</v>
      </c>
      <c r="W169" s="97">
        <f>IF(AND((K169+J169)=0,(T169+Q169)=0),$I$1*H169*Variables!$Q$23*0.25,0)</f>
        <v>32.149433717773306</v>
      </c>
      <c r="X169" s="95">
        <f>IF(AND(NOT(K169=0),(H169-H168)&gt;0),(H169-H168)*(Variables!$M$5*$H$1+Variables!$U$5*$I$1),0)+IF(AND(NOT((J169+N169+Q169)=0),(H168-H169)&gt;0),(H168-H169)*(Variables!$M$4*$H$1+Variables!$U$4*$I$1),0)</f>
        <v>0</v>
      </c>
      <c r="Y169" s="95">
        <f>IF(SUM(T169,U168:U169)&gt;0,H169*Variables!$Y$11*0.25*(1-$J$1),0)</f>
        <v>0</v>
      </c>
      <c r="Z169" s="95">
        <f>IF(T169=0,H169*$J$1*Variables!$Y$5*0.25,0)</f>
        <v>10.360116463965223</v>
      </c>
      <c r="AA169" s="95">
        <f t="shared" si="5"/>
        <v>73.223549916827679</v>
      </c>
      <c r="AB169" s="91">
        <f>AA169/Variables!$E$49</f>
        <v>11.810249986585109</v>
      </c>
    </row>
    <row r="170" spans="1:28" x14ac:dyDescent="0.25">
      <c r="A170" s="61">
        <f>'Water runs'!C177</f>
        <v>17501</v>
      </c>
      <c r="B170" s="61" t="str">
        <f>'Water runs'!B177</f>
        <v>Spring</v>
      </c>
      <c r="C170" s="54">
        <f>'Water runs'!D177/100</f>
        <v>1.2028000000000001</v>
      </c>
      <c r="D170" s="108">
        <f>VLOOKUP(ROW(D170)+4,'Water runs'!$BS$3:$CF$423,MATCH($B$1,Scenarios,0)+1)</f>
        <v>0</v>
      </c>
      <c r="E170" s="54">
        <f>IF(B170=Variables!$D$8,C170-Variables!$E$8,IF(B170=Variables!$D$9,C170-Variables!$E$9,IF(B170=Variables!$D$10,C170-Variables!$E$10,IF(B170=Variables!$D$11,C170-Variables!$E$11,"ELSE"))))</f>
        <v>0.43881779100529095</v>
      </c>
      <c r="F170" s="108">
        <f>VLOOKUP(ROW(F170)+4,'Water runs'!$CH$3:$CU$423,MATCH($B$1,Scenarios,0)+1)</f>
        <v>0</v>
      </c>
      <c r="G170" s="65">
        <f>H170/Variables!$E$49</f>
        <v>0.33937514641239314</v>
      </c>
      <c r="H170" s="62">
        <f>IF((H169+I170)&gt;(1.1*Variables!$E$50),(1.1*Variables!$E$50),IF((H169+I170)&gt;0,H169+I170,0))</f>
        <v>2.1041259077568375</v>
      </c>
      <c r="I170" s="64">
        <f t="shared" si="4"/>
        <v>0.51026183637757228</v>
      </c>
      <c r="J170" s="63">
        <f>IF(SUM(E166:E169)&lt;Variables!$B$3,-H169,0)</f>
        <v>0</v>
      </c>
      <c r="K170" s="64">
        <f>IF(AND(H169&lt;Variables!$B$6*Variables!$E$50,OR(SUM(D167:D170)&gt;Variables!$B$5,SUM(E167:E170)&gt;Variables!$B$4)),Variables!$B$6*Variables!$E$50+Variables!$B$7*$G$1*Variables!$E$50*SUM(D167:D170),0)</f>
        <v>0</v>
      </c>
      <c r="L170" s="64">
        <f>IF(B170="Winter",Variables!$B$8*H169,0)</f>
        <v>0</v>
      </c>
      <c r="M170" s="64">
        <f>IF(AND(B170="Spring",AND(NOT(H169=0),H169&lt;(Variables!$B$9*Variables!$E$50))),(Variables!$B$10*Variables!$E$50+Variables!$B$11*Variables!$E$50*SUM(E167:E170)+$G$1*SUM(D169:D170)*Variables!$E$50*Variables!$B$12),0)</f>
        <v>0.51026183637757228</v>
      </c>
      <c r="N170" s="64">
        <f>IF(AND(B170="Spring",AND(SUM(D167:D170)&gt;Variables!$B$13,SUM(D163:D166)&gt;Variables!$B$13)),-Variables!$B$14*Variables!$E$50,0)</f>
        <v>0</v>
      </c>
      <c r="O170" s="64">
        <f>IF(AND(B170="Summer",SUM(C166:D170)&gt;Variables!$B$15),(Variables!$B$16*Variables!$E$50*SUM(C166:C170)+$G$1*Variables!$B$16*Variables!$E$50*SUM(D166:D170)+$G$1*Variables!$E$50*Variables!$B$17*F170),0)</f>
        <v>0</v>
      </c>
      <c r="P170" s="64">
        <f>IF(AND(AND(B170="Autumn",SUM(D169:E170)&gt;0),NOT(H169=0)),Variables!$B$18*Variables!$E$50+Variables!$B$19*Variables!$E$50*SUM(E169:E170)+$G$1*Variables!$B$19*Variables!$E$50*SUM(D169:D170),0)</f>
        <v>0</v>
      </c>
      <c r="Q170" s="64">
        <f>IF(AND(B170="Autumn",AND((E170+E169)&lt;Variables!$B$20,(D169+D170)=0)),-Variables!$B$21*Variables!$E$50,0)</f>
        <v>0</v>
      </c>
      <c r="R170" s="64">
        <f>IF(B170="Autumn",(SUM(F169:F170)*$G$1*Variables!$B$22*Variables!$E$50),0)</f>
        <v>0</v>
      </c>
      <c r="S170" s="64">
        <f>IF(B170="Spring",($G$1*Variables!$E$50*SUM('Guts (option 1)'!F169:F170)*Variables!$B$23),0)</f>
        <v>0</v>
      </c>
      <c r="T170" s="63">
        <f>IF((H169+SUM(J170:Q170))&lt;(Variables!$B$26*Variables!$E$50),$F$1*((Variables!$B$26*Variables!$E$50)-H169-SUM(J170:Q170)),0)</f>
        <v>0</v>
      </c>
      <c r="U170" s="64">
        <f>IF(AND(AND(B170="Autumn",SUM(D167:E170)&gt;Variables!$B$27),SUM(J170:Q170)&lt;Variables!$B$28*H169),$F$1*(Variables!$B$28*H169-SUM(J170:Q170)),0)</f>
        <v>0</v>
      </c>
      <c r="V170" s="96">
        <f>IF(AND((J170+K170)=0,(Q170+T170)=0),$H$1*H170*Variables!$I$23*0.25,0)</f>
        <v>40.546821861360421</v>
      </c>
      <c r="W170" s="97">
        <f>IF(AND((K170+J170)=0,(T170+Q170)=0),$I$1*H170*Variables!$Q$23*0.25,0)</f>
        <v>42.441797653886226</v>
      </c>
      <c r="X170" s="95">
        <f>IF(AND(NOT(K170=0),(H170-H169)&gt;0),(H170-H169)*(Variables!$M$5*$H$1+Variables!$U$5*$I$1),0)+IF(AND(NOT((J170+N170+Q170)=0),(H169-H170)&gt;0),(H169-H170)*(Variables!$M$4*$H$1+Variables!$U$4*$I$1),0)</f>
        <v>0</v>
      </c>
      <c r="Y170" s="95">
        <f>IF(SUM(T170,U169:U170)&gt;0,H170*Variables!$Y$11*0.25*(1-$J$1),0)</f>
        <v>0</v>
      </c>
      <c r="Z170" s="95">
        <f>IF(T170=0,H170*$J$1*Variables!$Y$5*0.25,0)</f>
        <v>13.676818400419444</v>
      </c>
      <c r="AA170" s="95">
        <f t="shared" si="5"/>
        <v>96.665437915666104</v>
      </c>
      <c r="AB170" s="91">
        <f>AA170/Variables!$E$49</f>
        <v>15.591199663817113</v>
      </c>
    </row>
    <row r="171" spans="1:28" x14ac:dyDescent="0.25">
      <c r="A171" s="61">
        <f>'Water runs'!C178</f>
        <v>17591</v>
      </c>
      <c r="B171" s="61" t="str">
        <f>'Water runs'!B178</f>
        <v>Summer</v>
      </c>
      <c r="C171" s="54">
        <f>'Water runs'!D178/100</f>
        <v>1.40197619047619</v>
      </c>
      <c r="D171" s="108">
        <f>VLOOKUP(ROW(D171)+4,'Water runs'!$BS$3:$CF$423,MATCH($B$1,Scenarios,0)+1)</f>
        <v>9.5792524089660259E-3</v>
      </c>
      <c r="E171" s="54">
        <f>IF(B171=Variables!$D$8,C171-Variables!$E$8,IF(B171=Variables!$D$9,C171-Variables!$E$9,IF(B171=Variables!$D$10,C171-Variables!$E$10,IF(B171=Variables!$D$11,C171-Variables!$E$11,"ELSE"))))</f>
        <v>0.14360605442176833</v>
      </c>
      <c r="F171" s="108">
        <f>VLOOKUP(ROW(F171)+4,'Water runs'!$CH$3:$CU$423,MATCH($B$1,Scenarios,0)+1)</f>
        <v>0</v>
      </c>
      <c r="G171" s="65">
        <f>H171/Variables!$E$49</f>
        <v>0.33937514641239314</v>
      </c>
      <c r="H171" s="62">
        <f>IF((H170+I171)&gt;(1.1*Variables!$E$50),(1.1*Variables!$E$50),IF((H170+I171)&gt;0,H170+I171,0))</f>
        <v>2.1041259077568375</v>
      </c>
      <c r="I171" s="64">
        <f t="shared" si="4"/>
        <v>0</v>
      </c>
      <c r="J171" s="63">
        <f>IF(SUM(E167:E170)&lt;Variables!$B$3,-H170,0)</f>
        <v>0</v>
      </c>
      <c r="K171" s="64">
        <f>IF(AND(H170&lt;Variables!$B$6*Variables!$E$50,OR(SUM(D168:D171)&gt;Variables!$B$5,SUM(E168:E171)&gt;Variables!$B$4)),Variables!$B$6*Variables!$E$50+Variables!$B$7*$G$1*Variables!$E$50*SUM(D168:D171),0)</f>
        <v>0</v>
      </c>
      <c r="L171" s="64">
        <f>IF(B171="Winter",Variables!$B$8*H170,0)</f>
        <v>0</v>
      </c>
      <c r="M171" s="64">
        <f>IF(AND(B171="Spring",AND(NOT(H170=0),H170&lt;(Variables!$B$9*Variables!$E$50))),(Variables!$B$10*Variables!$E$50+Variables!$B$11*Variables!$E$50*SUM(E168:E171)+$G$1*SUM(D170:D171)*Variables!$E$50*Variables!$B$12),0)</f>
        <v>0</v>
      </c>
      <c r="N171" s="64">
        <f>IF(AND(B171="Spring",AND(SUM(D168:D171)&gt;Variables!$B$13,SUM(D164:D167)&gt;Variables!$B$13)),-Variables!$B$14*Variables!$E$50,0)</f>
        <v>0</v>
      </c>
      <c r="O171" s="64">
        <f>IF(AND(B171="Summer",SUM(C167:D171)&gt;Variables!$B$15),(Variables!$B$16*Variables!$E$50*SUM(C167:C171)+$G$1*Variables!$B$16*Variables!$E$50*SUM(D167:D171)+$G$1*Variables!$E$50*Variables!$B$17*F171),0)</f>
        <v>0</v>
      </c>
      <c r="P171" s="64">
        <f>IF(AND(AND(B171="Autumn",SUM(D170:E171)&gt;0),NOT(H170=0)),Variables!$B$18*Variables!$E$50+Variables!$B$19*Variables!$E$50*SUM(E170:E171)+$G$1*Variables!$B$19*Variables!$E$50*SUM(D170:D171),0)</f>
        <v>0</v>
      </c>
      <c r="Q171" s="64">
        <f>IF(AND(B171="Autumn",AND((E171+E170)&lt;Variables!$B$20,(D170+D171)=0)),-Variables!$B$21*Variables!$E$50,0)</f>
        <v>0</v>
      </c>
      <c r="R171" s="64">
        <f>IF(B171="Autumn",(SUM(F170:F171)*$G$1*Variables!$B$22*Variables!$E$50),0)</f>
        <v>0</v>
      </c>
      <c r="S171" s="64">
        <f>IF(B171="Spring",($G$1*Variables!$E$50*SUM('Guts (option 1)'!F170:F171)*Variables!$B$23),0)</f>
        <v>0</v>
      </c>
      <c r="T171" s="63">
        <f>IF((H170+SUM(J171:Q171))&lt;(Variables!$B$26*Variables!$E$50),$F$1*((Variables!$B$26*Variables!$E$50)-H170-SUM(J171:Q171)),0)</f>
        <v>0</v>
      </c>
      <c r="U171" s="64">
        <f>IF(AND(AND(B171="Autumn",SUM(D168:E171)&gt;Variables!$B$27),SUM(J171:Q171)&lt;Variables!$B$28*H170),$F$1*(Variables!$B$28*H170-SUM(J171:Q171)),0)</f>
        <v>0</v>
      </c>
      <c r="V171" s="96">
        <f>IF(AND((J171+K171)=0,(Q171+T171)=0),$H$1*H171*Variables!$I$23*0.25,0)</f>
        <v>40.546821861360421</v>
      </c>
      <c r="W171" s="97">
        <f>IF(AND((K171+J171)=0,(T171+Q171)=0),$I$1*H171*Variables!$Q$23*0.25,0)</f>
        <v>42.441797653886226</v>
      </c>
      <c r="X171" s="95">
        <f>IF(AND(NOT(K171=0),(H171-H170)&gt;0),(H171-H170)*(Variables!$M$5*$H$1+Variables!$U$5*$I$1),0)+IF(AND(NOT((J171+N171+Q171)=0),(H170-H171)&gt;0),(H170-H171)*(Variables!$M$4*$H$1+Variables!$U$4*$I$1),0)</f>
        <v>0</v>
      </c>
      <c r="Y171" s="95">
        <f>IF(SUM(T171,U170:U171)&gt;0,H171*Variables!$Y$11*0.25*(1-$J$1),0)</f>
        <v>0</v>
      </c>
      <c r="Z171" s="95">
        <f>IF(T171=0,H171*$J$1*Variables!$Y$5*0.25,0)</f>
        <v>13.676818400419444</v>
      </c>
      <c r="AA171" s="95">
        <f t="shared" si="5"/>
        <v>96.665437915666104</v>
      </c>
      <c r="AB171" s="91">
        <f>AA171/Variables!$E$49</f>
        <v>15.591199663817113</v>
      </c>
    </row>
    <row r="172" spans="1:28" x14ac:dyDescent="0.25">
      <c r="A172" s="61">
        <f>'Water runs'!C179</f>
        <v>17684</v>
      </c>
      <c r="B172" s="61" t="str">
        <f>'Water runs'!B179</f>
        <v>Autumn</v>
      </c>
      <c r="C172" s="54">
        <f>'Water runs'!D179/100</f>
        <v>1.2302380952381</v>
      </c>
      <c r="D172" s="108">
        <f>VLOOKUP(ROW(D172)+4,'Water runs'!$BS$3:$CF$423,MATCH($B$1,Scenarios,0)+1)</f>
        <v>0</v>
      </c>
      <c r="E172" s="54">
        <f>IF(B172=Variables!$D$8,C172-Variables!$E$8,IF(B172=Variables!$D$9,C172-Variables!$E$9,IF(B172=Variables!$D$10,C172-Variables!$E$10,IF(B172=Variables!$D$11,C172-Variables!$E$11,"ELSE"))))</f>
        <v>0.23559479591837218</v>
      </c>
      <c r="F172" s="108">
        <f>VLOOKUP(ROW(F172)+4,'Water runs'!$CH$3:$CU$423,MATCH($B$1,Scenarios,0)+1)</f>
        <v>0</v>
      </c>
      <c r="G172" s="65">
        <f>H172/Variables!$E$49</f>
        <v>0.53470386979265483</v>
      </c>
      <c r="H172" s="62">
        <f>IF((H171+I172)&gt;(1.1*Variables!$E$50),(1.1*Variables!$E$50),IF((H171+I172)&gt;0,H171+I172,0))</f>
        <v>3.3151639927144601</v>
      </c>
      <c r="I172" s="64">
        <f t="shared" si="4"/>
        <v>1.2110380849576226</v>
      </c>
      <c r="J172" s="63">
        <f>IF(SUM(E168:E171)&lt;Variables!$B$3,-H171,0)</f>
        <v>0</v>
      </c>
      <c r="K172" s="64">
        <f>IF(AND(H171&lt;Variables!$B$6*Variables!$E$50,OR(SUM(D169:D172)&gt;Variables!$B$5,SUM(E169:E172)&gt;Variables!$B$4)),Variables!$B$6*Variables!$E$50+Variables!$B$7*$G$1*Variables!$E$50*SUM(D169:D172),0)</f>
        <v>0</v>
      </c>
      <c r="L172" s="64">
        <f>IF(B172="Winter",Variables!$B$8*H171,0)</f>
        <v>0</v>
      </c>
      <c r="M172" s="64">
        <f>IF(AND(B172="Spring",AND(NOT(H171=0),H171&lt;(Variables!$B$9*Variables!$E$50))),(Variables!$B$10*Variables!$E$50+Variables!$B$11*Variables!$E$50*SUM(E169:E172)+$G$1*SUM(D171:D172)*Variables!$E$50*Variables!$B$12),0)</f>
        <v>0</v>
      </c>
      <c r="N172" s="64">
        <f>IF(AND(B172="Spring",AND(SUM(D169:D172)&gt;Variables!$B$13,SUM(D165:D168)&gt;Variables!$B$13)),-Variables!$B$14*Variables!$E$50,0)</f>
        <v>0</v>
      </c>
      <c r="O172" s="64">
        <f>IF(AND(B172="Summer",SUM(C168:D172)&gt;Variables!$B$15),(Variables!$B$16*Variables!$E$50*SUM(C168:C172)+$G$1*Variables!$B$16*Variables!$E$50*SUM(D168:D172)+$G$1*Variables!$E$50*Variables!$B$17*F172),0)</f>
        <v>0</v>
      </c>
      <c r="P172" s="64">
        <f>IF(AND(AND(B172="Autumn",SUM(D171:E172)&gt;0),NOT(H171=0)),Variables!$B$18*Variables!$E$50+Variables!$B$19*Variables!$E$50*SUM(E171:E172)+$G$1*Variables!$B$19*Variables!$E$50*SUM(D171:D172),0)</f>
        <v>1.2110380849576226</v>
      </c>
      <c r="Q172" s="64">
        <f>IF(AND(B172="Autumn",AND((E172+E171)&lt;Variables!$B$20,(D171+D172)=0)),-Variables!$B$21*Variables!$E$50,0)</f>
        <v>0</v>
      </c>
      <c r="R172" s="64">
        <f>IF(B172="Autumn",(SUM(F171:F172)*$G$1*Variables!$B$22*Variables!$E$50),0)</f>
        <v>0</v>
      </c>
      <c r="S172" s="64">
        <f>IF(B172="Spring",($G$1*Variables!$E$50*SUM('Guts (option 1)'!F171:F172)*Variables!$B$23),0)</f>
        <v>0</v>
      </c>
      <c r="T172" s="63">
        <f>IF((H171+SUM(J172:Q172))&lt;(Variables!$B$26*Variables!$E$50),$F$1*((Variables!$B$26*Variables!$E$50)-H171-SUM(J172:Q172)),0)</f>
        <v>0</v>
      </c>
      <c r="U172" s="64">
        <f>IF(AND(AND(B172="Autumn",SUM(D169:E172)&gt;Variables!$B$27),SUM(J172:Q172)&lt;Variables!$B$28*H171),$F$1*(Variables!$B$28*H171-SUM(J172:Q172)),0)</f>
        <v>0</v>
      </c>
      <c r="V172" s="96">
        <f>IF(AND((J172+K172)=0,(Q172+T172)=0),$H$1*H172*Variables!$I$23*0.25,0)</f>
        <v>63.883707414206555</v>
      </c>
      <c r="W172" s="97">
        <f>IF(AND((K172+J172)=0,(T172+Q172)=0),$I$1*H172*Variables!$Q$23*0.25,0)</f>
        <v>66.86934410604519</v>
      </c>
      <c r="X172" s="95">
        <f>IF(AND(NOT(K172=0),(H172-H171)&gt;0),(H172-H171)*(Variables!$M$5*$H$1+Variables!$U$5*$I$1),0)+IF(AND(NOT((J172+N172+Q172)=0),(H171-H172)&gt;0),(H171-H172)*(Variables!$M$4*$H$1+Variables!$U$4*$I$1),0)</f>
        <v>0</v>
      </c>
      <c r="Y172" s="95">
        <f>IF(SUM(T172,U171:U172)&gt;0,H172*Variables!$Y$11*0.25*(1-$J$1),0)</f>
        <v>0</v>
      </c>
      <c r="Z172" s="95">
        <f>IF(T172=0,H172*$J$1*Variables!$Y$5*0.25,0)</f>
        <v>21.54856595264399</v>
      </c>
      <c r="AA172" s="95">
        <f t="shared" si="5"/>
        <v>152.30161747289574</v>
      </c>
      <c r="AB172" s="91">
        <f>AA172/Variables!$E$49</f>
        <v>24.564777011757378</v>
      </c>
    </row>
    <row r="173" spans="1:28" x14ac:dyDescent="0.25">
      <c r="A173" s="61">
        <f>'Water runs'!C180</f>
        <v>17776</v>
      </c>
      <c r="B173" s="61" t="str">
        <f>'Water runs'!B180</f>
        <v>Winter</v>
      </c>
      <c r="C173" s="54">
        <f>'Water runs'!D180/100</f>
        <v>1.26342857142857</v>
      </c>
      <c r="D173" s="108">
        <f>VLOOKUP(ROW(D173)+4,'Water runs'!$BS$3:$CF$423,MATCH($B$1,Scenarios,0)+1)</f>
        <v>0</v>
      </c>
      <c r="E173" s="54">
        <f>IF(B173=Variables!$D$8,C173-Variables!$E$8,IF(B173=Variables!$D$9,C173-Variables!$E$9,IF(B173=Variables!$D$10,C173-Variables!$E$10,IF(B173=Variables!$D$11,C173-Variables!$E$11,"ELSE"))))</f>
        <v>0.69166094576719428</v>
      </c>
      <c r="F173" s="108">
        <f>VLOOKUP(ROW(F173)+4,'Water runs'!$CH$3:$CU$423,MATCH($B$1,Scenarios,0)+1)</f>
        <v>0</v>
      </c>
      <c r="G173" s="65">
        <f>H173/Variables!$E$49</f>
        <v>0.26845061963238548</v>
      </c>
      <c r="H173" s="62">
        <f>IF((H172+I173)&gt;(1.1*Variables!$E$50),(1.1*Variables!$E$50),IF((H172+I173)&gt;0,H172+I173,0))</f>
        <v>1.66439384172079</v>
      </c>
      <c r="I173" s="64">
        <f t="shared" si="4"/>
        <v>-1.6507701509936701</v>
      </c>
      <c r="J173" s="63">
        <f>IF(SUM(E169:E172)&lt;Variables!$B$3,-H172,0)</f>
        <v>0</v>
      </c>
      <c r="K173" s="64">
        <f>IF(AND(H172&lt;Variables!$B$6*Variables!$E$50,OR(SUM(D170:D173)&gt;Variables!$B$5,SUM(E170:E173)&gt;Variables!$B$4)),Variables!$B$6*Variables!$E$50+Variables!$B$7*$G$1*Variables!$E$50*SUM(D170:D173),0)</f>
        <v>0</v>
      </c>
      <c r="L173" s="64">
        <f>IF(B173="Winter",Variables!$B$8*H172,0)</f>
        <v>-1.6507701509936701</v>
      </c>
      <c r="M173" s="64">
        <f>IF(AND(B173="Spring",AND(NOT(H172=0),H172&lt;(Variables!$B$9*Variables!$E$50))),(Variables!$B$10*Variables!$E$50+Variables!$B$11*Variables!$E$50*SUM(E170:E173)+$G$1*SUM(D172:D173)*Variables!$E$50*Variables!$B$12),0)</f>
        <v>0</v>
      </c>
      <c r="N173" s="64">
        <f>IF(AND(B173="Spring",AND(SUM(D170:D173)&gt;Variables!$B$13,SUM(D166:D169)&gt;Variables!$B$13)),-Variables!$B$14*Variables!$E$50,0)</f>
        <v>0</v>
      </c>
      <c r="O173" s="64">
        <f>IF(AND(B173="Summer",SUM(C169:D173)&gt;Variables!$B$15),(Variables!$B$16*Variables!$E$50*SUM(C169:C173)+$G$1*Variables!$B$16*Variables!$E$50*SUM(D169:D173)+$G$1*Variables!$E$50*Variables!$B$17*F173),0)</f>
        <v>0</v>
      </c>
      <c r="P173" s="64">
        <f>IF(AND(AND(B173="Autumn",SUM(D172:E173)&gt;0),NOT(H172=0)),Variables!$B$18*Variables!$E$50+Variables!$B$19*Variables!$E$50*SUM(E172:E173)+$G$1*Variables!$B$19*Variables!$E$50*SUM(D172:D173),0)</f>
        <v>0</v>
      </c>
      <c r="Q173" s="64">
        <f>IF(AND(B173="Autumn",AND((E173+E172)&lt;Variables!$B$20,(D172+D173)=0)),-Variables!$B$21*Variables!$E$50,0)</f>
        <v>0</v>
      </c>
      <c r="R173" s="64">
        <f>IF(B173="Autumn",(SUM(F172:F173)*$G$1*Variables!$B$22*Variables!$E$50),0)</f>
        <v>0</v>
      </c>
      <c r="S173" s="64">
        <f>IF(B173="Spring",($G$1*Variables!$E$50*SUM('Guts (option 1)'!F172:F173)*Variables!$B$23),0)</f>
        <v>0</v>
      </c>
      <c r="T173" s="63">
        <f>IF((H172+SUM(J173:Q173))&lt;(Variables!$B$26*Variables!$E$50),$F$1*((Variables!$B$26*Variables!$E$50)-H172-SUM(J173:Q173)),0)</f>
        <v>0</v>
      </c>
      <c r="U173" s="64">
        <f>IF(AND(AND(B173="Autumn",SUM(D170:E173)&gt;Variables!$B$27),SUM(J173:Q173)&lt;Variables!$B$28*H172),$F$1*(Variables!$B$28*H172-SUM(J173:Q173)),0)</f>
        <v>0</v>
      </c>
      <c r="V173" s="96">
        <f>IF(AND((J173+K173)=0,(Q173+T173)=0),$H$1*H173*Variables!$I$23*0.25,0)</f>
        <v>32.073118989035883</v>
      </c>
      <c r="W173" s="97">
        <f>IF(AND((K173+J173)=0,(T173+Q173)=0),$I$1*H173*Variables!$Q$23*0.25,0)</f>
        <v>33.572072082889619</v>
      </c>
      <c r="X173" s="95">
        <f>IF(AND(NOT(K173=0),(H173-H172)&gt;0),(H173-H172)*(Variables!$M$5*$H$1+Variables!$U$5*$I$1),0)+IF(AND(NOT((J173+N173+Q173)=0),(H172-H173)&gt;0),(H172-H173)*(Variables!$M$4*$H$1+Variables!$U$4*$I$1),0)</f>
        <v>0</v>
      </c>
      <c r="Y173" s="95">
        <f>IF(SUM(T173,U172:U173)&gt;0,H173*Variables!$Y$11*0.25*(1-$J$1),0)</f>
        <v>0</v>
      </c>
      <c r="Z173" s="95">
        <f>IF(T173=0,H173*$J$1*Variables!$Y$5*0.25,0)</f>
        <v>10.818559971185135</v>
      </c>
      <c r="AA173" s="95">
        <f t="shared" si="5"/>
        <v>76.463751043110634</v>
      </c>
      <c r="AB173" s="91">
        <f>AA173/Variables!$E$49</f>
        <v>12.332863071469456</v>
      </c>
    </row>
    <row r="174" spans="1:28" x14ac:dyDescent="0.25">
      <c r="A174" s="61">
        <f>'Water runs'!C181</f>
        <v>17867</v>
      </c>
      <c r="B174" s="61" t="str">
        <f>'Water runs'!B181</f>
        <v>Spring</v>
      </c>
      <c r="C174" s="54">
        <f>'Water runs'!D181/100</f>
        <v>0.45971428571428602</v>
      </c>
      <c r="D174" s="108">
        <f>VLOOKUP(ROW(D174)+4,'Water runs'!$BS$3:$CF$423,MATCH($B$1,Scenarios,0)+1)</f>
        <v>0</v>
      </c>
      <c r="E174" s="54">
        <f>IF(B174=Variables!$D$8,C174-Variables!$E$8,IF(B174=Variables!$D$9,C174-Variables!$E$9,IF(B174=Variables!$D$10,C174-Variables!$E$10,IF(B174=Variables!$D$11,C174-Variables!$E$11,"ELSE"))))</f>
        <v>-0.30426792328042312</v>
      </c>
      <c r="F174" s="108">
        <f>VLOOKUP(ROW(F174)+4,'Water runs'!$CH$3:$CU$423,MATCH($B$1,Scenarios,0)+1)</f>
        <v>0</v>
      </c>
      <c r="G174" s="65">
        <f>H174/Variables!$E$49</f>
        <v>0.35265992858975459</v>
      </c>
      <c r="H174" s="62">
        <f>IF((H173+I174)&gt;(1.1*Variables!$E$50),(1.1*Variables!$E$50),IF((H173+I174)&gt;0,H173+I174,0))</f>
        <v>2.1864915572564785</v>
      </c>
      <c r="I174" s="64">
        <f t="shared" si="4"/>
        <v>0.52209771553568862</v>
      </c>
      <c r="J174" s="63">
        <f>IF(SUM(E170:E173)&lt;Variables!$B$3,-H173,0)</f>
        <v>0</v>
      </c>
      <c r="K174" s="64">
        <f>IF(AND(H173&lt;Variables!$B$6*Variables!$E$50,OR(SUM(D171:D174)&gt;Variables!$B$5,SUM(E171:E174)&gt;Variables!$B$4)),Variables!$B$6*Variables!$E$50+Variables!$B$7*$G$1*Variables!$E$50*SUM(D171:D174),0)</f>
        <v>0</v>
      </c>
      <c r="L174" s="64">
        <f>IF(B174="Winter",Variables!$B$8*H173,0)</f>
        <v>0</v>
      </c>
      <c r="M174" s="64">
        <f>IF(AND(B174="Spring",AND(NOT(H173=0),H173&lt;(Variables!$B$9*Variables!$E$50))),(Variables!$B$10*Variables!$E$50+Variables!$B$11*Variables!$E$50*SUM(E171:E174)+$G$1*SUM(D173:D174)*Variables!$E$50*Variables!$B$12),0)</f>
        <v>0.52209771553568862</v>
      </c>
      <c r="N174" s="64">
        <f>IF(AND(B174="Spring",AND(SUM(D171:D174)&gt;Variables!$B$13,SUM(D167:D170)&gt;Variables!$B$13)),-Variables!$B$14*Variables!$E$50,0)</f>
        <v>0</v>
      </c>
      <c r="O174" s="64">
        <f>IF(AND(B174="Summer",SUM(C170:D174)&gt;Variables!$B$15),(Variables!$B$16*Variables!$E$50*SUM(C170:C174)+$G$1*Variables!$B$16*Variables!$E$50*SUM(D170:D174)+$G$1*Variables!$E$50*Variables!$B$17*F174),0)</f>
        <v>0</v>
      </c>
      <c r="P174" s="64">
        <f>IF(AND(AND(B174="Autumn",SUM(D173:E174)&gt;0),NOT(H173=0)),Variables!$B$18*Variables!$E$50+Variables!$B$19*Variables!$E$50*SUM(E173:E174)+$G$1*Variables!$B$19*Variables!$E$50*SUM(D173:D174),0)</f>
        <v>0</v>
      </c>
      <c r="Q174" s="64">
        <f>IF(AND(B174="Autumn",AND((E174+E173)&lt;Variables!$B$20,(D173+D174)=0)),-Variables!$B$21*Variables!$E$50,0)</f>
        <v>0</v>
      </c>
      <c r="R174" s="64">
        <f>IF(B174="Autumn",(SUM(F173:F174)*$G$1*Variables!$B$22*Variables!$E$50),0)</f>
        <v>0</v>
      </c>
      <c r="S174" s="64">
        <f>IF(B174="Spring",($G$1*Variables!$E$50*SUM('Guts (option 1)'!F173:F174)*Variables!$B$23),0)</f>
        <v>0</v>
      </c>
      <c r="T174" s="63">
        <f>IF((H173+SUM(J174:Q174))&lt;(Variables!$B$26*Variables!$E$50),$F$1*((Variables!$B$26*Variables!$E$50)-H173-SUM(J174:Q174)),0)</f>
        <v>0</v>
      </c>
      <c r="U174" s="64">
        <f>IF(AND(AND(B174="Autumn",SUM(D171:E174)&gt;Variables!$B$27),SUM(J174:Q174)&lt;Variables!$B$28*H173),$F$1*(Variables!$B$28*H173-SUM(J174:Q174)),0)</f>
        <v>0</v>
      </c>
      <c r="V174" s="96">
        <f>IF(AND((J174+K174)=0,(Q174+T174)=0),$H$1*H174*Variables!$I$23*0.25,0)</f>
        <v>42.134020282065933</v>
      </c>
      <c r="W174" s="97">
        <f>IF(AND((K174+J174)=0,(T174+Q174)=0),$I$1*H174*Variables!$Q$23*0.25,0)</f>
        <v>44.10317457853111</v>
      </c>
      <c r="X174" s="95">
        <f>IF(AND(NOT(K174=0),(H174-H173)&gt;0),(H174-H173)*(Variables!$M$5*$H$1+Variables!$U$5*$I$1),0)+IF(AND(NOT((J174+N174+Q174)=0),(H173-H174)&gt;0),(H173-H174)*(Variables!$M$4*$H$1+Variables!$U$4*$I$1),0)</f>
        <v>0</v>
      </c>
      <c r="Y174" s="95">
        <f>IF(SUM(T174,U173:U174)&gt;0,H174*Variables!$Y$11*0.25*(1-$J$1),0)</f>
        <v>0</v>
      </c>
      <c r="Z174" s="95">
        <f>IF(T174=0,H174*$J$1*Variables!$Y$5*0.25,0)</f>
        <v>14.21219512216711</v>
      </c>
      <c r="AA174" s="95">
        <f t="shared" si="5"/>
        <v>100.44938998276416</v>
      </c>
      <c r="AB174" s="91">
        <f>AA174/Variables!$E$49</f>
        <v>16.201514513349057</v>
      </c>
    </row>
    <row r="175" spans="1:28" x14ac:dyDescent="0.25">
      <c r="A175" s="61">
        <f>'Water runs'!C182</f>
        <v>17957</v>
      </c>
      <c r="B175" s="61" t="str">
        <f>'Water runs'!B182</f>
        <v>Summer</v>
      </c>
      <c r="C175" s="54">
        <f>'Water runs'!D182/100</f>
        <v>1.0521190476190501</v>
      </c>
      <c r="D175" s="108">
        <f>VLOOKUP(ROW(D175)+4,'Water runs'!$BS$3:$CF$423,MATCH($B$1,Scenarios,0)+1)</f>
        <v>0</v>
      </c>
      <c r="E175" s="54">
        <f>IF(B175=Variables!$D$8,C175-Variables!$E$8,IF(B175=Variables!$D$9,C175-Variables!$E$9,IF(B175=Variables!$D$10,C175-Variables!$E$10,IF(B175=Variables!$D$11,C175-Variables!$E$11,"ELSE"))))</f>
        <v>-0.20625108843537165</v>
      </c>
      <c r="F175" s="108">
        <f>VLOOKUP(ROW(F175)+4,'Water runs'!$CH$3:$CU$423,MATCH($B$1,Scenarios,0)+1)</f>
        <v>0</v>
      </c>
      <c r="G175" s="65">
        <f>H175/Variables!$E$49</f>
        <v>0.35265992858975459</v>
      </c>
      <c r="H175" s="62">
        <f>IF((H174+I175)&gt;(1.1*Variables!$E$50),(1.1*Variables!$E$50),IF((H174+I175)&gt;0,H174+I175,0))</f>
        <v>2.1864915572564785</v>
      </c>
      <c r="I175" s="64">
        <f t="shared" si="4"/>
        <v>0</v>
      </c>
      <c r="J175" s="63">
        <f>IF(SUM(E171:E174)&lt;Variables!$B$3,-H174,0)</f>
        <v>0</v>
      </c>
      <c r="K175" s="64">
        <f>IF(AND(H174&lt;Variables!$B$6*Variables!$E$50,OR(SUM(D172:D175)&gt;Variables!$B$5,SUM(E172:E175)&gt;Variables!$B$4)),Variables!$B$6*Variables!$E$50+Variables!$B$7*$G$1*Variables!$E$50*SUM(D172:D175),0)</f>
        <v>0</v>
      </c>
      <c r="L175" s="64">
        <f>IF(B175="Winter",Variables!$B$8*H174,0)</f>
        <v>0</v>
      </c>
      <c r="M175" s="64">
        <f>IF(AND(B175="Spring",AND(NOT(H174=0),H174&lt;(Variables!$B$9*Variables!$E$50))),(Variables!$B$10*Variables!$E$50+Variables!$B$11*Variables!$E$50*SUM(E172:E175)+$G$1*SUM(D174:D175)*Variables!$E$50*Variables!$B$12),0)</f>
        <v>0</v>
      </c>
      <c r="N175" s="64">
        <f>IF(AND(B175="Spring",AND(SUM(D172:D175)&gt;Variables!$B$13,SUM(D168:D171)&gt;Variables!$B$13)),-Variables!$B$14*Variables!$E$50,0)</f>
        <v>0</v>
      </c>
      <c r="O175" s="64">
        <f>IF(AND(B175="Summer",SUM(C171:D175)&gt;Variables!$B$15),(Variables!$B$16*Variables!$E$50*SUM(C171:C175)+$G$1*Variables!$B$16*Variables!$E$50*SUM(D171:D175)+$G$1*Variables!$E$50*Variables!$B$17*F175),0)</f>
        <v>0</v>
      </c>
      <c r="P175" s="64">
        <f>IF(AND(AND(B175="Autumn",SUM(D174:E175)&gt;0),NOT(H174=0)),Variables!$B$18*Variables!$E$50+Variables!$B$19*Variables!$E$50*SUM(E174:E175)+$G$1*Variables!$B$19*Variables!$E$50*SUM(D174:D175),0)</f>
        <v>0</v>
      </c>
      <c r="Q175" s="64">
        <f>IF(AND(B175="Autumn",AND((E175+E174)&lt;Variables!$B$20,(D174+D175)=0)),-Variables!$B$21*Variables!$E$50,0)</f>
        <v>0</v>
      </c>
      <c r="R175" s="64">
        <f>IF(B175="Autumn",(SUM(F174:F175)*$G$1*Variables!$B$22*Variables!$E$50),0)</f>
        <v>0</v>
      </c>
      <c r="S175" s="64">
        <f>IF(B175="Spring",($G$1*Variables!$E$50*SUM('Guts (option 1)'!F174:F175)*Variables!$B$23),0)</f>
        <v>0</v>
      </c>
      <c r="T175" s="63">
        <f>IF((H174+SUM(J175:Q175))&lt;(Variables!$B$26*Variables!$E$50),$F$1*((Variables!$B$26*Variables!$E$50)-H174-SUM(J175:Q175)),0)</f>
        <v>0</v>
      </c>
      <c r="U175" s="64">
        <f>IF(AND(AND(B175="Autumn",SUM(D172:E175)&gt;Variables!$B$27),SUM(J175:Q175)&lt;Variables!$B$28*H174),$F$1*(Variables!$B$28*H174-SUM(J175:Q175)),0)</f>
        <v>0</v>
      </c>
      <c r="V175" s="96">
        <f>IF(AND((J175+K175)=0,(Q175+T175)=0),$H$1*H175*Variables!$I$23*0.25,0)</f>
        <v>42.134020282065933</v>
      </c>
      <c r="W175" s="97">
        <f>IF(AND((K175+J175)=0,(T175+Q175)=0),$I$1*H175*Variables!$Q$23*0.25,0)</f>
        <v>44.10317457853111</v>
      </c>
      <c r="X175" s="95">
        <f>IF(AND(NOT(K175=0),(H175-H174)&gt;0),(H175-H174)*(Variables!$M$5*$H$1+Variables!$U$5*$I$1),0)+IF(AND(NOT((J175+N175+Q175)=0),(H174-H175)&gt;0),(H174-H175)*(Variables!$M$4*$H$1+Variables!$U$4*$I$1),0)</f>
        <v>0</v>
      </c>
      <c r="Y175" s="95">
        <f>IF(SUM(T175,U174:U175)&gt;0,H175*Variables!$Y$11*0.25*(1-$J$1),0)</f>
        <v>0</v>
      </c>
      <c r="Z175" s="95">
        <f>IF(T175=0,H175*$J$1*Variables!$Y$5*0.25,0)</f>
        <v>14.21219512216711</v>
      </c>
      <c r="AA175" s="95">
        <f t="shared" si="5"/>
        <v>100.44938998276416</v>
      </c>
      <c r="AB175" s="91">
        <f>AA175/Variables!$E$49</f>
        <v>16.201514513349057</v>
      </c>
    </row>
    <row r="176" spans="1:28" x14ac:dyDescent="0.25">
      <c r="A176" s="61">
        <f>'Water runs'!C183</f>
        <v>18049</v>
      </c>
      <c r="B176" s="61" t="str">
        <f>'Water runs'!B183</f>
        <v>Autumn</v>
      </c>
      <c r="C176" s="54">
        <f>'Water runs'!D183/100</f>
        <v>1.4872857142857101</v>
      </c>
      <c r="D176" s="108">
        <f>VLOOKUP(ROW(D176)+4,'Water runs'!$BS$3:$CF$423,MATCH($B$1,Scenarios,0)+1)</f>
        <v>3.8635301942216487E-3</v>
      </c>
      <c r="E176" s="54">
        <f>IF(B176=Variables!$D$8,C176-Variables!$E$8,IF(B176=Variables!$D$9,C176-Variables!$E$9,IF(B176=Variables!$D$10,C176-Variables!$E$10,IF(B176=Variables!$D$11,C176-Variables!$E$11,"ELSE"))))</f>
        <v>0.49264241496598227</v>
      </c>
      <c r="F176" s="108">
        <f>VLOOKUP(ROW(F176)+4,'Water runs'!$CH$3:$CU$423,MATCH($B$1,Scenarios,0)+1)</f>
        <v>0</v>
      </c>
      <c r="G176" s="65">
        <f>H176/Variables!$E$49</f>
        <v>0.51376883859896016</v>
      </c>
      <c r="H176" s="62">
        <f>IF((H175+I176)&gt;(1.1*Variables!$E$50),(1.1*Variables!$E$50),IF((H175+I176)&gt;0,H175+I176,0))</f>
        <v>3.1853667993135533</v>
      </c>
      <c r="I176" s="64">
        <f t="shared" si="4"/>
        <v>0.9988752420570749</v>
      </c>
      <c r="J176" s="63">
        <f>IF(SUM(E172:E175)&lt;Variables!$B$3,-H175,0)</f>
        <v>0</v>
      </c>
      <c r="K176" s="64">
        <f>IF(AND(H175&lt;Variables!$B$6*Variables!$E$50,OR(SUM(D173:D176)&gt;Variables!$B$5,SUM(E173:E176)&gt;Variables!$B$4)),Variables!$B$6*Variables!$E$50+Variables!$B$7*$G$1*Variables!$E$50*SUM(D173:D176),0)</f>
        <v>0</v>
      </c>
      <c r="L176" s="64">
        <f>IF(B176="Winter",Variables!$B$8*H175,0)</f>
        <v>0</v>
      </c>
      <c r="M176" s="64">
        <f>IF(AND(B176="Spring",AND(NOT(H175=0),H175&lt;(Variables!$B$9*Variables!$E$50))),(Variables!$B$10*Variables!$E$50+Variables!$B$11*Variables!$E$50*SUM(E173:E176)+$G$1*SUM(D175:D176)*Variables!$E$50*Variables!$B$12),0)</f>
        <v>0</v>
      </c>
      <c r="N176" s="64">
        <f>IF(AND(B176="Spring",AND(SUM(D173:D176)&gt;Variables!$B$13,SUM(D169:D172)&gt;Variables!$B$13)),-Variables!$B$14*Variables!$E$50,0)</f>
        <v>0</v>
      </c>
      <c r="O176" s="64">
        <f>IF(AND(B176="Summer",SUM(C172:D176)&gt;Variables!$B$15),(Variables!$B$16*Variables!$E$50*SUM(C172:C176)+$G$1*Variables!$B$16*Variables!$E$50*SUM(D172:D176)+$G$1*Variables!$E$50*Variables!$B$17*F176),0)</f>
        <v>0</v>
      </c>
      <c r="P176" s="64">
        <f>IF(AND(AND(B176="Autumn",SUM(D175:E176)&gt;0),NOT(H175=0)),Variables!$B$18*Variables!$E$50+Variables!$B$19*Variables!$E$50*SUM(E175:E176)+$G$1*Variables!$B$19*Variables!$E$50*SUM(D175:D176),0)</f>
        <v>0.9988752420570749</v>
      </c>
      <c r="Q176" s="64">
        <f>IF(AND(B176="Autumn",AND((E176+E175)&lt;Variables!$B$20,(D175+D176)=0)),-Variables!$B$21*Variables!$E$50,0)</f>
        <v>0</v>
      </c>
      <c r="R176" s="64">
        <f>IF(B176="Autumn",(SUM(F175:F176)*$G$1*Variables!$B$22*Variables!$E$50),0)</f>
        <v>0</v>
      </c>
      <c r="S176" s="64">
        <f>IF(B176="Spring",($G$1*Variables!$E$50*SUM('Guts (option 1)'!F175:F176)*Variables!$B$23),0)</f>
        <v>0</v>
      </c>
      <c r="T176" s="63">
        <f>IF((H175+SUM(J176:Q176))&lt;(Variables!$B$26*Variables!$E$50),$F$1*((Variables!$B$26*Variables!$E$50)-H175-SUM(J176:Q176)),0)</f>
        <v>0</v>
      </c>
      <c r="U176" s="64">
        <f>IF(AND(AND(B176="Autumn",SUM(D173:E176)&gt;Variables!$B$27),SUM(J176:Q176)&lt;Variables!$B$28*H175),$F$1*(Variables!$B$28*H175-SUM(J176:Q176)),0)</f>
        <v>0</v>
      </c>
      <c r="V176" s="96">
        <f>IF(AND((J176+K176)=0,(Q176+T176)=0),$H$1*H176*Variables!$I$23*0.25,0)</f>
        <v>61.382496027792072</v>
      </c>
      <c r="W176" s="97">
        <f>IF(AND((K176+J176)=0,(T176+Q176)=0),$I$1*H176*Variables!$Q$23*0.25,0)</f>
        <v>64.25123736725385</v>
      </c>
      <c r="X176" s="95">
        <f>IF(AND(NOT(K176=0),(H176-H175)&gt;0),(H176-H175)*(Variables!$M$5*$H$1+Variables!$U$5*$I$1),0)+IF(AND(NOT((J176+N176+Q176)=0),(H175-H176)&gt;0),(H175-H176)*(Variables!$M$4*$H$1+Variables!$U$4*$I$1),0)</f>
        <v>0</v>
      </c>
      <c r="Y176" s="95">
        <f>IF(SUM(T176,U175:U176)&gt;0,H176*Variables!$Y$11*0.25*(1-$J$1),0)</f>
        <v>0</v>
      </c>
      <c r="Z176" s="95">
        <f>IF(T176=0,H176*$J$1*Variables!$Y$5*0.25,0)</f>
        <v>20.704884195538096</v>
      </c>
      <c r="AA176" s="95">
        <f t="shared" si="5"/>
        <v>146.33861759058402</v>
      </c>
      <c r="AB176" s="91">
        <f>AA176/Variables!$E$49</f>
        <v>23.603002837190971</v>
      </c>
    </row>
    <row r="177" spans="1:28" x14ac:dyDescent="0.25">
      <c r="A177" s="61">
        <f>'Water runs'!C184</f>
        <v>18141</v>
      </c>
      <c r="B177" s="61" t="str">
        <f>'Water runs'!B184</f>
        <v>Winter</v>
      </c>
      <c r="C177" s="54">
        <f>'Water runs'!D184/100</f>
        <v>0.38614285714285701</v>
      </c>
      <c r="D177" s="108">
        <f>VLOOKUP(ROW(D177)+4,'Water runs'!$BS$3:$CF$423,MATCH($B$1,Scenarios,0)+1)</f>
        <v>0</v>
      </c>
      <c r="E177" s="54">
        <f>IF(B177=Variables!$D$8,C177-Variables!$E$8,IF(B177=Variables!$D$9,C177-Variables!$E$9,IF(B177=Variables!$D$10,C177-Variables!$E$10,IF(B177=Variables!$D$11,C177-Variables!$E$11,"ELSE"))))</f>
        <v>-0.18562476851851872</v>
      </c>
      <c r="F177" s="108">
        <f>VLOOKUP(ROW(F177)+4,'Water runs'!$CH$3:$CU$423,MATCH($B$1,Scenarios,0)+1)</f>
        <v>0</v>
      </c>
      <c r="G177" s="65">
        <f>H177/Variables!$E$49</f>
        <v>0.25794008770346949</v>
      </c>
      <c r="H177" s="62">
        <f>IF((H176+I177)&gt;(1.1*Variables!$E$50),(1.1*Variables!$E$50),IF((H176+I177)&gt;0,H176+I177,0))</f>
        <v>1.5992285437615108</v>
      </c>
      <c r="I177" s="64">
        <f t="shared" si="4"/>
        <v>-1.5861382555520425</v>
      </c>
      <c r="J177" s="63">
        <f>IF(SUM(E173:E176)&lt;Variables!$B$3,-H176,0)</f>
        <v>0</v>
      </c>
      <c r="K177" s="64">
        <f>IF(AND(H176&lt;Variables!$B$6*Variables!$E$50,OR(SUM(D174:D177)&gt;Variables!$B$5,SUM(E174:E177)&gt;Variables!$B$4)),Variables!$B$6*Variables!$E$50+Variables!$B$7*$G$1*Variables!$E$50*SUM(D174:D177),0)</f>
        <v>0</v>
      </c>
      <c r="L177" s="64">
        <f>IF(B177="Winter",Variables!$B$8*H176,0)</f>
        <v>-1.5861382555520425</v>
      </c>
      <c r="M177" s="64">
        <f>IF(AND(B177="Spring",AND(NOT(H176=0),H176&lt;(Variables!$B$9*Variables!$E$50))),(Variables!$B$10*Variables!$E$50+Variables!$B$11*Variables!$E$50*SUM(E174:E177)+$G$1*SUM(D176:D177)*Variables!$E$50*Variables!$B$12),0)</f>
        <v>0</v>
      </c>
      <c r="N177" s="64">
        <f>IF(AND(B177="Spring",AND(SUM(D174:D177)&gt;Variables!$B$13,SUM(D170:D173)&gt;Variables!$B$13)),-Variables!$B$14*Variables!$E$50,0)</f>
        <v>0</v>
      </c>
      <c r="O177" s="64">
        <f>IF(AND(B177="Summer",SUM(C173:D177)&gt;Variables!$B$15),(Variables!$B$16*Variables!$E$50*SUM(C173:C177)+$G$1*Variables!$B$16*Variables!$E$50*SUM(D173:D177)+$G$1*Variables!$E$50*Variables!$B$17*F177),0)</f>
        <v>0</v>
      </c>
      <c r="P177" s="64">
        <f>IF(AND(AND(B177="Autumn",SUM(D176:E177)&gt;0),NOT(H176=0)),Variables!$B$18*Variables!$E$50+Variables!$B$19*Variables!$E$50*SUM(E176:E177)+$G$1*Variables!$B$19*Variables!$E$50*SUM(D176:D177),0)</f>
        <v>0</v>
      </c>
      <c r="Q177" s="64">
        <f>IF(AND(B177="Autumn",AND((E177+E176)&lt;Variables!$B$20,(D176+D177)=0)),-Variables!$B$21*Variables!$E$50,0)</f>
        <v>0</v>
      </c>
      <c r="R177" s="64">
        <f>IF(B177="Autumn",(SUM(F176:F177)*$G$1*Variables!$B$22*Variables!$E$50),0)</f>
        <v>0</v>
      </c>
      <c r="S177" s="64">
        <f>IF(B177="Spring",($G$1*Variables!$E$50*SUM('Guts (option 1)'!F176:F177)*Variables!$B$23),0)</f>
        <v>0</v>
      </c>
      <c r="T177" s="63">
        <f>IF((H176+SUM(J177:Q177))&lt;(Variables!$B$26*Variables!$E$50),$F$1*((Variables!$B$26*Variables!$E$50)-H176-SUM(J177:Q177)),0)</f>
        <v>0</v>
      </c>
      <c r="U177" s="64">
        <f>IF(AND(AND(B177="Autumn",SUM(D174:E177)&gt;Variables!$B$27),SUM(J177:Q177)&lt;Variables!$B$28*H176),$F$1*(Variables!$B$28*H176-SUM(J177:Q177)),0)</f>
        <v>0</v>
      </c>
      <c r="V177" s="96">
        <f>IF(AND((J177+K177)=0,(Q177+T177)=0),$H$1*H177*Variables!$I$23*0.25,0)</f>
        <v>30.817373922565878</v>
      </c>
      <c r="W177" s="97">
        <f>IF(AND((K177+J177)=0,(T177+Q177)=0),$I$1*H177*Variables!$Q$23*0.25,0)</f>
        <v>32.257639149077491</v>
      </c>
      <c r="X177" s="95">
        <f>IF(AND(NOT(K177=0),(H177-H176)&gt;0),(H177-H176)*(Variables!$M$5*$H$1+Variables!$U$5*$I$1),0)+IF(AND(NOT((J177+N177+Q177)=0),(H176-H177)&gt;0),(H176-H177)*(Variables!$M$4*$H$1+Variables!$U$4*$I$1),0)</f>
        <v>0</v>
      </c>
      <c r="Y177" s="95">
        <f>IF(SUM(T177,U176:U177)&gt;0,H177*Variables!$Y$11*0.25*(1-$J$1),0)</f>
        <v>0</v>
      </c>
      <c r="Z177" s="95">
        <f>IF(T177=0,H177*$J$1*Variables!$Y$5*0.25,0)</f>
        <v>10.39498553444982</v>
      </c>
      <c r="AA177" s="95">
        <f t="shared" si="5"/>
        <v>73.469998606093185</v>
      </c>
      <c r="AB177" s="91">
        <f>AA177/Variables!$E$49</f>
        <v>11.84999977517632</v>
      </c>
    </row>
    <row r="178" spans="1:28" x14ac:dyDescent="0.25">
      <c r="A178" s="61">
        <f>'Water runs'!C185</f>
        <v>18232</v>
      </c>
      <c r="B178" s="61" t="str">
        <f>'Water runs'!B185</f>
        <v>Spring</v>
      </c>
      <c r="C178" s="54">
        <f>'Water runs'!D185/100</f>
        <v>1.1365714285714299</v>
      </c>
      <c r="D178" s="108">
        <f>VLOOKUP(ROW(D178)+4,'Water runs'!$BS$3:$CF$423,MATCH($B$1,Scenarios,0)+1)</f>
        <v>5.1480771819254312E-2</v>
      </c>
      <c r="E178" s="54">
        <f>IF(B178=Variables!$D$8,C178-Variables!$E$8,IF(B178=Variables!$D$9,C178-Variables!$E$9,IF(B178=Variables!$D$10,C178-Variables!$E$10,IF(B178=Variables!$D$11,C178-Variables!$E$11,"ELSE"))))</f>
        <v>0.37258921957672075</v>
      </c>
      <c r="F178" s="108">
        <f>VLOOKUP(ROW(F178)+4,'Water runs'!$CH$3:$CU$423,MATCH($B$1,Scenarios,0)+1)</f>
        <v>0</v>
      </c>
      <c r="G178" s="65">
        <f>H178/Variables!$E$49</f>
        <v>0.31299808672294765</v>
      </c>
      <c r="H178" s="62">
        <f>IF((H177+I178)&gt;(1.1*Variables!$E$50),(1.1*Variables!$E$50),IF((H177+I178)&gt;0,H177+I178,0))</f>
        <v>1.9405881376822756</v>
      </c>
      <c r="I178" s="64">
        <f t="shared" si="4"/>
        <v>0.34135959392076481</v>
      </c>
      <c r="J178" s="63">
        <f>IF(SUM(E174:E177)&lt;Variables!$B$3,-H177,0)</f>
        <v>0</v>
      </c>
      <c r="K178" s="64">
        <f>IF(AND(H177&lt;Variables!$B$6*Variables!$E$50,OR(SUM(D175:D178)&gt;Variables!$B$5,SUM(E175:E178)&gt;Variables!$B$4)),Variables!$B$6*Variables!$E$50+Variables!$B$7*$G$1*Variables!$E$50*SUM(D175:D178),0)</f>
        <v>0</v>
      </c>
      <c r="L178" s="64">
        <f>IF(B178="Winter",Variables!$B$8*H177,0)</f>
        <v>0</v>
      </c>
      <c r="M178" s="64">
        <f>IF(AND(B178="Spring",AND(NOT(H177=0),H177&lt;(Variables!$B$9*Variables!$E$50))),(Variables!$B$10*Variables!$E$50+Variables!$B$11*Variables!$E$50*SUM(E175:E178)+$G$1*SUM(D177:D178)*Variables!$E$50*Variables!$B$12),0)</f>
        <v>0.34135959392076481</v>
      </c>
      <c r="N178" s="64">
        <f>IF(AND(B178="Spring",AND(SUM(D175:D178)&gt;Variables!$B$13,SUM(D171:D174)&gt;Variables!$B$13)),-Variables!$B$14*Variables!$E$50,0)</f>
        <v>0</v>
      </c>
      <c r="O178" s="64">
        <f>IF(AND(B178="Summer",SUM(C174:D178)&gt;Variables!$B$15),(Variables!$B$16*Variables!$E$50*SUM(C174:C178)+$G$1*Variables!$B$16*Variables!$E$50*SUM(D174:D178)+$G$1*Variables!$E$50*Variables!$B$17*F178),0)</f>
        <v>0</v>
      </c>
      <c r="P178" s="64">
        <f>IF(AND(AND(B178="Autumn",SUM(D177:E178)&gt;0),NOT(H177=0)),Variables!$B$18*Variables!$E$50+Variables!$B$19*Variables!$E$50*SUM(E177:E178)+$G$1*Variables!$B$19*Variables!$E$50*SUM(D177:D178),0)</f>
        <v>0</v>
      </c>
      <c r="Q178" s="64">
        <f>IF(AND(B178="Autumn",AND((E178+E177)&lt;Variables!$B$20,(D177+D178)=0)),-Variables!$B$21*Variables!$E$50,0)</f>
        <v>0</v>
      </c>
      <c r="R178" s="64">
        <f>IF(B178="Autumn",(SUM(F177:F178)*$G$1*Variables!$B$22*Variables!$E$50),0)</f>
        <v>0</v>
      </c>
      <c r="S178" s="64">
        <f>IF(B178="Spring",($G$1*Variables!$E$50*SUM('Guts (option 1)'!F177:F178)*Variables!$B$23),0)</f>
        <v>0</v>
      </c>
      <c r="T178" s="63">
        <f>IF((H177+SUM(J178:Q178))&lt;(Variables!$B$26*Variables!$E$50),$F$1*((Variables!$B$26*Variables!$E$50)-H177-SUM(J178:Q178)),0)</f>
        <v>0</v>
      </c>
      <c r="U178" s="64">
        <f>IF(AND(AND(B178="Autumn",SUM(D175:E178)&gt;Variables!$B$27),SUM(J178:Q178)&lt;Variables!$B$28*H177),$F$1*(Variables!$B$28*H177-SUM(J178:Q178)),0)</f>
        <v>0</v>
      </c>
      <c r="V178" s="96">
        <f>IF(AND((J178+K178)=0,(Q178+T178)=0),$H$1*H178*Variables!$I$23*0.25,0)</f>
        <v>37.395424501358107</v>
      </c>
      <c r="W178" s="97">
        <f>IF(AND((K178+J178)=0,(T178+Q178)=0),$I$1*H178*Variables!$Q$23*0.25,0)</f>
        <v>39.143118178154758</v>
      </c>
      <c r="X178" s="95">
        <f>IF(AND(NOT(K178=0),(H178-H177)&gt;0),(H178-H177)*(Variables!$M$5*$H$1+Variables!$U$5*$I$1),0)+IF(AND(NOT((J178+N178+Q178)=0),(H177-H178)&gt;0),(H177-H178)*(Variables!$M$4*$H$1+Variables!$U$4*$I$1),0)</f>
        <v>0</v>
      </c>
      <c r="Y178" s="95">
        <f>IF(SUM(T178,U177:U178)&gt;0,H178*Variables!$Y$11*0.25*(1-$J$1),0)</f>
        <v>0</v>
      </c>
      <c r="Z178" s="95">
        <f>IF(T178=0,H178*$J$1*Variables!$Y$5*0.25,0)</f>
        <v>12.613822894934792</v>
      </c>
      <c r="AA178" s="95">
        <f t="shared" si="5"/>
        <v>89.152365574447657</v>
      </c>
      <c r="AB178" s="91">
        <f>AA178/Variables!$E$49</f>
        <v>14.379413802330268</v>
      </c>
    </row>
    <row r="179" spans="1:28" x14ac:dyDescent="0.25">
      <c r="A179" s="61">
        <f>'Water runs'!C186</f>
        <v>18322</v>
      </c>
      <c r="B179" s="61" t="str">
        <f>'Water runs'!B186</f>
        <v>Summer</v>
      </c>
      <c r="C179" s="54">
        <f>'Water runs'!D186/100</f>
        <v>1.7350000000000001</v>
      </c>
      <c r="D179" s="108">
        <f>VLOOKUP(ROW(D179)+4,'Water runs'!$BS$3:$CF$423,MATCH($B$1,Scenarios,0)+1)</f>
        <v>2.3337476939643228E-3</v>
      </c>
      <c r="E179" s="54">
        <f>IF(B179=Variables!$D$8,C179-Variables!$E$8,IF(B179=Variables!$D$9,C179-Variables!$E$9,IF(B179=Variables!$D$10,C179-Variables!$E$10,IF(B179=Variables!$D$11,C179-Variables!$E$11,"ELSE"))))</f>
        <v>0.47662986394557838</v>
      </c>
      <c r="F179" s="108">
        <f>VLOOKUP(ROW(F179)+4,'Water runs'!$CH$3:$CU$423,MATCH($B$1,Scenarios,0)+1)</f>
        <v>0</v>
      </c>
      <c r="G179" s="65">
        <f>H179/Variables!$E$49</f>
        <v>0.31299808672294765</v>
      </c>
      <c r="H179" s="62">
        <f>IF((H178+I179)&gt;(1.1*Variables!$E$50),(1.1*Variables!$E$50),IF((H178+I179)&gt;0,H178+I179,0))</f>
        <v>1.9405881376822756</v>
      </c>
      <c r="I179" s="64">
        <f t="shared" si="4"/>
        <v>0</v>
      </c>
      <c r="J179" s="63">
        <f>IF(SUM(E175:E178)&lt;Variables!$B$3,-H178,0)</f>
        <v>0</v>
      </c>
      <c r="K179" s="64">
        <f>IF(AND(H178&lt;Variables!$B$6*Variables!$E$50,OR(SUM(D176:D179)&gt;Variables!$B$5,SUM(E176:E179)&gt;Variables!$B$4)),Variables!$B$6*Variables!$E$50+Variables!$B$7*$G$1*Variables!$E$50*SUM(D176:D179),0)</f>
        <v>0</v>
      </c>
      <c r="L179" s="64">
        <f>IF(B179="Winter",Variables!$B$8*H178,0)</f>
        <v>0</v>
      </c>
      <c r="M179" s="64">
        <f>IF(AND(B179="Spring",AND(NOT(H178=0),H178&lt;(Variables!$B$9*Variables!$E$50))),(Variables!$B$10*Variables!$E$50+Variables!$B$11*Variables!$E$50*SUM(E176:E179)+$G$1*SUM(D178:D179)*Variables!$E$50*Variables!$B$12),0)</f>
        <v>0</v>
      </c>
      <c r="N179" s="64">
        <f>IF(AND(B179="Spring",AND(SUM(D176:D179)&gt;Variables!$B$13,SUM(D172:D175)&gt;Variables!$B$13)),-Variables!$B$14*Variables!$E$50,0)</f>
        <v>0</v>
      </c>
      <c r="O179" s="64">
        <f>IF(AND(B179="Summer",SUM(C175:D179)&gt;Variables!$B$15),(Variables!$B$16*Variables!$E$50*SUM(C175:C179)+$G$1*Variables!$B$16*Variables!$E$50*SUM(D175:D179)+$G$1*Variables!$E$50*Variables!$B$17*F179),0)</f>
        <v>0</v>
      </c>
      <c r="P179" s="64">
        <f>IF(AND(AND(B179="Autumn",SUM(D178:E179)&gt;0),NOT(H178=0)),Variables!$B$18*Variables!$E$50+Variables!$B$19*Variables!$E$50*SUM(E178:E179)+$G$1*Variables!$B$19*Variables!$E$50*SUM(D178:D179),0)</f>
        <v>0</v>
      </c>
      <c r="Q179" s="64">
        <f>IF(AND(B179="Autumn",AND((E179+E178)&lt;Variables!$B$20,(D178+D179)=0)),-Variables!$B$21*Variables!$E$50,0)</f>
        <v>0</v>
      </c>
      <c r="R179" s="64">
        <f>IF(B179="Autumn",(SUM(F178:F179)*$G$1*Variables!$B$22*Variables!$E$50),0)</f>
        <v>0</v>
      </c>
      <c r="S179" s="64">
        <f>IF(B179="Spring",($G$1*Variables!$E$50*SUM('Guts (option 1)'!F178:F179)*Variables!$B$23),0)</f>
        <v>0</v>
      </c>
      <c r="T179" s="63">
        <f>IF((H178+SUM(J179:Q179))&lt;(Variables!$B$26*Variables!$E$50),$F$1*((Variables!$B$26*Variables!$E$50)-H178-SUM(J179:Q179)),0)</f>
        <v>0</v>
      </c>
      <c r="U179" s="64">
        <f>IF(AND(AND(B179="Autumn",SUM(D176:E179)&gt;Variables!$B$27),SUM(J179:Q179)&lt;Variables!$B$28*H178),$F$1*(Variables!$B$28*H178-SUM(J179:Q179)),0)</f>
        <v>0</v>
      </c>
      <c r="V179" s="96">
        <f>IF(AND((J179+K179)=0,(Q179+T179)=0),$H$1*H179*Variables!$I$23*0.25,0)</f>
        <v>37.395424501358107</v>
      </c>
      <c r="W179" s="97">
        <f>IF(AND((K179+J179)=0,(T179+Q179)=0),$I$1*H179*Variables!$Q$23*0.25,0)</f>
        <v>39.143118178154758</v>
      </c>
      <c r="X179" s="95">
        <f>IF(AND(NOT(K179=0),(H179-H178)&gt;0),(H179-H178)*(Variables!$M$5*$H$1+Variables!$U$5*$I$1),0)+IF(AND(NOT((J179+N179+Q179)=0),(H178-H179)&gt;0),(H178-H179)*(Variables!$M$4*$H$1+Variables!$U$4*$I$1),0)</f>
        <v>0</v>
      </c>
      <c r="Y179" s="95">
        <f>IF(SUM(T179,U178:U179)&gt;0,H179*Variables!$Y$11*0.25*(1-$J$1),0)</f>
        <v>0</v>
      </c>
      <c r="Z179" s="95">
        <f>IF(T179=0,H179*$J$1*Variables!$Y$5*0.25,0)</f>
        <v>12.613822894934792</v>
      </c>
      <c r="AA179" s="95">
        <f t="shared" si="5"/>
        <v>89.152365574447657</v>
      </c>
      <c r="AB179" s="91">
        <f>AA179/Variables!$E$49</f>
        <v>14.379413802330268</v>
      </c>
    </row>
    <row r="180" spans="1:28" x14ac:dyDescent="0.25">
      <c r="A180" s="61">
        <f>'Water runs'!C187</f>
        <v>18414</v>
      </c>
      <c r="B180" s="61" t="str">
        <f>'Water runs'!B187</f>
        <v>Autumn</v>
      </c>
      <c r="C180" s="54">
        <f>'Water runs'!D187/100</f>
        <v>2.2694285714285702</v>
      </c>
      <c r="D180" s="108">
        <f>VLOOKUP(ROW(D180)+4,'Water runs'!$BS$3:$CF$423,MATCH($B$1,Scenarios,0)+1)</f>
        <v>0.10210310453764479</v>
      </c>
      <c r="E180" s="54">
        <f>IF(B180=Variables!$D$8,C180-Variables!$E$8,IF(B180=Variables!$D$9,C180-Variables!$E$9,IF(B180=Variables!$D$10,C180-Variables!$E$10,IF(B180=Variables!$D$11,C180-Variables!$E$11,"ELSE"))))</f>
        <v>1.2747852721088424</v>
      </c>
      <c r="F180" s="108">
        <f>VLOOKUP(ROW(F180)+4,'Water runs'!$CH$3:$CU$423,MATCH($B$1,Scenarios,0)+1)</f>
        <v>0</v>
      </c>
      <c r="G180" s="65">
        <f>H180/Variables!$E$49</f>
        <v>1.0169655205321206</v>
      </c>
      <c r="H180" s="62">
        <f>IF((H179+I180)&gt;(1.1*Variables!$E$50),(1.1*Variables!$E$50),IF((H179+I180)&gt;0,H179+I180,0))</f>
        <v>6.3051862272991475</v>
      </c>
      <c r="I180" s="64">
        <f t="shared" si="4"/>
        <v>4.3645980896168721</v>
      </c>
      <c r="J180" s="63">
        <f>IF(SUM(E176:E179)&lt;Variables!$B$3,-H179,0)</f>
        <v>0</v>
      </c>
      <c r="K180" s="64">
        <f>IF(AND(H179&lt;Variables!$B$6*Variables!$E$50,OR(SUM(D177:D180)&gt;Variables!$B$5,SUM(E177:E180)&gt;Variables!$B$4)),Variables!$B$6*Variables!$E$50+Variables!$B$7*$G$1*Variables!$E$50*SUM(D177:D180),0)</f>
        <v>0</v>
      </c>
      <c r="L180" s="64">
        <f>IF(B180="Winter",Variables!$B$8*H179,0)</f>
        <v>0</v>
      </c>
      <c r="M180" s="64">
        <f>IF(AND(B180="Spring",AND(NOT(H179=0),H179&lt;(Variables!$B$9*Variables!$E$50))),(Variables!$B$10*Variables!$E$50+Variables!$B$11*Variables!$E$50*SUM(E177:E180)+$G$1*SUM(D179:D180)*Variables!$E$50*Variables!$B$12),0)</f>
        <v>0</v>
      </c>
      <c r="N180" s="64">
        <f>IF(AND(B180="Spring",AND(SUM(D177:D180)&gt;Variables!$B$13,SUM(D173:D176)&gt;Variables!$B$13)),-Variables!$B$14*Variables!$E$50,0)</f>
        <v>0</v>
      </c>
      <c r="O180" s="64">
        <f>IF(AND(B180="Summer",SUM(C176:D180)&gt;Variables!$B$15),(Variables!$B$16*Variables!$E$50*SUM(C176:C180)+$G$1*Variables!$B$16*Variables!$E$50*SUM(D176:D180)+$G$1*Variables!$E$50*Variables!$B$17*F180),0)</f>
        <v>0</v>
      </c>
      <c r="P180" s="64">
        <f>IF(AND(AND(B180="Autumn",SUM(D179:E180)&gt;0),NOT(H179=0)),Variables!$B$18*Variables!$E$50+Variables!$B$19*Variables!$E$50*SUM(E179:E180)+$G$1*Variables!$B$19*Variables!$E$50*SUM(D179:D180),0)</f>
        <v>4.3645980896168721</v>
      </c>
      <c r="Q180" s="64">
        <f>IF(AND(B180="Autumn",AND((E180+E179)&lt;Variables!$B$20,(D179+D180)=0)),-Variables!$B$21*Variables!$E$50,0)</f>
        <v>0</v>
      </c>
      <c r="R180" s="64">
        <f>IF(B180="Autumn",(SUM(F179:F180)*$G$1*Variables!$B$22*Variables!$E$50),0)</f>
        <v>0</v>
      </c>
      <c r="S180" s="64">
        <f>IF(B180="Spring",($G$1*Variables!$E$50*SUM('Guts (option 1)'!F179:F180)*Variables!$B$23),0)</f>
        <v>0</v>
      </c>
      <c r="T180" s="63">
        <f>IF((H179+SUM(J180:Q180))&lt;(Variables!$B$26*Variables!$E$50),$F$1*((Variables!$B$26*Variables!$E$50)-H179-SUM(J180:Q180)),0)</f>
        <v>0</v>
      </c>
      <c r="U180" s="64">
        <f>IF(AND(AND(B180="Autumn",SUM(D177:E180)&gt;Variables!$B$27),SUM(J180:Q180)&lt;Variables!$B$28*H179),$F$1*(Variables!$B$28*H179-SUM(J180:Q180)),0)</f>
        <v>0</v>
      </c>
      <c r="V180" s="96">
        <f>IF(AND((J180+K180)=0,(Q180+T180)=0),$H$1*H180*Variables!$I$23*0.25,0)</f>
        <v>121.50188437798867</v>
      </c>
      <c r="W180" s="97">
        <f>IF(AND((K180+J180)=0,(T180+Q180)=0),$I$1*H180*Variables!$Q$23*0.25,0)</f>
        <v>127.18033509429426</v>
      </c>
      <c r="X180" s="95">
        <f>IF(AND(NOT(K180=0),(H180-H179)&gt;0),(H180-H179)*(Variables!$M$5*$H$1+Variables!$U$5*$I$1),0)+IF(AND(NOT((J180+N180+Q180)=0),(H179-H180)&gt;0),(H179-H180)*(Variables!$M$4*$H$1+Variables!$U$4*$I$1),0)</f>
        <v>0</v>
      </c>
      <c r="Y180" s="95">
        <f>IF(SUM(T180,U179:U180)&gt;0,H180*Variables!$Y$11*0.25*(1-$J$1),0)</f>
        <v>0</v>
      </c>
      <c r="Z180" s="95">
        <f>IF(T180=0,H180*$J$1*Variables!$Y$5*0.25,0)</f>
        <v>40.983710477444461</v>
      </c>
      <c r="AA180" s="95">
        <f t="shared" si="5"/>
        <v>289.6659299497274</v>
      </c>
      <c r="AB180" s="91">
        <f>AA180/Variables!$E$49</f>
        <v>46.720311282214098</v>
      </c>
    </row>
    <row r="181" spans="1:28" x14ac:dyDescent="0.25">
      <c r="A181" s="61">
        <f>'Water runs'!C188</f>
        <v>18506</v>
      </c>
      <c r="B181" s="61" t="str">
        <f>'Water runs'!B188</f>
        <v>Winter</v>
      </c>
      <c r="C181" s="54">
        <f>'Water runs'!D188/100</f>
        <v>2.0548333333333302</v>
      </c>
      <c r="D181" s="108">
        <f>VLOOKUP(ROW(D181)+4,'Water runs'!$BS$3:$CF$423,MATCH($B$1,Scenarios,0)+1)</f>
        <v>0.79962834226715973</v>
      </c>
      <c r="E181" s="54">
        <f>IF(B181=Variables!$D$8,C181-Variables!$E$8,IF(B181=Variables!$D$9,C181-Variables!$E$9,IF(B181=Variables!$D$10,C181-Variables!$E$10,IF(B181=Variables!$D$11,C181-Variables!$E$11,"ELSE"))))</f>
        <v>1.4830657076719544</v>
      </c>
      <c r="F181" s="108">
        <f>VLOOKUP(ROW(F181)+4,'Water runs'!$CH$3:$CU$423,MATCH($B$1,Scenarios,0)+1)</f>
        <v>1.4890708556678993</v>
      </c>
      <c r="G181" s="65">
        <f>H181/Variables!$E$49</f>
        <v>0.51057237389638477</v>
      </c>
      <c r="H181" s="62">
        <f>IF((H180+I181)&gt;(1.1*Variables!$E$50),(1.1*Variables!$E$50),IF((H180+I181)&gt;0,H180+I181,0))</f>
        <v>3.1655487181575857</v>
      </c>
      <c r="I181" s="64">
        <f t="shared" si="4"/>
        <v>-3.1396375091415618</v>
      </c>
      <c r="J181" s="63">
        <f>IF(SUM(E177:E180)&lt;Variables!$B$3,-H180,0)</f>
        <v>0</v>
      </c>
      <c r="K181" s="64">
        <f>IF(AND(H180&lt;Variables!$B$6*Variables!$E$50,OR(SUM(D178:D181)&gt;Variables!$B$5,SUM(E178:E181)&gt;Variables!$B$4)),Variables!$B$6*Variables!$E$50+Variables!$B$7*$G$1*Variables!$E$50*SUM(D178:D181),0)</f>
        <v>0</v>
      </c>
      <c r="L181" s="64">
        <f>IF(B181="Winter",Variables!$B$8*H180,0)</f>
        <v>-3.1396375091415618</v>
      </c>
      <c r="M181" s="64">
        <f>IF(AND(B181="Spring",AND(NOT(H180=0),H180&lt;(Variables!$B$9*Variables!$E$50))),(Variables!$B$10*Variables!$E$50+Variables!$B$11*Variables!$E$50*SUM(E178:E181)+$G$1*SUM(D180:D181)*Variables!$E$50*Variables!$B$12),0)</f>
        <v>0</v>
      </c>
      <c r="N181" s="64">
        <f>IF(AND(B181="Spring",AND(SUM(D178:D181)&gt;Variables!$B$13,SUM(D174:D177)&gt;Variables!$B$13)),-Variables!$B$14*Variables!$E$50,0)</f>
        <v>0</v>
      </c>
      <c r="O181" s="64">
        <f>IF(AND(B181="Summer",SUM(C177:D181)&gt;Variables!$B$15),(Variables!$B$16*Variables!$E$50*SUM(C177:C181)+$G$1*Variables!$B$16*Variables!$E$50*SUM(D177:D181)+$G$1*Variables!$E$50*Variables!$B$17*F181),0)</f>
        <v>0</v>
      </c>
      <c r="P181" s="64">
        <f>IF(AND(AND(B181="Autumn",SUM(D180:E181)&gt;0),NOT(H180=0)),Variables!$B$18*Variables!$E$50+Variables!$B$19*Variables!$E$50*SUM(E180:E181)+$G$1*Variables!$B$19*Variables!$E$50*SUM(D180:D181),0)</f>
        <v>0</v>
      </c>
      <c r="Q181" s="64">
        <f>IF(AND(B181="Autumn",AND((E181+E180)&lt;Variables!$B$20,(D180+D181)=0)),-Variables!$B$21*Variables!$E$50,0)</f>
        <v>0</v>
      </c>
      <c r="R181" s="64">
        <f>IF(B181="Autumn",(SUM(F180:F181)*$G$1*Variables!$B$22*Variables!$E$50),0)</f>
        <v>0</v>
      </c>
      <c r="S181" s="64">
        <f>IF(B181="Spring",($G$1*Variables!$E$50*SUM('Guts (option 1)'!F180:F181)*Variables!$B$23),0)</f>
        <v>0</v>
      </c>
      <c r="T181" s="63">
        <f>IF((H180+SUM(J181:Q181))&lt;(Variables!$B$26*Variables!$E$50),$F$1*((Variables!$B$26*Variables!$E$50)-H180-SUM(J181:Q181)),0)</f>
        <v>0</v>
      </c>
      <c r="U181" s="64">
        <f>IF(AND(AND(B181="Autumn",SUM(D178:E181)&gt;Variables!$B$27),SUM(J181:Q181)&lt;Variables!$B$28*H180),$F$1*(Variables!$B$28*H180-SUM(J181:Q181)),0)</f>
        <v>0</v>
      </c>
      <c r="V181" s="96">
        <f>IF(AND((J181+K181)=0,(Q181+T181)=0),$H$1*H181*Variables!$I$23*0.25,0)</f>
        <v>61.000598631204404</v>
      </c>
      <c r="W181" s="97">
        <f>IF(AND((K181+J181)=0,(T181+Q181)=0),$I$1*H181*Variables!$Q$23*0.25,0)</f>
        <v>63.851491806777112</v>
      </c>
      <c r="X181" s="95">
        <f>IF(AND(NOT(K181=0),(H181-H180)&gt;0),(H181-H180)*(Variables!$M$5*$H$1+Variables!$U$5*$I$1),0)+IF(AND(NOT((J181+N181+Q181)=0),(H180-H181)&gt;0),(H180-H181)*(Variables!$M$4*$H$1+Variables!$U$4*$I$1),0)</f>
        <v>0</v>
      </c>
      <c r="Y181" s="95">
        <f>IF(SUM(T181,U180:U181)&gt;0,H181*Variables!$Y$11*0.25*(1-$J$1),0)</f>
        <v>0</v>
      </c>
      <c r="Z181" s="95">
        <f>IF(T181=0,H181*$J$1*Variables!$Y$5*0.25,0)</f>
        <v>20.576066668024307</v>
      </c>
      <c r="AA181" s="95">
        <f t="shared" si="5"/>
        <v>145.42815710600581</v>
      </c>
      <c r="AB181" s="91">
        <f>AA181/Variables!$E$49</f>
        <v>23.456154371936421</v>
      </c>
    </row>
    <row r="182" spans="1:28" x14ac:dyDescent="0.25">
      <c r="A182" s="61">
        <f>'Water runs'!C189</f>
        <v>18597</v>
      </c>
      <c r="B182" s="61" t="str">
        <f>'Water runs'!B189</f>
        <v>Spring</v>
      </c>
      <c r="C182" s="54">
        <f>'Water runs'!D189/100</f>
        <v>2.1552619047618999</v>
      </c>
      <c r="D182" s="108">
        <f>VLOOKUP(ROW(D182)+4,'Water runs'!$BS$3:$CF$423,MATCH($B$1,Scenarios,0)+1)</f>
        <v>6.4392117118900388E-2</v>
      </c>
      <c r="E182" s="54">
        <f>IF(B182=Variables!$D$8,C182-Variables!$E$8,IF(B182=Variables!$D$9,C182-Variables!$E$9,IF(B182=Variables!$D$10,C182-Variables!$E$10,IF(B182=Variables!$D$11,C182-Variables!$E$11,"ELSE"))))</f>
        <v>1.3912796957671909</v>
      </c>
      <c r="F182" s="108">
        <f>VLOOKUP(ROW(F182)+4,'Water runs'!$CH$3:$CU$423,MATCH($B$1,Scenarios,0)+1)</f>
        <v>0</v>
      </c>
      <c r="G182" s="65">
        <f>H182/Variables!$E$49</f>
        <v>0.54117141043306827</v>
      </c>
      <c r="H182" s="62">
        <f>IF((H181+I182)&gt;(1.1*Variables!$E$50),(1.1*Variables!$E$50),IF((H181+I182)&gt;0,H181+I182,0))</f>
        <v>3.3552627446850236</v>
      </c>
      <c r="I182" s="64">
        <f t="shared" si="4"/>
        <v>0.18971402652743799</v>
      </c>
      <c r="J182" s="63">
        <f>IF(SUM(E178:E181)&lt;Variables!$B$3,-H181,0)</f>
        <v>0</v>
      </c>
      <c r="K182" s="64">
        <f>IF(AND(H181&lt;Variables!$B$6*Variables!$E$50,OR(SUM(D179:D182)&gt;Variables!$B$5,SUM(E179:E182)&gt;Variables!$B$4)),Variables!$B$6*Variables!$E$50+Variables!$B$7*$G$1*Variables!$E$50*SUM(D179:D182),0)</f>
        <v>0</v>
      </c>
      <c r="L182" s="64">
        <f>IF(B182="Winter",Variables!$B$8*H181,0)</f>
        <v>0</v>
      </c>
      <c r="M182" s="64">
        <f>IF(AND(B182="Spring",AND(NOT(H181=0),H181&lt;(Variables!$B$9*Variables!$E$50))),(Variables!$B$10*Variables!$E$50+Variables!$B$11*Variables!$E$50*SUM(E179:E182)+$G$1*SUM(D181:D182)*Variables!$E$50*Variables!$B$12),0)</f>
        <v>0</v>
      </c>
      <c r="N182" s="64">
        <f>IF(AND(B182="Spring",AND(SUM(D179:D182)&gt;Variables!$B$13,SUM(D175:D178)&gt;Variables!$B$13)),-Variables!$B$14*Variables!$E$50,0)</f>
        <v>0</v>
      </c>
      <c r="O182" s="64">
        <f>IF(AND(B182="Summer",SUM(C178:D182)&gt;Variables!$B$15),(Variables!$B$16*Variables!$E$50*SUM(C178:C182)+$G$1*Variables!$B$16*Variables!$E$50*SUM(D178:D182)+$G$1*Variables!$E$50*Variables!$B$17*F182),0)</f>
        <v>0</v>
      </c>
      <c r="P182" s="64">
        <f>IF(AND(AND(B182="Autumn",SUM(D181:E182)&gt;0),NOT(H181=0)),Variables!$B$18*Variables!$E$50+Variables!$B$19*Variables!$E$50*SUM(E181:E182)+$G$1*Variables!$B$19*Variables!$E$50*SUM(D181:D182),0)</f>
        <v>0</v>
      </c>
      <c r="Q182" s="64">
        <f>IF(AND(B182="Autumn",AND((E182+E181)&lt;Variables!$B$20,(D181+D182)=0)),-Variables!$B$21*Variables!$E$50,0)</f>
        <v>0</v>
      </c>
      <c r="R182" s="64">
        <f>IF(B182="Autumn",(SUM(F181:F182)*$G$1*Variables!$B$22*Variables!$E$50),0)</f>
        <v>0</v>
      </c>
      <c r="S182" s="64">
        <f>IF(B182="Spring",($G$1*Variables!$E$50*SUM('Guts (option 1)'!F181:F182)*Variables!$B$23),0)</f>
        <v>0.18971402652743799</v>
      </c>
      <c r="T182" s="63">
        <f>IF((H181+SUM(J182:Q182))&lt;(Variables!$B$26*Variables!$E$50),$F$1*((Variables!$B$26*Variables!$E$50)-H181-SUM(J182:Q182)),0)</f>
        <v>0</v>
      </c>
      <c r="U182" s="64">
        <f>IF(AND(AND(B182="Autumn",SUM(D179:E182)&gt;Variables!$B$27),SUM(J182:Q182)&lt;Variables!$B$28*H181),$F$1*(Variables!$B$28*H181-SUM(J182:Q182)),0)</f>
        <v>0</v>
      </c>
      <c r="V182" s="96">
        <f>IF(AND((J182+K182)=0,(Q182+T182)=0),$H$1*H182*Variables!$I$23*0.25,0)</f>
        <v>64.656416379492114</v>
      </c>
      <c r="W182" s="97">
        <f>IF(AND((K182+J182)=0,(T182+Q182)=0),$I$1*H182*Variables!$Q$23*0.25,0)</f>
        <v>67.678166007355429</v>
      </c>
      <c r="X182" s="95">
        <f>IF(AND(NOT(K182=0),(H182-H181)&gt;0),(H182-H181)*(Variables!$M$5*$H$1+Variables!$U$5*$I$1),0)+IF(AND(NOT((J182+N182+Q182)=0),(H181-H182)&gt;0),(H181-H182)*(Variables!$M$4*$H$1+Variables!$U$4*$I$1),0)</f>
        <v>0</v>
      </c>
      <c r="Y182" s="95">
        <f>IF(SUM(T182,U181:U182)&gt;0,H182*Variables!$Y$11*0.25*(1-$J$1),0)</f>
        <v>0</v>
      </c>
      <c r="Z182" s="95">
        <f>IF(T182=0,H182*$J$1*Variables!$Y$5*0.25,0)</f>
        <v>21.809207840452654</v>
      </c>
      <c r="AA182" s="95">
        <f t="shared" si="5"/>
        <v>154.1437902273002</v>
      </c>
      <c r="AB182" s="91">
        <f>AA182/Variables!$E$49</f>
        <v>24.861901649564548</v>
      </c>
    </row>
    <row r="183" spans="1:28" x14ac:dyDescent="0.25">
      <c r="A183" s="61">
        <f>'Water runs'!C190</f>
        <v>18687</v>
      </c>
      <c r="B183" s="61" t="str">
        <f>'Water runs'!B190</f>
        <v>Summer</v>
      </c>
      <c r="C183" s="54">
        <f>'Water runs'!D190/100</f>
        <v>0.30614285714285699</v>
      </c>
      <c r="D183" s="108">
        <f>VLOOKUP(ROW(D183)+4,'Water runs'!$BS$3:$CF$423,MATCH($B$1,Scenarios,0)+1)</f>
        <v>0.50126350960815214</v>
      </c>
      <c r="E183" s="54">
        <f>IF(B183=Variables!$D$8,C183-Variables!$E$8,IF(B183=Variables!$D$9,C183-Variables!$E$9,IF(B183=Variables!$D$10,C183-Variables!$E$10,IF(B183=Variables!$D$11,C183-Variables!$E$11,"ELSE"))))</f>
        <v>-0.95222727891156467</v>
      </c>
      <c r="F183" s="108">
        <f>VLOOKUP(ROW(F183)+4,'Water runs'!$CH$3:$CU$423,MATCH($B$1,Scenarios,0)+1)</f>
        <v>0.31023567090792481</v>
      </c>
      <c r="G183" s="65">
        <f>H183/Variables!$E$49</f>
        <v>1.1808505573256585</v>
      </c>
      <c r="H183" s="62">
        <f>IF((H182+I183)&gt;(1.1*Variables!$E$50),(1.1*Variables!$E$50),IF((H182+I183)&gt;0,H182+I183,0))</f>
        <v>7.3212734554190826</v>
      </c>
      <c r="I183" s="64">
        <f t="shared" si="4"/>
        <v>3.966010710734059</v>
      </c>
      <c r="J183" s="63">
        <f>IF(SUM(E179:E182)&lt;Variables!$B$3,-H182,0)</f>
        <v>0</v>
      </c>
      <c r="K183" s="64">
        <f>IF(AND(H182&lt;Variables!$B$6*Variables!$E$50,OR(SUM(D180:D183)&gt;Variables!$B$5,SUM(E180:E183)&gt;Variables!$B$4)),Variables!$B$6*Variables!$E$50+Variables!$B$7*$G$1*Variables!$E$50*SUM(D180:D183),0)</f>
        <v>0</v>
      </c>
      <c r="L183" s="64">
        <f>IF(B183="Winter",Variables!$B$8*H182,0)</f>
        <v>0</v>
      </c>
      <c r="M183" s="64">
        <f>IF(AND(B183="Spring",AND(NOT(H182=0),H182&lt;(Variables!$B$9*Variables!$E$50))),(Variables!$B$10*Variables!$E$50+Variables!$B$11*Variables!$E$50*SUM(E180:E183)+$G$1*SUM(D182:D183)*Variables!$E$50*Variables!$B$12),0)</f>
        <v>0</v>
      </c>
      <c r="N183" s="64">
        <f>IF(AND(B183="Spring",AND(SUM(D180:D183)&gt;Variables!$B$13,SUM(D176:D179)&gt;Variables!$B$13)),-Variables!$B$14*Variables!$E$50,0)</f>
        <v>0</v>
      </c>
      <c r="O183" s="64">
        <f>IF(AND(B183="Summer",SUM(C179:D183)&gt;Variables!$B$15),(Variables!$B$16*Variables!$E$50*SUM(C179:C183)+$G$1*Variables!$B$16*Variables!$E$50*SUM(D179:D183)+$G$1*Variables!$E$50*Variables!$B$17*F183),0)</f>
        <v>3.966010710734059</v>
      </c>
      <c r="P183" s="64">
        <f>IF(AND(AND(B183="Autumn",SUM(D182:E183)&gt;0),NOT(H182=0)),Variables!$B$18*Variables!$E$50+Variables!$B$19*Variables!$E$50*SUM(E182:E183)+$G$1*Variables!$B$19*Variables!$E$50*SUM(D182:D183),0)</f>
        <v>0</v>
      </c>
      <c r="Q183" s="64">
        <f>IF(AND(B183="Autumn",AND((E183+E182)&lt;Variables!$B$20,(D182+D183)=0)),-Variables!$B$21*Variables!$E$50,0)</f>
        <v>0</v>
      </c>
      <c r="R183" s="64">
        <f>IF(B183="Autumn",(SUM(F182:F183)*$G$1*Variables!$B$22*Variables!$E$50),0)</f>
        <v>0</v>
      </c>
      <c r="S183" s="64">
        <f>IF(B183="Spring",($G$1*Variables!$E$50*SUM('Guts (option 1)'!F182:F183)*Variables!$B$23),0)</f>
        <v>0</v>
      </c>
      <c r="T183" s="63">
        <f>IF((H182+SUM(J183:Q183))&lt;(Variables!$B$26*Variables!$E$50),$F$1*((Variables!$B$26*Variables!$E$50)-H182-SUM(J183:Q183)),0)</f>
        <v>0</v>
      </c>
      <c r="U183" s="64">
        <f>IF(AND(AND(B183="Autumn",SUM(D180:E183)&gt;Variables!$B$27),SUM(J183:Q183)&lt;Variables!$B$28*H182),$F$1*(Variables!$B$28*H182-SUM(J183:Q183)),0)</f>
        <v>0</v>
      </c>
      <c r="V183" s="96">
        <f>IF(AND((J183+K183)=0,(Q183+T183)=0),$H$1*H183*Variables!$I$23*0.25,0)</f>
        <v>141.08203767694405</v>
      </c>
      <c r="W183" s="97">
        <f>IF(AND((K183+J183)=0,(T183+Q183)=0),$I$1*H183*Variables!$Q$23*0.25,0)</f>
        <v>147.67557655089445</v>
      </c>
      <c r="X183" s="95">
        <f>IF(AND(NOT(K183=0),(H183-H182)&gt;0),(H183-H182)*(Variables!$M$5*$H$1+Variables!$U$5*$I$1),0)+IF(AND(NOT((J183+N183+Q183)=0),(H182-H183)&gt;0),(H182-H183)*(Variables!$M$4*$H$1+Variables!$U$4*$I$1),0)</f>
        <v>0</v>
      </c>
      <c r="Y183" s="95">
        <f>IF(SUM(T183,U182:U183)&gt;0,H183*Variables!$Y$11*0.25*(1-$J$1),0)</f>
        <v>0</v>
      </c>
      <c r="Z183" s="95">
        <f>IF(T183=0,H183*$J$1*Variables!$Y$5*0.25,0)</f>
        <v>47.588277460224035</v>
      </c>
      <c r="AA183" s="95">
        <f t="shared" si="5"/>
        <v>336.34589168806258</v>
      </c>
      <c r="AB183" s="91">
        <f>AA183/Variables!$E$49</f>
        <v>54.249337369042351</v>
      </c>
    </row>
    <row r="184" spans="1:28" x14ac:dyDescent="0.25">
      <c r="A184" s="61">
        <f>'Water runs'!C191</f>
        <v>18779</v>
      </c>
      <c r="B184" s="61" t="str">
        <f>'Water runs'!B191</f>
        <v>Autumn</v>
      </c>
      <c r="C184" s="54">
        <f>'Water runs'!D191/100</f>
        <v>0.48799999999999999</v>
      </c>
      <c r="D184" s="108">
        <f>VLOOKUP(ROW(D184)+4,'Water runs'!$BS$3:$CF$423,MATCH($B$1,Scenarios,0)+1)</f>
        <v>6.2873815311285126E-3</v>
      </c>
      <c r="E184" s="54">
        <f>IF(B184=Variables!$D$8,C184-Variables!$E$8,IF(B184=Variables!$D$9,C184-Variables!$E$9,IF(B184=Variables!$D$10,C184-Variables!$E$10,IF(B184=Variables!$D$11,C184-Variables!$E$11,"ELSE"))))</f>
        <v>-0.50664329931972785</v>
      </c>
      <c r="F184" s="108">
        <f>VLOOKUP(ROW(F184)+4,'Water runs'!$CH$3:$CU$423,MATCH($B$1,Scenarios,0)+1)</f>
        <v>0</v>
      </c>
      <c r="G184" s="65">
        <f>H184/Variables!$E$49</f>
        <v>1.7192525370401601</v>
      </c>
      <c r="H184" s="62">
        <f>IF((H183+I184)&gt;(1.1*Variables!$E$50),(1.1*Variables!$E$50),IF((H183+I184)&gt;0,H183+I184,0))</f>
        <v>10.659365729648993</v>
      </c>
      <c r="I184" s="64">
        <f t="shared" si="4"/>
        <v>3.3380922742299095</v>
      </c>
      <c r="J184" s="63">
        <f>IF(SUM(E180:E183)&lt;Variables!$B$3,-H183,0)</f>
        <v>0</v>
      </c>
      <c r="K184" s="64">
        <f>IF(AND(H183&lt;Variables!$B$6*Variables!$E$50,OR(SUM(D181:D184)&gt;Variables!$B$5,SUM(E181:E184)&gt;Variables!$B$4)),Variables!$B$6*Variables!$E$50+Variables!$B$7*$G$1*Variables!$E$50*SUM(D181:D184),0)</f>
        <v>0</v>
      </c>
      <c r="L184" s="64">
        <f>IF(B184="Winter",Variables!$B$8*H183,0)</f>
        <v>0</v>
      </c>
      <c r="M184" s="64">
        <f>IF(AND(B184="Spring",AND(NOT(H183=0),H183&lt;(Variables!$B$9*Variables!$E$50))),(Variables!$B$10*Variables!$E$50+Variables!$B$11*Variables!$E$50*SUM(E181:E184)+$G$1*SUM(D183:D184)*Variables!$E$50*Variables!$B$12),0)</f>
        <v>0</v>
      </c>
      <c r="N184" s="64">
        <f>IF(AND(B184="Spring",AND(SUM(D181:D184)&gt;Variables!$B$13,SUM(D177:D180)&gt;Variables!$B$13)),-Variables!$B$14*Variables!$E$50,0)</f>
        <v>0</v>
      </c>
      <c r="O184" s="64">
        <f>IF(AND(B184="Summer",SUM(C180:D184)&gt;Variables!$B$15),(Variables!$B$16*Variables!$E$50*SUM(C180:C184)+$G$1*Variables!$B$16*Variables!$E$50*SUM(D180:D184)+$G$1*Variables!$E$50*Variables!$B$17*F184),0)</f>
        <v>0</v>
      </c>
      <c r="P184" s="64">
        <f>IF(AND(AND(B184="Autumn",SUM(D183:E184)&gt;0),NOT(H183=0)),Variables!$B$18*Variables!$E$50+Variables!$B$19*Variables!$E$50*SUM(E183:E184)+$G$1*Variables!$B$19*Variables!$E$50*SUM(D183:D184),0)</f>
        <v>0</v>
      </c>
      <c r="Q184" s="64">
        <f>IF(AND(B184="Autumn",AND((E184+E183)&lt;Variables!$B$20,(D183+D184)=0)),-Variables!$B$21*Variables!$E$50,0)</f>
        <v>0</v>
      </c>
      <c r="R184" s="64">
        <f>IF(B184="Autumn",(SUM(F183:F184)*$G$1*Variables!$B$22*Variables!$E$50),0)</f>
        <v>4.3519219291322353E-2</v>
      </c>
      <c r="S184" s="64">
        <f>IF(B184="Spring",($G$1*Variables!$E$50*SUM('Guts (option 1)'!F183:F184)*Variables!$B$23),0)</f>
        <v>0</v>
      </c>
      <c r="T184" s="63">
        <f>IF((H183+SUM(J184:Q184))&lt;(Variables!$B$26*Variables!$E$50),$F$1*((Variables!$B$26*Variables!$E$50)-H183-SUM(J184:Q184)),0)</f>
        <v>0</v>
      </c>
      <c r="U184" s="64">
        <f>IF(AND(AND(B184="Autumn",SUM(D181:E184)&gt;Variables!$B$27),SUM(J184:Q184)&lt;Variables!$B$28*H183),$F$1*(Variables!$B$28*H183-SUM(J184:Q184)),0)</f>
        <v>3.2945730549385872</v>
      </c>
      <c r="V184" s="96">
        <f>IF(AND((J184+K184)=0,(Q184+T184)=0),$H$1*H184*Variables!$I$23*0.25,0)</f>
        <v>205.40757651519556</v>
      </c>
      <c r="W184" s="97">
        <f>IF(AND((K184+J184)=0,(T184+Q184)=0),$I$1*H184*Variables!$Q$23*0.25,0)</f>
        <v>215.00740129131739</v>
      </c>
      <c r="X184" s="95">
        <f>IF(AND(NOT(K184=0),(H184-H183)&gt;0),(H184-H183)*(Variables!$M$5*$H$1+Variables!$U$5*$I$1),0)+IF(AND(NOT((J184+N184+Q184)=0),(H183-H184)&gt;0),(H183-H184)*(Variables!$M$4*$H$1+Variables!$U$4*$I$1),0)</f>
        <v>0</v>
      </c>
      <c r="Y184" s="95">
        <f>IF(SUM(T184,U183:U184)&gt;0,H184*Variables!$Y$11*0.25*(1-$J$1),0)</f>
        <v>0</v>
      </c>
      <c r="Z184" s="95">
        <f>IF(T184=0,H184*$J$1*Variables!$Y$5*0.25,0)</f>
        <v>69.285877242718456</v>
      </c>
      <c r="AA184" s="95">
        <f t="shared" si="5"/>
        <v>489.70085504923145</v>
      </c>
      <c r="AB184" s="91">
        <f>AA184/Variables!$E$49</f>
        <v>78.984008878908298</v>
      </c>
    </row>
    <row r="185" spans="1:28" x14ac:dyDescent="0.25">
      <c r="A185" s="61">
        <f>'Water runs'!C192</f>
        <v>18871</v>
      </c>
      <c r="B185" s="61" t="str">
        <f>'Water runs'!B192</f>
        <v>Winter</v>
      </c>
      <c r="C185" s="54">
        <f>'Water runs'!D192/100</f>
        <v>0.623857142857143</v>
      </c>
      <c r="D185" s="108">
        <f>VLOOKUP(ROW(D185)+4,'Water runs'!$BS$3:$CF$423,MATCH($B$1,Scenarios,0)+1)</f>
        <v>0</v>
      </c>
      <c r="E185" s="54">
        <f>IF(B185=Variables!$D$8,C185-Variables!$E$8,IF(B185=Variables!$D$9,C185-Variables!$E$9,IF(B185=Variables!$D$10,C185-Variables!$E$10,IF(B185=Variables!$D$11,C185-Variables!$E$11,"ELSE"))))</f>
        <v>5.2089517195767265E-2</v>
      </c>
      <c r="F185" s="108">
        <f>VLOOKUP(ROW(F185)+4,'Water runs'!$CH$3:$CU$423,MATCH($B$1,Scenarios,0)+1)</f>
        <v>0</v>
      </c>
      <c r="G185" s="65">
        <f>H185/Variables!$E$49</f>
        <v>0.86315890897134062</v>
      </c>
      <c r="H185" s="62">
        <f>IF((H184+I185)&gt;(1.1*Variables!$E$50),(1.1*Variables!$E$50),IF((H184+I185)&gt;0,H184+I185,0))</f>
        <v>5.3515852356223119</v>
      </c>
      <c r="I185" s="64">
        <f t="shared" si="4"/>
        <v>-5.3077804940266811</v>
      </c>
      <c r="J185" s="63">
        <f>IF(SUM(E181:E184)&lt;Variables!$B$3,-H184,0)</f>
        <v>0</v>
      </c>
      <c r="K185" s="64">
        <f>IF(AND(H184&lt;Variables!$B$6*Variables!$E$50,OR(SUM(D182:D185)&gt;Variables!$B$5,SUM(E182:E185)&gt;Variables!$B$4)),Variables!$B$6*Variables!$E$50+Variables!$B$7*$G$1*Variables!$E$50*SUM(D182:D185),0)</f>
        <v>0</v>
      </c>
      <c r="L185" s="64">
        <f>IF(B185="Winter",Variables!$B$8*H184,0)</f>
        <v>-5.3077804940266811</v>
      </c>
      <c r="M185" s="64">
        <f>IF(AND(B185="Spring",AND(NOT(H184=0),H184&lt;(Variables!$B$9*Variables!$E$50))),(Variables!$B$10*Variables!$E$50+Variables!$B$11*Variables!$E$50*SUM(E182:E185)+$G$1*SUM(D184:D185)*Variables!$E$50*Variables!$B$12),0)</f>
        <v>0</v>
      </c>
      <c r="N185" s="64">
        <f>IF(AND(B185="Spring",AND(SUM(D182:D185)&gt;Variables!$B$13,SUM(D178:D181)&gt;Variables!$B$13)),-Variables!$B$14*Variables!$E$50,0)</f>
        <v>0</v>
      </c>
      <c r="O185" s="64">
        <f>IF(AND(B185="Summer",SUM(C181:D185)&gt;Variables!$B$15),(Variables!$B$16*Variables!$E$50*SUM(C181:C185)+$G$1*Variables!$B$16*Variables!$E$50*SUM(D181:D185)+$G$1*Variables!$E$50*Variables!$B$17*F185),0)</f>
        <v>0</v>
      </c>
      <c r="P185" s="64">
        <f>IF(AND(AND(B185="Autumn",SUM(D184:E185)&gt;0),NOT(H184=0)),Variables!$B$18*Variables!$E$50+Variables!$B$19*Variables!$E$50*SUM(E184:E185)+$G$1*Variables!$B$19*Variables!$E$50*SUM(D184:D185),0)</f>
        <v>0</v>
      </c>
      <c r="Q185" s="64">
        <f>IF(AND(B185="Autumn",AND((E185+E184)&lt;Variables!$B$20,(D184+D185)=0)),-Variables!$B$21*Variables!$E$50,0)</f>
        <v>0</v>
      </c>
      <c r="R185" s="64">
        <f>IF(B185="Autumn",(SUM(F184:F185)*$G$1*Variables!$B$22*Variables!$E$50),0)</f>
        <v>0</v>
      </c>
      <c r="S185" s="64">
        <f>IF(B185="Spring",($G$1*Variables!$E$50*SUM('Guts (option 1)'!F184:F185)*Variables!$B$23),0)</f>
        <v>0</v>
      </c>
      <c r="T185" s="63">
        <f>IF((H184+SUM(J185:Q185))&lt;(Variables!$B$26*Variables!$E$50),$F$1*((Variables!$B$26*Variables!$E$50)-H184-SUM(J185:Q185)),0)</f>
        <v>0</v>
      </c>
      <c r="U185" s="64">
        <f>IF(AND(AND(B185="Autumn",SUM(D182:E185)&gt;Variables!$B$27),SUM(J185:Q185)&lt;Variables!$B$28*H184),$F$1*(Variables!$B$28*H184-SUM(J185:Q185)),0)</f>
        <v>0</v>
      </c>
      <c r="V185" s="96">
        <f>IF(AND((J185+K185)=0,(Q185+T185)=0),$H$1*H185*Variables!$I$23*0.25,0)</f>
        <v>103.12585022822729</v>
      </c>
      <c r="W185" s="97">
        <f>IF(AND((K185+J185)=0,(T185+Q185)=0),$I$1*H185*Variables!$Q$23*0.25,0)</f>
        <v>107.94548789142874</v>
      </c>
      <c r="X185" s="95">
        <f>IF(AND(NOT(K185=0),(H185-H184)&gt;0),(H185-H184)*(Variables!$M$5*$H$1+Variables!$U$5*$I$1),0)+IF(AND(NOT((J185+N185+Q185)=0),(H184-H185)&gt;0),(H184-H185)*(Variables!$M$4*$H$1+Variables!$U$4*$I$1),0)</f>
        <v>0</v>
      </c>
      <c r="Y185" s="95">
        <f>IF(SUM(T185,U184:U185)&gt;0,H185*Variables!$Y$11*0.25*(1-$J$1),0)</f>
        <v>0</v>
      </c>
      <c r="Z185" s="95">
        <f>IF(T185=0,H185*$J$1*Variables!$Y$5*0.25,0)</f>
        <v>34.785304031545024</v>
      </c>
      <c r="AA185" s="95">
        <f t="shared" si="5"/>
        <v>245.85664215120107</v>
      </c>
      <c r="AB185" s="91">
        <f>AA185/Variables!$E$49</f>
        <v>39.654297121161463</v>
      </c>
    </row>
    <row r="186" spans="1:28" x14ac:dyDescent="0.25">
      <c r="A186" s="61">
        <f>'Water runs'!C193</f>
        <v>18962</v>
      </c>
      <c r="B186" s="61" t="str">
        <f>'Water runs'!B193</f>
        <v>Spring</v>
      </c>
      <c r="C186" s="54">
        <f>'Water runs'!D193/100</f>
        <v>0.33885714285714302</v>
      </c>
      <c r="D186" s="108">
        <f>VLOOKUP(ROW(D186)+4,'Water runs'!$BS$3:$CF$423,MATCH($B$1,Scenarios,0)+1)</f>
        <v>0</v>
      </c>
      <c r="E186" s="54">
        <f>IF(B186=Variables!$D$8,C186-Variables!$E$8,IF(B186=Variables!$D$9,C186-Variables!$E$9,IF(B186=Variables!$D$10,C186-Variables!$E$10,IF(B186=Variables!$D$11,C186-Variables!$E$11,"ELSE"))))</f>
        <v>-0.42512506613756612</v>
      </c>
      <c r="F186" s="108">
        <f>VLOOKUP(ROW(F186)+4,'Water runs'!$CH$3:$CU$423,MATCH($B$1,Scenarios,0)+1)</f>
        <v>0</v>
      </c>
      <c r="G186" s="65">
        <f>H186/Variables!$E$49</f>
        <v>0.86315890897134062</v>
      </c>
      <c r="H186" s="62">
        <f>IF((H185+I186)&gt;(1.1*Variables!$E$50),(1.1*Variables!$E$50),IF((H185+I186)&gt;0,H185+I186,0))</f>
        <v>5.3515852356223119</v>
      </c>
      <c r="I186" s="64">
        <f t="shared" si="4"/>
        <v>0</v>
      </c>
      <c r="J186" s="63">
        <f>IF(SUM(E182:E185)&lt;Variables!$B$3,-H185,0)</f>
        <v>0</v>
      </c>
      <c r="K186" s="64">
        <f>IF(AND(H185&lt;Variables!$B$6*Variables!$E$50,OR(SUM(D183:D186)&gt;Variables!$B$5,SUM(E183:E186)&gt;Variables!$B$4)),Variables!$B$6*Variables!$E$50+Variables!$B$7*$G$1*Variables!$E$50*SUM(D183:D186),0)</f>
        <v>0</v>
      </c>
      <c r="L186" s="64">
        <f>IF(B186="Winter",Variables!$B$8*H185,0)</f>
        <v>0</v>
      </c>
      <c r="M186" s="64">
        <f>IF(AND(B186="Spring",AND(NOT(H185=0),H185&lt;(Variables!$B$9*Variables!$E$50))),(Variables!$B$10*Variables!$E$50+Variables!$B$11*Variables!$E$50*SUM(E183:E186)+$G$1*SUM(D185:D186)*Variables!$E$50*Variables!$B$12),0)</f>
        <v>0</v>
      </c>
      <c r="N186" s="64">
        <f>IF(AND(B186="Spring",AND(SUM(D183:D186)&gt;Variables!$B$13,SUM(D179:D182)&gt;Variables!$B$13)),-Variables!$B$14*Variables!$E$50,0)</f>
        <v>0</v>
      </c>
      <c r="O186" s="64">
        <f>IF(AND(B186="Summer",SUM(C182:D186)&gt;Variables!$B$15),(Variables!$B$16*Variables!$E$50*SUM(C182:C186)+$G$1*Variables!$B$16*Variables!$E$50*SUM(D182:D186)+$G$1*Variables!$E$50*Variables!$B$17*F186),0)</f>
        <v>0</v>
      </c>
      <c r="P186" s="64">
        <f>IF(AND(AND(B186="Autumn",SUM(D185:E186)&gt;0),NOT(H185=0)),Variables!$B$18*Variables!$E$50+Variables!$B$19*Variables!$E$50*SUM(E185:E186)+$G$1*Variables!$B$19*Variables!$E$50*SUM(D185:D186),0)</f>
        <v>0</v>
      </c>
      <c r="Q186" s="64">
        <f>IF(AND(B186="Autumn",AND((E186+E185)&lt;Variables!$B$20,(D185+D186)=0)),-Variables!$B$21*Variables!$E$50,0)</f>
        <v>0</v>
      </c>
      <c r="R186" s="64">
        <f>IF(B186="Autumn",(SUM(F185:F186)*$G$1*Variables!$B$22*Variables!$E$50),0)</f>
        <v>0</v>
      </c>
      <c r="S186" s="64">
        <f>IF(B186="Spring",($G$1*Variables!$E$50*SUM('Guts (option 1)'!F185:F186)*Variables!$B$23),0)</f>
        <v>0</v>
      </c>
      <c r="T186" s="63">
        <f>IF((H185+SUM(J186:Q186))&lt;(Variables!$B$26*Variables!$E$50),$F$1*((Variables!$B$26*Variables!$E$50)-H185-SUM(J186:Q186)),0)</f>
        <v>0</v>
      </c>
      <c r="U186" s="64">
        <f>IF(AND(AND(B186="Autumn",SUM(D183:E186)&gt;Variables!$B$27),SUM(J186:Q186)&lt;Variables!$B$28*H185),$F$1*(Variables!$B$28*H185-SUM(J186:Q186)),0)</f>
        <v>0</v>
      </c>
      <c r="V186" s="96">
        <f>IF(AND((J186+K186)=0,(Q186+T186)=0),$H$1*H186*Variables!$I$23*0.25,0)</f>
        <v>103.12585022822729</v>
      </c>
      <c r="W186" s="97">
        <f>IF(AND((K186+J186)=0,(T186+Q186)=0),$I$1*H186*Variables!$Q$23*0.25,0)</f>
        <v>107.94548789142874</v>
      </c>
      <c r="X186" s="95">
        <f>IF(AND(NOT(K186=0),(H186-H185)&gt;0),(H186-H185)*(Variables!$M$5*$H$1+Variables!$U$5*$I$1),0)+IF(AND(NOT((J186+N186+Q186)=0),(H185-H186)&gt;0),(H185-H186)*(Variables!$M$4*$H$1+Variables!$U$4*$I$1),0)</f>
        <v>0</v>
      </c>
      <c r="Y186" s="95">
        <f>IF(SUM(T186,U185:U186)&gt;0,H186*Variables!$Y$11*0.25*(1-$J$1),0)</f>
        <v>0</v>
      </c>
      <c r="Z186" s="95">
        <f>IF(T186=0,H186*$J$1*Variables!$Y$5*0.25,0)</f>
        <v>34.785304031545024</v>
      </c>
      <c r="AA186" s="95">
        <f t="shared" si="5"/>
        <v>245.85664215120107</v>
      </c>
      <c r="AB186" s="91">
        <f>AA186/Variables!$E$49</f>
        <v>39.654297121161463</v>
      </c>
    </row>
    <row r="187" spans="1:28" x14ac:dyDescent="0.25">
      <c r="A187" s="61">
        <f>'Water runs'!C194</f>
        <v>19052</v>
      </c>
      <c r="B187" s="61" t="str">
        <f>'Water runs'!B194</f>
        <v>Summer</v>
      </c>
      <c r="C187" s="54">
        <f>'Water runs'!D194/100</f>
        <v>0.56285714285714294</v>
      </c>
      <c r="D187" s="108">
        <f>VLOOKUP(ROW(D187)+4,'Water runs'!$BS$3:$CF$423,MATCH($B$1,Scenarios,0)+1)</f>
        <v>0</v>
      </c>
      <c r="E187" s="54">
        <f>IF(B187=Variables!$D$8,C187-Variables!$E$8,IF(B187=Variables!$D$9,C187-Variables!$E$9,IF(B187=Variables!$D$10,C187-Variables!$E$10,IF(B187=Variables!$D$11,C187-Variables!$E$11,"ELSE"))))</f>
        <v>-0.69551299319727877</v>
      </c>
      <c r="F187" s="108">
        <f>VLOOKUP(ROW(F187)+4,'Water runs'!$CH$3:$CU$423,MATCH($B$1,Scenarios,0)+1)</f>
        <v>0</v>
      </c>
      <c r="G187" s="65">
        <f>H187/Variables!$E$49</f>
        <v>0.16099999999999995</v>
      </c>
      <c r="H187" s="62">
        <f>IF((H186+I187)&gt;(1.1*Variables!$E$50),(1.1*Variables!$E$50),IF((H186+I187)&gt;0,H186+I187,0))</f>
        <v>0.99819999999999975</v>
      </c>
      <c r="I187" s="64">
        <f t="shared" si="4"/>
        <v>-4.3533852356223122</v>
      </c>
      <c r="J187" s="63">
        <f>IF(SUM(E183:E186)&lt;Variables!$B$3,-H186,0)</f>
        <v>-5.3515852356223119</v>
      </c>
      <c r="K187" s="64">
        <f>IF(AND(H186&lt;Variables!$B$6*Variables!$E$50,OR(SUM(D184:D187)&gt;Variables!$B$5,SUM(E184:E187)&gt;Variables!$B$4)),Variables!$B$6*Variables!$E$50+Variables!$B$7*$G$1*Variables!$E$50*SUM(D184:D187),0)</f>
        <v>0</v>
      </c>
      <c r="L187" s="64">
        <f>IF(B187="Winter",Variables!$B$8*H186,0)</f>
        <v>0</v>
      </c>
      <c r="M187" s="64">
        <f>IF(AND(B187="Spring",AND(NOT(H186=0),H186&lt;(Variables!$B$9*Variables!$E$50))),(Variables!$B$10*Variables!$E$50+Variables!$B$11*Variables!$E$50*SUM(E184:E187)+$G$1*SUM(D186:D187)*Variables!$E$50*Variables!$B$12),0)</f>
        <v>0</v>
      </c>
      <c r="N187" s="64">
        <f>IF(AND(B187="Spring",AND(SUM(D184:D187)&gt;Variables!$B$13,SUM(D180:D183)&gt;Variables!$B$13)),-Variables!$B$14*Variables!$E$50,0)</f>
        <v>0</v>
      </c>
      <c r="O187" s="64">
        <f>IF(AND(B187="Summer",SUM(C183:D187)&gt;Variables!$B$15),(Variables!$B$16*Variables!$E$50*SUM(C183:C187)+$G$1*Variables!$B$16*Variables!$E$50*SUM(D183:D187)+$G$1*Variables!$E$50*Variables!$B$17*F187),0)</f>
        <v>0</v>
      </c>
      <c r="P187" s="64">
        <f>IF(AND(AND(B187="Autumn",SUM(D186:E187)&gt;0),NOT(H186=0)),Variables!$B$18*Variables!$E$50+Variables!$B$19*Variables!$E$50*SUM(E186:E187)+$G$1*Variables!$B$19*Variables!$E$50*SUM(D186:D187),0)</f>
        <v>0</v>
      </c>
      <c r="Q187" s="64">
        <f>IF(AND(B187="Autumn",AND((E187+E186)&lt;Variables!$B$20,(D186+D187)=0)),-Variables!$B$21*Variables!$E$50,0)</f>
        <v>0</v>
      </c>
      <c r="R187" s="64">
        <f>IF(B187="Autumn",(SUM(F186:F187)*$G$1*Variables!$B$22*Variables!$E$50),0)</f>
        <v>0</v>
      </c>
      <c r="S187" s="64">
        <f>IF(B187="Spring",($G$1*Variables!$E$50*SUM('Guts (option 1)'!F186:F187)*Variables!$B$23),0)</f>
        <v>0</v>
      </c>
      <c r="T187" s="63">
        <f>IF((H186+SUM(J187:Q187))&lt;(Variables!$B$26*Variables!$E$50),$F$1*((Variables!$B$26*Variables!$E$50)-H186-SUM(J187:Q187)),0)</f>
        <v>0.99819999999999975</v>
      </c>
      <c r="U187" s="64">
        <f>IF(AND(AND(B187="Autumn",SUM(D184:E187)&gt;Variables!$B$27),SUM(J187:Q187)&lt;Variables!$B$28*H186),$F$1*(Variables!$B$28*H186-SUM(J187:Q187)),0)</f>
        <v>0</v>
      </c>
      <c r="V187" s="96">
        <f>IF(AND((J187+K187)=0,(Q187+T187)=0),$H$1*H187*Variables!$I$23*0.25,0)</f>
        <v>0</v>
      </c>
      <c r="W187" s="97">
        <f>IF(AND((K187+J187)=0,(T187+Q187)=0),$I$1*H187*Variables!$Q$23*0.25,0)</f>
        <v>0</v>
      </c>
      <c r="X187" s="95">
        <f>IF(AND(NOT(K187=0),(H187-H186)&gt;0),(H187-H186)*(Variables!$M$5*$H$1+Variables!$U$5*$I$1),0)+IF(AND(NOT((J187+N187+Q187)=0),(H186-H187)&gt;0),(H186-H187)*(Variables!$M$4*$H$1+Variables!$U$4*$I$1),0)</f>
        <v>544.17315445278905</v>
      </c>
      <c r="Y187" s="95">
        <f>IF(SUM(T187,U186:U187)&gt;0,H187*Variables!$Y$11*0.25*(1-$J$1),0)</f>
        <v>0</v>
      </c>
      <c r="Z187" s="95">
        <f>IF(T187=0,H187*$J$1*Variables!$Y$5*0.25,0)</f>
        <v>0</v>
      </c>
      <c r="AA187" s="95">
        <f t="shared" si="5"/>
        <v>544.17315445278905</v>
      </c>
      <c r="AB187" s="91">
        <f>AA187/Variables!$E$49</f>
        <v>87.769863621417585</v>
      </c>
    </row>
    <row r="188" spans="1:28" x14ac:dyDescent="0.25">
      <c r="A188" s="61">
        <f>'Water runs'!C195</f>
        <v>19145</v>
      </c>
      <c r="B188" s="61" t="str">
        <f>'Water runs'!B195</f>
        <v>Autumn</v>
      </c>
      <c r="C188" s="54">
        <f>'Water runs'!D195/100</f>
        <v>0.96990476190476205</v>
      </c>
      <c r="D188" s="108">
        <f>VLOOKUP(ROW(D188)+4,'Water runs'!$BS$3:$CF$423,MATCH($B$1,Scenarios,0)+1)</f>
        <v>7.3945161877766261E-3</v>
      </c>
      <c r="E188" s="54">
        <f>IF(B188=Variables!$D$8,C188-Variables!$E$8,IF(B188=Variables!$D$9,C188-Variables!$E$9,IF(B188=Variables!$D$10,C188-Variables!$E$10,IF(B188=Variables!$D$11,C188-Variables!$E$11,"ELSE"))))</f>
        <v>-2.4738537414965789E-2</v>
      </c>
      <c r="F188" s="108">
        <f>VLOOKUP(ROW(F188)+4,'Water runs'!$CH$3:$CU$423,MATCH($B$1,Scenarios,0)+1)</f>
        <v>0</v>
      </c>
      <c r="G188" s="65">
        <f>H188/Variables!$E$49</f>
        <v>0.16099999999999995</v>
      </c>
      <c r="H188" s="62">
        <f>IF((H187+I188)&gt;(1.1*Variables!$E$50),(1.1*Variables!$E$50),IF((H187+I188)&gt;0,H187+I188,0))</f>
        <v>0.99819999999999975</v>
      </c>
      <c r="I188" s="64">
        <f t="shared" si="4"/>
        <v>0</v>
      </c>
      <c r="J188" s="63">
        <f>IF(SUM(E184:E187)&lt;Variables!$B$3,-H187,0)</f>
        <v>0</v>
      </c>
      <c r="K188" s="64">
        <f>IF(AND(H187&lt;Variables!$B$6*Variables!$E$50,OR(SUM(D185:D188)&gt;Variables!$B$5,SUM(E185:E188)&gt;Variables!$B$4)),Variables!$B$6*Variables!$E$50+Variables!$B$7*$G$1*Variables!$E$50*SUM(D185:D188),0)</f>
        <v>0</v>
      </c>
      <c r="L188" s="64">
        <f>IF(B188="Winter",Variables!$B$8*H187,0)</f>
        <v>0</v>
      </c>
      <c r="M188" s="64">
        <f>IF(AND(B188="Spring",AND(NOT(H187=0),H187&lt;(Variables!$B$9*Variables!$E$50))),(Variables!$B$10*Variables!$E$50+Variables!$B$11*Variables!$E$50*SUM(E185:E188)+$G$1*SUM(D187:D188)*Variables!$E$50*Variables!$B$12),0)</f>
        <v>0</v>
      </c>
      <c r="N188" s="64">
        <f>IF(AND(B188="Spring",AND(SUM(D185:D188)&gt;Variables!$B$13,SUM(D181:D184)&gt;Variables!$B$13)),-Variables!$B$14*Variables!$E$50,0)</f>
        <v>0</v>
      </c>
      <c r="O188" s="64">
        <f>IF(AND(B188="Summer",SUM(C184:D188)&gt;Variables!$B$15),(Variables!$B$16*Variables!$E$50*SUM(C184:C188)+$G$1*Variables!$B$16*Variables!$E$50*SUM(D184:D188)+$G$1*Variables!$E$50*Variables!$B$17*F188),0)</f>
        <v>0</v>
      </c>
      <c r="P188" s="64">
        <f>IF(AND(AND(B188="Autumn",SUM(D187:E188)&gt;0),NOT(H187=0)),Variables!$B$18*Variables!$E$50+Variables!$B$19*Variables!$E$50*SUM(E187:E188)+$G$1*Variables!$B$19*Variables!$E$50*SUM(D187:D188),0)</f>
        <v>0</v>
      </c>
      <c r="Q188" s="64">
        <f>IF(AND(B188="Autumn",AND((E188+E187)&lt;Variables!$B$20,(D187+D188)=0)),-Variables!$B$21*Variables!$E$50,0)</f>
        <v>0</v>
      </c>
      <c r="R188" s="64">
        <f>IF(B188="Autumn",(SUM(F187:F188)*$G$1*Variables!$B$22*Variables!$E$50),0)</f>
        <v>0</v>
      </c>
      <c r="S188" s="64">
        <f>IF(B188="Spring",($G$1*Variables!$E$50*SUM('Guts (option 1)'!F187:F188)*Variables!$B$23),0)</f>
        <v>0</v>
      </c>
      <c r="T188" s="63">
        <f>IF((H187+SUM(J188:Q188))&lt;(Variables!$B$26*Variables!$E$50),$F$1*((Variables!$B$26*Variables!$E$50)-H187-SUM(J188:Q188)),0)</f>
        <v>0</v>
      </c>
      <c r="U188" s="64">
        <f>IF(AND(AND(B188="Autumn",SUM(D185:E188)&gt;Variables!$B$27),SUM(J188:Q188)&lt;Variables!$B$28*H187),$F$1*(Variables!$B$28*H187-SUM(J188:Q188)),0)</f>
        <v>0</v>
      </c>
      <c r="V188" s="96">
        <f>IF(AND((J188+K188)=0,(Q188+T188)=0),$H$1*H188*Variables!$I$23*0.25,0)</f>
        <v>19.235463729999996</v>
      </c>
      <c r="W188" s="97">
        <f>IF(AND((K188+J188)=0,(T188+Q188)=0),$I$1*H188*Variables!$Q$23*0.25,0)</f>
        <v>20.134442649999993</v>
      </c>
      <c r="X188" s="95">
        <f>IF(AND(NOT(K188=0),(H188-H187)&gt;0),(H188-H187)*(Variables!$M$5*$H$1+Variables!$U$5*$I$1),0)+IF(AND(NOT((J188+N188+Q188)=0),(H187-H188)&gt;0),(H187-H188)*(Variables!$M$4*$H$1+Variables!$U$4*$I$1),0)</f>
        <v>0</v>
      </c>
      <c r="Y188" s="95">
        <f>IF(SUM(T188,U187:U188)&gt;0,H188*Variables!$Y$11*0.25*(1-$J$1),0)</f>
        <v>0</v>
      </c>
      <c r="Z188" s="95">
        <f>IF(T188=0,H188*$J$1*Variables!$Y$5*0.25,0)</f>
        <v>6.4882999999999988</v>
      </c>
      <c r="AA188" s="95">
        <f t="shared" si="5"/>
        <v>45.858206379999984</v>
      </c>
      <c r="AB188" s="91">
        <f>AA188/Variables!$E$49</f>
        <v>7.3964848999999973</v>
      </c>
    </row>
    <row r="189" spans="1:28" x14ac:dyDescent="0.25">
      <c r="A189" s="61">
        <f>'Water runs'!C196</f>
        <v>19237</v>
      </c>
      <c r="B189" s="61" t="str">
        <f>'Water runs'!B196</f>
        <v>Winter</v>
      </c>
      <c r="C189" s="54">
        <f>'Water runs'!D196/100</f>
        <v>0.874714285714286</v>
      </c>
      <c r="D189" s="108">
        <f>VLOOKUP(ROW(D189)+4,'Water runs'!$BS$3:$CF$423,MATCH($B$1,Scenarios,0)+1)</f>
        <v>0</v>
      </c>
      <c r="E189" s="54">
        <f>IF(B189=Variables!$D$8,C189-Variables!$E$8,IF(B189=Variables!$D$9,C189-Variables!$E$9,IF(B189=Variables!$D$10,C189-Variables!$E$10,IF(B189=Variables!$D$11,C189-Variables!$E$11,"ELSE"))))</f>
        <v>0.30294666005291027</v>
      </c>
      <c r="F189" s="108">
        <f>VLOOKUP(ROW(F189)+4,'Water runs'!$CH$3:$CU$423,MATCH($B$1,Scenarios,0)+1)</f>
        <v>0</v>
      </c>
      <c r="G189" s="65">
        <f>H189/Variables!$E$49</f>
        <v>0.161</v>
      </c>
      <c r="H189" s="62">
        <f>IF((H188+I189)&gt;(1.1*Variables!$E$50),(1.1*Variables!$E$50),IF((H188+I189)&gt;0,H188+I189,0))</f>
        <v>0.99820000000000009</v>
      </c>
      <c r="I189" s="64">
        <f t="shared" ref="I189:I252" si="6">SUM(J189:U189)</f>
        <v>3.3306690738754696E-16</v>
      </c>
      <c r="J189" s="63">
        <f>IF(SUM(E185:E188)&lt;Variables!$B$3,-H188,0)</f>
        <v>0</v>
      </c>
      <c r="K189" s="64">
        <f>IF(AND(H188&lt;Variables!$B$6*Variables!$E$50,OR(SUM(D186:D189)&gt;Variables!$B$5,SUM(E186:E189)&gt;Variables!$B$4)),Variables!$B$6*Variables!$E$50+Variables!$B$7*$G$1*Variables!$E$50*SUM(D186:D189),0)</f>
        <v>0</v>
      </c>
      <c r="L189" s="64">
        <f>IF(B189="Winter",Variables!$B$8*H188,0)</f>
        <v>-0.49704894489176132</v>
      </c>
      <c r="M189" s="64">
        <f>IF(AND(B189="Spring",AND(NOT(H188=0),H188&lt;(Variables!$B$9*Variables!$E$50))),(Variables!$B$10*Variables!$E$50+Variables!$B$11*Variables!$E$50*SUM(E186:E189)+$G$1*SUM(D188:D189)*Variables!$E$50*Variables!$B$12),0)</f>
        <v>0</v>
      </c>
      <c r="N189" s="64">
        <f>IF(AND(B189="Spring",AND(SUM(D186:D189)&gt;Variables!$B$13,SUM(D182:D185)&gt;Variables!$B$13)),-Variables!$B$14*Variables!$E$50,0)</f>
        <v>0</v>
      </c>
      <c r="O189" s="64">
        <f>IF(AND(B189="Summer",SUM(C185:D189)&gt;Variables!$B$15),(Variables!$B$16*Variables!$E$50*SUM(C185:C189)+$G$1*Variables!$B$16*Variables!$E$50*SUM(D185:D189)+$G$1*Variables!$E$50*Variables!$B$17*F189),0)</f>
        <v>0</v>
      </c>
      <c r="P189" s="64">
        <f>IF(AND(AND(B189="Autumn",SUM(D188:E189)&gt;0),NOT(H188=0)),Variables!$B$18*Variables!$E$50+Variables!$B$19*Variables!$E$50*SUM(E188:E189)+$G$1*Variables!$B$19*Variables!$E$50*SUM(D188:D189),0)</f>
        <v>0</v>
      </c>
      <c r="Q189" s="64">
        <f>IF(AND(B189="Autumn",AND((E189+E188)&lt;Variables!$B$20,(D188+D189)=0)),-Variables!$B$21*Variables!$E$50,0)</f>
        <v>0</v>
      </c>
      <c r="R189" s="64">
        <f>IF(B189="Autumn",(SUM(F188:F189)*$G$1*Variables!$B$22*Variables!$E$50),0)</f>
        <v>0</v>
      </c>
      <c r="S189" s="64">
        <f>IF(B189="Spring",($G$1*Variables!$E$50*SUM('Guts (option 1)'!F188:F189)*Variables!$B$23),0)</f>
        <v>0</v>
      </c>
      <c r="T189" s="63">
        <f>IF((H188+SUM(J189:Q189))&lt;(Variables!$B$26*Variables!$E$50),$F$1*((Variables!$B$26*Variables!$E$50)-H188-SUM(J189:Q189)),0)</f>
        <v>0.49704894489176166</v>
      </c>
      <c r="U189" s="64">
        <f>IF(AND(AND(B189="Autumn",SUM(D186:E189)&gt;Variables!$B$27),SUM(J189:Q189)&lt;Variables!$B$28*H188),$F$1*(Variables!$B$28*H188-SUM(J189:Q189)),0)</f>
        <v>0</v>
      </c>
      <c r="V189" s="96">
        <f>IF(AND((J189+K189)=0,(Q189+T189)=0),$H$1*H189*Variables!$I$23*0.25,0)</f>
        <v>0</v>
      </c>
      <c r="W189" s="97">
        <f>IF(AND((K189+J189)=0,(T189+Q189)=0),$I$1*H189*Variables!$Q$23*0.25,0)</f>
        <v>0</v>
      </c>
      <c r="X189" s="95">
        <f>IF(AND(NOT(K189=0),(H189-H188)&gt;0),(H189-H188)*(Variables!$M$5*$H$1+Variables!$U$5*$I$1),0)+IF(AND(NOT((J189+N189+Q189)=0),(H188-H189)&gt;0),(H188-H189)*(Variables!$M$4*$H$1+Variables!$U$4*$I$1),0)</f>
        <v>0</v>
      </c>
      <c r="Y189" s="95">
        <f>IF(SUM(T189,U188:U189)&gt;0,H189*Variables!$Y$11*0.25*(1-$J$1),0)</f>
        <v>0</v>
      </c>
      <c r="Z189" s="95">
        <f>IF(T189=0,H189*$J$1*Variables!$Y$5*0.25,0)</f>
        <v>0</v>
      </c>
      <c r="AA189" s="95">
        <f t="shared" si="5"/>
        <v>0</v>
      </c>
      <c r="AB189" s="91">
        <f>AA189/Variables!$E$49</f>
        <v>0</v>
      </c>
    </row>
    <row r="190" spans="1:28" x14ac:dyDescent="0.25">
      <c r="A190" s="61">
        <f>'Water runs'!C197</f>
        <v>19328</v>
      </c>
      <c r="B190" s="61" t="str">
        <f>'Water runs'!B197</f>
        <v>Spring</v>
      </c>
      <c r="C190" s="54">
        <f>'Water runs'!D197/100</f>
        <v>0.80628571428571405</v>
      </c>
      <c r="D190" s="108">
        <f>VLOOKUP(ROW(D190)+4,'Water runs'!$BS$3:$CF$423,MATCH($B$1,Scenarios,0)+1)</f>
        <v>0</v>
      </c>
      <c r="E190" s="54">
        <f>IF(B190=Variables!$D$8,C190-Variables!$E$8,IF(B190=Variables!$D$9,C190-Variables!$E$9,IF(B190=Variables!$D$10,C190-Variables!$E$10,IF(B190=Variables!$D$11,C190-Variables!$E$11,"ELSE"))))</f>
        <v>4.2303505291004906E-2</v>
      </c>
      <c r="F190" s="108">
        <f>VLOOKUP(ROW(F190)+4,'Water runs'!$CH$3:$CU$423,MATCH($B$1,Scenarios,0)+1)</f>
        <v>0</v>
      </c>
      <c r="G190" s="65">
        <f>H190/Variables!$E$49</f>
        <v>0.30386925626761707</v>
      </c>
      <c r="H190" s="62">
        <f>IF((H189+I190)&gt;(1.1*Variables!$E$50),(1.1*Variables!$E$50),IF((H189+I190)&gt;0,H189+I190,0))</f>
        <v>1.8839893888592258</v>
      </c>
      <c r="I190" s="64">
        <f t="shared" si="6"/>
        <v>0.88578938885922587</v>
      </c>
      <c r="J190" s="63">
        <f>IF(SUM(E186:E189)&lt;Variables!$B$3,-H189,0)</f>
        <v>0</v>
      </c>
      <c r="K190" s="64">
        <f>IF(AND(H189&lt;Variables!$B$6*Variables!$E$50,OR(SUM(D187:D190)&gt;Variables!$B$5,SUM(E187:E190)&gt;Variables!$B$4)),Variables!$B$6*Variables!$E$50+Variables!$B$7*$G$1*Variables!$E$50*SUM(D187:D190),0)</f>
        <v>1.1411884509563028</v>
      </c>
      <c r="L190" s="64">
        <f>IF(B190="Winter",Variables!$B$8*H189,0)</f>
        <v>0</v>
      </c>
      <c r="M190" s="64">
        <f>IF(AND(B190="Spring",AND(NOT(H189=0),H189&lt;(Variables!$B$9*Variables!$E$50))),(Variables!$B$10*Variables!$E$50+Variables!$B$11*Variables!$E$50*SUM(E187:E190)+$G$1*SUM(D189:D190)*Variables!$E$50*Variables!$B$12),0)</f>
        <v>-0.25539906209707691</v>
      </c>
      <c r="N190" s="64">
        <f>IF(AND(B190="Spring",AND(SUM(D187:D190)&gt;Variables!$B$13,SUM(D183:D186)&gt;Variables!$B$13)),-Variables!$B$14*Variables!$E$50,0)</f>
        <v>0</v>
      </c>
      <c r="O190" s="64">
        <f>IF(AND(B190="Summer",SUM(C186:D190)&gt;Variables!$B$15),(Variables!$B$16*Variables!$E$50*SUM(C186:C190)+$G$1*Variables!$B$16*Variables!$E$50*SUM(D186:D190)+$G$1*Variables!$E$50*Variables!$B$17*F190),0)</f>
        <v>0</v>
      </c>
      <c r="P190" s="64">
        <f>IF(AND(AND(B190="Autumn",SUM(D189:E190)&gt;0),NOT(H189=0)),Variables!$B$18*Variables!$E$50+Variables!$B$19*Variables!$E$50*SUM(E189:E190)+$G$1*Variables!$B$19*Variables!$E$50*SUM(D189:D190),0)</f>
        <v>0</v>
      </c>
      <c r="Q190" s="64">
        <f>IF(AND(B190="Autumn",AND((E190+E189)&lt;Variables!$B$20,(D189+D190)=0)),-Variables!$B$21*Variables!$E$50,0)</f>
        <v>0</v>
      </c>
      <c r="R190" s="64">
        <f>IF(B190="Autumn",(SUM(F189:F190)*$G$1*Variables!$B$22*Variables!$E$50),0)</f>
        <v>0</v>
      </c>
      <c r="S190" s="64">
        <f>IF(B190="Spring",($G$1*Variables!$E$50*SUM('Guts (option 1)'!F189:F190)*Variables!$B$23),0)</f>
        <v>0</v>
      </c>
      <c r="T190" s="63">
        <f>IF((H189+SUM(J190:Q190))&lt;(Variables!$B$26*Variables!$E$50),$F$1*((Variables!$B$26*Variables!$E$50)-H189-SUM(J190:Q190)),0)</f>
        <v>0</v>
      </c>
      <c r="U190" s="64">
        <f>IF(AND(AND(B190="Autumn",SUM(D187:E190)&gt;Variables!$B$27),SUM(J190:Q190)&lt;Variables!$B$28*H189),$F$1*(Variables!$B$28*H189-SUM(J190:Q190)),0)</f>
        <v>0</v>
      </c>
      <c r="V190" s="96">
        <f>IF(AND((J190+K190)=0,(Q190+T190)=0),$H$1*H190*Variables!$I$23*0.25,0)</f>
        <v>0</v>
      </c>
      <c r="W190" s="97">
        <f>IF(AND((K190+J190)=0,(T190+Q190)=0),$I$1*H190*Variables!$Q$23*0.25,0)</f>
        <v>0</v>
      </c>
      <c r="X190" s="95">
        <f>IF(AND(NOT(K190=0),(H190-H189)&gt;0),(H190-H189)*(Variables!$M$5*$H$1+Variables!$U$5*$I$1),0)+IF(AND(NOT((J190+N190+Q190)=0),(H189-H190)&gt;0),(H189-H190)*(Variables!$M$4*$H$1+Variables!$U$4*$I$1),0)</f>
        <v>-221.44734721480643</v>
      </c>
      <c r="Y190" s="95">
        <f>IF(SUM(T190,U189:U190)&gt;0,H190*Variables!$Y$11*0.25*(1-$J$1),0)</f>
        <v>0</v>
      </c>
      <c r="Z190" s="95">
        <f>IF(T190=0,H190*$J$1*Variables!$Y$5*0.25,0)</f>
        <v>12.245931027584968</v>
      </c>
      <c r="AA190" s="95">
        <f t="shared" si="5"/>
        <v>-209.20141618722147</v>
      </c>
      <c r="AB190" s="91">
        <f>AA190/Variables!$E$49</f>
        <v>-33.742163901164751</v>
      </c>
    </row>
    <row r="191" spans="1:28" x14ac:dyDescent="0.25">
      <c r="A191" s="61">
        <f>'Water runs'!C198</f>
        <v>19418</v>
      </c>
      <c r="B191" s="61" t="str">
        <f>'Water runs'!B198</f>
        <v>Summer</v>
      </c>
      <c r="C191" s="54">
        <f>'Water runs'!D198/100</f>
        <v>1.3398428571428598</v>
      </c>
      <c r="D191" s="108">
        <f>VLOOKUP(ROW(D191)+4,'Water runs'!$BS$3:$CF$423,MATCH($B$1,Scenarios,0)+1)</f>
        <v>1.2205163936373209E-3</v>
      </c>
      <c r="E191" s="54">
        <f>IF(B191=Variables!$D$8,C191-Variables!$E$8,IF(B191=Variables!$D$9,C191-Variables!$E$9,IF(B191=Variables!$D$10,C191-Variables!$E$10,IF(B191=Variables!$D$11,C191-Variables!$E$11,"ELSE"))))</f>
        <v>8.147272108843806E-2</v>
      </c>
      <c r="F191" s="108">
        <f>VLOOKUP(ROW(F191)+4,'Water runs'!$CH$3:$CU$423,MATCH($B$1,Scenarios,0)+1)</f>
        <v>0</v>
      </c>
      <c r="G191" s="65">
        <f>H191/Variables!$E$49</f>
        <v>0.30386925626761707</v>
      </c>
      <c r="H191" s="62">
        <f>IF((H190+I191)&gt;(1.1*Variables!$E$50),(1.1*Variables!$E$50),IF((H190+I191)&gt;0,H190+I191,0))</f>
        <v>1.8839893888592258</v>
      </c>
      <c r="I191" s="64">
        <f t="shared" si="6"/>
        <v>0</v>
      </c>
      <c r="J191" s="63">
        <f>IF(SUM(E187:E190)&lt;Variables!$B$3,-H190,0)</f>
        <v>0</v>
      </c>
      <c r="K191" s="64">
        <f>IF(AND(H190&lt;Variables!$B$6*Variables!$E$50,OR(SUM(D188:D191)&gt;Variables!$B$5,SUM(E188:E191)&gt;Variables!$B$4)),Variables!$B$6*Variables!$E$50+Variables!$B$7*$G$1*Variables!$E$50*SUM(D188:D191),0)</f>
        <v>0</v>
      </c>
      <c r="L191" s="64">
        <f>IF(B191="Winter",Variables!$B$8*H190,0)</f>
        <v>0</v>
      </c>
      <c r="M191" s="64">
        <f>IF(AND(B191="Spring",AND(NOT(H190=0),H190&lt;(Variables!$B$9*Variables!$E$50))),(Variables!$B$10*Variables!$E$50+Variables!$B$11*Variables!$E$50*SUM(E188:E191)+$G$1*SUM(D190:D191)*Variables!$E$50*Variables!$B$12),0)</f>
        <v>0</v>
      </c>
      <c r="N191" s="64">
        <f>IF(AND(B191="Spring",AND(SUM(D188:D191)&gt;Variables!$B$13,SUM(D184:D187)&gt;Variables!$B$13)),-Variables!$B$14*Variables!$E$50,0)</f>
        <v>0</v>
      </c>
      <c r="O191" s="64">
        <f>IF(AND(B191="Summer",SUM(C187:D191)&gt;Variables!$B$15),(Variables!$B$16*Variables!$E$50*SUM(C187:C191)+$G$1*Variables!$B$16*Variables!$E$50*SUM(D187:D191)+$G$1*Variables!$E$50*Variables!$B$17*F191),0)</f>
        <v>0</v>
      </c>
      <c r="P191" s="64">
        <f>IF(AND(AND(B191="Autumn",SUM(D190:E191)&gt;0),NOT(H190=0)),Variables!$B$18*Variables!$E$50+Variables!$B$19*Variables!$E$50*SUM(E190:E191)+$G$1*Variables!$B$19*Variables!$E$50*SUM(D190:D191),0)</f>
        <v>0</v>
      </c>
      <c r="Q191" s="64">
        <f>IF(AND(B191="Autumn",AND((E191+E190)&lt;Variables!$B$20,(D190+D191)=0)),-Variables!$B$21*Variables!$E$50,0)</f>
        <v>0</v>
      </c>
      <c r="R191" s="64">
        <f>IF(B191="Autumn",(SUM(F190:F191)*$G$1*Variables!$B$22*Variables!$E$50),0)</f>
        <v>0</v>
      </c>
      <c r="S191" s="64">
        <f>IF(B191="Spring",($G$1*Variables!$E$50*SUM('Guts (option 1)'!F190:F191)*Variables!$B$23),0)</f>
        <v>0</v>
      </c>
      <c r="T191" s="63">
        <f>IF((H190+SUM(J191:Q191))&lt;(Variables!$B$26*Variables!$E$50),$F$1*((Variables!$B$26*Variables!$E$50)-H190-SUM(J191:Q191)),0)</f>
        <v>0</v>
      </c>
      <c r="U191" s="64">
        <f>IF(AND(AND(B191="Autumn",SUM(D188:E191)&gt;Variables!$B$27),SUM(J191:Q191)&lt;Variables!$B$28*H190),$F$1*(Variables!$B$28*H190-SUM(J191:Q191)),0)</f>
        <v>0</v>
      </c>
      <c r="V191" s="96">
        <f>IF(AND((J191+K191)=0,(Q191+T191)=0),$H$1*H191*Variables!$I$23*0.25,0)</f>
        <v>36.304758121725612</v>
      </c>
      <c r="W191" s="97">
        <f>IF(AND((K191+J191)=0,(T191+Q191)=0),$I$1*H191*Variables!$Q$23*0.25,0)</f>
        <v>38.001478965332225</v>
      </c>
      <c r="X191" s="95">
        <f>IF(AND(NOT(K191=0),(H191-H190)&gt;0),(H191-H190)*(Variables!$M$5*$H$1+Variables!$U$5*$I$1),0)+IF(AND(NOT((J191+N191+Q191)=0),(H190-H191)&gt;0),(H190-H191)*(Variables!$M$4*$H$1+Variables!$U$4*$I$1),0)</f>
        <v>0</v>
      </c>
      <c r="Y191" s="95">
        <f>IF(SUM(T191,U190:U191)&gt;0,H191*Variables!$Y$11*0.25*(1-$J$1),0)</f>
        <v>0</v>
      </c>
      <c r="Z191" s="95">
        <f>IF(T191=0,H191*$J$1*Variables!$Y$5*0.25,0)</f>
        <v>12.245931027584968</v>
      </c>
      <c r="AA191" s="95">
        <f t="shared" si="5"/>
        <v>86.552168114642811</v>
      </c>
      <c r="AB191" s="91">
        <f>AA191/Variables!$E$49</f>
        <v>13.960027115264969</v>
      </c>
    </row>
    <row r="192" spans="1:28" x14ac:dyDescent="0.25">
      <c r="A192" s="61">
        <f>'Water runs'!C199</f>
        <v>19510</v>
      </c>
      <c r="B192" s="61" t="str">
        <f>'Water runs'!B199</f>
        <v>Autumn</v>
      </c>
      <c r="C192" s="54">
        <f>'Water runs'!D199/100</f>
        <v>1.2438</v>
      </c>
      <c r="D192" s="108">
        <f>VLOOKUP(ROW(D192)+4,'Water runs'!$BS$3:$CF$423,MATCH($B$1,Scenarios,0)+1)</f>
        <v>8.3932889413217845E-2</v>
      </c>
      <c r="E192" s="54">
        <f>IF(B192=Variables!$D$8,C192-Variables!$E$8,IF(B192=Variables!$D$9,C192-Variables!$E$9,IF(B192=Variables!$D$10,C192-Variables!$E$10,IF(B192=Variables!$D$11,C192-Variables!$E$11,"ELSE"))))</f>
        <v>0.24915670068027218</v>
      </c>
      <c r="F192" s="108">
        <f>VLOOKUP(ROW(F192)+4,'Water runs'!$CH$3:$CU$423,MATCH($B$1,Scenarios,0)+1)</f>
        <v>0</v>
      </c>
      <c r="G192" s="65">
        <f>H192/Variables!$E$49</f>
        <v>0.50170571236565453</v>
      </c>
      <c r="H192" s="62">
        <f>IF((H191+I192)&gt;(1.1*Variables!$E$50),(1.1*Variables!$E$50),IF((H191+I192)&gt;0,H191+I192,0))</f>
        <v>3.1105754166670581</v>
      </c>
      <c r="I192" s="64">
        <f t="shared" si="6"/>
        <v>1.2265860278078322</v>
      </c>
      <c r="J192" s="63">
        <f>IF(SUM(E188:E191)&lt;Variables!$B$3,-H191,0)</f>
        <v>0</v>
      </c>
      <c r="K192" s="64">
        <f>IF(AND(H191&lt;Variables!$B$6*Variables!$E$50,OR(SUM(D189:D192)&gt;Variables!$B$5,SUM(E189:E192)&gt;Variables!$B$4)),Variables!$B$6*Variables!$E$50+Variables!$B$7*$G$1*Variables!$E$50*SUM(D189:D192),0)</f>
        <v>0</v>
      </c>
      <c r="L192" s="64">
        <f>IF(B192="Winter",Variables!$B$8*H191,0)</f>
        <v>0</v>
      </c>
      <c r="M192" s="64">
        <f>IF(AND(B192="Spring",AND(NOT(H191=0),H191&lt;(Variables!$B$9*Variables!$E$50))),(Variables!$B$10*Variables!$E$50+Variables!$B$11*Variables!$E$50*SUM(E189:E192)+$G$1*SUM(D191:D192)*Variables!$E$50*Variables!$B$12),0)</f>
        <v>0</v>
      </c>
      <c r="N192" s="64">
        <f>IF(AND(B192="Spring",AND(SUM(D189:D192)&gt;Variables!$B$13,SUM(D185:D188)&gt;Variables!$B$13)),-Variables!$B$14*Variables!$E$50,0)</f>
        <v>0</v>
      </c>
      <c r="O192" s="64">
        <f>IF(AND(B192="Summer",SUM(C188:D192)&gt;Variables!$B$15),(Variables!$B$16*Variables!$E$50*SUM(C188:C192)+$G$1*Variables!$B$16*Variables!$E$50*SUM(D188:D192)+$G$1*Variables!$E$50*Variables!$B$17*F192),0)</f>
        <v>0</v>
      </c>
      <c r="P192" s="64">
        <f>IF(AND(AND(B192="Autumn",SUM(D191:E192)&gt;0),NOT(H191=0)),Variables!$B$18*Variables!$E$50+Variables!$B$19*Variables!$E$50*SUM(E191:E192)+$G$1*Variables!$B$19*Variables!$E$50*SUM(D191:D192),0)</f>
        <v>1.2265860278078322</v>
      </c>
      <c r="Q192" s="64">
        <f>IF(AND(B192="Autumn",AND((E192+E191)&lt;Variables!$B$20,(D191+D192)=0)),-Variables!$B$21*Variables!$E$50,0)</f>
        <v>0</v>
      </c>
      <c r="R192" s="64">
        <f>IF(B192="Autumn",(SUM(F191:F192)*$G$1*Variables!$B$22*Variables!$E$50),0)</f>
        <v>0</v>
      </c>
      <c r="S192" s="64">
        <f>IF(B192="Spring",($G$1*Variables!$E$50*SUM('Guts (option 1)'!F191:F192)*Variables!$B$23),0)</f>
        <v>0</v>
      </c>
      <c r="T192" s="63">
        <f>IF((H191+SUM(J192:Q192))&lt;(Variables!$B$26*Variables!$E$50),$F$1*((Variables!$B$26*Variables!$E$50)-H191-SUM(J192:Q192)),0)</f>
        <v>0</v>
      </c>
      <c r="U192" s="64">
        <f>IF(AND(AND(B192="Autumn",SUM(D189:E192)&gt;Variables!$B$27),SUM(J192:Q192)&lt;Variables!$B$28*H191),$F$1*(Variables!$B$28*H191-SUM(J192:Q192)),0)</f>
        <v>0</v>
      </c>
      <c r="V192" s="96">
        <f>IF(AND((J192+K192)=0,(Q192+T192)=0),$H$1*H192*Variables!$I$23*0.25,0)</f>
        <v>59.941254865486712</v>
      </c>
      <c r="W192" s="97">
        <f>IF(AND((K192+J192)=0,(T192+Q192)=0),$I$1*H192*Variables!$Q$23*0.25,0)</f>
        <v>62.742639085737054</v>
      </c>
      <c r="X192" s="95">
        <f>IF(AND(NOT(K192=0),(H192-H191)&gt;0),(H192-H191)*(Variables!$M$5*$H$1+Variables!$U$5*$I$1),0)+IF(AND(NOT((J192+N192+Q192)=0),(H191-H192)&gt;0),(H191-H192)*(Variables!$M$4*$H$1+Variables!$U$4*$I$1),0)</f>
        <v>0</v>
      </c>
      <c r="Y192" s="95">
        <f>IF(SUM(T192,U191:U192)&gt;0,H192*Variables!$Y$11*0.25*(1-$J$1),0)</f>
        <v>0</v>
      </c>
      <c r="Z192" s="95">
        <f>IF(T192=0,H192*$J$1*Variables!$Y$5*0.25,0)</f>
        <v>20.218740208335877</v>
      </c>
      <c r="AA192" s="95">
        <f t="shared" si="5"/>
        <v>142.90263415955965</v>
      </c>
      <c r="AB192" s="91">
        <f>AA192/Variables!$E$49</f>
        <v>23.048811961219297</v>
      </c>
    </row>
    <row r="193" spans="1:28" x14ac:dyDescent="0.25">
      <c r="A193" s="61">
        <f>'Water runs'!C200</f>
        <v>19602</v>
      </c>
      <c r="B193" s="61" t="str">
        <f>'Water runs'!B200</f>
        <v>Winter</v>
      </c>
      <c r="C193" s="54">
        <f>'Water runs'!D200/100</f>
        <v>0.15533333333333299</v>
      </c>
      <c r="D193" s="108">
        <f>VLOOKUP(ROW(D193)+4,'Water runs'!$BS$3:$CF$423,MATCH($B$1,Scenarios,0)+1)</f>
        <v>0</v>
      </c>
      <c r="E193" s="54">
        <f>IF(B193=Variables!$D$8,C193-Variables!$E$8,IF(B193=Variables!$D$9,C193-Variables!$E$9,IF(B193=Variables!$D$10,C193-Variables!$E$10,IF(B193=Variables!$D$11,C193-Variables!$E$11,"ELSE"))))</f>
        <v>-0.41643429232804274</v>
      </c>
      <c r="F193" s="108">
        <f>VLOOKUP(ROW(F193)+4,'Water runs'!$CH$3:$CU$423,MATCH($B$1,Scenarios,0)+1)</f>
        <v>0</v>
      </c>
      <c r="G193" s="65">
        <f>H193/Variables!$E$49</f>
        <v>0.25188373783397938</v>
      </c>
      <c r="H193" s="62">
        <f>IF((H192+I193)&gt;(1.1*Variables!$E$50),(1.1*Variables!$E$50),IF((H192+I193)&gt;0,H192+I193,0))</f>
        <v>1.5616791745706722</v>
      </c>
      <c r="I193" s="64">
        <f t="shared" si="6"/>
        <v>-1.5488962420963859</v>
      </c>
      <c r="J193" s="63">
        <f>IF(SUM(E189:E192)&lt;Variables!$B$3,-H192,0)</f>
        <v>0</v>
      </c>
      <c r="K193" s="64">
        <f>IF(AND(H192&lt;Variables!$B$6*Variables!$E$50,OR(SUM(D190:D193)&gt;Variables!$B$5,SUM(E190:E193)&gt;Variables!$B$4)),Variables!$B$6*Variables!$E$50+Variables!$B$7*$G$1*Variables!$E$50*SUM(D190:D193),0)</f>
        <v>0</v>
      </c>
      <c r="L193" s="64">
        <f>IF(B193="Winter",Variables!$B$8*H192,0)</f>
        <v>-1.5488962420963859</v>
      </c>
      <c r="M193" s="64">
        <f>IF(AND(B193="Spring",AND(NOT(H192=0),H192&lt;(Variables!$B$9*Variables!$E$50))),(Variables!$B$10*Variables!$E$50+Variables!$B$11*Variables!$E$50*SUM(E190:E193)+$G$1*SUM(D192:D193)*Variables!$E$50*Variables!$B$12),0)</f>
        <v>0</v>
      </c>
      <c r="N193" s="64">
        <f>IF(AND(B193="Spring",AND(SUM(D190:D193)&gt;Variables!$B$13,SUM(D186:D189)&gt;Variables!$B$13)),-Variables!$B$14*Variables!$E$50,0)</f>
        <v>0</v>
      </c>
      <c r="O193" s="64">
        <f>IF(AND(B193="Summer",SUM(C189:D193)&gt;Variables!$B$15),(Variables!$B$16*Variables!$E$50*SUM(C189:C193)+$G$1*Variables!$B$16*Variables!$E$50*SUM(D189:D193)+$G$1*Variables!$E$50*Variables!$B$17*F193),0)</f>
        <v>0</v>
      </c>
      <c r="P193" s="64">
        <f>IF(AND(AND(B193="Autumn",SUM(D192:E193)&gt;0),NOT(H192=0)),Variables!$B$18*Variables!$E$50+Variables!$B$19*Variables!$E$50*SUM(E192:E193)+$G$1*Variables!$B$19*Variables!$E$50*SUM(D192:D193),0)</f>
        <v>0</v>
      </c>
      <c r="Q193" s="64">
        <f>IF(AND(B193="Autumn",AND((E193+E192)&lt;Variables!$B$20,(D192+D193)=0)),-Variables!$B$21*Variables!$E$50,0)</f>
        <v>0</v>
      </c>
      <c r="R193" s="64">
        <f>IF(B193="Autumn",(SUM(F192:F193)*$G$1*Variables!$B$22*Variables!$E$50),0)</f>
        <v>0</v>
      </c>
      <c r="S193" s="64">
        <f>IF(B193="Spring",($G$1*Variables!$E$50*SUM('Guts (option 1)'!F192:F193)*Variables!$B$23),0)</f>
        <v>0</v>
      </c>
      <c r="T193" s="63">
        <f>IF((H192+SUM(J193:Q193))&lt;(Variables!$B$26*Variables!$E$50),$F$1*((Variables!$B$26*Variables!$E$50)-H192-SUM(J193:Q193)),0)</f>
        <v>0</v>
      </c>
      <c r="U193" s="64">
        <f>IF(AND(AND(B193="Autumn",SUM(D190:E193)&gt;Variables!$B$27),SUM(J193:Q193)&lt;Variables!$B$28*H192),$F$1*(Variables!$B$28*H192-SUM(J193:Q193)),0)</f>
        <v>0</v>
      </c>
      <c r="V193" s="96">
        <f>IF(AND((J193+K193)=0,(Q193+T193)=0),$H$1*H193*Variables!$I$23*0.25,0)</f>
        <v>30.093791945853042</v>
      </c>
      <c r="W193" s="97">
        <f>IF(AND((K193+J193)=0,(T193+Q193)=0),$I$1*H193*Variables!$Q$23*0.25,0)</f>
        <v>31.500240210471382</v>
      </c>
      <c r="X193" s="95">
        <f>IF(AND(NOT(K193=0),(H193-H192)&gt;0),(H193-H192)*(Variables!$M$5*$H$1+Variables!$U$5*$I$1),0)+IF(AND(NOT((J193+N193+Q193)=0),(H192-H193)&gt;0),(H192-H193)*(Variables!$M$4*$H$1+Variables!$U$4*$I$1),0)</f>
        <v>0</v>
      </c>
      <c r="Y193" s="95">
        <f>IF(SUM(T193,U192:U193)&gt;0,H193*Variables!$Y$11*0.25*(1-$J$1),0)</f>
        <v>0</v>
      </c>
      <c r="Z193" s="95">
        <f>IF(T193=0,H193*$J$1*Variables!$Y$5*0.25,0)</f>
        <v>10.15091463470937</v>
      </c>
      <c r="AA193" s="95">
        <f t="shared" si="5"/>
        <v>71.744946791033797</v>
      </c>
      <c r="AB193" s="91">
        <f>AA193/Variables!$E$49</f>
        <v>11.571765611457064</v>
      </c>
    </row>
    <row r="194" spans="1:28" x14ac:dyDescent="0.25">
      <c r="A194" s="61">
        <f>'Water runs'!C201</f>
        <v>19693</v>
      </c>
      <c r="B194" s="61" t="str">
        <f>'Water runs'!B201</f>
        <v>Spring</v>
      </c>
      <c r="C194" s="54">
        <f>'Water runs'!D201/100</f>
        <v>0.63549999999999995</v>
      </c>
      <c r="D194" s="108">
        <f>VLOOKUP(ROW(D194)+4,'Water runs'!$BS$3:$CF$423,MATCH($B$1,Scenarios,0)+1)</f>
        <v>0</v>
      </c>
      <c r="E194" s="54">
        <f>IF(B194=Variables!$D$8,C194-Variables!$E$8,IF(B194=Variables!$D$9,C194-Variables!$E$9,IF(B194=Variables!$D$10,C194-Variables!$E$10,IF(B194=Variables!$D$11,C194-Variables!$E$11,"ELSE"))))</f>
        <v>-0.12848220899470919</v>
      </c>
      <c r="F194" s="108">
        <f>VLOOKUP(ROW(F194)+4,'Water runs'!$CH$3:$CU$423,MATCH($B$1,Scenarios,0)+1)</f>
        <v>0</v>
      </c>
      <c r="G194" s="65">
        <f>H194/Variables!$E$49</f>
        <v>0.22834458949563491</v>
      </c>
      <c r="H194" s="62">
        <f>IF((H193+I194)&gt;(1.1*Variables!$E$50),(1.1*Variables!$E$50),IF((H193+I194)&gt;0,H193+I194,0))</f>
        <v>1.4157364548729365</v>
      </c>
      <c r="I194" s="64">
        <f t="shared" si="6"/>
        <v>-0.14594271969773559</v>
      </c>
      <c r="J194" s="63">
        <f>IF(SUM(E190:E193)&lt;Variables!$B$3,-H193,0)</f>
        <v>0</v>
      </c>
      <c r="K194" s="64">
        <f>IF(AND(H193&lt;Variables!$B$6*Variables!$E$50,OR(SUM(D191:D194)&gt;Variables!$B$5,SUM(E191:E194)&gt;Variables!$B$4)),Variables!$B$6*Variables!$E$50+Variables!$B$7*$G$1*Variables!$E$50*SUM(D191:D194),0)</f>
        <v>0</v>
      </c>
      <c r="L194" s="64">
        <f>IF(B194="Winter",Variables!$B$8*H193,0)</f>
        <v>0</v>
      </c>
      <c r="M194" s="64">
        <f>IF(AND(B194="Spring",AND(NOT(H193=0),H193&lt;(Variables!$B$9*Variables!$E$50))),(Variables!$B$10*Variables!$E$50+Variables!$B$11*Variables!$E$50*SUM(E191:E194)+$G$1*SUM(D193:D194)*Variables!$E$50*Variables!$B$12),0)</f>
        <v>-0.14594271969773559</v>
      </c>
      <c r="N194" s="64">
        <f>IF(AND(B194="Spring",AND(SUM(D191:D194)&gt;Variables!$B$13,SUM(D187:D190)&gt;Variables!$B$13)),-Variables!$B$14*Variables!$E$50,0)</f>
        <v>0</v>
      </c>
      <c r="O194" s="64">
        <f>IF(AND(B194="Summer",SUM(C190:D194)&gt;Variables!$B$15),(Variables!$B$16*Variables!$E$50*SUM(C190:C194)+$G$1*Variables!$B$16*Variables!$E$50*SUM(D190:D194)+$G$1*Variables!$E$50*Variables!$B$17*F194),0)</f>
        <v>0</v>
      </c>
      <c r="P194" s="64">
        <f>IF(AND(AND(B194="Autumn",SUM(D193:E194)&gt;0),NOT(H193=0)),Variables!$B$18*Variables!$E$50+Variables!$B$19*Variables!$E$50*SUM(E193:E194)+$G$1*Variables!$B$19*Variables!$E$50*SUM(D193:D194),0)</f>
        <v>0</v>
      </c>
      <c r="Q194" s="64">
        <f>IF(AND(B194="Autumn",AND((E194+E193)&lt;Variables!$B$20,(D193+D194)=0)),-Variables!$B$21*Variables!$E$50,0)</f>
        <v>0</v>
      </c>
      <c r="R194" s="64">
        <f>IF(B194="Autumn",(SUM(F193:F194)*$G$1*Variables!$B$22*Variables!$E$50),0)</f>
        <v>0</v>
      </c>
      <c r="S194" s="64">
        <f>IF(B194="Spring",($G$1*Variables!$E$50*SUM('Guts (option 1)'!F193:F194)*Variables!$B$23),0)</f>
        <v>0</v>
      </c>
      <c r="T194" s="63">
        <f>IF((H193+SUM(J194:Q194))&lt;(Variables!$B$26*Variables!$E$50),$F$1*((Variables!$B$26*Variables!$E$50)-H193-SUM(J194:Q194)),0)</f>
        <v>0</v>
      </c>
      <c r="U194" s="64">
        <f>IF(AND(AND(B194="Autumn",SUM(D191:E194)&gt;Variables!$B$27),SUM(J194:Q194)&lt;Variables!$B$28*H193),$F$1*(Variables!$B$28*H193-SUM(J194:Q194)),0)</f>
        <v>0</v>
      </c>
      <c r="V194" s="96">
        <f>IF(AND((J194+K194)=0,(Q194+T194)=0),$H$1*H194*Variables!$I$23*0.25,0)</f>
        <v>27.28145384586972</v>
      </c>
      <c r="W194" s="97">
        <f>IF(AND((K194+J194)=0,(T194+Q194)=0),$I$1*H194*Variables!$Q$23*0.25,0)</f>
        <v>28.556466097128283</v>
      </c>
      <c r="X194" s="95">
        <f>IF(AND(NOT(K194=0),(H194-H193)&gt;0),(H194-H193)*(Variables!$M$5*$H$1+Variables!$U$5*$I$1),0)+IF(AND(NOT((J194+N194+Q194)=0),(H193-H194)&gt;0),(H193-H194)*(Variables!$M$4*$H$1+Variables!$U$4*$I$1),0)</f>
        <v>0</v>
      </c>
      <c r="Y194" s="95">
        <f>IF(SUM(T194,U193:U194)&gt;0,H194*Variables!$Y$11*0.25*(1-$J$1),0)</f>
        <v>0</v>
      </c>
      <c r="Z194" s="95">
        <f>IF(T194=0,H194*$J$1*Variables!$Y$5*0.25,0)</f>
        <v>9.2022869566740866</v>
      </c>
      <c r="AA194" s="95">
        <f t="shared" si="5"/>
        <v>65.040206899672086</v>
      </c>
      <c r="AB194" s="91">
        <f>AA194/Variables!$E$49</f>
        <v>10.490355951560014</v>
      </c>
    </row>
    <row r="195" spans="1:28" x14ac:dyDescent="0.25">
      <c r="A195" s="61">
        <f>'Water runs'!C202</f>
        <v>19783</v>
      </c>
      <c r="B195" s="61" t="str">
        <f>'Water runs'!B202</f>
        <v>Summer</v>
      </c>
      <c r="C195" s="54">
        <f>'Water runs'!D202/100</f>
        <v>1.5088333333333301</v>
      </c>
      <c r="D195" s="108">
        <f>VLOOKUP(ROW(D195)+4,'Water runs'!$BS$3:$CF$423,MATCH($B$1,Scenarios,0)+1)</f>
        <v>0.29362188140840384</v>
      </c>
      <c r="E195" s="54">
        <f>IF(B195=Variables!$D$8,C195-Variables!$E$8,IF(B195=Variables!$D$9,C195-Variables!$E$9,IF(B195=Variables!$D$10,C195-Variables!$E$10,IF(B195=Variables!$D$11,C195-Variables!$E$11,"ELSE"))))</f>
        <v>0.25046319727890842</v>
      </c>
      <c r="F195" s="108">
        <f>VLOOKUP(ROW(F195)+4,'Water runs'!$CH$3:$CU$423,MATCH($B$1,Scenarios,0)+1)</f>
        <v>0</v>
      </c>
      <c r="G195" s="65">
        <f>H195/Variables!$E$49</f>
        <v>0.22834458949563491</v>
      </c>
      <c r="H195" s="62">
        <f>IF((H194+I195)&gt;(1.1*Variables!$E$50),(1.1*Variables!$E$50),IF((H194+I195)&gt;0,H194+I195,0))</f>
        <v>1.4157364548729365</v>
      </c>
      <c r="I195" s="64">
        <f t="shared" si="6"/>
        <v>0</v>
      </c>
      <c r="J195" s="63">
        <f>IF(SUM(E191:E194)&lt;Variables!$B$3,-H194,0)</f>
        <v>0</v>
      </c>
      <c r="K195" s="64">
        <f>IF(AND(H194&lt;Variables!$B$6*Variables!$E$50,OR(SUM(D192:D195)&gt;Variables!$B$5,SUM(E192:E195)&gt;Variables!$B$4)),Variables!$B$6*Variables!$E$50+Variables!$B$7*$G$1*Variables!$E$50*SUM(D192:D195),0)</f>
        <v>0</v>
      </c>
      <c r="L195" s="64">
        <f>IF(B195="Winter",Variables!$B$8*H194,0)</f>
        <v>0</v>
      </c>
      <c r="M195" s="64">
        <f>IF(AND(B195="Spring",AND(NOT(H194=0),H194&lt;(Variables!$B$9*Variables!$E$50))),(Variables!$B$10*Variables!$E$50+Variables!$B$11*Variables!$E$50*SUM(E192:E195)+$G$1*SUM(D194:D195)*Variables!$E$50*Variables!$B$12),0)</f>
        <v>0</v>
      </c>
      <c r="N195" s="64">
        <f>IF(AND(B195="Spring",AND(SUM(D192:D195)&gt;Variables!$B$13,SUM(D188:D191)&gt;Variables!$B$13)),-Variables!$B$14*Variables!$E$50,0)</f>
        <v>0</v>
      </c>
      <c r="O195" s="64">
        <f>IF(AND(B195="Summer",SUM(C191:D195)&gt;Variables!$B$15),(Variables!$B$16*Variables!$E$50*SUM(C191:C195)+$G$1*Variables!$B$16*Variables!$E$50*SUM(D191:D195)+$G$1*Variables!$E$50*Variables!$B$17*F195),0)</f>
        <v>0</v>
      </c>
      <c r="P195" s="64">
        <f>IF(AND(AND(B195="Autumn",SUM(D194:E195)&gt;0),NOT(H194=0)),Variables!$B$18*Variables!$E$50+Variables!$B$19*Variables!$E$50*SUM(E194:E195)+$G$1*Variables!$B$19*Variables!$E$50*SUM(D194:D195),0)</f>
        <v>0</v>
      </c>
      <c r="Q195" s="64">
        <f>IF(AND(B195="Autumn",AND((E195+E194)&lt;Variables!$B$20,(D194+D195)=0)),-Variables!$B$21*Variables!$E$50,0)</f>
        <v>0</v>
      </c>
      <c r="R195" s="64">
        <f>IF(B195="Autumn",(SUM(F194:F195)*$G$1*Variables!$B$22*Variables!$E$50),0)</f>
        <v>0</v>
      </c>
      <c r="S195" s="64">
        <f>IF(B195="Spring",($G$1*Variables!$E$50*SUM('Guts (option 1)'!F194:F195)*Variables!$B$23),0)</f>
        <v>0</v>
      </c>
      <c r="T195" s="63">
        <f>IF((H194+SUM(J195:Q195))&lt;(Variables!$B$26*Variables!$E$50),$F$1*((Variables!$B$26*Variables!$E$50)-H194-SUM(J195:Q195)),0)</f>
        <v>0</v>
      </c>
      <c r="U195" s="64">
        <f>IF(AND(AND(B195="Autumn",SUM(D192:E195)&gt;Variables!$B$27),SUM(J195:Q195)&lt;Variables!$B$28*H194),$F$1*(Variables!$B$28*H194-SUM(J195:Q195)),0)</f>
        <v>0</v>
      </c>
      <c r="V195" s="96">
        <f>IF(AND((J195+K195)=0,(Q195+T195)=0),$H$1*H195*Variables!$I$23*0.25,0)</f>
        <v>27.28145384586972</v>
      </c>
      <c r="W195" s="97">
        <f>IF(AND((K195+J195)=0,(T195+Q195)=0),$I$1*H195*Variables!$Q$23*0.25,0)</f>
        <v>28.556466097128283</v>
      </c>
      <c r="X195" s="95">
        <f>IF(AND(NOT(K195=0),(H195-H194)&gt;0),(H195-H194)*(Variables!$M$5*$H$1+Variables!$U$5*$I$1),0)+IF(AND(NOT((J195+N195+Q195)=0),(H194-H195)&gt;0),(H194-H195)*(Variables!$M$4*$H$1+Variables!$U$4*$I$1),0)</f>
        <v>0</v>
      </c>
      <c r="Y195" s="95">
        <f>IF(SUM(T195,U194:U195)&gt;0,H195*Variables!$Y$11*0.25*(1-$J$1),0)</f>
        <v>0</v>
      </c>
      <c r="Z195" s="95">
        <f>IF(T195=0,H195*$J$1*Variables!$Y$5*0.25,0)</f>
        <v>9.2022869566740866</v>
      </c>
      <c r="AA195" s="95">
        <f t="shared" si="5"/>
        <v>65.040206899672086</v>
      </c>
      <c r="AB195" s="91">
        <f>AA195/Variables!$E$49</f>
        <v>10.490355951560014</v>
      </c>
    </row>
    <row r="196" spans="1:28" x14ac:dyDescent="0.25">
      <c r="A196" s="61">
        <f>'Water runs'!C203</f>
        <v>19875</v>
      </c>
      <c r="B196" s="61" t="str">
        <f>'Water runs'!B203</f>
        <v>Autumn</v>
      </c>
      <c r="C196" s="54">
        <f>'Water runs'!D203/100</f>
        <v>0</v>
      </c>
      <c r="D196" s="108">
        <f>VLOOKUP(ROW(D196)+4,'Water runs'!$BS$3:$CF$423,MATCH($B$1,Scenarios,0)+1)</f>
        <v>0.20027078599197143</v>
      </c>
      <c r="E196" s="54">
        <f>IF(B196=Variables!$D$8,C196-Variables!$E$8,IF(B196=Variables!$D$9,C196-Variables!$E$9,IF(B196=Variables!$D$10,C196-Variables!$E$10,IF(B196=Variables!$D$11,C196-Variables!$E$11,"ELSE"))))</f>
        <v>-0.99464329931972784</v>
      </c>
      <c r="F196" s="108">
        <f>VLOOKUP(ROW(F196)+4,'Water runs'!$CH$3:$CU$423,MATCH($B$1,Scenarios,0)+1)</f>
        <v>0.31342956001235167</v>
      </c>
      <c r="G196" s="65">
        <f>H196/Variables!$E$49</f>
        <v>0.23543608166654528</v>
      </c>
      <c r="H196" s="62">
        <f>IF((H195+I196)&gt;(1.1*Variables!$E$50),(1.1*Variables!$E$50),IF((H195+I196)&gt;0,H195+I196,0))</f>
        <v>1.4597037063325808</v>
      </c>
      <c r="I196" s="64">
        <f t="shared" si="6"/>
        <v>4.3967251459644384E-2</v>
      </c>
      <c r="J196" s="63">
        <f>IF(SUM(E192:E195)&lt;Variables!$B$3,-H195,0)</f>
        <v>0</v>
      </c>
      <c r="K196" s="64">
        <f>IF(AND(H195&lt;Variables!$B$6*Variables!$E$50,OR(SUM(D193:D196)&gt;Variables!$B$5,SUM(E193:E196)&gt;Variables!$B$4)),Variables!$B$6*Variables!$E$50+Variables!$B$7*$G$1*Variables!$E$50*SUM(D193:D196),0)</f>
        <v>0</v>
      </c>
      <c r="L196" s="64">
        <f>IF(B196="Winter",Variables!$B$8*H195,0)</f>
        <v>0</v>
      </c>
      <c r="M196" s="64">
        <f>IF(AND(B196="Spring",AND(NOT(H195=0),H195&lt;(Variables!$B$9*Variables!$E$50))),(Variables!$B$10*Variables!$E$50+Variables!$B$11*Variables!$E$50*SUM(E193:E196)+$G$1*SUM(D195:D196)*Variables!$E$50*Variables!$B$12),0)</f>
        <v>0</v>
      </c>
      <c r="N196" s="64">
        <f>IF(AND(B196="Spring",AND(SUM(D193:D196)&gt;Variables!$B$13,SUM(D189:D192)&gt;Variables!$B$13)),-Variables!$B$14*Variables!$E$50,0)</f>
        <v>0</v>
      </c>
      <c r="O196" s="64">
        <f>IF(AND(B196="Summer",SUM(C192:D196)&gt;Variables!$B$15),(Variables!$B$16*Variables!$E$50*SUM(C192:C196)+$G$1*Variables!$B$16*Variables!$E$50*SUM(D192:D196)+$G$1*Variables!$E$50*Variables!$B$17*F196),0)</f>
        <v>0</v>
      </c>
      <c r="P196" s="64">
        <f>IF(AND(AND(B196="Autumn",SUM(D195:E196)&gt;0),NOT(H195=0)),Variables!$B$18*Variables!$E$50+Variables!$B$19*Variables!$E$50*SUM(E195:E196)+$G$1*Variables!$B$19*Variables!$E$50*SUM(D195:D196),0)</f>
        <v>0</v>
      </c>
      <c r="Q196" s="64">
        <f>IF(AND(B196="Autumn",AND((E196+E195)&lt;Variables!$B$20,(D195+D196)=0)),-Variables!$B$21*Variables!$E$50,0)</f>
        <v>0</v>
      </c>
      <c r="R196" s="64">
        <f>IF(B196="Autumn",(SUM(F195:F196)*$G$1*Variables!$B$22*Variables!$E$50),0)</f>
        <v>4.3967251459644384E-2</v>
      </c>
      <c r="S196" s="64">
        <f>IF(B196="Spring",($G$1*Variables!$E$50*SUM('Guts (option 1)'!F195:F196)*Variables!$B$23),0)</f>
        <v>0</v>
      </c>
      <c r="T196" s="63">
        <f>IF((H195+SUM(J196:Q196))&lt;(Variables!$B$26*Variables!$E$50),$F$1*((Variables!$B$26*Variables!$E$50)-H195-SUM(J196:Q196)),0)</f>
        <v>0</v>
      </c>
      <c r="U196" s="64">
        <f>IF(AND(AND(B196="Autumn",SUM(D193:E196)&gt;Variables!$B$27),SUM(J196:Q196)&lt;Variables!$B$28*H195),$F$1*(Variables!$B$28*H195-SUM(J196:Q196)),0)</f>
        <v>0</v>
      </c>
      <c r="V196" s="96">
        <f>IF(AND((J196+K196)=0,(Q196+T196)=0),$H$1*H196*Variables!$I$23*0.25,0)</f>
        <v>28.128709376584784</v>
      </c>
      <c r="W196" s="97">
        <f>IF(AND((K196+J196)=0,(T196+Q196)=0),$I$1*H196*Variables!$Q$23*0.25,0)</f>
        <v>29.443318534507902</v>
      </c>
      <c r="X196" s="95">
        <f>IF(AND(NOT(K196=0),(H196-H195)&gt;0),(H196-H195)*(Variables!$M$5*$H$1+Variables!$U$5*$I$1),0)+IF(AND(NOT((J196+N196+Q196)=0),(H195-H196)&gt;0),(H195-H196)*(Variables!$M$4*$H$1+Variables!$U$4*$I$1),0)</f>
        <v>0</v>
      </c>
      <c r="Y196" s="95">
        <f>IF(SUM(T196,U195:U196)&gt;0,H196*Variables!$Y$11*0.25*(1-$J$1),0)</f>
        <v>0</v>
      </c>
      <c r="Z196" s="95">
        <f>IF(T196=0,H196*$J$1*Variables!$Y$5*0.25,0)</f>
        <v>9.488074091161776</v>
      </c>
      <c r="AA196" s="95">
        <f t="shared" si="5"/>
        <v>67.060102002254467</v>
      </c>
      <c r="AB196" s="91">
        <f>AA196/Variables!$E$49</f>
        <v>10.816145484234591</v>
      </c>
    </row>
    <row r="197" spans="1:28" x14ac:dyDescent="0.25">
      <c r="A197" s="61">
        <f>'Water runs'!C204</f>
        <v>19967</v>
      </c>
      <c r="B197" s="61" t="str">
        <f>'Water runs'!B204</f>
        <v>Winter</v>
      </c>
      <c r="C197" s="54">
        <f>'Water runs'!D204/100</f>
        <v>1.1230500000000001</v>
      </c>
      <c r="D197" s="108">
        <f>VLOOKUP(ROW(D197)+4,'Water runs'!$BS$3:$CF$423,MATCH($B$1,Scenarios,0)+1)</f>
        <v>0.40816522696141699</v>
      </c>
      <c r="E197" s="54">
        <f>IF(B197=Variables!$D$8,C197-Variables!$E$8,IF(B197=Variables!$D$9,C197-Variables!$E$9,IF(B197=Variables!$D$10,C197-Variables!$E$10,IF(B197=Variables!$D$11,C197-Variables!$E$11,"ELSE"))))</f>
        <v>0.55128237433862437</v>
      </c>
      <c r="F197" s="108">
        <f>VLOOKUP(ROW(F197)+4,'Water runs'!$CH$3:$CU$423,MATCH($B$1,Scenarios,0)+1)</f>
        <v>0.25785801946175346</v>
      </c>
      <c r="G197" s="65">
        <f>H197/Variables!$E$49</f>
        <v>0.161</v>
      </c>
      <c r="H197" s="62">
        <f>IF((H196+I197)&gt;(1.1*Variables!$E$50),(1.1*Variables!$E$50),IF((H196+I197)&gt;0,H196+I197,0))</f>
        <v>0.99820000000000009</v>
      </c>
      <c r="I197" s="64">
        <f t="shared" si="6"/>
        <v>-0.46150370633258075</v>
      </c>
      <c r="J197" s="63">
        <f>IF(SUM(E193:E196)&lt;Variables!$B$3,-H196,0)</f>
        <v>0</v>
      </c>
      <c r="K197" s="64">
        <f>IF(AND(H196&lt;Variables!$B$6*Variables!$E$50,OR(SUM(D194:D197)&gt;Variables!$B$5,SUM(E194:E197)&gt;Variables!$B$4)),Variables!$B$6*Variables!$E$50+Variables!$B$7*$G$1*Variables!$E$50*SUM(D194:D197),0)</f>
        <v>0</v>
      </c>
      <c r="L197" s="64">
        <f>IF(B197="Winter",Variables!$B$8*H196,0)</f>
        <v>-0.7268525216261299</v>
      </c>
      <c r="M197" s="64">
        <f>IF(AND(B197="Spring",AND(NOT(H196=0),H196&lt;(Variables!$B$9*Variables!$E$50))),(Variables!$B$10*Variables!$E$50+Variables!$B$11*Variables!$E$50*SUM(E194:E197)+$G$1*SUM(D196:D197)*Variables!$E$50*Variables!$B$12),0)</f>
        <v>0</v>
      </c>
      <c r="N197" s="64">
        <f>IF(AND(B197="Spring",AND(SUM(D194:D197)&gt;Variables!$B$13,SUM(D190:D193)&gt;Variables!$B$13)),-Variables!$B$14*Variables!$E$50,0)</f>
        <v>0</v>
      </c>
      <c r="O197" s="64">
        <f>IF(AND(B197="Summer",SUM(C193:D197)&gt;Variables!$B$15),(Variables!$B$16*Variables!$E$50*SUM(C193:C197)+$G$1*Variables!$B$16*Variables!$E$50*SUM(D193:D197)+$G$1*Variables!$E$50*Variables!$B$17*F197),0)</f>
        <v>0</v>
      </c>
      <c r="P197" s="64">
        <f>IF(AND(AND(B197="Autumn",SUM(D196:E197)&gt;0),NOT(H196=0)),Variables!$B$18*Variables!$E$50+Variables!$B$19*Variables!$E$50*SUM(E196:E197)+$G$1*Variables!$B$19*Variables!$E$50*SUM(D196:D197),0)</f>
        <v>0</v>
      </c>
      <c r="Q197" s="64">
        <f>IF(AND(B197="Autumn",AND((E197+E196)&lt;Variables!$B$20,(D196+D197)=0)),-Variables!$B$21*Variables!$E$50,0)</f>
        <v>0</v>
      </c>
      <c r="R197" s="64">
        <f>IF(B197="Autumn",(SUM(F196:F197)*$G$1*Variables!$B$22*Variables!$E$50),0)</f>
        <v>0</v>
      </c>
      <c r="S197" s="64">
        <f>IF(B197="Spring",($G$1*Variables!$E$50*SUM('Guts (option 1)'!F196:F197)*Variables!$B$23),0)</f>
        <v>0</v>
      </c>
      <c r="T197" s="63">
        <f>IF((H196+SUM(J197:Q197))&lt;(Variables!$B$26*Variables!$E$50),$F$1*((Variables!$B$26*Variables!$E$50)-H196-SUM(J197:Q197)),0)</f>
        <v>0.26534881529354915</v>
      </c>
      <c r="U197" s="64">
        <f>IF(AND(AND(B197="Autumn",SUM(D194:E197)&gt;Variables!$B$27),SUM(J197:Q197)&lt;Variables!$B$28*H196),$F$1*(Variables!$B$28*H196-SUM(J197:Q197)),0)</f>
        <v>0</v>
      </c>
      <c r="V197" s="96">
        <f>IF(AND((J197+K197)=0,(Q197+T197)=0),$H$1*H197*Variables!$I$23*0.25,0)</f>
        <v>0</v>
      </c>
      <c r="W197" s="97">
        <f>IF(AND((K197+J197)=0,(T197+Q197)=0),$I$1*H197*Variables!$Q$23*0.25,0)</f>
        <v>0</v>
      </c>
      <c r="X197" s="95">
        <f>IF(AND(NOT(K197=0),(H197-H196)&gt;0),(H197-H196)*(Variables!$M$5*$H$1+Variables!$U$5*$I$1),0)+IF(AND(NOT((J197+N197+Q197)=0),(H196-H197)&gt;0),(H196-H197)*(Variables!$M$4*$H$1+Variables!$U$4*$I$1),0)</f>
        <v>0</v>
      </c>
      <c r="Y197" s="95">
        <f>IF(SUM(T197,U196:U197)&gt;0,H197*Variables!$Y$11*0.25*(1-$J$1),0)</f>
        <v>0</v>
      </c>
      <c r="Z197" s="95">
        <f>IF(T197=0,H197*$J$1*Variables!$Y$5*0.25,0)</f>
        <v>0</v>
      </c>
      <c r="AA197" s="95">
        <f t="shared" si="5"/>
        <v>0</v>
      </c>
      <c r="AB197" s="91">
        <f>AA197/Variables!$E$49</f>
        <v>0</v>
      </c>
    </row>
    <row r="198" spans="1:28" x14ac:dyDescent="0.25">
      <c r="A198" s="61">
        <f>'Water runs'!C205</f>
        <v>20058</v>
      </c>
      <c r="B198" s="61" t="str">
        <f>'Water runs'!B205</f>
        <v>Spring</v>
      </c>
      <c r="C198" s="54">
        <f>'Water runs'!D205/100</f>
        <v>0.75749999999999995</v>
      </c>
      <c r="D198" s="108">
        <f>VLOOKUP(ROW(D198)+4,'Water runs'!$BS$3:$CF$423,MATCH($B$1,Scenarios,0)+1)</f>
        <v>0.19535182384658628</v>
      </c>
      <c r="E198" s="54">
        <f>IF(B198=Variables!$D$8,C198-Variables!$E$8,IF(B198=Variables!$D$9,C198-Variables!$E$9,IF(B198=Variables!$D$10,C198-Variables!$E$10,IF(B198=Variables!$D$11,C198-Variables!$E$11,"ELSE"))))</f>
        <v>-6.4822089947091932E-3</v>
      </c>
      <c r="F198" s="108">
        <f>VLOOKUP(ROW(F198)+4,'Water runs'!$CH$3:$CU$423,MATCH($B$1,Scenarios,0)+1)</f>
        <v>9.3622277294357042E-2</v>
      </c>
      <c r="G198" s="65">
        <f>H198/Variables!$E$49</f>
        <v>0.37549801158690382</v>
      </c>
      <c r="H198" s="62">
        <f>IF((H197+I198)&gt;(1.1*Variables!$E$50),(1.1*Variables!$E$50),IF((H197+I198)&gt;0,H197+I198,0))</f>
        <v>2.3280876718388037</v>
      </c>
      <c r="I198" s="64">
        <f t="shared" si="6"/>
        <v>1.3298876718388037</v>
      </c>
      <c r="J198" s="63">
        <f>IF(SUM(E194:E197)&lt;Variables!$B$3,-H197,0)</f>
        <v>0</v>
      </c>
      <c r="K198" s="64">
        <f>IF(AND(H197&lt;Variables!$B$6*Variables!$E$50,OR(SUM(D195:D198)&gt;Variables!$B$5,SUM(E195:E198)&gt;Variables!$B$4)),Variables!$B$6*Variables!$E$50+Variables!$B$7*$G$1*Variables!$E$50*SUM(D195:D198),0)</f>
        <v>1.1984494585539895</v>
      </c>
      <c r="L198" s="64">
        <f>IF(B198="Winter",Variables!$B$8*H197,0)</f>
        <v>0</v>
      </c>
      <c r="M198" s="64">
        <f>IF(AND(B198="Spring",AND(NOT(H197=0),H197&lt;(Variables!$B$9*Variables!$E$50))),(Variables!$B$10*Variables!$E$50+Variables!$B$11*Variables!$E$50*SUM(E195:E198)+$G$1*SUM(D197:D198)*Variables!$E$50*Variables!$B$12),0)</f>
        <v>8.6658112936431747E-2</v>
      </c>
      <c r="N198" s="64">
        <f>IF(AND(B198="Spring",AND(SUM(D195:D198)&gt;Variables!$B$13,SUM(D191:D194)&gt;Variables!$B$13)),-Variables!$B$14*Variables!$E$50,0)</f>
        <v>0</v>
      </c>
      <c r="O198" s="64">
        <f>IF(AND(B198="Summer",SUM(C194:D198)&gt;Variables!$B$15),(Variables!$B$16*Variables!$E$50*SUM(C194:C198)+$G$1*Variables!$B$16*Variables!$E$50*SUM(D194:D198)+$G$1*Variables!$E$50*Variables!$B$17*F198),0)</f>
        <v>0</v>
      </c>
      <c r="P198" s="64">
        <f>IF(AND(AND(B198="Autumn",SUM(D197:E198)&gt;0),NOT(H197=0)),Variables!$B$18*Variables!$E$50+Variables!$B$19*Variables!$E$50*SUM(E197:E198)+$G$1*Variables!$B$19*Variables!$E$50*SUM(D197:D198),0)</f>
        <v>0</v>
      </c>
      <c r="Q198" s="64">
        <f>IF(AND(B198="Autumn",AND((E198+E197)&lt;Variables!$B$20,(D197+D198)=0)),-Variables!$B$21*Variables!$E$50,0)</f>
        <v>0</v>
      </c>
      <c r="R198" s="64">
        <f>IF(B198="Autumn",(SUM(F197:F198)*$G$1*Variables!$B$22*Variables!$E$50),0)</f>
        <v>0</v>
      </c>
      <c r="S198" s="64">
        <f>IF(B198="Spring",($G$1*Variables!$E$50*SUM('Guts (option 1)'!F197:F198)*Variables!$B$23),0)</f>
        <v>4.4780100348382632E-2</v>
      </c>
      <c r="T198" s="63">
        <f>IF((H197+SUM(J198:Q198))&lt;(Variables!$B$26*Variables!$E$50),$F$1*((Variables!$B$26*Variables!$E$50)-H197-SUM(J198:Q198)),0)</f>
        <v>0</v>
      </c>
      <c r="U198" s="64">
        <f>IF(AND(AND(B198="Autumn",SUM(D195:E198)&gt;Variables!$B$27),SUM(J198:Q198)&lt;Variables!$B$28*H197),$F$1*(Variables!$B$28*H197-SUM(J198:Q198)),0)</f>
        <v>0</v>
      </c>
      <c r="V198" s="96">
        <f>IF(AND((J198+K198)=0,(Q198+T198)=0),$H$1*H198*Variables!$I$23*0.25,0)</f>
        <v>0</v>
      </c>
      <c r="W198" s="97">
        <f>IF(AND((K198+J198)=0,(T198+Q198)=0),$I$1*H198*Variables!$Q$23*0.25,0)</f>
        <v>0</v>
      </c>
      <c r="X198" s="95">
        <f>IF(AND(NOT(K198=0),(H198-H197)&gt;0),(H198-H197)*(Variables!$M$5*$H$1+Variables!$U$5*$I$1),0)+IF(AND(NOT((J198+N198+Q198)=0),(H197-H198)&gt;0),(H197-H198)*(Variables!$M$4*$H$1+Variables!$U$4*$I$1),0)</f>
        <v>-332.47191795970087</v>
      </c>
      <c r="Y198" s="95">
        <f>IF(SUM(T198,U197:U198)&gt;0,H198*Variables!$Y$11*0.25*(1-$J$1),0)</f>
        <v>0</v>
      </c>
      <c r="Z198" s="95">
        <f>IF(T198=0,H198*$J$1*Variables!$Y$5*0.25,0)</f>
        <v>15.132569866952224</v>
      </c>
      <c r="AA198" s="95">
        <f t="shared" si="5"/>
        <v>-317.33934809274865</v>
      </c>
      <c r="AB198" s="91">
        <f>AA198/Variables!$E$49</f>
        <v>-51.183765821411072</v>
      </c>
    </row>
    <row r="199" spans="1:28" x14ac:dyDescent="0.25">
      <c r="A199" s="61">
        <f>'Water runs'!C206</f>
        <v>20148</v>
      </c>
      <c r="B199" s="61" t="str">
        <f>'Water runs'!B206</f>
        <v>Summer</v>
      </c>
      <c r="C199" s="54">
        <f>'Water runs'!D206/100</f>
        <v>2.2707999999999999</v>
      </c>
      <c r="D199" s="108">
        <f>VLOOKUP(ROW(D199)+4,'Water runs'!$BS$3:$CF$423,MATCH($B$1,Scenarios,0)+1)</f>
        <v>0</v>
      </c>
      <c r="E199" s="54">
        <f>IF(B199=Variables!$D$8,C199-Variables!$E$8,IF(B199=Variables!$D$9,C199-Variables!$E$9,IF(B199=Variables!$D$10,C199-Variables!$E$10,IF(B199=Variables!$D$11,C199-Variables!$E$11,"ELSE"))))</f>
        <v>1.0124298639455782</v>
      </c>
      <c r="F199" s="108">
        <f>VLOOKUP(ROW(F199)+4,'Water runs'!$CH$3:$CU$423,MATCH($B$1,Scenarios,0)+1)</f>
        <v>0</v>
      </c>
      <c r="G199" s="65">
        <f>H199/Variables!$E$49</f>
        <v>0.76825255673327852</v>
      </c>
      <c r="H199" s="62">
        <f>IF((H198+I199)&gt;(1.1*Variables!$E$50),(1.1*Variables!$E$50),IF((H198+I199)&gt;0,H198+I199,0))</f>
        <v>4.7631658517463267</v>
      </c>
      <c r="I199" s="64">
        <f t="shared" si="6"/>
        <v>2.435078179907523</v>
      </c>
      <c r="J199" s="63">
        <f>IF(SUM(E195:E198)&lt;Variables!$B$3,-H198,0)</f>
        <v>0</v>
      </c>
      <c r="K199" s="64">
        <f>IF(AND(H198&lt;Variables!$B$6*Variables!$E$50,OR(SUM(D196:D199)&gt;Variables!$B$5,SUM(E196:E199)&gt;Variables!$B$4)),Variables!$B$6*Variables!$E$50+Variables!$B$7*$G$1*Variables!$E$50*SUM(D196:D199),0)</f>
        <v>0</v>
      </c>
      <c r="L199" s="64">
        <f>IF(B199="Winter",Variables!$B$8*H198,0)</f>
        <v>0</v>
      </c>
      <c r="M199" s="64">
        <f>IF(AND(B199="Spring",AND(NOT(H198=0),H198&lt;(Variables!$B$9*Variables!$E$50))),(Variables!$B$10*Variables!$E$50+Variables!$B$11*Variables!$E$50*SUM(E196:E199)+$G$1*SUM(D198:D199)*Variables!$E$50*Variables!$B$12),0)</f>
        <v>0</v>
      </c>
      <c r="N199" s="64">
        <f>IF(AND(B199="Spring",AND(SUM(D196:D199)&gt;Variables!$B$13,SUM(D192:D195)&gt;Variables!$B$13)),-Variables!$B$14*Variables!$E$50,0)</f>
        <v>0</v>
      </c>
      <c r="O199" s="64">
        <f>IF(AND(B199="Summer",SUM(C195:D199)&gt;Variables!$B$15),(Variables!$B$16*Variables!$E$50*SUM(C195:C199)+$G$1*Variables!$B$16*Variables!$E$50*SUM(D195:D199)+$G$1*Variables!$E$50*Variables!$B$17*F199),0)</f>
        <v>2.435078179907523</v>
      </c>
      <c r="P199" s="64">
        <f>IF(AND(AND(B199="Autumn",SUM(D198:E199)&gt;0),NOT(H198=0)),Variables!$B$18*Variables!$E$50+Variables!$B$19*Variables!$E$50*SUM(E198:E199)+$G$1*Variables!$B$19*Variables!$E$50*SUM(D198:D199),0)</f>
        <v>0</v>
      </c>
      <c r="Q199" s="64">
        <f>IF(AND(B199="Autumn",AND((E199+E198)&lt;Variables!$B$20,(D198+D199)=0)),-Variables!$B$21*Variables!$E$50,0)</f>
        <v>0</v>
      </c>
      <c r="R199" s="64">
        <f>IF(B199="Autumn",(SUM(F198:F199)*$G$1*Variables!$B$22*Variables!$E$50),0)</f>
        <v>0</v>
      </c>
      <c r="S199" s="64">
        <f>IF(B199="Spring",($G$1*Variables!$E$50*SUM('Guts (option 1)'!F198:F199)*Variables!$B$23),0)</f>
        <v>0</v>
      </c>
      <c r="T199" s="63">
        <f>IF((H198+SUM(J199:Q199))&lt;(Variables!$B$26*Variables!$E$50),$F$1*((Variables!$B$26*Variables!$E$50)-H198-SUM(J199:Q199)),0)</f>
        <v>0</v>
      </c>
      <c r="U199" s="64">
        <f>IF(AND(AND(B199="Autumn",SUM(D196:E199)&gt;Variables!$B$27),SUM(J199:Q199)&lt;Variables!$B$28*H198),$F$1*(Variables!$B$28*H198-SUM(J199:Q199)),0)</f>
        <v>0</v>
      </c>
      <c r="V199" s="96">
        <f>IF(AND((J199+K199)=0,(Q199+T199)=0),$H$1*H199*Variables!$I$23*0.25,0)</f>
        <v>91.786920438029483</v>
      </c>
      <c r="W199" s="97">
        <f>IF(AND((K199+J199)=0,(T199+Q199)=0),$I$1*H199*Variables!$Q$23*0.25,0)</f>
        <v>96.076627604112204</v>
      </c>
      <c r="X199" s="95">
        <f>IF(AND(NOT(K199=0),(H199-H198)&gt;0),(H199-H198)*(Variables!$M$5*$H$1+Variables!$U$5*$I$1),0)+IF(AND(NOT((J199+N199+Q199)=0),(H198-H199)&gt;0),(H198-H199)*(Variables!$M$4*$H$1+Variables!$U$4*$I$1),0)</f>
        <v>0</v>
      </c>
      <c r="Y199" s="95">
        <f>IF(SUM(T199,U198:U199)&gt;0,H199*Variables!$Y$11*0.25*(1-$J$1),0)</f>
        <v>0</v>
      </c>
      <c r="Z199" s="95">
        <f>IF(T199=0,H199*$J$1*Variables!$Y$5*0.25,0)</f>
        <v>30.960578036351123</v>
      </c>
      <c r="AA199" s="95">
        <f t="shared" si="5"/>
        <v>218.82412607849284</v>
      </c>
      <c r="AB199" s="91">
        <f>AA199/Variables!$E$49</f>
        <v>35.294213883627876</v>
      </c>
    </row>
    <row r="200" spans="1:28" x14ac:dyDescent="0.25">
      <c r="A200" s="61">
        <f>'Water runs'!C207</f>
        <v>20240</v>
      </c>
      <c r="B200" s="61" t="str">
        <f>'Water runs'!B207</f>
        <v>Autumn</v>
      </c>
      <c r="C200" s="54">
        <f>'Water runs'!D207/100</f>
        <v>1.0363571428571401</v>
      </c>
      <c r="D200" s="108">
        <f>VLOOKUP(ROW(D200)+4,'Water runs'!$BS$3:$CF$423,MATCH($B$1,Scenarios,0)+1)</f>
        <v>4.1812682602395896E-3</v>
      </c>
      <c r="E200" s="54">
        <f>IF(B200=Variables!$D$8,C200-Variables!$E$8,IF(B200=Variables!$D$9,C200-Variables!$E$9,IF(B200=Variables!$D$10,C200-Variables!$E$10,IF(B200=Variables!$D$11,C200-Variables!$E$11,"ELSE"))))</f>
        <v>4.1713843537412254E-2</v>
      </c>
      <c r="F200" s="108">
        <f>VLOOKUP(ROW(F200)+4,'Water runs'!$CH$3:$CU$423,MATCH($B$1,Scenarios,0)+1)</f>
        <v>0</v>
      </c>
      <c r="G200" s="65">
        <f>H200/Variables!$E$49</f>
        <v>1.2002350230824197</v>
      </c>
      <c r="H200" s="62">
        <f>IF((H199+I200)&gt;(1.1*Variables!$E$50),(1.1*Variables!$E$50),IF((H199+I200)&gt;0,H199+I200,0))</f>
        <v>7.4414571431110019</v>
      </c>
      <c r="I200" s="64">
        <f t="shared" si="6"/>
        <v>2.6782912913646748</v>
      </c>
      <c r="J200" s="63">
        <f>IF(SUM(E196:E199)&lt;Variables!$B$3,-H199,0)</f>
        <v>0</v>
      </c>
      <c r="K200" s="64">
        <f>IF(AND(H199&lt;Variables!$B$6*Variables!$E$50,OR(SUM(D197:D200)&gt;Variables!$B$5,SUM(E197:E200)&gt;Variables!$B$4)),Variables!$B$6*Variables!$E$50+Variables!$B$7*$G$1*Variables!$E$50*SUM(D197:D200),0)</f>
        <v>0</v>
      </c>
      <c r="L200" s="64">
        <f>IF(B200="Winter",Variables!$B$8*H199,0)</f>
        <v>0</v>
      </c>
      <c r="M200" s="64">
        <f>IF(AND(B200="Spring",AND(NOT(H199=0),H199&lt;(Variables!$B$9*Variables!$E$50))),(Variables!$B$10*Variables!$E$50+Variables!$B$11*Variables!$E$50*SUM(E197:E200)+$G$1*SUM(D199:D200)*Variables!$E$50*Variables!$B$12),0)</f>
        <v>0</v>
      </c>
      <c r="N200" s="64">
        <f>IF(AND(B200="Spring",AND(SUM(D197:D200)&gt;Variables!$B$13,SUM(D193:D196)&gt;Variables!$B$13)),-Variables!$B$14*Variables!$E$50,0)</f>
        <v>0</v>
      </c>
      <c r="O200" s="64">
        <f>IF(AND(B200="Summer",SUM(C196:D200)&gt;Variables!$B$15),(Variables!$B$16*Variables!$E$50*SUM(C196:C200)+$G$1*Variables!$B$16*Variables!$E$50*SUM(D196:D200)+$G$1*Variables!$E$50*Variables!$B$17*F200),0)</f>
        <v>0</v>
      </c>
      <c r="P200" s="64">
        <f>IF(AND(AND(B200="Autumn",SUM(D199:E200)&gt;0),NOT(H199=0)),Variables!$B$18*Variables!$E$50+Variables!$B$19*Variables!$E$50*SUM(E199:E200)+$G$1*Variables!$B$19*Variables!$E$50*SUM(D199:D200),0)</f>
        <v>2.6782912913646748</v>
      </c>
      <c r="Q200" s="64">
        <f>IF(AND(B200="Autumn",AND((E200+E199)&lt;Variables!$B$20,(D199+D200)=0)),-Variables!$B$21*Variables!$E$50,0)</f>
        <v>0</v>
      </c>
      <c r="R200" s="64">
        <f>IF(B200="Autumn",(SUM(F199:F200)*$G$1*Variables!$B$22*Variables!$E$50),0)</f>
        <v>0</v>
      </c>
      <c r="S200" s="64">
        <f>IF(B200="Spring",($G$1*Variables!$E$50*SUM('Guts (option 1)'!F199:F200)*Variables!$B$23),0)</f>
        <v>0</v>
      </c>
      <c r="T200" s="63">
        <f>IF((H199+SUM(J200:Q200))&lt;(Variables!$B$26*Variables!$E$50),$F$1*((Variables!$B$26*Variables!$E$50)-H199-SUM(J200:Q200)),0)</f>
        <v>0</v>
      </c>
      <c r="U200" s="64">
        <f>IF(AND(AND(B200="Autumn",SUM(D197:E200)&gt;Variables!$B$27),SUM(J200:Q200)&lt;Variables!$B$28*H199),$F$1*(Variables!$B$28*H199-SUM(J200:Q200)),0)</f>
        <v>0</v>
      </c>
      <c r="V200" s="96">
        <f>IF(AND((J200+K200)=0,(Q200+T200)=0),$H$1*H200*Variables!$I$23*0.25,0)</f>
        <v>143.39799536632049</v>
      </c>
      <c r="W200" s="97">
        <f>IF(AND((K200+J200)=0,(T200+Q200)=0),$I$1*H200*Variables!$Q$23*0.25,0)</f>
        <v>150.09977166940624</v>
      </c>
      <c r="X200" s="95">
        <f>IF(AND(NOT(K200=0),(H200-H199)&gt;0),(H200-H199)*(Variables!$M$5*$H$1+Variables!$U$5*$I$1),0)+IF(AND(NOT((J200+N200+Q200)=0),(H199-H200)&gt;0),(H199-H200)*(Variables!$M$4*$H$1+Variables!$U$4*$I$1),0)</f>
        <v>0</v>
      </c>
      <c r="Y200" s="95">
        <f>IF(SUM(T200,U199:U200)&gt;0,H200*Variables!$Y$11*0.25*(1-$J$1),0)</f>
        <v>0</v>
      </c>
      <c r="Z200" s="95">
        <f>IF(T200=0,H200*$J$1*Variables!$Y$5*0.25,0)</f>
        <v>48.369471430221509</v>
      </c>
      <c r="AA200" s="95">
        <f t="shared" si="5"/>
        <v>341.86723846594822</v>
      </c>
      <c r="AB200" s="91">
        <f>AA200/Variables!$E$49</f>
        <v>55.139877171927132</v>
      </c>
    </row>
    <row r="201" spans="1:28" x14ac:dyDescent="0.25">
      <c r="A201" s="61">
        <f>'Water runs'!C208</f>
        <v>20332</v>
      </c>
      <c r="B201" s="61" t="str">
        <f>'Water runs'!B208</f>
        <v>Winter</v>
      </c>
      <c r="C201" s="54">
        <f>'Water runs'!D208/100</f>
        <v>0.93116666666666703</v>
      </c>
      <c r="D201" s="108">
        <f>VLOOKUP(ROW(D201)+4,'Water runs'!$BS$3:$CF$423,MATCH($B$1,Scenarios,0)+1)</f>
        <v>0.18513915391254088</v>
      </c>
      <c r="E201" s="54">
        <f>IF(B201=Variables!$D$8,C201-Variables!$E$8,IF(B201=Variables!$D$9,C201-Variables!$E$9,IF(B201=Variables!$D$10,C201-Variables!$E$10,IF(B201=Variables!$D$11,C201-Variables!$E$11,"ELSE"))))</f>
        <v>0.3593990410052913</v>
      </c>
      <c r="F201" s="108">
        <f>VLOOKUP(ROW(F201)+4,'Water runs'!$CH$3:$CU$423,MATCH($B$1,Scenarios,0)+1)</f>
        <v>0.11087419536180017</v>
      </c>
      <c r="G201" s="65">
        <f>H201/Variables!$E$49</f>
        <v>0.60258369885355201</v>
      </c>
      <c r="H201" s="62">
        <f>IF((H200+I201)&gt;(1.1*Variables!$E$50),(1.1*Variables!$E$50),IF((H200+I201)&gt;0,H200+I201,0))</f>
        <v>3.7360189328920228</v>
      </c>
      <c r="I201" s="64">
        <f t="shared" si="6"/>
        <v>-3.7054382102189791</v>
      </c>
      <c r="J201" s="63">
        <f>IF(SUM(E197:E200)&lt;Variables!$B$3,-H200,0)</f>
        <v>0</v>
      </c>
      <c r="K201" s="64">
        <f>IF(AND(H200&lt;Variables!$B$6*Variables!$E$50,OR(SUM(D198:D201)&gt;Variables!$B$5,SUM(E198:E201)&gt;Variables!$B$4)),Variables!$B$6*Variables!$E$50+Variables!$B$7*$G$1*Variables!$E$50*SUM(D198:D201),0)</f>
        <v>0</v>
      </c>
      <c r="L201" s="64">
        <f>IF(B201="Winter",Variables!$B$8*H200,0)</f>
        <v>-3.7054382102189791</v>
      </c>
      <c r="M201" s="64">
        <f>IF(AND(B201="Spring",AND(NOT(H200=0),H200&lt;(Variables!$B$9*Variables!$E$50))),(Variables!$B$10*Variables!$E$50+Variables!$B$11*Variables!$E$50*SUM(E198:E201)+$G$1*SUM(D200:D201)*Variables!$E$50*Variables!$B$12),0)</f>
        <v>0</v>
      </c>
      <c r="N201" s="64">
        <f>IF(AND(B201="Spring",AND(SUM(D198:D201)&gt;Variables!$B$13,SUM(D194:D197)&gt;Variables!$B$13)),-Variables!$B$14*Variables!$E$50,0)</f>
        <v>0</v>
      </c>
      <c r="O201" s="64">
        <f>IF(AND(B201="Summer",SUM(C197:D201)&gt;Variables!$B$15),(Variables!$B$16*Variables!$E$50*SUM(C197:C201)+$G$1*Variables!$B$16*Variables!$E$50*SUM(D197:D201)+$G$1*Variables!$E$50*Variables!$B$17*F201),0)</f>
        <v>0</v>
      </c>
      <c r="P201" s="64">
        <f>IF(AND(AND(B201="Autumn",SUM(D200:E201)&gt;0),NOT(H200=0)),Variables!$B$18*Variables!$E$50+Variables!$B$19*Variables!$E$50*SUM(E200:E201)+$G$1*Variables!$B$19*Variables!$E$50*SUM(D200:D201),0)</f>
        <v>0</v>
      </c>
      <c r="Q201" s="64">
        <f>IF(AND(B201="Autumn",AND((E201+E200)&lt;Variables!$B$20,(D200+D201)=0)),-Variables!$B$21*Variables!$E$50,0)</f>
        <v>0</v>
      </c>
      <c r="R201" s="64">
        <f>IF(B201="Autumn",(SUM(F200:F201)*$G$1*Variables!$B$22*Variables!$E$50),0)</f>
        <v>0</v>
      </c>
      <c r="S201" s="64">
        <f>IF(B201="Spring",($G$1*Variables!$E$50*SUM('Guts (option 1)'!F200:F201)*Variables!$B$23),0)</f>
        <v>0</v>
      </c>
      <c r="T201" s="63">
        <f>IF((H200+SUM(J201:Q201))&lt;(Variables!$B$26*Variables!$E$50),$F$1*((Variables!$B$26*Variables!$E$50)-H200-SUM(J201:Q201)),0)</f>
        <v>0</v>
      </c>
      <c r="U201" s="64">
        <f>IF(AND(AND(B201="Autumn",SUM(D198:E201)&gt;Variables!$B$27),SUM(J201:Q201)&lt;Variables!$B$28*H200),$F$1*(Variables!$B$28*H200-SUM(J201:Q201)),0)</f>
        <v>0</v>
      </c>
      <c r="V201" s="96">
        <f>IF(AND((J201+K201)=0,(Q201+T201)=0),$H$1*H201*Variables!$I$23*0.25,0)</f>
        <v>71.99364523966922</v>
      </c>
      <c r="W201" s="97">
        <f>IF(AND((K201+J201)=0,(T201+Q201)=0),$I$1*H201*Variables!$Q$23*0.25,0)</f>
        <v>75.35830389063176</v>
      </c>
      <c r="X201" s="95">
        <f>IF(AND(NOT(K201=0),(H201-H200)&gt;0),(H201-H200)*(Variables!$M$5*$H$1+Variables!$U$5*$I$1),0)+IF(AND(NOT((J201+N201+Q201)=0),(H200-H201)&gt;0),(H200-H201)*(Variables!$M$4*$H$1+Variables!$U$4*$I$1),0)</f>
        <v>0</v>
      </c>
      <c r="Y201" s="95">
        <f>IF(SUM(T201,U200:U201)&gt;0,H201*Variables!$Y$11*0.25*(1-$J$1),0)</f>
        <v>0</v>
      </c>
      <c r="Z201" s="95">
        <f>IF(T201=0,H201*$J$1*Variables!$Y$5*0.25,0)</f>
        <v>24.284123063798148</v>
      </c>
      <c r="AA201" s="95">
        <f t="shared" si="5"/>
        <v>171.63607219409911</v>
      </c>
      <c r="AB201" s="91">
        <f>AA201/Variables!$E$49</f>
        <v>27.683237450661146</v>
      </c>
    </row>
    <row r="202" spans="1:28" x14ac:dyDescent="0.25">
      <c r="A202" s="61">
        <f>'Water runs'!C209</f>
        <v>20423</v>
      </c>
      <c r="B202" s="61" t="str">
        <f>'Water runs'!B209</f>
        <v>Spring</v>
      </c>
      <c r="C202" s="54">
        <f>'Water runs'!D209/100</f>
        <v>1.78571428571429</v>
      </c>
      <c r="D202" s="108">
        <f>VLOOKUP(ROW(D202)+4,'Water runs'!$BS$3:$CF$423,MATCH($B$1,Scenarios,0)+1)</f>
        <v>0</v>
      </c>
      <c r="E202" s="54">
        <f>IF(B202=Variables!$D$8,C202-Variables!$E$8,IF(B202=Variables!$D$9,C202-Variables!$E$9,IF(B202=Variables!$D$10,C202-Variables!$E$10,IF(B202=Variables!$D$11,C202-Variables!$E$11,"ELSE"))))</f>
        <v>1.021732076719581</v>
      </c>
      <c r="F202" s="108">
        <f>VLOOKUP(ROW(F202)+4,'Water runs'!$CH$3:$CU$423,MATCH($B$1,Scenarios,0)+1)</f>
        <v>0</v>
      </c>
      <c r="G202" s="65">
        <f>H202/Variables!$E$49</f>
        <v>0.60486206159360412</v>
      </c>
      <c r="H202" s="62">
        <f>IF((H201+I202)&gt;(1.1*Variables!$E$50),(1.1*Variables!$E$50),IF((H201+I202)&gt;0,H201+I202,0))</f>
        <v>3.7501447818803455</v>
      </c>
      <c r="I202" s="64">
        <f t="shared" si="6"/>
        <v>1.4125848988322491E-2</v>
      </c>
      <c r="J202" s="63">
        <f>IF(SUM(E198:E201)&lt;Variables!$B$3,-H201,0)</f>
        <v>0</v>
      </c>
      <c r="K202" s="64">
        <f>IF(AND(H201&lt;Variables!$B$6*Variables!$E$50,OR(SUM(D199:D202)&gt;Variables!$B$5,SUM(E199:E202)&gt;Variables!$B$4)),Variables!$B$6*Variables!$E$50+Variables!$B$7*$G$1*Variables!$E$50*SUM(D199:D202),0)</f>
        <v>0</v>
      </c>
      <c r="L202" s="64">
        <f>IF(B202="Winter",Variables!$B$8*H201,0)</f>
        <v>0</v>
      </c>
      <c r="M202" s="64">
        <f>IF(AND(B202="Spring",AND(NOT(H201=0),H201&lt;(Variables!$B$9*Variables!$E$50))),(Variables!$B$10*Variables!$E$50+Variables!$B$11*Variables!$E$50*SUM(E199:E202)+$G$1*SUM(D201:D202)*Variables!$E$50*Variables!$B$12),0)</f>
        <v>0</v>
      </c>
      <c r="N202" s="64">
        <f>IF(AND(B202="Spring",AND(SUM(D199:D202)&gt;Variables!$B$13,SUM(D195:D198)&gt;Variables!$B$13)),-Variables!$B$14*Variables!$E$50,0)</f>
        <v>0</v>
      </c>
      <c r="O202" s="64">
        <f>IF(AND(B202="Summer",SUM(C198:D202)&gt;Variables!$B$15),(Variables!$B$16*Variables!$E$50*SUM(C198:C202)+$G$1*Variables!$B$16*Variables!$E$50*SUM(D198:D202)+$G$1*Variables!$E$50*Variables!$B$17*F202),0)</f>
        <v>0</v>
      </c>
      <c r="P202" s="64">
        <f>IF(AND(AND(B202="Autumn",SUM(D201:E202)&gt;0),NOT(H201=0)),Variables!$B$18*Variables!$E$50+Variables!$B$19*Variables!$E$50*SUM(E201:E202)+$G$1*Variables!$B$19*Variables!$E$50*SUM(D201:D202),0)</f>
        <v>0</v>
      </c>
      <c r="Q202" s="64">
        <f>IF(AND(B202="Autumn",AND((E202+E201)&lt;Variables!$B$20,(D201+D202)=0)),-Variables!$B$21*Variables!$E$50,0)</f>
        <v>0</v>
      </c>
      <c r="R202" s="64">
        <f>IF(B202="Autumn",(SUM(F201:F202)*$G$1*Variables!$B$22*Variables!$E$50),0)</f>
        <v>0</v>
      </c>
      <c r="S202" s="64">
        <f>IF(B202="Spring",($G$1*Variables!$E$50*SUM('Guts (option 1)'!F201:F202)*Variables!$B$23),0)</f>
        <v>1.4125848988322491E-2</v>
      </c>
      <c r="T202" s="63">
        <f>IF((H201+SUM(J202:Q202))&lt;(Variables!$B$26*Variables!$E$50),$F$1*((Variables!$B$26*Variables!$E$50)-H201-SUM(J202:Q202)),0)</f>
        <v>0</v>
      </c>
      <c r="U202" s="64">
        <f>IF(AND(AND(B202="Autumn",SUM(D199:E202)&gt;Variables!$B$27),SUM(J202:Q202)&lt;Variables!$B$28*H201),$F$1*(Variables!$B$28*H201-SUM(J202:Q202)),0)</f>
        <v>0</v>
      </c>
      <c r="V202" s="96">
        <f>IF(AND((J202+K202)=0,(Q202+T202)=0),$H$1*H202*Variables!$I$23*0.25,0)</f>
        <v>72.265852468551543</v>
      </c>
      <c r="W202" s="97">
        <f>IF(AND((K202+J202)=0,(T202+Q202)=0),$I$1*H202*Variables!$Q$23*0.25,0)</f>
        <v>75.64323285911297</v>
      </c>
      <c r="X202" s="95">
        <f>IF(AND(NOT(K202=0),(H202-H201)&gt;0),(H202-H201)*(Variables!$M$5*$H$1+Variables!$U$5*$I$1),0)+IF(AND(NOT((J202+N202+Q202)=0),(H201-H202)&gt;0),(H201-H202)*(Variables!$M$4*$H$1+Variables!$U$4*$I$1),0)</f>
        <v>0</v>
      </c>
      <c r="Y202" s="95">
        <f>IF(SUM(T202,U201:U202)&gt;0,H202*Variables!$Y$11*0.25*(1-$J$1),0)</f>
        <v>0</v>
      </c>
      <c r="Z202" s="95">
        <f>IF(T202=0,H202*$J$1*Variables!$Y$5*0.25,0)</f>
        <v>24.375941082222244</v>
      </c>
      <c r="AA202" s="95">
        <f t="shared" si="5"/>
        <v>172.28502640988677</v>
      </c>
      <c r="AB202" s="91">
        <f>AA202/Variables!$E$49</f>
        <v>27.787907485465606</v>
      </c>
    </row>
    <row r="203" spans="1:28" x14ac:dyDescent="0.25">
      <c r="A203" s="61">
        <f>'Water runs'!C210</f>
        <v>20513</v>
      </c>
      <c r="B203" s="61" t="str">
        <f>'Water runs'!B210</f>
        <v>Summer</v>
      </c>
      <c r="C203" s="54">
        <f>'Water runs'!D210/100</f>
        <v>2.0403761904761897</v>
      </c>
      <c r="D203" s="108">
        <f>VLOOKUP(ROW(D203)+4,'Water runs'!$BS$3:$CF$423,MATCH($B$1,Scenarios,0)+1)</f>
        <v>1.1738554541207771</v>
      </c>
      <c r="E203" s="54">
        <f>IF(B203=Variables!$D$8,C203-Variables!$E$8,IF(B203=Variables!$D$9,C203-Variables!$E$9,IF(B203=Variables!$D$10,C203-Variables!$E$10,IF(B203=Variables!$D$11,C203-Variables!$E$11,"ELSE"))))</f>
        <v>0.78200605442176796</v>
      </c>
      <c r="F203" s="108">
        <f>VLOOKUP(ROW(F203)+4,'Water runs'!$CH$3:$CU$423,MATCH($B$1,Scenarios,0)+1)</f>
        <v>0</v>
      </c>
      <c r="G203" s="65">
        <f>H203/Variables!$E$49</f>
        <v>1.1554803643770972</v>
      </c>
      <c r="H203" s="62">
        <f>IF((H202+I203)&gt;(1.1*Variables!$E$50),(1.1*Variables!$E$50),IF((H202+I203)&gt;0,H202+I203,0))</f>
        <v>7.1639782591380037</v>
      </c>
      <c r="I203" s="64">
        <f t="shared" si="6"/>
        <v>3.4138334772576586</v>
      </c>
      <c r="J203" s="63">
        <f>IF(SUM(E199:E202)&lt;Variables!$B$3,-H202,0)</f>
        <v>0</v>
      </c>
      <c r="K203" s="64">
        <f>IF(AND(H202&lt;Variables!$B$6*Variables!$E$50,OR(SUM(D200:D203)&gt;Variables!$B$5,SUM(E200:E203)&gt;Variables!$B$4)),Variables!$B$6*Variables!$E$50+Variables!$B$7*$G$1*Variables!$E$50*SUM(D200:D203),0)</f>
        <v>0</v>
      </c>
      <c r="L203" s="64">
        <f>IF(B203="Winter",Variables!$B$8*H202,0)</f>
        <v>0</v>
      </c>
      <c r="M203" s="64">
        <f>IF(AND(B203="Spring",AND(NOT(H202=0),H202&lt;(Variables!$B$9*Variables!$E$50))),(Variables!$B$10*Variables!$E$50+Variables!$B$11*Variables!$E$50*SUM(E200:E203)+$G$1*SUM(D202:D203)*Variables!$E$50*Variables!$B$12),0)</f>
        <v>0</v>
      </c>
      <c r="N203" s="64">
        <f>IF(AND(B203="Spring",AND(SUM(D200:D203)&gt;Variables!$B$13,SUM(D196:D199)&gt;Variables!$B$13)),-Variables!$B$14*Variables!$E$50,0)</f>
        <v>0</v>
      </c>
      <c r="O203" s="64">
        <f>IF(AND(B203="Summer",SUM(C199:D203)&gt;Variables!$B$15),(Variables!$B$16*Variables!$E$50*SUM(C199:C203)+$G$1*Variables!$B$16*Variables!$E$50*SUM(D199:D203)+$G$1*Variables!$E$50*Variables!$B$17*F203),0)</f>
        <v>3.4138334772576586</v>
      </c>
      <c r="P203" s="64">
        <f>IF(AND(AND(B203="Autumn",SUM(D202:E203)&gt;0),NOT(H202=0)),Variables!$B$18*Variables!$E$50+Variables!$B$19*Variables!$E$50*SUM(E202:E203)+$G$1*Variables!$B$19*Variables!$E$50*SUM(D202:D203),0)</f>
        <v>0</v>
      </c>
      <c r="Q203" s="64">
        <f>IF(AND(B203="Autumn",AND((E203+E202)&lt;Variables!$B$20,(D202+D203)=0)),-Variables!$B$21*Variables!$E$50,0)</f>
        <v>0</v>
      </c>
      <c r="R203" s="64">
        <f>IF(B203="Autumn",(SUM(F202:F203)*$G$1*Variables!$B$22*Variables!$E$50),0)</f>
        <v>0</v>
      </c>
      <c r="S203" s="64">
        <f>IF(B203="Spring",($G$1*Variables!$E$50*SUM('Guts (option 1)'!F202:F203)*Variables!$B$23),0)</f>
        <v>0</v>
      </c>
      <c r="T203" s="63">
        <f>IF((H202+SUM(J203:Q203))&lt;(Variables!$B$26*Variables!$E$50),$F$1*((Variables!$B$26*Variables!$E$50)-H202-SUM(J203:Q203)),0)</f>
        <v>0</v>
      </c>
      <c r="U203" s="64">
        <f>IF(AND(AND(B203="Autumn",SUM(D200:E203)&gt;Variables!$B$27),SUM(J203:Q203)&lt;Variables!$B$28*H202),$F$1*(Variables!$B$28*H202-SUM(J203:Q203)),0)</f>
        <v>0</v>
      </c>
      <c r="V203" s="96">
        <f>IF(AND((J203+K203)=0,(Q203+T203)=0),$H$1*H203*Variables!$I$23*0.25,0)</f>
        <v>138.0509356503282</v>
      </c>
      <c r="W203" s="97">
        <f>IF(AND((K203+J203)=0,(T203+Q203)=0),$I$1*H203*Variables!$Q$23*0.25,0)</f>
        <v>144.50281447050787</v>
      </c>
      <c r="X203" s="95">
        <f>IF(AND(NOT(K203=0),(H203-H202)&gt;0),(H203-H202)*(Variables!$M$5*$H$1+Variables!$U$5*$I$1),0)+IF(AND(NOT((J203+N203+Q203)=0),(H202-H203)&gt;0),(H202-H203)*(Variables!$M$4*$H$1+Variables!$U$4*$I$1),0)</f>
        <v>0</v>
      </c>
      <c r="Y203" s="95">
        <f>IF(SUM(T203,U202:U203)&gt;0,H203*Variables!$Y$11*0.25*(1-$J$1),0)</f>
        <v>0</v>
      </c>
      <c r="Z203" s="95">
        <f>IF(T203=0,H203*$J$1*Variables!$Y$5*0.25,0)</f>
        <v>46.565858684397021</v>
      </c>
      <c r="AA203" s="95">
        <f t="shared" si="5"/>
        <v>329.1196088052331</v>
      </c>
      <c r="AB203" s="91">
        <f>AA203/Variables!$E$49</f>
        <v>53.083807871811786</v>
      </c>
    </row>
    <row r="204" spans="1:28" x14ac:dyDescent="0.25">
      <c r="A204" s="61">
        <f>'Water runs'!C211</f>
        <v>20606</v>
      </c>
      <c r="B204" s="61" t="str">
        <f>'Water runs'!B211</f>
        <v>Autumn</v>
      </c>
      <c r="C204" s="54">
        <f>'Water runs'!D211/100</f>
        <v>2.6358333333333297</v>
      </c>
      <c r="D204" s="108">
        <f>VLOOKUP(ROW(D204)+4,'Water runs'!$BS$3:$CF$423,MATCH($B$1,Scenarios,0)+1)</f>
        <v>1.0332803901851955</v>
      </c>
      <c r="E204" s="54">
        <f>IF(B204=Variables!$D$8,C204-Variables!$E$8,IF(B204=Variables!$D$9,C204-Variables!$E$9,IF(B204=Variables!$D$10,C204-Variables!$E$10,IF(B204=Variables!$D$11,C204-Variables!$E$11,"ELSE"))))</f>
        <v>1.6411900340136019</v>
      </c>
      <c r="F204" s="108">
        <f>VLOOKUP(ROW(F204)+4,'Water runs'!$CH$3:$CU$423,MATCH($B$1,Scenarios,0)+1)</f>
        <v>3.4264143025677165</v>
      </c>
      <c r="G204" s="65">
        <f>H204/Variables!$E$49</f>
        <v>2.5300000000000002</v>
      </c>
      <c r="H204" s="62">
        <f>IF((H203+I204)&gt;(1.1*Variables!$E$50),(1.1*Variables!$E$50),IF((H203+I204)&gt;0,H203+I204,0))</f>
        <v>15.686000000000002</v>
      </c>
      <c r="I204" s="64">
        <f t="shared" si="6"/>
        <v>9.7020918499186592</v>
      </c>
      <c r="J204" s="63">
        <f>IF(SUM(E200:E203)&lt;Variables!$B$3,-H203,0)</f>
        <v>0</v>
      </c>
      <c r="K204" s="64">
        <f>IF(AND(H203&lt;Variables!$B$6*Variables!$E$50,OR(SUM(D201:D204)&gt;Variables!$B$5,SUM(E201:E204)&gt;Variables!$B$4)),Variables!$B$6*Variables!$E$50+Variables!$B$7*$G$1*Variables!$E$50*SUM(D201:D204),0)</f>
        <v>0</v>
      </c>
      <c r="L204" s="64">
        <f>IF(B204="Winter",Variables!$B$8*H203,0)</f>
        <v>0</v>
      </c>
      <c r="M204" s="64">
        <f>IF(AND(B204="Spring",AND(NOT(H203=0),H203&lt;(Variables!$B$9*Variables!$E$50))),(Variables!$B$10*Variables!$E$50+Variables!$B$11*Variables!$E$50*SUM(E201:E204)+$G$1*SUM(D203:D204)*Variables!$E$50*Variables!$B$12),0)</f>
        <v>0</v>
      </c>
      <c r="N204" s="64">
        <f>IF(AND(B204="Spring",AND(SUM(D201:D204)&gt;Variables!$B$13,SUM(D197:D200)&gt;Variables!$B$13)),-Variables!$B$14*Variables!$E$50,0)</f>
        <v>0</v>
      </c>
      <c r="O204" s="64">
        <f>IF(AND(B204="Summer",SUM(C200:D204)&gt;Variables!$B$15),(Variables!$B$16*Variables!$E$50*SUM(C200:C204)+$G$1*Variables!$B$16*Variables!$E$50*SUM(D200:D204)+$G$1*Variables!$E$50*Variables!$B$17*F204),0)</f>
        <v>0</v>
      </c>
      <c r="P204" s="64">
        <f>IF(AND(AND(B204="Autumn",SUM(D203:E204)&gt;0),NOT(H203=0)),Variables!$B$18*Variables!$E$50+Variables!$B$19*Variables!$E$50*SUM(E203:E204)+$G$1*Variables!$B$19*Variables!$E$50*SUM(D203:D204),0)</f>
        <v>9.2214415269562053</v>
      </c>
      <c r="Q204" s="64">
        <f>IF(AND(B204="Autumn",AND((E204+E203)&lt;Variables!$B$20,(D203+D204)=0)),-Variables!$B$21*Variables!$E$50,0)</f>
        <v>0</v>
      </c>
      <c r="R204" s="64">
        <f>IF(B204="Autumn",(SUM(F203:F204)*$G$1*Variables!$B$22*Variables!$E$50),0)</f>
        <v>0.48065032296245436</v>
      </c>
      <c r="S204" s="64">
        <f>IF(B204="Spring",($G$1*Variables!$E$50*SUM('Guts (option 1)'!F203:F204)*Variables!$B$23),0)</f>
        <v>0</v>
      </c>
      <c r="T204" s="63">
        <f>IF((H203+SUM(J204:Q204))&lt;(Variables!$B$26*Variables!$E$50),$F$1*((Variables!$B$26*Variables!$E$50)-H203-SUM(J204:Q204)),0)</f>
        <v>0</v>
      </c>
      <c r="U204" s="64">
        <f>IF(AND(AND(B204="Autumn",SUM(D201:E204)&gt;Variables!$B$27),SUM(J204:Q204)&lt;Variables!$B$28*H203),$F$1*(Variables!$B$28*H203-SUM(J204:Q204)),0)</f>
        <v>0</v>
      </c>
      <c r="V204" s="96">
        <f>IF(AND((J204+K204)=0,(Q204+T204)=0),$H$1*H204*Variables!$I$23*0.25,0)</f>
        <v>302.27157290000002</v>
      </c>
      <c r="W204" s="97">
        <f>IF(AND((K204+J204)=0,(T204+Q204)=0),$I$1*H204*Variables!$Q$23*0.25,0)</f>
        <v>316.39838450000002</v>
      </c>
      <c r="X204" s="95">
        <f>IF(AND(NOT(K204=0),(H204-H203)&gt;0),(H204-H203)*(Variables!$M$5*$H$1+Variables!$U$5*$I$1),0)+IF(AND(NOT((J204+N204+Q204)=0),(H203-H204)&gt;0),(H203-H204)*(Variables!$M$4*$H$1+Variables!$U$4*$I$1),0)</f>
        <v>0</v>
      </c>
      <c r="Y204" s="95">
        <f>IF(SUM(T204,U203:U204)&gt;0,H204*Variables!$Y$11*0.25*(1-$J$1),0)</f>
        <v>0</v>
      </c>
      <c r="Z204" s="95">
        <f>IF(T204=0,H204*$J$1*Variables!$Y$5*0.25,0)</f>
        <v>101.95900000000002</v>
      </c>
      <c r="AA204" s="95">
        <f t="shared" si="5"/>
        <v>720.6289574000001</v>
      </c>
      <c r="AB204" s="91">
        <f>AA204/Variables!$E$49</f>
        <v>116.23047700000001</v>
      </c>
    </row>
    <row r="205" spans="1:28" x14ac:dyDescent="0.25">
      <c r="A205" s="61">
        <f>'Water runs'!C212</f>
        <v>20698</v>
      </c>
      <c r="B205" s="61" t="str">
        <f>'Water runs'!B212</f>
        <v>Winter</v>
      </c>
      <c r="C205" s="54">
        <f>'Water runs'!D212/100</f>
        <v>1.1225000000000001</v>
      </c>
      <c r="D205" s="108">
        <f>VLOOKUP(ROW(D205)+4,'Water runs'!$BS$3:$CF$423,MATCH($B$1,Scenarios,0)+1)</f>
        <v>0.43104791011805327</v>
      </c>
      <c r="E205" s="54">
        <f>IF(B205=Variables!$D$8,C205-Variables!$E$8,IF(B205=Variables!$D$9,C205-Variables!$E$9,IF(B205=Variables!$D$10,C205-Variables!$E$10,IF(B205=Variables!$D$11,C205-Variables!$E$11,"ELSE"))))</f>
        <v>0.55073237433862432</v>
      </c>
      <c r="F205" s="108">
        <f>VLOOKUP(ROW(F205)+4,'Water runs'!$CH$3:$CU$423,MATCH($B$1,Scenarios,0)+1)</f>
        <v>0.34071180294380793</v>
      </c>
      <c r="G205" s="65">
        <f>H205/Variables!$E$49</f>
        <v>1.2701985267720333</v>
      </c>
      <c r="H205" s="62">
        <f>IF((H204+I205)&gt;(1.1*Variables!$E$50),(1.1*Variables!$E$50),IF((H204+I205)&gt;0,H204+I205,0))</f>
        <v>7.875230865986607</v>
      </c>
      <c r="I205" s="64">
        <f t="shared" si="6"/>
        <v>-7.8107691340133947</v>
      </c>
      <c r="J205" s="63">
        <f>IF(SUM(E201:E204)&lt;Variables!$B$3,-H204,0)</f>
        <v>0</v>
      </c>
      <c r="K205" s="64">
        <f>IF(AND(H204&lt;Variables!$B$6*Variables!$E$50,OR(SUM(D202:D205)&gt;Variables!$B$5,SUM(E202:E205)&gt;Variables!$B$4)),Variables!$B$6*Variables!$E$50+Variables!$B$7*$G$1*Variables!$E$50*SUM(D202:D205),0)</f>
        <v>0</v>
      </c>
      <c r="L205" s="64">
        <f>IF(B205="Winter",Variables!$B$8*H204,0)</f>
        <v>-7.8107691340133947</v>
      </c>
      <c r="M205" s="64">
        <f>IF(AND(B205="Spring",AND(NOT(H204=0),H204&lt;(Variables!$B$9*Variables!$E$50))),(Variables!$B$10*Variables!$E$50+Variables!$B$11*Variables!$E$50*SUM(E202:E205)+$G$1*SUM(D204:D205)*Variables!$E$50*Variables!$B$12),0)</f>
        <v>0</v>
      </c>
      <c r="N205" s="64">
        <f>IF(AND(B205="Spring",AND(SUM(D202:D205)&gt;Variables!$B$13,SUM(D198:D201)&gt;Variables!$B$13)),-Variables!$B$14*Variables!$E$50,0)</f>
        <v>0</v>
      </c>
      <c r="O205" s="64">
        <f>IF(AND(B205="Summer",SUM(C201:D205)&gt;Variables!$B$15),(Variables!$B$16*Variables!$E$50*SUM(C201:C205)+$G$1*Variables!$B$16*Variables!$E$50*SUM(D201:D205)+$G$1*Variables!$E$50*Variables!$B$17*F205),0)</f>
        <v>0</v>
      </c>
      <c r="P205" s="64">
        <f>IF(AND(AND(B205="Autumn",SUM(D204:E205)&gt;0),NOT(H204=0)),Variables!$B$18*Variables!$E$50+Variables!$B$19*Variables!$E$50*SUM(E204:E205)+$G$1*Variables!$B$19*Variables!$E$50*SUM(D204:D205),0)</f>
        <v>0</v>
      </c>
      <c r="Q205" s="64">
        <f>IF(AND(B205="Autumn",AND((E205+E204)&lt;Variables!$B$20,(D204+D205)=0)),-Variables!$B$21*Variables!$E$50,0)</f>
        <v>0</v>
      </c>
      <c r="R205" s="64">
        <f>IF(B205="Autumn",(SUM(F204:F205)*$G$1*Variables!$B$22*Variables!$E$50),0)</f>
        <v>0</v>
      </c>
      <c r="S205" s="64">
        <f>IF(B205="Spring",($G$1*Variables!$E$50*SUM('Guts (option 1)'!F204:F205)*Variables!$B$23),0)</f>
        <v>0</v>
      </c>
      <c r="T205" s="63">
        <f>IF((H204+SUM(J205:Q205))&lt;(Variables!$B$26*Variables!$E$50),$F$1*((Variables!$B$26*Variables!$E$50)-H204-SUM(J205:Q205)),0)</f>
        <v>0</v>
      </c>
      <c r="U205" s="64">
        <f>IF(AND(AND(B205="Autumn",SUM(D202:E205)&gt;Variables!$B$27),SUM(J205:Q205)&lt;Variables!$B$28*H204),$F$1*(Variables!$B$28*H204-SUM(J205:Q205)),0)</f>
        <v>0</v>
      </c>
      <c r="V205" s="96">
        <f>IF(AND((J205+K205)=0,(Q205+T205)=0),$H$1*H205*Variables!$I$23*0.25,0)</f>
        <v>151.75688007219182</v>
      </c>
      <c r="W205" s="97">
        <f>IF(AND((K205+J205)=0,(T205+Q205)=0),$I$1*H205*Variables!$Q$23*0.25,0)</f>
        <v>158.84931299009935</v>
      </c>
      <c r="X205" s="95">
        <f>IF(AND(NOT(K205=0),(H205-H204)&gt;0),(H205-H204)*(Variables!$M$5*$H$1+Variables!$U$5*$I$1),0)+IF(AND(NOT((J205+N205+Q205)=0),(H204-H205)&gt;0),(H204-H205)*(Variables!$M$4*$H$1+Variables!$U$4*$I$1),0)</f>
        <v>0</v>
      </c>
      <c r="Y205" s="95">
        <f>IF(SUM(T205,U204:U205)&gt;0,H205*Variables!$Y$11*0.25*(1-$J$1),0)</f>
        <v>0</v>
      </c>
      <c r="Z205" s="95">
        <f>IF(T205=0,H205*$J$1*Variables!$Y$5*0.25,0)</f>
        <v>51.189000628912943</v>
      </c>
      <c r="AA205" s="95">
        <f t="shared" si="5"/>
        <v>361.79519369120408</v>
      </c>
      <c r="AB205" s="91">
        <f>AA205/Variables!$E$49</f>
        <v>58.354063498581304</v>
      </c>
    </row>
    <row r="206" spans="1:28" x14ac:dyDescent="0.25">
      <c r="A206" s="61">
        <f>'Water runs'!C213</f>
        <v>20789</v>
      </c>
      <c r="B206" s="61" t="str">
        <f>'Water runs'!B213</f>
        <v>Spring</v>
      </c>
      <c r="C206" s="54">
        <f>'Water runs'!D213/100</f>
        <v>0.55366666666666697</v>
      </c>
      <c r="D206" s="108">
        <f>VLOOKUP(ROW(D206)+4,'Water runs'!$BS$3:$CF$423,MATCH($B$1,Scenarios,0)+1)</f>
        <v>0</v>
      </c>
      <c r="E206" s="54">
        <f>IF(B206=Variables!$D$8,C206-Variables!$E$8,IF(B206=Variables!$D$9,C206-Variables!$E$9,IF(B206=Variables!$D$10,C206-Variables!$E$10,IF(B206=Variables!$D$11,C206-Variables!$E$11,"ELSE"))))</f>
        <v>-0.21031554232804217</v>
      </c>
      <c r="F206" s="108">
        <f>VLOOKUP(ROW(F206)+4,'Water runs'!$CH$3:$CU$423,MATCH($B$1,Scenarios,0)+1)</f>
        <v>0</v>
      </c>
      <c r="G206" s="65">
        <f>H206/Variables!$E$49</f>
        <v>1.2771998409587118</v>
      </c>
      <c r="H206" s="62">
        <f>IF((H205+I206)&gt;(1.1*Variables!$E$50),(1.1*Variables!$E$50),IF((H205+I206)&gt;0,H205+I206,0))</f>
        <v>7.9186390139440128</v>
      </c>
      <c r="I206" s="64">
        <f t="shared" si="6"/>
        <v>4.3408147957405649E-2</v>
      </c>
      <c r="J206" s="63">
        <f>IF(SUM(E202:E205)&lt;Variables!$B$3,-H205,0)</f>
        <v>0</v>
      </c>
      <c r="K206" s="64">
        <f>IF(AND(H205&lt;Variables!$B$6*Variables!$E$50,OR(SUM(D203:D206)&gt;Variables!$B$5,SUM(E203:E206)&gt;Variables!$B$4)),Variables!$B$6*Variables!$E$50+Variables!$B$7*$G$1*Variables!$E$50*SUM(D203:D206),0)</f>
        <v>0</v>
      </c>
      <c r="L206" s="64">
        <f>IF(B206="Winter",Variables!$B$8*H205,0)</f>
        <v>0</v>
      </c>
      <c r="M206" s="64">
        <f>IF(AND(B206="Spring",AND(NOT(H205=0),H205&lt;(Variables!$B$9*Variables!$E$50))),(Variables!$B$10*Variables!$E$50+Variables!$B$11*Variables!$E$50*SUM(E203:E206)+$G$1*SUM(D205:D206)*Variables!$E$50*Variables!$B$12),0)</f>
        <v>0</v>
      </c>
      <c r="N206" s="64">
        <f>IF(AND(B206="Spring",AND(SUM(D203:D206)&gt;Variables!$B$13,SUM(D199:D202)&gt;Variables!$B$13)),-Variables!$B$14*Variables!$E$50,0)</f>
        <v>0</v>
      </c>
      <c r="O206" s="64">
        <f>IF(AND(B206="Summer",SUM(C202:D206)&gt;Variables!$B$15),(Variables!$B$16*Variables!$E$50*SUM(C202:C206)+$G$1*Variables!$B$16*Variables!$E$50*SUM(D202:D206)+$G$1*Variables!$E$50*Variables!$B$17*F206),0)</f>
        <v>0</v>
      </c>
      <c r="P206" s="64">
        <f>IF(AND(AND(B206="Autumn",SUM(D205:E206)&gt;0),NOT(H205=0)),Variables!$B$18*Variables!$E$50+Variables!$B$19*Variables!$E$50*SUM(E205:E206)+$G$1*Variables!$B$19*Variables!$E$50*SUM(D205:D206),0)</f>
        <v>0</v>
      </c>
      <c r="Q206" s="64">
        <f>IF(AND(B206="Autumn",AND((E206+E205)&lt;Variables!$B$20,(D205+D206)=0)),-Variables!$B$21*Variables!$E$50,0)</f>
        <v>0</v>
      </c>
      <c r="R206" s="64">
        <f>IF(B206="Autumn",(SUM(F205:F206)*$G$1*Variables!$B$22*Variables!$E$50),0)</f>
        <v>0</v>
      </c>
      <c r="S206" s="64">
        <f>IF(B206="Spring",($G$1*Variables!$E$50*SUM('Guts (option 1)'!F205:F206)*Variables!$B$23),0)</f>
        <v>4.3408147957405649E-2</v>
      </c>
      <c r="T206" s="63">
        <f>IF((H205+SUM(J206:Q206))&lt;(Variables!$B$26*Variables!$E$50),$F$1*((Variables!$B$26*Variables!$E$50)-H205-SUM(J206:Q206)),0)</f>
        <v>0</v>
      </c>
      <c r="U206" s="64">
        <f>IF(AND(AND(B206="Autumn",SUM(D203:E206)&gt;Variables!$B$27),SUM(J206:Q206)&lt;Variables!$B$28*H205),$F$1*(Variables!$B$28*H205-SUM(J206:Q206)),0)</f>
        <v>0</v>
      </c>
      <c r="V206" s="96">
        <f>IF(AND((J206+K206)=0,(Q206+T206)=0),$H$1*H206*Variables!$I$23*0.25,0)</f>
        <v>152.59336159455322</v>
      </c>
      <c r="W206" s="97">
        <f>IF(AND((K206+J206)=0,(T206+Q206)=0),$I$1*H206*Variables!$Q$23*0.25,0)</f>
        <v>159.72488789051118</v>
      </c>
      <c r="X206" s="95">
        <f>IF(AND(NOT(K206=0),(H206-H205)&gt;0),(H206-H205)*(Variables!$M$5*$H$1+Variables!$U$5*$I$1),0)+IF(AND(NOT((J206+N206+Q206)=0),(H205-H206)&gt;0),(H205-H206)*(Variables!$M$4*$H$1+Variables!$U$4*$I$1),0)</f>
        <v>0</v>
      </c>
      <c r="Y206" s="95">
        <f>IF(SUM(T206,U205:U206)&gt;0,H206*Variables!$Y$11*0.25*(1-$J$1),0)</f>
        <v>0</v>
      </c>
      <c r="Z206" s="95">
        <f>IF(T206=0,H206*$J$1*Variables!$Y$5*0.25,0)</f>
        <v>51.471153590636085</v>
      </c>
      <c r="AA206" s="95">
        <f t="shared" si="5"/>
        <v>363.78940307570048</v>
      </c>
      <c r="AB206" s="91">
        <f>AA206/Variables!$E$49</f>
        <v>58.675710173500079</v>
      </c>
    </row>
    <row r="207" spans="1:28" x14ac:dyDescent="0.25">
      <c r="A207" s="61">
        <f>'Water runs'!C214</f>
        <v>20879</v>
      </c>
      <c r="B207" s="61" t="str">
        <f>'Water runs'!B214</f>
        <v>Summer</v>
      </c>
      <c r="C207" s="54">
        <f>'Water runs'!D214/100</f>
        <v>1.0714333333333301</v>
      </c>
      <c r="D207" s="108">
        <f>VLOOKUP(ROW(D207)+4,'Water runs'!$BS$3:$CF$423,MATCH($B$1,Scenarios,0)+1)</f>
        <v>2.691018931266281E-2</v>
      </c>
      <c r="E207" s="54">
        <f>IF(B207=Variables!$D$8,C207-Variables!$E$8,IF(B207=Variables!$D$9,C207-Variables!$E$9,IF(B207=Variables!$D$10,C207-Variables!$E$10,IF(B207=Variables!$D$11,C207-Variables!$E$11,"ELSE"))))</f>
        <v>-0.18693680272109159</v>
      </c>
      <c r="F207" s="108">
        <f>VLOOKUP(ROW(F207)+4,'Water runs'!$CH$3:$CU$423,MATCH($B$1,Scenarios,0)+1)</f>
        <v>0</v>
      </c>
      <c r="G207" s="65">
        <f>H207/Variables!$E$49</f>
        <v>1.8471634529218568</v>
      </c>
      <c r="H207" s="62">
        <f>IF((H206+I207)&gt;(1.1*Variables!$E$50),(1.1*Variables!$E$50),IF((H206+I207)&gt;0,H206+I207,0))</f>
        <v>11.452413408115513</v>
      </c>
      <c r="I207" s="64">
        <f t="shared" si="6"/>
        <v>3.5337743941715005</v>
      </c>
      <c r="J207" s="63">
        <f>IF(SUM(E203:E206)&lt;Variables!$B$3,-H206,0)</f>
        <v>0</v>
      </c>
      <c r="K207" s="64">
        <f>IF(AND(H206&lt;Variables!$B$6*Variables!$E$50,OR(SUM(D204:D207)&gt;Variables!$B$5,SUM(E204:E207)&gt;Variables!$B$4)),Variables!$B$6*Variables!$E$50+Variables!$B$7*$G$1*Variables!$E$50*SUM(D204:D207),0)</f>
        <v>0</v>
      </c>
      <c r="L207" s="64">
        <f>IF(B207="Winter",Variables!$B$8*H206,0)</f>
        <v>0</v>
      </c>
      <c r="M207" s="64">
        <f>IF(AND(B207="Spring",AND(NOT(H206=0),H206&lt;(Variables!$B$9*Variables!$E$50))),(Variables!$B$10*Variables!$E$50+Variables!$B$11*Variables!$E$50*SUM(E204:E207)+$G$1*SUM(D206:D207)*Variables!$E$50*Variables!$B$12),0)</f>
        <v>0</v>
      </c>
      <c r="N207" s="64">
        <f>IF(AND(B207="Spring",AND(SUM(D204:D207)&gt;Variables!$B$13,SUM(D200:D203)&gt;Variables!$B$13)),-Variables!$B$14*Variables!$E$50,0)</f>
        <v>0</v>
      </c>
      <c r="O207" s="64">
        <f>IF(AND(B207="Summer",SUM(C203:D207)&gt;Variables!$B$15),(Variables!$B$16*Variables!$E$50*SUM(C203:C207)+$G$1*Variables!$B$16*Variables!$E$50*SUM(D203:D207)+$G$1*Variables!$E$50*Variables!$B$17*F207),0)</f>
        <v>3.5337743941715005</v>
      </c>
      <c r="P207" s="64">
        <f>IF(AND(AND(B207="Autumn",SUM(D206:E207)&gt;0),NOT(H206=0)),Variables!$B$18*Variables!$E$50+Variables!$B$19*Variables!$E$50*SUM(E206:E207)+$G$1*Variables!$B$19*Variables!$E$50*SUM(D206:D207),0)</f>
        <v>0</v>
      </c>
      <c r="Q207" s="64">
        <f>IF(AND(B207="Autumn",AND((E207+E206)&lt;Variables!$B$20,(D206+D207)=0)),-Variables!$B$21*Variables!$E$50,0)</f>
        <v>0</v>
      </c>
      <c r="R207" s="64">
        <f>IF(B207="Autumn",(SUM(F206:F207)*$G$1*Variables!$B$22*Variables!$E$50),0)</f>
        <v>0</v>
      </c>
      <c r="S207" s="64">
        <f>IF(B207="Spring",($G$1*Variables!$E$50*SUM('Guts (option 1)'!F206:F207)*Variables!$B$23),0)</f>
        <v>0</v>
      </c>
      <c r="T207" s="63">
        <f>IF((H206+SUM(J207:Q207))&lt;(Variables!$B$26*Variables!$E$50),$F$1*((Variables!$B$26*Variables!$E$50)-H206-SUM(J207:Q207)),0)</f>
        <v>0</v>
      </c>
      <c r="U207" s="64">
        <f>IF(AND(AND(B207="Autumn",SUM(D204:E207)&gt;Variables!$B$27),SUM(J207:Q207)&lt;Variables!$B$28*H206),$F$1*(Variables!$B$28*H206-SUM(J207:Q207)),0)</f>
        <v>0</v>
      </c>
      <c r="V207" s="96">
        <f>IF(AND((J207+K207)=0,(Q207+T207)=0),$H$1*H207*Variables!$I$23*0.25,0)</f>
        <v>220.68972423639715</v>
      </c>
      <c r="W207" s="97">
        <f>IF(AND((K207+J207)=0,(T207+Q207)=0),$I$1*H207*Variables!$Q$23*0.25,0)</f>
        <v>231.00376775174595</v>
      </c>
      <c r="X207" s="95">
        <f>IF(AND(NOT(K207=0),(H207-H206)&gt;0),(H207-H206)*(Variables!$M$5*$H$1+Variables!$U$5*$I$1),0)+IF(AND(NOT((J207+N207+Q207)=0),(H206-H207)&gt;0),(H206-H207)*(Variables!$M$4*$H$1+Variables!$U$4*$I$1),0)</f>
        <v>0</v>
      </c>
      <c r="Y207" s="95">
        <f>IF(SUM(T207,U206:U207)&gt;0,H207*Variables!$Y$11*0.25*(1-$J$1),0)</f>
        <v>0</v>
      </c>
      <c r="Z207" s="95">
        <f>IF(T207=0,H207*$J$1*Variables!$Y$5*0.25,0)</f>
        <v>74.44068715275084</v>
      </c>
      <c r="AA207" s="95">
        <f t="shared" si="5"/>
        <v>526.13417914089393</v>
      </c>
      <c r="AB207" s="91">
        <f>AA207/Variables!$E$49</f>
        <v>84.860351474337733</v>
      </c>
    </row>
    <row r="208" spans="1:28" x14ac:dyDescent="0.25">
      <c r="A208" s="61">
        <f>'Water runs'!C215</f>
        <v>20971</v>
      </c>
      <c r="B208" s="61" t="str">
        <f>'Water runs'!B215</f>
        <v>Autumn</v>
      </c>
      <c r="C208" s="54">
        <f>'Water runs'!D215/100</f>
        <v>0.47133333333333299</v>
      </c>
      <c r="D208" s="108">
        <f>VLOOKUP(ROW(D208)+4,'Water runs'!$BS$3:$CF$423,MATCH($B$1,Scenarios,0)+1)</f>
        <v>0</v>
      </c>
      <c r="E208" s="54">
        <f>IF(B208=Variables!$D$8,C208-Variables!$E$8,IF(B208=Variables!$D$9,C208-Variables!$E$9,IF(B208=Variables!$D$10,C208-Variables!$E$10,IF(B208=Variables!$D$11,C208-Variables!$E$11,"ELSE"))))</f>
        <v>-0.5233099659863949</v>
      </c>
      <c r="F208" s="108">
        <f>VLOOKUP(ROW(F208)+4,'Water runs'!$CH$3:$CU$423,MATCH($B$1,Scenarios,0)+1)</f>
        <v>0</v>
      </c>
      <c r="G208" s="65">
        <f>H208/Variables!$E$49</f>
        <v>1.8471634529218568</v>
      </c>
      <c r="H208" s="62">
        <f>IF((H207+I208)&gt;(1.1*Variables!$E$50),(1.1*Variables!$E$50),IF((H207+I208)&gt;0,H207+I208,0))</f>
        <v>11.452413408115513</v>
      </c>
      <c r="I208" s="64">
        <f t="shared" si="6"/>
        <v>0</v>
      </c>
      <c r="J208" s="63">
        <f>IF(SUM(E204:E207)&lt;Variables!$B$3,-H207,0)</f>
        <v>0</v>
      </c>
      <c r="K208" s="64">
        <f>IF(AND(H207&lt;Variables!$B$6*Variables!$E$50,OR(SUM(D205:D208)&gt;Variables!$B$5,SUM(E205:E208)&gt;Variables!$B$4)),Variables!$B$6*Variables!$E$50+Variables!$B$7*$G$1*Variables!$E$50*SUM(D205:D208),0)</f>
        <v>0</v>
      </c>
      <c r="L208" s="64">
        <f>IF(B208="Winter",Variables!$B$8*H207,0)</f>
        <v>0</v>
      </c>
      <c r="M208" s="64">
        <f>IF(AND(B208="Spring",AND(NOT(H207=0),H207&lt;(Variables!$B$9*Variables!$E$50))),(Variables!$B$10*Variables!$E$50+Variables!$B$11*Variables!$E$50*SUM(E205:E208)+$G$1*SUM(D207:D208)*Variables!$E$50*Variables!$B$12),0)</f>
        <v>0</v>
      </c>
      <c r="N208" s="64">
        <f>IF(AND(B208="Spring",AND(SUM(D205:D208)&gt;Variables!$B$13,SUM(D201:D204)&gt;Variables!$B$13)),-Variables!$B$14*Variables!$E$50,0)</f>
        <v>0</v>
      </c>
      <c r="O208" s="64">
        <f>IF(AND(B208="Summer",SUM(C204:D208)&gt;Variables!$B$15),(Variables!$B$16*Variables!$E$50*SUM(C204:C208)+$G$1*Variables!$B$16*Variables!$E$50*SUM(D204:D208)+$G$1*Variables!$E$50*Variables!$B$17*F208),0)</f>
        <v>0</v>
      </c>
      <c r="P208" s="64">
        <f>IF(AND(AND(B208="Autumn",SUM(D207:E208)&gt;0),NOT(H207=0)),Variables!$B$18*Variables!$E$50+Variables!$B$19*Variables!$E$50*SUM(E207:E208)+$G$1*Variables!$B$19*Variables!$E$50*SUM(D207:D208),0)</f>
        <v>0</v>
      </c>
      <c r="Q208" s="64">
        <f>IF(AND(B208="Autumn",AND((E208+E207)&lt;Variables!$B$20,(D207+D208)=0)),-Variables!$B$21*Variables!$E$50,0)</f>
        <v>0</v>
      </c>
      <c r="R208" s="64">
        <f>IF(B208="Autumn",(SUM(F207:F208)*$G$1*Variables!$B$22*Variables!$E$50),0)</f>
        <v>0</v>
      </c>
      <c r="S208" s="64">
        <f>IF(B208="Spring",($G$1*Variables!$E$50*SUM('Guts (option 1)'!F207:F208)*Variables!$B$23),0)</f>
        <v>0</v>
      </c>
      <c r="T208" s="63">
        <f>IF((H207+SUM(J208:Q208))&lt;(Variables!$B$26*Variables!$E$50),$F$1*((Variables!$B$26*Variables!$E$50)-H207-SUM(J208:Q208)),0)</f>
        <v>0</v>
      </c>
      <c r="U208" s="64">
        <f>IF(AND(AND(B208="Autumn",SUM(D205:E208)&gt;Variables!$B$27),SUM(J208:Q208)&lt;Variables!$B$28*H207),$F$1*(Variables!$B$28*H207-SUM(J208:Q208)),0)</f>
        <v>0</v>
      </c>
      <c r="V208" s="96">
        <f>IF(AND((J208+K208)=0,(Q208+T208)=0),$H$1*H208*Variables!$I$23*0.25,0)</f>
        <v>220.68972423639715</v>
      </c>
      <c r="W208" s="97">
        <f>IF(AND((K208+J208)=0,(T208+Q208)=0),$I$1*H208*Variables!$Q$23*0.25,0)</f>
        <v>231.00376775174595</v>
      </c>
      <c r="X208" s="95">
        <f>IF(AND(NOT(K208=0),(H208-H207)&gt;0),(H208-H207)*(Variables!$M$5*$H$1+Variables!$U$5*$I$1),0)+IF(AND(NOT((J208+N208+Q208)=0),(H207-H208)&gt;0),(H207-H208)*(Variables!$M$4*$H$1+Variables!$U$4*$I$1),0)</f>
        <v>0</v>
      </c>
      <c r="Y208" s="95">
        <f>IF(SUM(T208,U207:U208)&gt;0,H208*Variables!$Y$11*0.25*(1-$J$1),0)</f>
        <v>0</v>
      </c>
      <c r="Z208" s="95">
        <f>IF(T208=0,H208*$J$1*Variables!$Y$5*0.25,0)</f>
        <v>74.44068715275084</v>
      </c>
      <c r="AA208" s="95">
        <f t="shared" ref="AA208:AA271" si="7">SUM(V208:Z208)</f>
        <v>526.13417914089393</v>
      </c>
      <c r="AB208" s="91">
        <f>AA208/Variables!$E$49</f>
        <v>84.860351474337733</v>
      </c>
    </row>
    <row r="209" spans="1:28" x14ac:dyDescent="0.25">
      <c r="A209" s="61">
        <f>'Water runs'!C216</f>
        <v>21063</v>
      </c>
      <c r="B209" s="61" t="str">
        <f>'Water runs'!B216</f>
        <v>Winter</v>
      </c>
      <c r="C209" s="54">
        <f>'Water runs'!D216/100</f>
        <v>0.36816666666666698</v>
      </c>
      <c r="D209" s="108">
        <f>VLOOKUP(ROW(D209)+4,'Water runs'!$BS$3:$CF$423,MATCH($B$1,Scenarios,0)+1)</f>
        <v>0</v>
      </c>
      <c r="E209" s="54">
        <f>IF(B209=Variables!$D$8,C209-Variables!$E$8,IF(B209=Variables!$D$9,C209-Variables!$E$9,IF(B209=Variables!$D$10,C209-Variables!$E$10,IF(B209=Variables!$D$11,C209-Variables!$E$11,"ELSE"))))</f>
        <v>-0.20360095899470876</v>
      </c>
      <c r="F209" s="108">
        <f>VLOOKUP(ROW(F209)+4,'Water runs'!$CH$3:$CU$423,MATCH($B$1,Scenarios,0)+1)</f>
        <v>0</v>
      </c>
      <c r="G209" s="65">
        <f>H209/Variables!$E$49</f>
        <v>0.92737719233536942</v>
      </c>
      <c r="H209" s="62">
        <f>IF((H208+I209)&gt;(1.1*Variables!$E$50),(1.1*Variables!$E$50),IF((H208+I209)&gt;0,H208+I209,0))</f>
        <v>5.7497385924792903</v>
      </c>
      <c r="I209" s="64">
        <f t="shared" si="6"/>
        <v>-5.7026748156362226</v>
      </c>
      <c r="J209" s="63">
        <f>IF(SUM(E205:E208)&lt;Variables!$B$3,-H208,0)</f>
        <v>0</v>
      </c>
      <c r="K209" s="64">
        <f>IF(AND(H208&lt;Variables!$B$6*Variables!$E$50,OR(SUM(D206:D209)&gt;Variables!$B$5,SUM(E206:E209)&gt;Variables!$B$4)),Variables!$B$6*Variables!$E$50+Variables!$B$7*$G$1*Variables!$E$50*SUM(D206:D209),0)</f>
        <v>0</v>
      </c>
      <c r="L209" s="64">
        <f>IF(B209="Winter",Variables!$B$8*H208,0)</f>
        <v>-5.7026748156362226</v>
      </c>
      <c r="M209" s="64">
        <f>IF(AND(B209="Spring",AND(NOT(H208=0),H208&lt;(Variables!$B$9*Variables!$E$50))),(Variables!$B$10*Variables!$E$50+Variables!$B$11*Variables!$E$50*SUM(E206:E209)+$G$1*SUM(D208:D209)*Variables!$E$50*Variables!$B$12),0)</f>
        <v>0</v>
      </c>
      <c r="N209" s="64">
        <f>IF(AND(B209="Spring",AND(SUM(D206:D209)&gt;Variables!$B$13,SUM(D202:D205)&gt;Variables!$B$13)),-Variables!$B$14*Variables!$E$50,0)</f>
        <v>0</v>
      </c>
      <c r="O209" s="64">
        <f>IF(AND(B209="Summer",SUM(C205:D209)&gt;Variables!$B$15),(Variables!$B$16*Variables!$E$50*SUM(C205:C209)+$G$1*Variables!$B$16*Variables!$E$50*SUM(D205:D209)+$G$1*Variables!$E$50*Variables!$B$17*F209),0)</f>
        <v>0</v>
      </c>
      <c r="P209" s="64">
        <f>IF(AND(AND(B209="Autumn",SUM(D208:E209)&gt;0),NOT(H208=0)),Variables!$B$18*Variables!$E$50+Variables!$B$19*Variables!$E$50*SUM(E208:E209)+$G$1*Variables!$B$19*Variables!$E$50*SUM(D208:D209),0)</f>
        <v>0</v>
      </c>
      <c r="Q209" s="64">
        <f>IF(AND(B209="Autumn",AND((E209+E208)&lt;Variables!$B$20,(D208+D209)=0)),-Variables!$B$21*Variables!$E$50,0)</f>
        <v>0</v>
      </c>
      <c r="R209" s="64">
        <f>IF(B209="Autumn",(SUM(F208:F209)*$G$1*Variables!$B$22*Variables!$E$50),0)</f>
        <v>0</v>
      </c>
      <c r="S209" s="64">
        <f>IF(B209="Spring",($G$1*Variables!$E$50*SUM('Guts (option 1)'!F208:F209)*Variables!$B$23),0)</f>
        <v>0</v>
      </c>
      <c r="T209" s="63">
        <f>IF((H208+SUM(J209:Q209))&lt;(Variables!$B$26*Variables!$E$50),$F$1*((Variables!$B$26*Variables!$E$50)-H208-SUM(J209:Q209)),0)</f>
        <v>0</v>
      </c>
      <c r="U209" s="64">
        <f>IF(AND(AND(B209="Autumn",SUM(D206:E209)&gt;Variables!$B$27),SUM(J209:Q209)&lt;Variables!$B$28*H208),$F$1*(Variables!$B$28*H208-SUM(J209:Q209)),0)</f>
        <v>0</v>
      </c>
      <c r="V209" s="96">
        <f>IF(AND((J209+K209)=0,(Q209+T209)=0),$H$1*H209*Variables!$I$23*0.25,0)</f>
        <v>110.79832513786481</v>
      </c>
      <c r="W209" s="97">
        <f>IF(AND((K209+J209)=0,(T209+Q209)=0),$I$1*H209*Variables!$Q$23*0.25,0)</f>
        <v>115.97653971425163</v>
      </c>
      <c r="X209" s="95">
        <f>IF(AND(NOT(K209=0),(H209-H208)&gt;0),(H209-H208)*(Variables!$M$5*$H$1+Variables!$U$5*$I$1),0)+IF(AND(NOT((J209+N209+Q209)=0),(H208-H209)&gt;0),(H208-H209)*(Variables!$M$4*$H$1+Variables!$U$4*$I$1),0)</f>
        <v>0</v>
      </c>
      <c r="Y209" s="95">
        <f>IF(SUM(T209,U208:U209)&gt;0,H209*Variables!$Y$11*0.25*(1-$J$1),0)</f>
        <v>0</v>
      </c>
      <c r="Z209" s="95">
        <f>IF(T209=0,H209*$J$1*Variables!$Y$5*0.25,0)</f>
        <v>37.373300851115388</v>
      </c>
      <c r="AA209" s="95">
        <f t="shared" si="7"/>
        <v>264.14816570323183</v>
      </c>
      <c r="AB209" s="91">
        <f>AA209/Variables!$E$49</f>
        <v>42.604542855359973</v>
      </c>
    </row>
    <row r="210" spans="1:28" x14ac:dyDescent="0.25">
      <c r="A210" s="61">
        <f>'Water runs'!C217</f>
        <v>21154</v>
      </c>
      <c r="B210" s="61" t="str">
        <f>'Water runs'!B217</f>
        <v>Spring</v>
      </c>
      <c r="C210" s="54">
        <f>'Water runs'!D217/100</f>
        <v>0</v>
      </c>
      <c r="D210" s="108">
        <f>VLOOKUP(ROW(D210)+4,'Water runs'!$BS$3:$CF$423,MATCH($B$1,Scenarios,0)+1)</f>
        <v>0</v>
      </c>
      <c r="E210" s="54">
        <f>IF(B210=Variables!$D$8,C210-Variables!$E$8,IF(B210=Variables!$D$9,C210-Variables!$E$9,IF(B210=Variables!$D$10,C210-Variables!$E$10,IF(B210=Variables!$D$11,C210-Variables!$E$11,"ELSE"))))</f>
        <v>-0.76398220899470914</v>
      </c>
      <c r="F210" s="108">
        <f>VLOOKUP(ROW(F210)+4,'Water runs'!$CH$3:$CU$423,MATCH($B$1,Scenarios,0)+1)</f>
        <v>0</v>
      </c>
      <c r="G210" s="65">
        <f>H210/Variables!$E$49</f>
        <v>0.92737719233536942</v>
      </c>
      <c r="H210" s="62">
        <f>IF((H209+I210)&gt;(1.1*Variables!$E$50),(1.1*Variables!$E$50),IF((H209+I210)&gt;0,H209+I210,0))</f>
        <v>5.7497385924792903</v>
      </c>
      <c r="I210" s="64">
        <f t="shared" si="6"/>
        <v>0</v>
      </c>
      <c r="J210" s="63">
        <f>IF(SUM(E206:E209)&lt;Variables!$B$3,-H209,0)</f>
        <v>0</v>
      </c>
      <c r="K210" s="64">
        <f>IF(AND(H209&lt;Variables!$B$6*Variables!$E$50,OR(SUM(D207:D210)&gt;Variables!$B$5,SUM(E207:E210)&gt;Variables!$B$4)),Variables!$B$6*Variables!$E$50+Variables!$B$7*$G$1*Variables!$E$50*SUM(D207:D210),0)</f>
        <v>0</v>
      </c>
      <c r="L210" s="64">
        <f>IF(B210="Winter",Variables!$B$8*H209,0)</f>
        <v>0</v>
      </c>
      <c r="M210" s="64">
        <f>IF(AND(B210="Spring",AND(NOT(H209=0),H209&lt;(Variables!$B$9*Variables!$E$50))),(Variables!$B$10*Variables!$E$50+Variables!$B$11*Variables!$E$50*SUM(E207:E210)+$G$1*SUM(D209:D210)*Variables!$E$50*Variables!$B$12),0)</f>
        <v>0</v>
      </c>
      <c r="N210" s="64">
        <f>IF(AND(B210="Spring",AND(SUM(D207:D210)&gt;Variables!$B$13,SUM(D203:D206)&gt;Variables!$B$13)),-Variables!$B$14*Variables!$E$50,0)</f>
        <v>0</v>
      </c>
      <c r="O210" s="64">
        <f>IF(AND(B210="Summer",SUM(C206:D210)&gt;Variables!$B$15),(Variables!$B$16*Variables!$E$50*SUM(C206:C210)+$G$1*Variables!$B$16*Variables!$E$50*SUM(D206:D210)+$G$1*Variables!$E$50*Variables!$B$17*F210),0)</f>
        <v>0</v>
      </c>
      <c r="P210" s="64">
        <f>IF(AND(AND(B210="Autumn",SUM(D209:E210)&gt;0),NOT(H209=0)),Variables!$B$18*Variables!$E$50+Variables!$B$19*Variables!$E$50*SUM(E209:E210)+$G$1*Variables!$B$19*Variables!$E$50*SUM(D209:D210),0)</f>
        <v>0</v>
      </c>
      <c r="Q210" s="64">
        <f>IF(AND(B210="Autumn",AND((E210+E209)&lt;Variables!$B$20,(D209+D210)=0)),-Variables!$B$21*Variables!$E$50,0)</f>
        <v>0</v>
      </c>
      <c r="R210" s="64">
        <f>IF(B210="Autumn",(SUM(F209:F210)*$G$1*Variables!$B$22*Variables!$E$50),0)</f>
        <v>0</v>
      </c>
      <c r="S210" s="64">
        <f>IF(B210="Spring",($G$1*Variables!$E$50*SUM('Guts (option 1)'!F209:F210)*Variables!$B$23),0)</f>
        <v>0</v>
      </c>
      <c r="T210" s="63">
        <f>IF((H209+SUM(J210:Q210))&lt;(Variables!$B$26*Variables!$E$50),$F$1*((Variables!$B$26*Variables!$E$50)-H209-SUM(J210:Q210)),0)</f>
        <v>0</v>
      </c>
      <c r="U210" s="64">
        <f>IF(AND(AND(B210="Autumn",SUM(D207:E210)&gt;Variables!$B$27),SUM(J210:Q210)&lt;Variables!$B$28*H209),$F$1*(Variables!$B$28*H209-SUM(J210:Q210)),0)</f>
        <v>0</v>
      </c>
      <c r="V210" s="96">
        <f>IF(AND((J210+K210)=0,(Q210+T210)=0),$H$1*H210*Variables!$I$23*0.25,0)</f>
        <v>110.79832513786481</v>
      </c>
      <c r="W210" s="97">
        <f>IF(AND((K210+J210)=0,(T210+Q210)=0),$I$1*H210*Variables!$Q$23*0.25,0)</f>
        <v>115.97653971425163</v>
      </c>
      <c r="X210" s="95">
        <f>IF(AND(NOT(K210=0),(H210-H209)&gt;0),(H210-H209)*(Variables!$M$5*$H$1+Variables!$U$5*$I$1),0)+IF(AND(NOT((J210+N210+Q210)=0),(H209-H210)&gt;0),(H209-H210)*(Variables!$M$4*$H$1+Variables!$U$4*$I$1),0)</f>
        <v>0</v>
      </c>
      <c r="Y210" s="95">
        <f>IF(SUM(T210,U209:U210)&gt;0,H210*Variables!$Y$11*0.25*(1-$J$1),0)</f>
        <v>0</v>
      </c>
      <c r="Z210" s="95">
        <f>IF(T210=0,H210*$J$1*Variables!$Y$5*0.25,0)</f>
        <v>37.373300851115388</v>
      </c>
      <c r="AA210" s="95">
        <f t="shared" si="7"/>
        <v>264.14816570323183</v>
      </c>
      <c r="AB210" s="91">
        <f>AA210/Variables!$E$49</f>
        <v>42.604542855359973</v>
      </c>
    </row>
    <row r="211" spans="1:28" x14ac:dyDescent="0.25">
      <c r="A211" s="61">
        <f>'Water runs'!C218</f>
        <v>21244</v>
      </c>
      <c r="B211" s="61" t="str">
        <f>'Water runs'!B218</f>
        <v>Summer</v>
      </c>
      <c r="C211" s="54">
        <f>'Water runs'!D218/100</f>
        <v>0.82142857142857095</v>
      </c>
      <c r="D211" s="108">
        <f>VLOOKUP(ROW(D211)+4,'Water runs'!$BS$3:$CF$423,MATCH($B$1,Scenarios,0)+1)</f>
        <v>0</v>
      </c>
      <c r="E211" s="54">
        <f>IF(B211=Variables!$D$8,C211-Variables!$E$8,IF(B211=Variables!$D$9,C211-Variables!$E$9,IF(B211=Variables!$D$10,C211-Variables!$E$10,IF(B211=Variables!$D$11,C211-Variables!$E$11,"ELSE"))))</f>
        <v>-0.43694156462585076</v>
      </c>
      <c r="F211" s="108">
        <f>VLOOKUP(ROW(F211)+4,'Water runs'!$CH$3:$CU$423,MATCH($B$1,Scenarios,0)+1)</f>
        <v>0</v>
      </c>
      <c r="G211" s="65">
        <f>H211/Variables!$E$49</f>
        <v>0.92737719233536942</v>
      </c>
      <c r="H211" s="62">
        <f>IF((H210+I211)&gt;(1.1*Variables!$E$50),(1.1*Variables!$E$50),IF((H210+I211)&gt;0,H210+I211,0))</f>
        <v>5.7497385924792903</v>
      </c>
      <c r="I211" s="64">
        <f t="shared" si="6"/>
        <v>0</v>
      </c>
      <c r="J211" s="63">
        <f>IF(SUM(E207:E210)&lt;Variables!$B$3,-H210,0)</f>
        <v>0</v>
      </c>
      <c r="K211" s="64">
        <f>IF(AND(H210&lt;Variables!$B$6*Variables!$E$50,OR(SUM(D208:D211)&gt;Variables!$B$5,SUM(E208:E211)&gt;Variables!$B$4)),Variables!$B$6*Variables!$E$50+Variables!$B$7*$G$1*Variables!$E$50*SUM(D208:D211),0)</f>
        <v>0</v>
      </c>
      <c r="L211" s="64">
        <f>IF(B211="Winter",Variables!$B$8*H210,0)</f>
        <v>0</v>
      </c>
      <c r="M211" s="64">
        <f>IF(AND(B211="Spring",AND(NOT(H210=0),H210&lt;(Variables!$B$9*Variables!$E$50))),(Variables!$B$10*Variables!$E$50+Variables!$B$11*Variables!$E$50*SUM(E208:E211)+$G$1*SUM(D210:D211)*Variables!$E$50*Variables!$B$12),0)</f>
        <v>0</v>
      </c>
      <c r="N211" s="64">
        <f>IF(AND(B211="Spring",AND(SUM(D208:D211)&gt;Variables!$B$13,SUM(D204:D207)&gt;Variables!$B$13)),-Variables!$B$14*Variables!$E$50,0)</f>
        <v>0</v>
      </c>
      <c r="O211" s="64">
        <f>IF(AND(B211="Summer",SUM(C207:D211)&gt;Variables!$B$15),(Variables!$B$16*Variables!$E$50*SUM(C207:C211)+$G$1*Variables!$B$16*Variables!$E$50*SUM(D207:D211)+$G$1*Variables!$E$50*Variables!$B$17*F211),0)</f>
        <v>0</v>
      </c>
      <c r="P211" s="64">
        <f>IF(AND(AND(B211="Autumn",SUM(D210:E211)&gt;0),NOT(H210=0)),Variables!$B$18*Variables!$E$50+Variables!$B$19*Variables!$E$50*SUM(E210:E211)+$G$1*Variables!$B$19*Variables!$E$50*SUM(D210:D211),0)</f>
        <v>0</v>
      </c>
      <c r="Q211" s="64">
        <f>IF(AND(B211="Autumn",AND((E211+E210)&lt;Variables!$B$20,(D210+D211)=0)),-Variables!$B$21*Variables!$E$50,0)</f>
        <v>0</v>
      </c>
      <c r="R211" s="64">
        <f>IF(B211="Autumn",(SUM(F210:F211)*$G$1*Variables!$B$22*Variables!$E$50),0)</f>
        <v>0</v>
      </c>
      <c r="S211" s="64">
        <f>IF(B211="Spring",($G$1*Variables!$E$50*SUM('Guts (option 1)'!F210:F211)*Variables!$B$23),0)</f>
        <v>0</v>
      </c>
      <c r="T211" s="63">
        <f>IF((H210+SUM(J211:Q211))&lt;(Variables!$B$26*Variables!$E$50),$F$1*((Variables!$B$26*Variables!$E$50)-H210-SUM(J211:Q211)),0)</f>
        <v>0</v>
      </c>
      <c r="U211" s="64">
        <f>IF(AND(AND(B211="Autumn",SUM(D208:E211)&gt;Variables!$B$27),SUM(J211:Q211)&lt;Variables!$B$28*H210),$F$1*(Variables!$B$28*H210-SUM(J211:Q211)),0)</f>
        <v>0</v>
      </c>
      <c r="V211" s="96">
        <f>IF(AND((J211+K211)=0,(Q211+T211)=0),$H$1*H211*Variables!$I$23*0.25,0)</f>
        <v>110.79832513786481</v>
      </c>
      <c r="W211" s="97">
        <f>IF(AND((K211+J211)=0,(T211+Q211)=0),$I$1*H211*Variables!$Q$23*0.25,0)</f>
        <v>115.97653971425163</v>
      </c>
      <c r="X211" s="95">
        <f>IF(AND(NOT(K211=0),(H211-H210)&gt;0),(H211-H210)*(Variables!$M$5*$H$1+Variables!$U$5*$I$1),0)+IF(AND(NOT((J211+N211+Q211)=0),(H210-H211)&gt;0),(H210-H211)*(Variables!$M$4*$H$1+Variables!$U$4*$I$1),0)</f>
        <v>0</v>
      </c>
      <c r="Y211" s="95">
        <f>IF(SUM(T211,U210:U211)&gt;0,H211*Variables!$Y$11*0.25*(1-$J$1),0)</f>
        <v>0</v>
      </c>
      <c r="Z211" s="95">
        <f>IF(T211=0,H211*$J$1*Variables!$Y$5*0.25,0)</f>
        <v>37.373300851115388</v>
      </c>
      <c r="AA211" s="95">
        <f t="shared" si="7"/>
        <v>264.14816570323183</v>
      </c>
      <c r="AB211" s="91">
        <f>AA211/Variables!$E$49</f>
        <v>42.604542855359973</v>
      </c>
    </row>
    <row r="212" spans="1:28" x14ac:dyDescent="0.25">
      <c r="A212" s="61">
        <f>'Water runs'!C219</f>
        <v>21336</v>
      </c>
      <c r="B212" s="61" t="str">
        <f>'Water runs'!B219</f>
        <v>Autumn</v>
      </c>
      <c r="C212" s="54">
        <f>'Water runs'!D219/100</f>
        <v>0.78257142857142792</v>
      </c>
      <c r="D212" s="108">
        <f>VLOOKUP(ROW(D212)+4,'Water runs'!$BS$3:$CF$423,MATCH($B$1,Scenarios,0)+1)</f>
        <v>0</v>
      </c>
      <c r="E212" s="54">
        <f>IF(B212=Variables!$D$8,C212-Variables!$E$8,IF(B212=Variables!$D$9,C212-Variables!$E$9,IF(B212=Variables!$D$10,C212-Variables!$E$10,IF(B212=Variables!$D$11,C212-Variables!$E$11,"ELSE"))))</f>
        <v>-0.21207187074829992</v>
      </c>
      <c r="F212" s="108">
        <f>VLOOKUP(ROW(F212)+4,'Water runs'!$CH$3:$CU$423,MATCH($B$1,Scenarios,0)+1)</f>
        <v>0</v>
      </c>
      <c r="G212" s="65">
        <f>H212/Variables!$E$49</f>
        <v>0.16099999999999995</v>
      </c>
      <c r="H212" s="62">
        <f>IF((H211+I212)&gt;(1.1*Variables!$E$50),(1.1*Variables!$E$50),IF((H211+I212)&gt;0,H211+I212,0))</f>
        <v>0.99819999999999975</v>
      </c>
      <c r="I212" s="64">
        <f t="shared" si="6"/>
        <v>-4.7515385924792906</v>
      </c>
      <c r="J212" s="63">
        <f>IF(SUM(E208:E211)&lt;Variables!$B$3,-H211,0)</f>
        <v>-5.7497385924792903</v>
      </c>
      <c r="K212" s="64">
        <f>IF(AND(H211&lt;Variables!$B$6*Variables!$E$50,OR(SUM(D209:D212)&gt;Variables!$B$5,SUM(E209:E212)&gt;Variables!$B$4)),Variables!$B$6*Variables!$E$50+Variables!$B$7*$G$1*Variables!$E$50*SUM(D209:D212),0)</f>
        <v>0</v>
      </c>
      <c r="L212" s="64">
        <f>IF(B212="Winter",Variables!$B$8*H211,0)</f>
        <v>0</v>
      </c>
      <c r="M212" s="64">
        <f>IF(AND(B212="Spring",AND(NOT(H211=0),H211&lt;(Variables!$B$9*Variables!$E$50))),(Variables!$B$10*Variables!$E$50+Variables!$B$11*Variables!$E$50*SUM(E209:E212)+$G$1*SUM(D211:D212)*Variables!$E$50*Variables!$B$12),0)</f>
        <v>0</v>
      </c>
      <c r="N212" s="64">
        <f>IF(AND(B212="Spring",AND(SUM(D209:D212)&gt;Variables!$B$13,SUM(D205:D208)&gt;Variables!$B$13)),-Variables!$B$14*Variables!$E$50,0)</f>
        <v>0</v>
      </c>
      <c r="O212" s="64">
        <f>IF(AND(B212="Summer",SUM(C208:D212)&gt;Variables!$B$15),(Variables!$B$16*Variables!$E$50*SUM(C208:C212)+$G$1*Variables!$B$16*Variables!$E$50*SUM(D208:D212)+$G$1*Variables!$E$50*Variables!$B$17*F212),0)</f>
        <v>0</v>
      </c>
      <c r="P212" s="64">
        <f>IF(AND(AND(B212="Autumn",SUM(D211:E212)&gt;0),NOT(H211=0)),Variables!$B$18*Variables!$E$50+Variables!$B$19*Variables!$E$50*SUM(E211:E212)+$G$1*Variables!$B$19*Variables!$E$50*SUM(D211:D212),0)</f>
        <v>0</v>
      </c>
      <c r="Q212" s="64">
        <f>IF(AND(B212="Autumn",AND((E212+E211)&lt;Variables!$B$20,(D211+D212)=0)),-Variables!$B$21*Variables!$E$50,0)</f>
        <v>0</v>
      </c>
      <c r="R212" s="64">
        <f>IF(B212="Autumn",(SUM(F211:F212)*$G$1*Variables!$B$22*Variables!$E$50),0)</f>
        <v>0</v>
      </c>
      <c r="S212" s="64">
        <f>IF(B212="Spring",($G$1*Variables!$E$50*SUM('Guts (option 1)'!F211:F212)*Variables!$B$23),0)</f>
        <v>0</v>
      </c>
      <c r="T212" s="63">
        <f>IF((H211+SUM(J212:Q212))&lt;(Variables!$B$26*Variables!$E$50),$F$1*((Variables!$B$26*Variables!$E$50)-H211-SUM(J212:Q212)),0)</f>
        <v>0.99819999999999975</v>
      </c>
      <c r="U212" s="64">
        <f>IF(AND(AND(B212="Autumn",SUM(D209:E212)&gt;Variables!$B$27),SUM(J212:Q212)&lt;Variables!$B$28*H211),$F$1*(Variables!$B$28*H211-SUM(J212:Q212)),0)</f>
        <v>0</v>
      </c>
      <c r="V212" s="96">
        <f>IF(AND((J212+K212)=0,(Q212+T212)=0),$H$1*H212*Variables!$I$23*0.25,0)</f>
        <v>0</v>
      </c>
      <c r="W212" s="97">
        <f>IF(AND((K212+J212)=0,(T212+Q212)=0),$I$1*H212*Variables!$Q$23*0.25,0)</f>
        <v>0</v>
      </c>
      <c r="X212" s="95">
        <f>IF(AND(NOT(K212=0),(H212-H211)&gt;0),(H212-H211)*(Variables!$M$5*$H$1+Variables!$U$5*$I$1),0)+IF(AND(NOT((J212+N212+Q212)=0),(H211-H212)&gt;0),(H211-H212)*(Variables!$M$4*$H$1+Variables!$U$4*$I$1),0)</f>
        <v>593.94232405991136</v>
      </c>
      <c r="Y212" s="95">
        <f>IF(SUM(T212,U211:U212)&gt;0,H212*Variables!$Y$11*0.25*(1-$J$1),0)</f>
        <v>0</v>
      </c>
      <c r="Z212" s="95">
        <f>IF(T212=0,H212*$J$1*Variables!$Y$5*0.25,0)</f>
        <v>0</v>
      </c>
      <c r="AA212" s="95">
        <f t="shared" si="7"/>
        <v>593.94232405991136</v>
      </c>
      <c r="AB212" s="91">
        <f>AA212/Variables!$E$49</f>
        <v>95.797149041921188</v>
      </c>
    </row>
    <row r="213" spans="1:28" x14ac:dyDescent="0.25">
      <c r="A213" s="61">
        <f>'Water runs'!C220</f>
        <v>21428</v>
      </c>
      <c r="B213" s="61" t="str">
        <f>'Water runs'!B220</f>
        <v>Winter</v>
      </c>
      <c r="C213" s="54">
        <f>'Water runs'!D220/100</f>
        <v>0.45857142857142896</v>
      </c>
      <c r="D213" s="108">
        <f>VLOOKUP(ROW(D213)+4,'Water runs'!$BS$3:$CF$423,MATCH($B$1,Scenarios,0)+1)</f>
        <v>5.3129478459845282E-3</v>
      </c>
      <c r="E213" s="54">
        <f>IF(B213=Variables!$D$8,C213-Variables!$E$8,IF(B213=Variables!$D$9,C213-Variables!$E$9,IF(B213=Variables!$D$10,C213-Variables!$E$10,IF(B213=Variables!$D$11,C213-Variables!$E$11,"ELSE"))))</f>
        <v>-0.11319619708994677</v>
      </c>
      <c r="F213" s="108">
        <f>VLOOKUP(ROW(F213)+4,'Water runs'!$CH$3:$CU$423,MATCH($B$1,Scenarios,0)+1)</f>
        <v>0</v>
      </c>
      <c r="G213" s="65">
        <f>H213/Variables!$E$49</f>
        <v>0.161</v>
      </c>
      <c r="H213" s="62">
        <f>IF((H212+I213)&gt;(1.1*Variables!$E$50),(1.1*Variables!$E$50),IF((H212+I213)&gt;0,H212+I213,0))</f>
        <v>0.99820000000000009</v>
      </c>
      <c r="I213" s="64">
        <f t="shared" si="6"/>
        <v>3.3306690738754696E-16</v>
      </c>
      <c r="J213" s="63">
        <f>IF(SUM(E209:E212)&lt;Variables!$B$3,-H212,0)</f>
        <v>0</v>
      </c>
      <c r="K213" s="64">
        <f>IF(AND(H212&lt;Variables!$B$6*Variables!$E$50,OR(SUM(D210:D213)&gt;Variables!$B$5,SUM(E210:E213)&gt;Variables!$B$4)),Variables!$B$6*Variables!$E$50+Variables!$B$7*$G$1*Variables!$E$50*SUM(D210:D213),0)</f>
        <v>0</v>
      </c>
      <c r="L213" s="64">
        <f>IF(B213="Winter",Variables!$B$8*H212,0)</f>
        <v>-0.49704894489176132</v>
      </c>
      <c r="M213" s="64">
        <f>IF(AND(B213="Spring",AND(NOT(H212=0),H212&lt;(Variables!$B$9*Variables!$E$50))),(Variables!$B$10*Variables!$E$50+Variables!$B$11*Variables!$E$50*SUM(E210:E213)+$G$1*SUM(D212:D213)*Variables!$E$50*Variables!$B$12),0)</f>
        <v>0</v>
      </c>
      <c r="N213" s="64">
        <f>IF(AND(B213="Spring",AND(SUM(D210:D213)&gt;Variables!$B$13,SUM(D206:D209)&gt;Variables!$B$13)),-Variables!$B$14*Variables!$E$50,0)</f>
        <v>0</v>
      </c>
      <c r="O213" s="64">
        <f>IF(AND(B213="Summer",SUM(C209:D213)&gt;Variables!$B$15),(Variables!$B$16*Variables!$E$50*SUM(C209:C213)+$G$1*Variables!$B$16*Variables!$E$50*SUM(D209:D213)+$G$1*Variables!$E$50*Variables!$B$17*F213),0)</f>
        <v>0</v>
      </c>
      <c r="P213" s="64">
        <f>IF(AND(AND(B213="Autumn",SUM(D212:E213)&gt;0),NOT(H212=0)),Variables!$B$18*Variables!$E$50+Variables!$B$19*Variables!$E$50*SUM(E212:E213)+$G$1*Variables!$B$19*Variables!$E$50*SUM(D212:D213),0)</f>
        <v>0</v>
      </c>
      <c r="Q213" s="64">
        <f>IF(AND(B213="Autumn",AND((E213+E212)&lt;Variables!$B$20,(D212+D213)=0)),-Variables!$B$21*Variables!$E$50,0)</f>
        <v>0</v>
      </c>
      <c r="R213" s="64">
        <f>IF(B213="Autumn",(SUM(F212:F213)*$G$1*Variables!$B$22*Variables!$E$50),0)</f>
        <v>0</v>
      </c>
      <c r="S213" s="64">
        <f>IF(B213="Spring",($G$1*Variables!$E$50*SUM('Guts (option 1)'!F212:F213)*Variables!$B$23),0)</f>
        <v>0</v>
      </c>
      <c r="T213" s="63">
        <f>IF((H212+SUM(J213:Q213))&lt;(Variables!$B$26*Variables!$E$50),$F$1*((Variables!$B$26*Variables!$E$50)-H212-SUM(J213:Q213)),0)</f>
        <v>0.49704894489176166</v>
      </c>
      <c r="U213" s="64">
        <f>IF(AND(AND(B213="Autumn",SUM(D210:E213)&gt;Variables!$B$27),SUM(J213:Q213)&lt;Variables!$B$28*H212),$F$1*(Variables!$B$28*H212-SUM(J213:Q213)),0)</f>
        <v>0</v>
      </c>
      <c r="V213" s="96">
        <f>IF(AND((J213+K213)=0,(Q213+T213)=0),$H$1*H213*Variables!$I$23*0.25,0)</f>
        <v>0</v>
      </c>
      <c r="W213" s="97">
        <f>IF(AND((K213+J213)=0,(T213+Q213)=0),$I$1*H213*Variables!$Q$23*0.25,0)</f>
        <v>0</v>
      </c>
      <c r="X213" s="95">
        <f>IF(AND(NOT(K213=0),(H213-H212)&gt;0),(H213-H212)*(Variables!$M$5*$H$1+Variables!$U$5*$I$1),0)+IF(AND(NOT((J213+N213+Q213)=0),(H212-H213)&gt;0),(H212-H213)*(Variables!$M$4*$H$1+Variables!$U$4*$I$1),0)</f>
        <v>0</v>
      </c>
      <c r="Y213" s="95">
        <f>IF(SUM(T213,U212:U213)&gt;0,H213*Variables!$Y$11*0.25*(1-$J$1),0)</f>
        <v>0</v>
      </c>
      <c r="Z213" s="95">
        <f>IF(T213=0,H213*$J$1*Variables!$Y$5*0.25,0)</f>
        <v>0</v>
      </c>
      <c r="AA213" s="95">
        <f t="shared" si="7"/>
        <v>0</v>
      </c>
      <c r="AB213" s="91">
        <f>AA213/Variables!$E$49</f>
        <v>0</v>
      </c>
    </row>
    <row r="214" spans="1:28" x14ac:dyDescent="0.25">
      <c r="A214" s="61">
        <f>'Water runs'!C221</f>
        <v>21519</v>
      </c>
      <c r="B214" s="61" t="str">
        <f>'Water runs'!B221</f>
        <v>Spring</v>
      </c>
      <c r="C214" s="54">
        <f>'Water runs'!D221/100</f>
        <v>0.89776190476190498</v>
      </c>
      <c r="D214" s="108">
        <f>VLOOKUP(ROW(D214)+4,'Water runs'!$BS$3:$CF$423,MATCH($B$1,Scenarios,0)+1)</f>
        <v>0</v>
      </c>
      <c r="E214" s="54">
        <f>IF(B214=Variables!$D$8,C214-Variables!$E$8,IF(B214=Variables!$D$9,C214-Variables!$E$9,IF(B214=Variables!$D$10,C214-Variables!$E$10,IF(B214=Variables!$D$11,C214-Variables!$E$11,"ELSE"))))</f>
        <v>0.13377969576719584</v>
      </c>
      <c r="F214" s="108">
        <f>VLOOKUP(ROW(F214)+4,'Water runs'!$CH$3:$CU$423,MATCH($B$1,Scenarios,0)+1)</f>
        <v>0</v>
      </c>
      <c r="G214" s="65">
        <f>H214/Variables!$E$49</f>
        <v>0.161</v>
      </c>
      <c r="H214" s="62">
        <f>IF((H213+I214)&gt;(1.1*Variables!$E$50),(1.1*Variables!$E$50),IF((H213+I214)&gt;0,H213+I214,0))</f>
        <v>0.99820000000000009</v>
      </c>
      <c r="I214" s="64">
        <f t="shared" si="6"/>
        <v>0</v>
      </c>
      <c r="J214" s="63">
        <f>IF(SUM(E210:E213)&lt;Variables!$B$3,-H213,0)</f>
        <v>0</v>
      </c>
      <c r="K214" s="64">
        <f>IF(AND(H213&lt;Variables!$B$6*Variables!$E$50,OR(SUM(D211:D214)&gt;Variables!$B$5,SUM(E211:E214)&gt;Variables!$B$4)),Variables!$B$6*Variables!$E$50+Variables!$B$7*$G$1*Variables!$E$50*SUM(D211:D214),0)</f>
        <v>0</v>
      </c>
      <c r="L214" s="64">
        <f>IF(B214="Winter",Variables!$B$8*H213,0)</f>
        <v>0</v>
      </c>
      <c r="M214" s="64">
        <f>IF(AND(B214="Spring",AND(NOT(H213=0),H213&lt;(Variables!$B$9*Variables!$E$50))),(Variables!$B$10*Variables!$E$50+Variables!$B$11*Variables!$E$50*SUM(E211:E214)+$G$1*SUM(D213:D214)*Variables!$E$50*Variables!$B$12),0)</f>
        <v>-0.42604127217429777</v>
      </c>
      <c r="N214" s="64">
        <f>IF(AND(B214="Spring",AND(SUM(D211:D214)&gt;Variables!$B$13,SUM(D207:D210)&gt;Variables!$B$13)),-Variables!$B$14*Variables!$E$50,0)</f>
        <v>0</v>
      </c>
      <c r="O214" s="64">
        <f>IF(AND(B214="Summer",SUM(C210:D214)&gt;Variables!$B$15),(Variables!$B$16*Variables!$E$50*SUM(C210:C214)+$G$1*Variables!$B$16*Variables!$E$50*SUM(D210:D214)+$G$1*Variables!$E$50*Variables!$B$17*F214),0)</f>
        <v>0</v>
      </c>
      <c r="P214" s="64">
        <f>IF(AND(AND(B214="Autumn",SUM(D213:E214)&gt;0),NOT(H213=0)),Variables!$B$18*Variables!$E$50+Variables!$B$19*Variables!$E$50*SUM(E213:E214)+$G$1*Variables!$B$19*Variables!$E$50*SUM(D213:D214),0)</f>
        <v>0</v>
      </c>
      <c r="Q214" s="64">
        <f>IF(AND(B214="Autumn",AND((E214+E213)&lt;Variables!$B$20,(D213+D214)=0)),-Variables!$B$21*Variables!$E$50,0)</f>
        <v>0</v>
      </c>
      <c r="R214" s="64">
        <f>IF(B214="Autumn",(SUM(F213:F214)*$G$1*Variables!$B$22*Variables!$E$50),0)</f>
        <v>0</v>
      </c>
      <c r="S214" s="64">
        <f>IF(B214="Spring",($G$1*Variables!$E$50*SUM('Guts (option 1)'!F213:F214)*Variables!$B$23),0)</f>
        <v>0</v>
      </c>
      <c r="T214" s="63">
        <f>IF((H213+SUM(J214:Q214))&lt;(Variables!$B$26*Variables!$E$50),$F$1*((Variables!$B$26*Variables!$E$50)-H213-SUM(J214:Q214)),0)</f>
        <v>0.42604127217429777</v>
      </c>
      <c r="U214" s="64">
        <f>IF(AND(AND(B214="Autumn",SUM(D211:E214)&gt;Variables!$B$27),SUM(J214:Q214)&lt;Variables!$B$28*H213),$F$1*(Variables!$B$28*H213-SUM(J214:Q214)),0)</f>
        <v>0</v>
      </c>
      <c r="V214" s="96">
        <f>IF(AND((J214+K214)=0,(Q214+T214)=0),$H$1*H214*Variables!$I$23*0.25,0)</f>
        <v>0</v>
      </c>
      <c r="W214" s="97">
        <f>IF(AND((K214+J214)=0,(T214+Q214)=0),$I$1*H214*Variables!$Q$23*0.25,0)</f>
        <v>0</v>
      </c>
      <c r="X214" s="95">
        <f>IF(AND(NOT(K214=0),(H214-H213)&gt;0),(H214-H213)*(Variables!$M$5*$H$1+Variables!$U$5*$I$1),0)+IF(AND(NOT((J214+N214+Q214)=0),(H213-H214)&gt;0),(H213-H214)*(Variables!$M$4*$H$1+Variables!$U$4*$I$1),0)</f>
        <v>0</v>
      </c>
      <c r="Y214" s="95">
        <f>IF(SUM(T214,U213:U214)&gt;0,H214*Variables!$Y$11*0.25*(1-$J$1),0)</f>
        <v>0</v>
      </c>
      <c r="Z214" s="95">
        <f>IF(T214=0,H214*$J$1*Variables!$Y$5*0.25,0)</f>
        <v>0</v>
      </c>
      <c r="AA214" s="95">
        <f t="shared" si="7"/>
        <v>0</v>
      </c>
      <c r="AB214" s="91">
        <f>AA214/Variables!$E$49</f>
        <v>0</v>
      </c>
    </row>
    <row r="215" spans="1:28" x14ac:dyDescent="0.25">
      <c r="A215" s="61">
        <f>'Water runs'!C222</f>
        <v>21609</v>
      </c>
      <c r="B215" s="61" t="str">
        <f>'Water runs'!B222</f>
        <v>Summer</v>
      </c>
      <c r="C215" s="54">
        <f>'Water runs'!D222/100</f>
        <v>2.4277380952380998</v>
      </c>
      <c r="D215" s="108">
        <f>VLOOKUP(ROW(D215)+4,'Water runs'!$BS$3:$CF$423,MATCH($B$1,Scenarios,0)+1)</f>
        <v>3.4489346709000071E-2</v>
      </c>
      <c r="E215" s="54">
        <f>IF(B215=Variables!$D$8,C215-Variables!$E$8,IF(B215=Variables!$D$9,C215-Variables!$E$9,IF(B215=Variables!$D$10,C215-Variables!$E$10,IF(B215=Variables!$D$11,C215-Variables!$E$11,"ELSE"))))</f>
        <v>1.1693679591836781</v>
      </c>
      <c r="F215" s="108">
        <f>VLOOKUP(ROW(F215)+4,'Water runs'!$CH$3:$CU$423,MATCH($B$1,Scenarios,0)+1)</f>
        <v>0</v>
      </c>
      <c r="G215" s="65">
        <f>H215/Variables!$E$49</f>
        <v>0.34533724292762952</v>
      </c>
      <c r="H215" s="62">
        <f>IF((H214+I215)&gt;(1.1*Variables!$E$50),(1.1*Variables!$E$50),IF((H214+I215)&gt;0,H214+I215,0))</f>
        <v>2.141090906151303</v>
      </c>
      <c r="I215" s="64">
        <f t="shared" si="6"/>
        <v>1.1428909061513028</v>
      </c>
      <c r="J215" s="63">
        <f>IF(SUM(E211:E214)&lt;Variables!$B$3,-H214,0)</f>
        <v>0</v>
      </c>
      <c r="K215" s="64">
        <f>IF(AND(H214&lt;Variables!$B$6*Variables!$E$50,OR(SUM(D212:D215)&gt;Variables!$B$5,SUM(E212:E215)&gt;Variables!$B$4)),Variables!$B$6*Variables!$E$50+Variables!$B$7*$G$1*Variables!$E$50*SUM(D212:D215),0)</f>
        <v>1.1428909061513028</v>
      </c>
      <c r="L215" s="64">
        <f>IF(B215="Winter",Variables!$B$8*H214,0)</f>
        <v>0</v>
      </c>
      <c r="M215" s="64">
        <f>IF(AND(B215="Spring",AND(NOT(H214=0),H214&lt;(Variables!$B$9*Variables!$E$50))),(Variables!$B$10*Variables!$E$50+Variables!$B$11*Variables!$E$50*SUM(E212:E215)+$G$1*SUM(D214:D215)*Variables!$E$50*Variables!$B$12),0)</f>
        <v>0</v>
      </c>
      <c r="N215" s="64">
        <f>IF(AND(B215="Spring",AND(SUM(D212:D215)&gt;Variables!$B$13,SUM(D208:D211)&gt;Variables!$B$13)),-Variables!$B$14*Variables!$E$50,0)</f>
        <v>0</v>
      </c>
      <c r="O215" s="64">
        <f>IF(AND(B215="Summer",SUM(C211:D215)&gt;Variables!$B$15),(Variables!$B$16*Variables!$E$50*SUM(C211:C215)+$G$1*Variables!$B$16*Variables!$E$50*SUM(D211:D215)+$G$1*Variables!$E$50*Variables!$B$17*F215),0)</f>
        <v>0</v>
      </c>
      <c r="P215" s="64">
        <f>IF(AND(AND(B215="Autumn",SUM(D214:E215)&gt;0),NOT(H214=0)),Variables!$B$18*Variables!$E$50+Variables!$B$19*Variables!$E$50*SUM(E214:E215)+$G$1*Variables!$B$19*Variables!$E$50*SUM(D214:D215),0)</f>
        <v>0</v>
      </c>
      <c r="Q215" s="64">
        <f>IF(AND(B215="Autumn",AND((E215+E214)&lt;Variables!$B$20,(D214+D215)=0)),-Variables!$B$21*Variables!$E$50,0)</f>
        <v>0</v>
      </c>
      <c r="R215" s="64">
        <f>IF(B215="Autumn",(SUM(F214:F215)*$G$1*Variables!$B$22*Variables!$E$50),0)</f>
        <v>0</v>
      </c>
      <c r="S215" s="64">
        <f>IF(B215="Spring",($G$1*Variables!$E$50*SUM('Guts (option 1)'!F214:F215)*Variables!$B$23),0)</f>
        <v>0</v>
      </c>
      <c r="T215" s="63">
        <f>IF((H214+SUM(J215:Q215))&lt;(Variables!$B$26*Variables!$E$50),$F$1*((Variables!$B$26*Variables!$E$50)-H214-SUM(J215:Q215)),0)</f>
        <v>0</v>
      </c>
      <c r="U215" s="64">
        <f>IF(AND(AND(B215="Autumn",SUM(D212:E215)&gt;Variables!$B$27),SUM(J215:Q215)&lt;Variables!$B$28*H214),$F$1*(Variables!$B$28*H214-SUM(J215:Q215)),0)</f>
        <v>0</v>
      </c>
      <c r="V215" s="96">
        <f>IF(AND((J215+K215)=0,(Q215+T215)=0),$H$1*H215*Variables!$I$23*0.25,0)</f>
        <v>0</v>
      </c>
      <c r="W215" s="97">
        <f>IF(AND((K215+J215)=0,(T215+Q215)=0),$I$1*H215*Variables!$Q$23*0.25,0)</f>
        <v>0</v>
      </c>
      <c r="X215" s="95">
        <f>IF(AND(NOT(K215=0),(H215-H214)&gt;0),(H215-H214)*(Variables!$M$5*$H$1+Variables!$U$5*$I$1),0)+IF(AND(NOT((J215+N215+Q215)=0),(H214-H215)&gt;0),(H214-H215)*(Variables!$M$4*$H$1+Variables!$U$4*$I$1),0)</f>
        <v>-285.72272653782574</v>
      </c>
      <c r="Y215" s="95">
        <f>IF(SUM(T215,U214:U215)&gt;0,H215*Variables!$Y$11*0.25*(1-$J$1),0)</f>
        <v>0</v>
      </c>
      <c r="Z215" s="95">
        <f>IF(T215=0,H215*$J$1*Variables!$Y$5*0.25,0)</f>
        <v>13.91709088998347</v>
      </c>
      <c r="AA215" s="95">
        <f t="shared" si="7"/>
        <v>-271.80563564784228</v>
      </c>
      <c r="AB215" s="91">
        <f>AA215/Variables!$E$49</f>
        <v>-43.839618652877789</v>
      </c>
    </row>
    <row r="216" spans="1:28" x14ac:dyDescent="0.25">
      <c r="A216" s="61">
        <f>'Water runs'!C223</f>
        <v>21701</v>
      </c>
      <c r="B216" s="61" t="str">
        <f>'Water runs'!B223</f>
        <v>Autumn</v>
      </c>
      <c r="C216" s="54">
        <f>'Water runs'!D223/100</f>
        <v>2.0217380952381001</v>
      </c>
      <c r="D216" s="108">
        <f>VLOOKUP(ROW(D216)+4,'Water runs'!$BS$3:$CF$423,MATCH($B$1,Scenarios,0)+1)</f>
        <v>0.30351459631509359</v>
      </c>
      <c r="E216" s="54">
        <f>IF(B216=Variables!$D$8,C216-Variables!$E$8,IF(B216=Variables!$D$9,C216-Variables!$E$9,IF(B216=Variables!$D$10,C216-Variables!$E$10,IF(B216=Variables!$D$11,C216-Variables!$E$11,"ELSE"))))</f>
        <v>1.0270947959183723</v>
      </c>
      <c r="F216" s="108">
        <f>VLOOKUP(ROW(F216)+4,'Water runs'!$CH$3:$CU$423,MATCH($B$1,Scenarios,0)+1)</f>
        <v>0.21192483709293028</v>
      </c>
      <c r="G216" s="65">
        <f>H216/Variables!$E$49</f>
        <v>1.2717668207370894</v>
      </c>
      <c r="H216" s="62">
        <f>IF((H215+I216)&gt;(1.1*Variables!$E$50),(1.1*Variables!$E$50),IF((H215+I216)&gt;0,H215+I216,0))</f>
        <v>7.8849542885699542</v>
      </c>
      <c r="I216" s="64">
        <f t="shared" si="6"/>
        <v>5.7438633824186516</v>
      </c>
      <c r="J216" s="63">
        <f>IF(SUM(E212:E215)&lt;Variables!$B$3,-H215,0)</f>
        <v>0</v>
      </c>
      <c r="K216" s="64">
        <f>IF(AND(H215&lt;Variables!$B$6*Variables!$E$50,OR(SUM(D213:D216)&gt;Variables!$B$5,SUM(E213:E216)&gt;Variables!$B$4)),Variables!$B$6*Variables!$E$50+Variables!$B$7*$G$1*Variables!$E$50*SUM(D213:D216),0)</f>
        <v>0</v>
      </c>
      <c r="L216" s="64">
        <f>IF(B216="Winter",Variables!$B$8*H215,0)</f>
        <v>0</v>
      </c>
      <c r="M216" s="64">
        <f>IF(AND(B216="Spring",AND(NOT(H215=0),H215&lt;(Variables!$B$9*Variables!$E$50))),(Variables!$B$10*Variables!$E$50+Variables!$B$11*Variables!$E$50*SUM(E213:E216)+$G$1*SUM(D215:D216)*Variables!$E$50*Variables!$B$12),0)</f>
        <v>0</v>
      </c>
      <c r="N216" s="64">
        <f>IF(AND(B216="Spring",AND(SUM(D213:D216)&gt;Variables!$B$13,SUM(D209:D212)&gt;Variables!$B$13)),-Variables!$B$14*Variables!$E$50,0)</f>
        <v>0</v>
      </c>
      <c r="O216" s="64">
        <f>IF(AND(B216="Summer",SUM(C212:D216)&gt;Variables!$B$15),(Variables!$B$16*Variables!$E$50*SUM(C212:C216)+$G$1*Variables!$B$16*Variables!$E$50*SUM(D212:D216)+$G$1*Variables!$E$50*Variables!$B$17*F216),0)</f>
        <v>0</v>
      </c>
      <c r="P216" s="64">
        <f>IF(AND(AND(B216="Autumn",SUM(D215:E216)&gt;0),NOT(H215=0)),Variables!$B$18*Variables!$E$50+Variables!$B$19*Variables!$E$50*SUM(E215:E216)+$G$1*Variables!$B$19*Variables!$E$50*SUM(D215:D216),0)</f>
        <v>5.7141350038871508</v>
      </c>
      <c r="Q216" s="64">
        <f>IF(AND(B216="Autumn",AND((E216+E215)&lt;Variables!$B$20,(D215+D216)=0)),-Variables!$B$21*Variables!$E$50,0)</f>
        <v>0</v>
      </c>
      <c r="R216" s="64">
        <f>IF(B216="Autumn",(SUM(F215:F216)*$G$1*Variables!$B$22*Variables!$E$50),0)</f>
        <v>2.9728378531501121E-2</v>
      </c>
      <c r="S216" s="64">
        <f>IF(B216="Spring",($G$1*Variables!$E$50*SUM('Guts (option 1)'!F215:F216)*Variables!$B$23),0)</f>
        <v>0</v>
      </c>
      <c r="T216" s="63">
        <f>IF((H215+SUM(J216:Q216))&lt;(Variables!$B$26*Variables!$E$50),$F$1*((Variables!$B$26*Variables!$E$50)-H215-SUM(J216:Q216)),0)</f>
        <v>0</v>
      </c>
      <c r="U216" s="64">
        <f>IF(AND(AND(B216="Autumn",SUM(D213:E216)&gt;Variables!$B$27),SUM(J216:Q216)&lt;Variables!$B$28*H215),$F$1*(Variables!$B$28*H215-SUM(J216:Q216)),0)</f>
        <v>0</v>
      </c>
      <c r="V216" s="96">
        <f>IF(AND((J216+K216)=0,(Q216+T216)=0),$H$1*H216*Variables!$I$23*0.25,0)</f>
        <v>151.94425188388632</v>
      </c>
      <c r="W216" s="97">
        <f>IF(AND((K216+J216)=0,(T216+Q216)=0),$I$1*H216*Variables!$Q$23*0.25,0)</f>
        <v>159.04544171617238</v>
      </c>
      <c r="X216" s="95">
        <f>IF(AND(NOT(K216=0),(H216-H215)&gt;0),(H216-H215)*(Variables!$M$5*$H$1+Variables!$U$5*$I$1),0)+IF(AND(NOT((J216+N216+Q216)=0),(H215-H216)&gt;0),(H215-H216)*(Variables!$M$4*$H$1+Variables!$U$4*$I$1),0)</f>
        <v>0</v>
      </c>
      <c r="Y216" s="95">
        <f>IF(SUM(T216,U215:U216)&gt;0,H216*Variables!$Y$11*0.25*(1-$J$1),0)</f>
        <v>0</v>
      </c>
      <c r="Z216" s="95">
        <f>IF(T216=0,H216*$J$1*Variables!$Y$5*0.25,0)</f>
        <v>51.252202875704704</v>
      </c>
      <c r="AA216" s="95">
        <f t="shared" si="7"/>
        <v>362.24189647576338</v>
      </c>
      <c r="AB216" s="91">
        <f>AA216/Variables!$E$49</f>
        <v>58.426112334800543</v>
      </c>
    </row>
    <row r="217" spans="1:28" x14ac:dyDescent="0.25">
      <c r="A217" s="61">
        <f>'Water runs'!C224</f>
        <v>21793</v>
      </c>
      <c r="B217" s="61" t="str">
        <f>'Water runs'!B224</f>
        <v>Winter</v>
      </c>
      <c r="C217" s="54">
        <f>'Water runs'!D224/100</f>
        <v>0.38400000000000001</v>
      </c>
      <c r="D217" s="108">
        <f>VLOOKUP(ROW(D217)+4,'Water runs'!$BS$3:$CF$423,MATCH($B$1,Scenarios,0)+1)</f>
        <v>0</v>
      </c>
      <c r="E217" s="54">
        <f>IF(B217=Variables!$D$8,C217-Variables!$E$8,IF(B217=Variables!$D$9,C217-Variables!$E$9,IF(B217=Variables!$D$10,C217-Variables!$E$10,IF(B217=Variables!$D$11,C217-Variables!$E$11,"ELSE"))))</f>
        <v>-0.18776762566137573</v>
      </c>
      <c r="F217" s="108">
        <f>VLOOKUP(ROW(F217)+4,'Water runs'!$CH$3:$CU$423,MATCH($B$1,Scenarios,0)+1)</f>
        <v>0</v>
      </c>
      <c r="G217" s="65">
        <f>H217/Variables!$E$49</f>
        <v>0.63849657790427006</v>
      </c>
      <c r="H217" s="62">
        <f>IF((H216+I217)&gt;(1.1*Variables!$E$50),(1.1*Variables!$E$50),IF((H216+I217)&gt;0,H216+I217,0))</f>
        <v>3.9586787830064747</v>
      </c>
      <c r="I217" s="64">
        <f t="shared" si="6"/>
        <v>-3.9262755055634795</v>
      </c>
      <c r="J217" s="63">
        <f>IF(SUM(E213:E216)&lt;Variables!$B$3,-H216,0)</f>
        <v>0</v>
      </c>
      <c r="K217" s="64">
        <f>IF(AND(H216&lt;Variables!$B$6*Variables!$E$50,OR(SUM(D214:D217)&gt;Variables!$B$5,SUM(E214:E217)&gt;Variables!$B$4)),Variables!$B$6*Variables!$E$50+Variables!$B$7*$G$1*Variables!$E$50*SUM(D214:D217),0)</f>
        <v>0</v>
      </c>
      <c r="L217" s="64">
        <f>IF(B217="Winter",Variables!$B$8*H216,0)</f>
        <v>-3.9262755055634795</v>
      </c>
      <c r="M217" s="64">
        <f>IF(AND(B217="Spring",AND(NOT(H216=0),H216&lt;(Variables!$B$9*Variables!$E$50))),(Variables!$B$10*Variables!$E$50+Variables!$B$11*Variables!$E$50*SUM(E214:E217)+$G$1*SUM(D216:D217)*Variables!$E$50*Variables!$B$12),0)</f>
        <v>0</v>
      </c>
      <c r="N217" s="64">
        <f>IF(AND(B217="Spring",AND(SUM(D214:D217)&gt;Variables!$B$13,SUM(D210:D213)&gt;Variables!$B$13)),-Variables!$B$14*Variables!$E$50,0)</f>
        <v>0</v>
      </c>
      <c r="O217" s="64">
        <f>IF(AND(B217="Summer",SUM(C213:D217)&gt;Variables!$B$15),(Variables!$B$16*Variables!$E$50*SUM(C213:C217)+$G$1*Variables!$B$16*Variables!$E$50*SUM(D213:D217)+$G$1*Variables!$E$50*Variables!$B$17*F217),0)</f>
        <v>0</v>
      </c>
      <c r="P217" s="64">
        <f>IF(AND(AND(B217="Autumn",SUM(D216:E217)&gt;0),NOT(H216=0)),Variables!$B$18*Variables!$E$50+Variables!$B$19*Variables!$E$50*SUM(E216:E217)+$G$1*Variables!$B$19*Variables!$E$50*SUM(D216:D217),0)</f>
        <v>0</v>
      </c>
      <c r="Q217" s="64">
        <f>IF(AND(B217="Autumn",AND((E217+E216)&lt;Variables!$B$20,(D216+D217)=0)),-Variables!$B$21*Variables!$E$50,0)</f>
        <v>0</v>
      </c>
      <c r="R217" s="64">
        <f>IF(B217="Autumn",(SUM(F216:F217)*$G$1*Variables!$B$22*Variables!$E$50),0)</f>
        <v>0</v>
      </c>
      <c r="S217" s="64">
        <f>IF(B217="Spring",($G$1*Variables!$E$50*SUM('Guts (option 1)'!F216:F217)*Variables!$B$23),0)</f>
        <v>0</v>
      </c>
      <c r="T217" s="63">
        <f>IF((H216+SUM(J217:Q217))&lt;(Variables!$B$26*Variables!$E$50),$F$1*((Variables!$B$26*Variables!$E$50)-H216-SUM(J217:Q217)),0)</f>
        <v>0</v>
      </c>
      <c r="U217" s="64">
        <f>IF(AND(AND(B217="Autumn",SUM(D214:E217)&gt;Variables!$B$27),SUM(J217:Q217)&lt;Variables!$B$28*H216),$F$1*(Variables!$B$28*H216-SUM(J217:Q217)),0)</f>
        <v>0</v>
      </c>
      <c r="V217" s="96">
        <f>IF(AND((J217+K217)=0,(Q217+T217)=0),$H$1*H217*Variables!$I$23*0.25,0)</f>
        <v>76.28433395035222</v>
      </c>
      <c r="W217" s="97">
        <f>IF(AND((K217+J217)=0,(T217+Q217)=0),$I$1*H217*Variables!$Q$23*0.25,0)</f>
        <v>79.849520062327841</v>
      </c>
      <c r="X217" s="95">
        <f>IF(AND(NOT(K217=0),(H217-H216)&gt;0),(H217-H216)*(Variables!$M$5*$H$1+Variables!$U$5*$I$1),0)+IF(AND(NOT((J217+N217+Q217)=0),(H216-H217)&gt;0),(H216-H217)*(Variables!$M$4*$H$1+Variables!$U$4*$I$1),0)</f>
        <v>0</v>
      </c>
      <c r="Y217" s="95">
        <f>IF(SUM(T217,U216:U217)&gt;0,H217*Variables!$Y$11*0.25*(1-$J$1),0)</f>
        <v>0</v>
      </c>
      <c r="Z217" s="95">
        <f>IF(T217=0,H217*$J$1*Variables!$Y$5*0.25,0)</f>
        <v>25.731412089542086</v>
      </c>
      <c r="AA217" s="95">
        <f t="shared" si="7"/>
        <v>181.86526610222214</v>
      </c>
      <c r="AB217" s="91">
        <f>AA217/Variables!$E$49</f>
        <v>29.33310743584228</v>
      </c>
    </row>
    <row r="218" spans="1:28" x14ac:dyDescent="0.25">
      <c r="A218" s="61">
        <f>'Water runs'!C225</f>
        <v>21884</v>
      </c>
      <c r="B218" s="61" t="str">
        <f>'Water runs'!B225</f>
        <v>Spring</v>
      </c>
      <c r="C218" s="54">
        <f>'Water runs'!D225/100</f>
        <v>0.46314285714285702</v>
      </c>
      <c r="D218" s="108">
        <f>VLOOKUP(ROW(D218)+4,'Water runs'!$BS$3:$CF$423,MATCH($B$1,Scenarios,0)+1)</f>
        <v>0</v>
      </c>
      <c r="E218" s="54">
        <f>IF(B218=Variables!$D$8,C218-Variables!$E$8,IF(B218=Variables!$D$9,C218-Variables!$E$9,IF(B218=Variables!$D$10,C218-Variables!$E$10,IF(B218=Variables!$D$11,C218-Variables!$E$11,"ELSE"))))</f>
        <v>-0.30083935185185212</v>
      </c>
      <c r="F218" s="108">
        <f>VLOOKUP(ROW(F218)+4,'Water runs'!$CH$3:$CU$423,MATCH($B$1,Scenarios,0)+1)</f>
        <v>0</v>
      </c>
      <c r="G218" s="65">
        <f>H218/Variables!$E$49</f>
        <v>0.63849657790427006</v>
      </c>
      <c r="H218" s="62">
        <f>IF((H217+I218)&gt;(1.1*Variables!$E$50),(1.1*Variables!$E$50),IF((H217+I218)&gt;0,H217+I218,0))</f>
        <v>3.9586787830064747</v>
      </c>
      <c r="I218" s="64">
        <f t="shared" si="6"/>
        <v>0</v>
      </c>
      <c r="J218" s="63">
        <f>IF(SUM(E214:E217)&lt;Variables!$B$3,-H217,0)</f>
        <v>0</v>
      </c>
      <c r="K218" s="64">
        <f>IF(AND(H217&lt;Variables!$B$6*Variables!$E$50,OR(SUM(D215:D218)&gt;Variables!$B$5,SUM(E215:E218)&gt;Variables!$B$4)),Variables!$B$6*Variables!$E$50+Variables!$B$7*$G$1*Variables!$E$50*SUM(D215:D218),0)</f>
        <v>0</v>
      </c>
      <c r="L218" s="64">
        <f>IF(B218="Winter",Variables!$B$8*H217,0)</f>
        <v>0</v>
      </c>
      <c r="M218" s="64">
        <f>IF(AND(B218="Spring",AND(NOT(H217=0),H217&lt;(Variables!$B$9*Variables!$E$50))),(Variables!$B$10*Variables!$E$50+Variables!$B$11*Variables!$E$50*SUM(E215:E218)+$G$1*SUM(D217:D218)*Variables!$E$50*Variables!$B$12),0)</f>
        <v>0</v>
      </c>
      <c r="N218" s="64">
        <f>IF(AND(B218="Spring",AND(SUM(D215:D218)&gt;Variables!$B$13,SUM(D211:D214)&gt;Variables!$B$13)),-Variables!$B$14*Variables!$E$50,0)</f>
        <v>0</v>
      </c>
      <c r="O218" s="64">
        <f>IF(AND(B218="Summer",SUM(C214:D218)&gt;Variables!$B$15),(Variables!$B$16*Variables!$E$50*SUM(C214:C218)+$G$1*Variables!$B$16*Variables!$E$50*SUM(D214:D218)+$G$1*Variables!$E$50*Variables!$B$17*F218),0)</f>
        <v>0</v>
      </c>
      <c r="P218" s="64">
        <f>IF(AND(AND(B218="Autumn",SUM(D217:E218)&gt;0),NOT(H217=0)),Variables!$B$18*Variables!$E$50+Variables!$B$19*Variables!$E$50*SUM(E217:E218)+$G$1*Variables!$B$19*Variables!$E$50*SUM(D217:D218),0)</f>
        <v>0</v>
      </c>
      <c r="Q218" s="64">
        <f>IF(AND(B218="Autumn",AND((E218+E217)&lt;Variables!$B$20,(D217+D218)=0)),-Variables!$B$21*Variables!$E$50,0)</f>
        <v>0</v>
      </c>
      <c r="R218" s="64">
        <f>IF(B218="Autumn",(SUM(F217:F218)*$G$1*Variables!$B$22*Variables!$E$50),0)</f>
        <v>0</v>
      </c>
      <c r="S218" s="64">
        <f>IF(B218="Spring",($G$1*Variables!$E$50*SUM('Guts (option 1)'!F217:F218)*Variables!$B$23),0)</f>
        <v>0</v>
      </c>
      <c r="T218" s="63">
        <f>IF((H217+SUM(J218:Q218))&lt;(Variables!$B$26*Variables!$E$50),$F$1*((Variables!$B$26*Variables!$E$50)-H217-SUM(J218:Q218)),0)</f>
        <v>0</v>
      </c>
      <c r="U218" s="64">
        <f>IF(AND(AND(B218="Autumn",SUM(D215:E218)&gt;Variables!$B$27),SUM(J218:Q218)&lt;Variables!$B$28*H217),$F$1*(Variables!$B$28*H217-SUM(J218:Q218)),0)</f>
        <v>0</v>
      </c>
      <c r="V218" s="96">
        <f>IF(AND((J218+K218)=0,(Q218+T218)=0),$H$1*H218*Variables!$I$23*0.25,0)</f>
        <v>76.28433395035222</v>
      </c>
      <c r="W218" s="97">
        <f>IF(AND((K218+J218)=0,(T218+Q218)=0),$I$1*H218*Variables!$Q$23*0.25,0)</f>
        <v>79.849520062327841</v>
      </c>
      <c r="X218" s="95">
        <f>IF(AND(NOT(K218=0),(H218-H217)&gt;0),(H218-H217)*(Variables!$M$5*$H$1+Variables!$U$5*$I$1),0)+IF(AND(NOT((J218+N218+Q218)=0),(H217-H218)&gt;0),(H217-H218)*(Variables!$M$4*$H$1+Variables!$U$4*$I$1),0)</f>
        <v>0</v>
      </c>
      <c r="Y218" s="95">
        <f>IF(SUM(T218,U217:U218)&gt;0,H218*Variables!$Y$11*0.25*(1-$J$1),0)</f>
        <v>0</v>
      </c>
      <c r="Z218" s="95">
        <f>IF(T218=0,H218*$J$1*Variables!$Y$5*0.25,0)</f>
        <v>25.731412089542086</v>
      </c>
      <c r="AA218" s="95">
        <f t="shared" si="7"/>
        <v>181.86526610222214</v>
      </c>
      <c r="AB218" s="91">
        <f>AA218/Variables!$E$49</f>
        <v>29.33310743584228</v>
      </c>
    </row>
    <row r="219" spans="1:28" x14ac:dyDescent="0.25">
      <c r="A219" s="61">
        <f>'Water runs'!C226</f>
        <v>21974</v>
      </c>
      <c r="B219" s="61" t="str">
        <f>'Water runs'!B226</f>
        <v>Summer</v>
      </c>
      <c r="C219" s="54">
        <f>'Water runs'!D226/100</f>
        <v>0.41399999999999998</v>
      </c>
      <c r="D219" s="108">
        <f>VLOOKUP(ROW(D219)+4,'Water runs'!$BS$3:$CF$423,MATCH($B$1,Scenarios,0)+1)</f>
        <v>1.6690551785841535E-4</v>
      </c>
      <c r="E219" s="54">
        <f>IF(B219=Variables!$D$8,C219-Variables!$E$8,IF(B219=Variables!$D$9,C219-Variables!$E$9,IF(B219=Variables!$D$10,C219-Variables!$E$10,IF(B219=Variables!$D$11,C219-Variables!$E$11,"ELSE"))))</f>
        <v>-0.84437013605442179</v>
      </c>
      <c r="F219" s="108">
        <f>VLOOKUP(ROW(F219)+4,'Water runs'!$CH$3:$CU$423,MATCH($B$1,Scenarios,0)+1)</f>
        <v>0</v>
      </c>
      <c r="G219" s="65">
        <f>H219/Variables!$E$49</f>
        <v>0.63849657790427006</v>
      </c>
      <c r="H219" s="62">
        <f>IF((H218+I219)&gt;(1.1*Variables!$E$50),(1.1*Variables!$E$50),IF((H218+I219)&gt;0,H218+I219,0))</f>
        <v>3.9586787830064747</v>
      </c>
      <c r="I219" s="64">
        <f t="shared" si="6"/>
        <v>0</v>
      </c>
      <c r="J219" s="63">
        <f>IF(SUM(E215:E218)&lt;Variables!$B$3,-H218,0)</f>
        <v>0</v>
      </c>
      <c r="K219" s="64">
        <f>IF(AND(H218&lt;Variables!$B$6*Variables!$E$50,OR(SUM(D216:D219)&gt;Variables!$B$5,SUM(E216:E219)&gt;Variables!$B$4)),Variables!$B$6*Variables!$E$50+Variables!$B$7*$G$1*Variables!$E$50*SUM(D216:D219),0)</f>
        <v>0</v>
      </c>
      <c r="L219" s="64">
        <f>IF(B219="Winter",Variables!$B$8*H218,0)</f>
        <v>0</v>
      </c>
      <c r="M219" s="64">
        <f>IF(AND(B219="Spring",AND(NOT(H218=0),H218&lt;(Variables!$B$9*Variables!$E$50))),(Variables!$B$10*Variables!$E$50+Variables!$B$11*Variables!$E$50*SUM(E216:E219)+$G$1*SUM(D218:D219)*Variables!$E$50*Variables!$B$12),0)</f>
        <v>0</v>
      </c>
      <c r="N219" s="64">
        <f>IF(AND(B219="Spring",AND(SUM(D216:D219)&gt;Variables!$B$13,SUM(D212:D215)&gt;Variables!$B$13)),-Variables!$B$14*Variables!$E$50,0)</f>
        <v>0</v>
      </c>
      <c r="O219" s="64">
        <f>IF(AND(B219="Summer",SUM(C215:D219)&gt;Variables!$B$15),(Variables!$B$16*Variables!$E$50*SUM(C215:C219)+$G$1*Variables!$B$16*Variables!$E$50*SUM(D215:D219)+$G$1*Variables!$E$50*Variables!$B$17*F219),0)</f>
        <v>0</v>
      </c>
      <c r="P219" s="64">
        <f>IF(AND(AND(B219="Autumn",SUM(D218:E219)&gt;0),NOT(H218=0)),Variables!$B$18*Variables!$E$50+Variables!$B$19*Variables!$E$50*SUM(E218:E219)+$G$1*Variables!$B$19*Variables!$E$50*SUM(D218:D219),0)</f>
        <v>0</v>
      </c>
      <c r="Q219" s="64">
        <f>IF(AND(B219="Autumn",AND((E219+E218)&lt;Variables!$B$20,(D218+D219)=0)),-Variables!$B$21*Variables!$E$50,0)</f>
        <v>0</v>
      </c>
      <c r="R219" s="64">
        <f>IF(B219="Autumn",(SUM(F218:F219)*$G$1*Variables!$B$22*Variables!$E$50),0)</f>
        <v>0</v>
      </c>
      <c r="S219" s="64">
        <f>IF(B219="Spring",($G$1*Variables!$E$50*SUM('Guts (option 1)'!F218:F219)*Variables!$B$23),0)</f>
        <v>0</v>
      </c>
      <c r="T219" s="63">
        <f>IF((H218+SUM(J219:Q219))&lt;(Variables!$B$26*Variables!$E$50),$F$1*((Variables!$B$26*Variables!$E$50)-H218-SUM(J219:Q219)),0)</f>
        <v>0</v>
      </c>
      <c r="U219" s="64">
        <f>IF(AND(AND(B219="Autumn",SUM(D216:E219)&gt;Variables!$B$27),SUM(J219:Q219)&lt;Variables!$B$28*H218),$F$1*(Variables!$B$28*H218-SUM(J219:Q219)),0)</f>
        <v>0</v>
      </c>
      <c r="V219" s="96">
        <f>IF(AND((J219+K219)=0,(Q219+T219)=0),$H$1*H219*Variables!$I$23*0.25,0)</f>
        <v>76.28433395035222</v>
      </c>
      <c r="W219" s="97">
        <f>IF(AND((K219+J219)=0,(T219+Q219)=0),$I$1*H219*Variables!$Q$23*0.25,0)</f>
        <v>79.849520062327841</v>
      </c>
      <c r="X219" s="95">
        <f>IF(AND(NOT(K219=0),(H219-H218)&gt;0),(H219-H218)*(Variables!$M$5*$H$1+Variables!$U$5*$I$1),0)+IF(AND(NOT((J219+N219+Q219)=0),(H218-H219)&gt;0),(H218-H219)*(Variables!$M$4*$H$1+Variables!$U$4*$I$1),0)</f>
        <v>0</v>
      </c>
      <c r="Y219" s="95">
        <f>IF(SUM(T219,U218:U219)&gt;0,H219*Variables!$Y$11*0.25*(1-$J$1),0)</f>
        <v>0</v>
      </c>
      <c r="Z219" s="95">
        <f>IF(T219=0,H219*$J$1*Variables!$Y$5*0.25,0)</f>
        <v>25.731412089542086</v>
      </c>
      <c r="AA219" s="95">
        <f t="shared" si="7"/>
        <v>181.86526610222214</v>
      </c>
      <c r="AB219" s="91">
        <f>AA219/Variables!$E$49</f>
        <v>29.33310743584228</v>
      </c>
    </row>
    <row r="220" spans="1:28" x14ac:dyDescent="0.25">
      <c r="A220" s="61">
        <f>'Water runs'!C227</f>
        <v>22067</v>
      </c>
      <c r="B220" s="61" t="str">
        <f>'Water runs'!B227</f>
        <v>Autumn</v>
      </c>
      <c r="C220" s="54">
        <f>'Water runs'!D227/100</f>
        <v>0.58371428571428607</v>
      </c>
      <c r="D220" s="108">
        <f>VLOOKUP(ROW(D220)+4,'Water runs'!$BS$3:$CF$423,MATCH($B$1,Scenarios,0)+1)</f>
        <v>0</v>
      </c>
      <c r="E220" s="54">
        <f>IF(B220=Variables!$D$8,C220-Variables!$E$8,IF(B220=Variables!$D$9,C220-Variables!$E$9,IF(B220=Variables!$D$10,C220-Variables!$E$10,IF(B220=Variables!$D$11,C220-Variables!$E$11,"ELSE"))))</f>
        <v>-0.41092901360544176</v>
      </c>
      <c r="F220" s="108">
        <f>VLOOKUP(ROW(F220)+4,'Water runs'!$CH$3:$CU$423,MATCH($B$1,Scenarios,0)+1)</f>
        <v>0</v>
      </c>
      <c r="G220" s="65">
        <f>H220/Variables!$E$49</f>
        <v>0.63849657790427006</v>
      </c>
      <c r="H220" s="62">
        <f>IF((H219+I220)&gt;(1.1*Variables!$E$50),(1.1*Variables!$E$50),IF((H219+I220)&gt;0,H219+I220,0))</f>
        <v>3.9586787830064747</v>
      </c>
      <c r="I220" s="64">
        <f t="shared" si="6"/>
        <v>0</v>
      </c>
      <c r="J220" s="63">
        <f>IF(SUM(E216:E219)&lt;Variables!$B$3,-H219,0)</f>
        <v>0</v>
      </c>
      <c r="K220" s="64">
        <f>IF(AND(H219&lt;Variables!$B$6*Variables!$E$50,OR(SUM(D217:D220)&gt;Variables!$B$5,SUM(E217:E220)&gt;Variables!$B$4)),Variables!$B$6*Variables!$E$50+Variables!$B$7*$G$1*Variables!$E$50*SUM(D217:D220),0)</f>
        <v>0</v>
      </c>
      <c r="L220" s="64">
        <f>IF(B220="Winter",Variables!$B$8*H219,0)</f>
        <v>0</v>
      </c>
      <c r="M220" s="64">
        <f>IF(AND(B220="Spring",AND(NOT(H219=0),H219&lt;(Variables!$B$9*Variables!$E$50))),(Variables!$B$10*Variables!$E$50+Variables!$B$11*Variables!$E$50*SUM(E217:E220)+$G$1*SUM(D219:D220)*Variables!$E$50*Variables!$B$12),0)</f>
        <v>0</v>
      </c>
      <c r="N220" s="64">
        <f>IF(AND(B220="Spring",AND(SUM(D217:D220)&gt;Variables!$B$13,SUM(D213:D216)&gt;Variables!$B$13)),-Variables!$B$14*Variables!$E$50,0)</f>
        <v>0</v>
      </c>
      <c r="O220" s="64">
        <f>IF(AND(B220="Summer",SUM(C216:D220)&gt;Variables!$B$15),(Variables!$B$16*Variables!$E$50*SUM(C216:C220)+$G$1*Variables!$B$16*Variables!$E$50*SUM(D216:D220)+$G$1*Variables!$E$50*Variables!$B$17*F220),0)</f>
        <v>0</v>
      </c>
      <c r="P220" s="64">
        <f>IF(AND(AND(B220="Autumn",SUM(D219:E220)&gt;0),NOT(H219=0)),Variables!$B$18*Variables!$E$50+Variables!$B$19*Variables!$E$50*SUM(E219:E220)+$G$1*Variables!$B$19*Variables!$E$50*SUM(D219:D220),0)</f>
        <v>0</v>
      </c>
      <c r="Q220" s="64">
        <f>IF(AND(B220="Autumn",AND((E220+E219)&lt;Variables!$B$20,(D219+D220)=0)),-Variables!$B$21*Variables!$E$50,0)</f>
        <v>0</v>
      </c>
      <c r="R220" s="64">
        <f>IF(B220="Autumn",(SUM(F219:F220)*$G$1*Variables!$B$22*Variables!$E$50),0)</f>
        <v>0</v>
      </c>
      <c r="S220" s="64">
        <f>IF(B220="Spring",($G$1*Variables!$E$50*SUM('Guts (option 1)'!F219:F220)*Variables!$B$23),0)</f>
        <v>0</v>
      </c>
      <c r="T220" s="63">
        <f>IF((H219+SUM(J220:Q220))&lt;(Variables!$B$26*Variables!$E$50),$F$1*((Variables!$B$26*Variables!$E$50)-H219-SUM(J220:Q220)),0)</f>
        <v>0</v>
      </c>
      <c r="U220" s="64">
        <f>IF(AND(AND(B220="Autumn",SUM(D217:E220)&gt;Variables!$B$27),SUM(J220:Q220)&lt;Variables!$B$28*H219),$F$1*(Variables!$B$28*H219-SUM(J220:Q220)),0)</f>
        <v>0</v>
      </c>
      <c r="V220" s="96">
        <f>IF(AND((J220+K220)=0,(Q220+T220)=0),$H$1*H220*Variables!$I$23*0.25,0)</f>
        <v>76.28433395035222</v>
      </c>
      <c r="W220" s="97">
        <f>IF(AND((K220+J220)=0,(T220+Q220)=0),$I$1*H220*Variables!$Q$23*0.25,0)</f>
        <v>79.849520062327841</v>
      </c>
      <c r="X220" s="95">
        <f>IF(AND(NOT(K220=0),(H220-H219)&gt;0),(H220-H219)*(Variables!$M$5*$H$1+Variables!$U$5*$I$1),0)+IF(AND(NOT((J220+N220+Q220)=0),(H219-H220)&gt;0),(H219-H220)*(Variables!$M$4*$H$1+Variables!$U$4*$I$1),0)</f>
        <v>0</v>
      </c>
      <c r="Y220" s="95">
        <f>IF(SUM(T220,U219:U220)&gt;0,H220*Variables!$Y$11*0.25*(1-$J$1),0)</f>
        <v>0</v>
      </c>
      <c r="Z220" s="95">
        <f>IF(T220=0,H220*$J$1*Variables!$Y$5*0.25,0)</f>
        <v>25.731412089542086</v>
      </c>
      <c r="AA220" s="95">
        <f t="shared" si="7"/>
        <v>181.86526610222214</v>
      </c>
      <c r="AB220" s="91">
        <f>AA220/Variables!$E$49</f>
        <v>29.33310743584228</v>
      </c>
    </row>
    <row r="221" spans="1:28" x14ac:dyDescent="0.25">
      <c r="A221" s="61">
        <f>'Water runs'!C228</f>
        <v>22159</v>
      </c>
      <c r="B221" s="61" t="str">
        <f>'Water runs'!B228</f>
        <v>Winter</v>
      </c>
      <c r="C221" s="54">
        <f>'Water runs'!D228/100</f>
        <v>0.39642857142857102</v>
      </c>
      <c r="D221" s="108">
        <f>VLOOKUP(ROW(D221)+4,'Water runs'!$BS$3:$CF$423,MATCH($B$1,Scenarios,0)+1)</f>
        <v>0</v>
      </c>
      <c r="E221" s="54">
        <f>IF(B221=Variables!$D$8,C221-Variables!$E$8,IF(B221=Variables!$D$9,C221-Variables!$E$9,IF(B221=Variables!$D$10,C221-Variables!$E$10,IF(B221=Variables!$D$11,C221-Variables!$E$11,"ELSE"))))</f>
        <v>-0.17533905423280471</v>
      </c>
      <c r="F221" s="108">
        <f>VLOOKUP(ROW(F221)+4,'Water runs'!$CH$3:$CU$423,MATCH($B$1,Scenarios,0)+1)</f>
        <v>0</v>
      </c>
      <c r="G221" s="65">
        <f>H221/Variables!$E$49</f>
        <v>0.16100000000000003</v>
      </c>
      <c r="H221" s="62">
        <f>IF((H220+I221)&gt;(1.1*Variables!$E$50),(1.1*Variables!$E$50),IF((H220+I221)&gt;0,H220+I221,0))</f>
        <v>0.9982000000000002</v>
      </c>
      <c r="I221" s="64">
        <f t="shared" si="6"/>
        <v>-2.9604787830064745</v>
      </c>
      <c r="J221" s="63">
        <f>IF(SUM(E217:E220)&lt;Variables!$B$3,-H220,0)</f>
        <v>-3.9586787830064747</v>
      </c>
      <c r="K221" s="64">
        <f>IF(AND(H220&lt;Variables!$B$6*Variables!$E$50,OR(SUM(D218:D221)&gt;Variables!$B$5,SUM(E218:E221)&gt;Variables!$B$4)),Variables!$B$6*Variables!$E$50+Variables!$B$7*$G$1*Variables!$E$50*SUM(D218:D221),0)</f>
        <v>0</v>
      </c>
      <c r="L221" s="64">
        <f>IF(B221="Winter",Variables!$B$8*H220,0)</f>
        <v>-1.9712052817659491</v>
      </c>
      <c r="M221" s="64">
        <f>IF(AND(B221="Spring",AND(NOT(H220=0),H220&lt;(Variables!$B$9*Variables!$E$50))),(Variables!$B$10*Variables!$E$50+Variables!$B$11*Variables!$E$50*SUM(E218:E221)+$G$1*SUM(D220:D221)*Variables!$E$50*Variables!$B$12),0)</f>
        <v>0</v>
      </c>
      <c r="N221" s="64">
        <f>IF(AND(B221="Spring",AND(SUM(D218:D221)&gt;Variables!$B$13,SUM(D214:D217)&gt;Variables!$B$13)),-Variables!$B$14*Variables!$E$50,0)</f>
        <v>0</v>
      </c>
      <c r="O221" s="64">
        <f>IF(AND(B221="Summer",SUM(C217:D221)&gt;Variables!$B$15),(Variables!$B$16*Variables!$E$50*SUM(C217:C221)+$G$1*Variables!$B$16*Variables!$E$50*SUM(D217:D221)+$G$1*Variables!$E$50*Variables!$B$17*F221),0)</f>
        <v>0</v>
      </c>
      <c r="P221" s="64">
        <f>IF(AND(AND(B221="Autumn",SUM(D220:E221)&gt;0),NOT(H220=0)),Variables!$B$18*Variables!$E$50+Variables!$B$19*Variables!$E$50*SUM(E220:E221)+$G$1*Variables!$B$19*Variables!$E$50*SUM(D220:D221),0)</f>
        <v>0</v>
      </c>
      <c r="Q221" s="64">
        <f>IF(AND(B221="Autumn",AND((E221+E220)&lt;Variables!$B$20,(D220+D221)=0)),-Variables!$B$21*Variables!$E$50,0)</f>
        <v>0</v>
      </c>
      <c r="R221" s="64">
        <f>IF(B221="Autumn",(SUM(F220:F221)*$G$1*Variables!$B$22*Variables!$E$50),0)</f>
        <v>0</v>
      </c>
      <c r="S221" s="64">
        <f>IF(B221="Spring",($G$1*Variables!$E$50*SUM('Guts (option 1)'!F220:F221)*Variables!$B$23),0)</f>
        <v>0</v>
      </c>
      <c r="T221" s="63">
        <f>IF((H220+SUM(J221:Q221))&lt;(Variables!$B$26*Variables!$E$50),$F$1*((Variables!$B$26*Variables!$E$50)-H220-SUM(J221:Q221)),0)</f>
        <v>2.9694052817659489</v>
      </c>
      <c r="U221" s="64">
        <f>IF(AND(AND(B221="Autumn",SUM(D218:E221)&gt;Variables!$B$27),SUM(J221:Q221)&lt;Variables!$B$28*H220),$F$1*(Variables!$B$28*H220-SUM(J221:Q221)),0)</f>
        <v>0</v>
      </c>
      <c r="V221" s="96">
        <f>IF(AND((J221+K221)=0,(Q221+T221)=0),$H$1*H221*Variables!$I$23*0.25,0)</f>
        <v>0</v>
      </c>
      <c r="W221" s="97">
        <f>IF(AND((K221+J221)=0,(T221+Q221)=0),$I$1*H221*Variables!$Q$23*0.25,0)</f>
        <v>0</v>
      </c>
      <c r="X221" s="95">
        <f>IF(AND(NOT(K221=0),(H221-H220)&gt;0),(H221-H220)*(Variables!$M$5*$H$1+Variables!$U$5*$I$1),0)+IF(AND(NOT((J221+N221+Q221)=0),(H220-H221)&gt;0),(H220-H221)*(Variables!$M$4*$H$1+Variables!$U$4*$I$1),0)</f>
        <v>370.05984787580934</v>
      </c>
      <c r="Y221" s="95">
        <f>IF(SUM(T221,U220:U221)&gt;0,H221*Variables!$Y$11*0.25*(1-$J$1),0)</f>
        <v>0</v>
      </c>
      <c r="Z221" s="95">
        <f>IF(T221=0,H221*$J$1*Variables!$Y$5*0.25,0)</f>
        <v>0</v>
      </c>
      <c r="AA221" s="95">
        <f t="shared" si="7"/>
        <v>370.05984787580934</v>
      </c>
      <c r="AB221" s="91">
        <f>AA221/Variables!$E$49</f>
        <v>59.687072238033764</v>
      </c>
    </row>
    <row r="222" spans="1:28" x14ac:dyDescent="0.25">
      <c r="A222" s="61">
        <f>'Water runs'!C229</f>
        <v>22250</v>
      </c>
      <c r="B222" s="61" t="str">
        <f>'Water runs'!B229</f>
        <v>Spring</v>
      </c>
      <c r="C222" s="54">
        <f>'Water runs'!D229/100</f>
        <v>0.61185714285714299</v>
      </c>
      <c r="D222" s="108">
        <f>VLOOKUP(ROW(D222)+4,'Water runs'!$BS$3:$CF$423,MATCH($B$1,Scenarios,0)+1)</f>
        <v>0</v>
      </c>
      <c r="E222" s="54">
        <f>IF(B222=Variables!$D$8,C222-Variables!$E$8,IF(B222=Variables!$D$9,C222-Variables!$E$9,IF(B222=Variables!$D$10,C222-Variables!$E$10,IF(B222=Variables!$D$11,C222-Variables!$E$11,"ELSE"))))</f>
        <v>-0.15212506613756616</v>
      </c>
      <c r="F222" s="108">
        <f>VLOOKUP(ROW(F222)+4,'Water runs'!$CH$3:$CU$423,MATCH($B$1,Scenarios,0)+1)</f>
        <v>0</v>
      </c>
      <c r="G222" s="65">
        <f>H222/Variables!$E$49</f>
        <v>0.16100000000000003</v>
      </c>
      <c r="H222" s="62">
        <f>IF((H221+I222)&gt;(1.1*Variables!$E$50),(1.1*Variables!$E$50),IF((H221+I222)&gt;0,H221+I222,0))</f>
        <v>0.9982000000000002</v>
      </c>
      <c r="I222" s="64">
        <f t="shared" si="6"/>
        <v>0</v>
      </c>
      <c r="J222" s="63">
        <f>IF(SUM(E218:E221)&lt;Variables!$B$3,-H221,0)</f>
        <v>-0.9982000000000002</v>
      </c>
      <c r="K222" s="64">
        <f>IF(AND(H221&lt;Variables!$B$6*Variables!$E$50,OR(SUM(D219:D222)&gt;Variables!$B$5,SUM(E219:E222)&gt;Variables!$B$4)),Variables!$B$6*Variables!$E$50+Variables!$B$7*$G$1*Variables!$E$50*SUM(D219:D222),0)</f>
        <v>0</v>
      </c>
      <c r="L222" s="64">
        <f>IF(B222="Winter",Variables!$B$8*H221,0)</f>
        <v>0</v>
      </c>
      <c r="M222" s="64">
        <f>IF(AND(B222="Spring",AND(NOT(H221=0),H221&lt;(Variables!$B$9*Variables!$E$50))),(Variables!$B$10*Variables!$E$50+Variables!$B$11*Variables!$E$50*SUM(E219:E222)+$G$1*SUM(D221:D222)*Variables!$E$50*Variables!$B$12),0)</f>
        <v>-1.0779594212895094</v>
      </c>
      <c r="N222" s="64">
        <f>IF(AND(B222="Spring",AND(SUM(D219:D222)&gt;Variables!$B$13,SUM(D215:D218)&gt;Variables!$B$13)),-Variables!$B$14*Variables!$E$50,0)</f>
        <v>0</v>
      </c>
      <c r="O222" s="64">
        <f>IF(AND(B222="Summer",SUM(C218:D222)&gt;Variables!$B$15),(Variables!$B$16*Variables!$E$50*SUM(C218:C222)+$G$1*Variables!$B$16*Variables!$E$50*SUM(D218:D222)+$G$1*Variables!$E$50*Variables!$B$17*F222),0)</f>
        <v>0</v>
      </c>
      <c r="P222" s="64">
        <f>IF(AND(AND(B222="Autumn",SUM(D221:E222)&gt;0),NOT(H221=0)),Variables!$B$18*Variables!$E$50+Variables!$B$19*Variables!$E$50*SUM(E221:E222)+$G$1*Variables!$B$19*Variables!$E$50*SUM(D221:D222),0)</f>
        <v>0</v>
      </c>
      <c r="Q222" s="64">
        <f>IF(AND(B222="Autumn",AND((E222+E221)&lt;Variables!$B$20,(D221+D222)=0)),-Variables!$B$21*Variables!$E$50,0)</f>
        <v>0</v>
      </c>
      <c r="R222" s="64">
        <f>IF(B222="Autumn",(SUM(F221:F222)*$G$1*Variables!$B$22*Variables!$E$50),0)</f>
        <v>0</v>
      </c>
      <c r="S222" s="64">
        <f>IF(B222="Spring",($G$1*Variables!$E$50*SUM('Guts (option 1)'!F221:F222)*Variables!$B$23),0)</f>
        <v>0</v>
      </c>
      <c r="T222" s="63">
        <f>IF((H221+SUM(J222:Q222))&lt;(Variables!$B$26*Variables!$E$50),$F$1*((Variables!$B$26*Variables!$E$50)-H221-SUM(J222:Q222)),0)</f>
        <v>2.0761594212895096</v>
      </c>
      <c r="U222" s="64">
        <f>IF(AND(AND(B222="Autumn",SUM(D219:E222)&gt;Variables!$B$27),SUM(J222:Q222)&lt;Variables!$B$28*H221),$F$1*(Variables!$B$28*H221-SUM(J222:Q222)),0)</f>
        <v>0</v>
      </c>
      <c r="V222" s="96">
        <f>IF(AND((J222+K222)=0,(Q222+T222)=0),$H$1*H222*Variables!$I$23*0.25,0)</f>
        <v>0</v>
      </c>
      <c r="W222" s="97">
        <f>IF(AND((K222+J222)=0,(T222+Q222)=0),$I$1*H222*Variables!$Q$23*0.25,0)</f>
        <v>0</v>
      </c>
      <c r="X222" s="95">
        <f>IF(AND(NOT(K222=0),(H222-H221)&gt;0),(H222-H221)*(Variables!$M$5*$H$1+Variables!$U$5*$I$1),0)+IF(AND(NOT((J222+N222+Q222)=0),(H221-H222)&gt;0),(H221-H222)*(Variables!$M$4*$H$1+Variables!$U$4*$I$1),0)</f>
        <v>0</v>
      </c>
      <c r="Y222" s="95">
        <f>IF(SUM(T222,U221:U222)&gt;0,H222*Variables!$Y$11*0.25*(1-$J$1),0)</f>
        <v>0</v>
      </c>
      <c r="Z222" s="95">
        <f>IF(T222=0,H222*$J$1*Variables!$Y$5*0.25,0)</f>
        <v>0</v>
      </c>
      <c r="AA222" s="95">
        <f t="shared" si="7"/>
        <v>0</v>
      </c>
      <c r="AB222" s="91">
        <f>AA222/Variables!$E$49</f>
        <v>0</v>
      </c>
    </row>
    <row r="223" spans="1:28" x14ac:dyDescent="0.25">
      <c r="A223" s="61">
        <f>'Water runs'!C230</f>
        <v>22340</v>
      </c>
      <c r="B223" s="61" t="str">
        <f>'Water runs'!B230</f>
        <v>Summer</v>
      </c>
      <c r="C223" s="54">
        <f>'Water runs'!D230/100</f>
        <v>1.3024285714285699</v>
      </c>
      <c r="D223" s="108">
        <f>VLOOKUP(ROW(D223)+4,'Water runs'!$BS$3:$CF$423,MATCH($B$1,Scenarios,0)+1)</f>
        <v>0</v>
      </c>
      <c r="E223" s="54">
        <f>IF(B223=Variables!$D$8,C223-Variables!$E$8,IF(B223=Variables!$D$9,C223-Variables!$E$9,IF(B223=Variables!$D$10,C223-Variables!$E$10,IF(B223=Variables!$D$11,C223-Variables!$E$11,"ELSE"))))</f>
        <v>4.4058435374148219E-2</v>
      </c>
      <c r="F223" s="108">
        <f>VLOOKUP(ROW(F223)+4,'Water runs'!$CH$3:$CU$423,MATCH($B$1,Scenarios,0)+1)</f>
        <v>0</v>
      </c>
      <c r="G223" s="65">
        <f>H223/Variables!$E$49</f>
        <v>0.16100000000000003</v>
      </c>
      <c r="H223" s="62">
        <f>IF((H222+I223)&gt;(1.1*Variables!$E$50),(1.1*Variables!$E$50),IF((H222+I223)&gt;0,H222+I223,0))</f>
        <v>0.9982000000000002</v>
      </c>
      <c r="I223" s="64">
        <f t="shared" si="6"/>
        <v>0</v>
      </c>
      <c r="J223" s="63">
        <f>IF(SUM(E219:E222)&lt;Variables!$B$3,-H222,0)</f>
        <v>0</v>
      </c>
      <c r="K223" s="64">
        <f>IF(AND(H222&lt;Variables!$B$6*Variables!$E$50,OR(SUM(D220:D223)&gt;Variables!$B$5,SUM(E220:E223)&gt;Variables!$B$4)),Variables!$B$6*Variables!$E$50+Variables!$B$7*$G$1*Variables!$E$50*SUM(D220:D223),0)</f>
        <v>0</v>
      </c>
      <c r="L223" s="64">
        <f>IF(B223="Winter",Variables!$B$8*H222,0)</f>
        <v>0</v>
      </c>
      <c r="M223" s="64">
        <f>IF(AND(B223="Spring",AND(NOT(H222=0),H222&lt;(Variables!$B$9*Variables!$E$50))),(Variables!$B$10*Variables!$E$50+Variables!$B$11*Variables!$E$50*SUM(E220:E223)+$G$1*SUM(D222:D223)*Variables!$E$50*Variables!$B$12),0)</f>
        <v>0</v>
      </c>
      <c r="N223" s="64">
        <f>IF(AND(B223="Spring",AND(SUM(D220:D223)&gt;Variables!$B$13,SUM(D216:D219)&gt;Variables!$B$13)),-Variables!$B$14*Variables!$E$50,0)</f>
        <v>0</v>
      </c>
      <c r="O223" s="64">
        <f>IF(AND(B223="Summer",SUM(C219:D223)&gt;Variables!$B$15),(Variables!$B$16*Variables!$E$50*SUM(C219:C223)+$G$1*Variables!$B$16*Variables!$E$50*SUM(D219:D223)+$G$1*Variables!$E$50*Variables!$B$17*F223),0)</f>
        <v>0</v>
      </c>
      <c r="P223" s="64">
        <f>IF(AND(AND(B223="Autumn",SUM(D222:E223)&gt;0),NOT(H222=0)),Variables!$B$18*Variables!$E$50+Variables!$B$19*Variables!$E$50*SUM(E222:E223)+$G$1*Variables!$B$19*Variables!$E$50*SUM(D222:D223),0)</f>
        <v>0</v>
      </c>
      <c r="Q223" s="64">
        <f>IF(AND(B223="Autumn",AND((E223+E222)&lt;Variables!$B$20,(D222+D223)=0)),-Variables!$B$21*Variables!$E$50,0)</f>
        <v>0</v>
      </c>
      <c r="R223" s="64">
        <f>IF(B223="Autumn",(SUM(F222:F223)*$G$1*Variables!$B$22*Variables!$E$50),0)</f>
        <v>0</v>
      </c>
      <c r="S223" s="64">
        <f>IF(B223="Spring",($G$1*Variables!$E$50*SUM('Guts (option 1)'!F222:F223)*Variables!$B$23),0)</f>
        <v>0</v>
      </c>
      <c r="T223" s="63">
        <f>IF((H222+SUM(J223:Q223))&lt;(Variables!$B$26*Variables!$E$50),$F$1*((Variables!$B$26*Variables!$E$50)-H222-SUM(J223:Q223)),0)</f>
        <v>0</v>
      </c>
      <c r="U223" s="64">
        <f>IF(AND(AND(B223="Autumn",SUM(D220:E223)&gt;Variables!$B$27),SUM(J223:Q223)&lt;Variables!$B$28*H222),$F$1*(Variables!$B$28*H222-SUM(J223:Q223)),0)</f>
        <v>0</v>
      </c>
      <c r="V223" s="96">
        <f>IF(AND((J223+K223)=0,(Q223+T223)=0),$H$1*H223*Variables!$I$23*0.25,0)</f>
        <v>19.235463730000006</v>
      </c>
      <c r="W223" s="97">
        <f>IF(AND((K223+J223)=0,(T223+Q223)=0),$I$1*H223*Variables!$Q$23*0.25,0)</f>
        <v>20.13444265</v>
      </c>
      <c r="X223" s="95">
        <f>IF(AND(NOT(K223=0),(H223-H222)&gt;0),(H223-H222)*(Variables!$M$5*$H$1+Variables!$U$5*$I$1),0)+IF(AND(NOT((J223+N223+Q223)=0),(H222-H223)&gt;0),(H222-H223)*(Variables!$M$4*$H$1+Variables!$U$4*$I$1),0)</f>
        <v>0</v>
      </c>
      <c r="Y223" s="95">
        <f>IF(SUM(T223,U222:U223)&gt;0,H223*Variables!$Y$11*0.25*(1-$J$1),0)</f>
        <v>0</v>
      </c>
      <c r="Z223" s="95">
        <f>IF(T223=0,H223*$J$1*Variables!$Y$5*0.25,0)</f>
        <v>6.4883000000000015</v>
      </c>
      <c r="AA223" s="95">
        <f t="shared" si="7"/>
        <v>45.858206380000006</v>
      </c>
      <c r="AB223" s="91">
        <f>AA223/Variables!$E$49</f>
        <v>7.3964849000000008</v>
      </c>
    </row>
    <row r="224" spans="1:28" x14ac:dyDescent="0.25">
      <c r="A224" s="61">
        <f>'Water runs'!C231</f>
        <v>22432</v>
      </c>
      <c r="B224" s="61" t="str">
        <f>'Water runs'!B231</f>
        <v>Autumn</v>
      </c>
      <c r="C224" s="54">
        <f>'Water runs'!D231/100</f>
        <v>1.1864285714285701</v>
      </c>
      <c r="D224" s="108">
        <f>VLOOKUP(ROW(D224)+4,'Water runs'!$BS$3:$CF$423,MATCH($B$1,Scenarios,0)+1)</f>
        <v>7.4759103397493249E-4</v>
      </c>
      <c r="E224" s="54">
        <f>IF(B224=Variables!$D$8,C224-Variables!$E$8,IF(B224=Variables!$D$9,C224-Variables!$E$9,IF(B224=Variables!$D$10,C224-Variables!$E$10,IF(B224=Variables!$D$11,C224-Variables!$E$11,"ELSE"))))</f>
        <v>0.19178527210884222</v>
      </c>
      <c r="F224" s="108">
        <f>VLOOKUP(ROW(F224)+4,'Water runs'!$CH$3:$CU$423,MATCH($B$1,Scenarios,0)+1)</f>
        <v>0</v>
      </c>
      <c r="G224" s="65">
        <f>H224/Variables!$E$49</f>
        <v>0.48747706064677521</v>
      </c>
      <c r="H224" s="62">
        <f>IF((H223+I224)&gt;(1.1*Variables!$E$50),(1.1*Variables!$E$50),IF((H223+I224)&gt;0,H223+I224,0))</f>
        <v>3.0223577760100064</v>
      </c>
      <c r="I224" s="64">
        <f t="shared" si="6"/>
        <v>2.0241577760100062</v>
      </c>
      <c r="J224" s="63">
        <f>IF(SUM(E220:E223)&lt;Variables!$B$3,-H223,0)</f>
        <v>0</v>
      </c>
      <c r="K224" s="64">
        <f>IF(AND(H223&lt;Variables!$B$6*Variables!$E$50,OR(SUM(D221:D224)&gt;Variables!$B$5,SUM(E221:E224)&gt;Variables!$B$4)),Variables!$B$6*Variables!$E$50+Variables!$B$7*$G$1*Variables!$E$50*SUM(D221:D224),0)</f>
        <v>1.1408392726778462</v>
      </c>
      <c r="L224" s="64">
        <f>IF(B224="Winter",Variables!$B$8*H223,0)</f>
        <v>0</v>
      </c>
      <c r="M224" s="64">
        <f>IF(AND(B224="Spring",AND(NOT(H223=0),H223&lt;(Variables!$B$9*Variables!$E$50))),(Variables!$B$10*Variables!$E$50+Variables!$B$11*Variables!$E$50*SUM(E221:E224)+$G$1*SUM(D223:D224)*Variables!$E$50*Variables!$B$12),0)</f>
        <v>0</v>
      </c>
      <c r="N224" s="64">
        <f>IF(AND(B224="Spring",AND(SUM(D221:D224)&gt;Variables!$B$13,SUM(D217:D220)&gt;Variables!$B$13)),-Variables!$B$14*Variables!$E$50,0)</f>
        <v>0</v>
      </c>
      <c r="O224" s="64">
        <f>IF(AND(B224="Summer",SUM(C220:D224)&gt;Variables!$B$15),(Variables!$B$16*Variables!$E$50*SUM(C220:C224)+$G$1*Variables!$B$16*Variables!$E$50*SUM(D220:D224)+$G$1*Variables!$E$50*Variables!$B$17*F224),0)</f>
        <v>0</v>
      </c>
      <c r="P224" s="64">
        <f>IF(AND(AND(B224="Autumn",SUM(D223:E224)&gt;0),NOT(H223=0)),Variables!$B$18*Variables!$E$50+Variables!$B$19*Variables!$E$50*SUM(E223:E224)+$G$1*Variables!$B$19*Variables!$E$50*SUM(D223:D224),0)</f>
        <v>0.88331850333216011</v>
      </c>
      <c r="Q224" s="64">
        <f>IF(AND(B224="Autumn",AND((E224+E223)&lt;Variables!$B$20,(D223+D224)=0)),-Variables!$B$21*Variables!$E$50,0)</f>
        <v>0</v>
      </c>
      <c r="R224" s="64">
        <f>IF(B224="Autumn",(SUM(F223:F224)*$G$1*Variables!$B$22*Variables!$E$50),0)</f>
        <v>0</v>
      </c>
      <c r="S224" s="64">
        <f>IF(B224="Spring",($G$1*Variables!$E$50*SUM('Guts (option 1)'!F223:F224)*Variables!$B$23),0)</f>
        <v>0</v>
      </c>
      <c r="T224" s="63">
        <f>IF((H223+SUM(J224:Q224))&lt;(Variables!$B$26*Variables!$E$50),$F$1*((Variables!$B$26*Variables!$E$50)-H223-SUM(J224:Q224)),0)</f>
        <v>0</v>
      </c>
      <c r="U224" s="64">
        <f>IF(AND(AND(B224="Autumn",SUM(D221:E224)&gt;Variables!$B$27),SUM(J224:Q224)&lt;Variables!$B$28*H223),$F$1*(Variables!$B$28*H223-SUM(J224:Q224)),0)</f>
        <v>0</v>
      </c>
      <c r="V224" s="96">
        <f>IF(AND((J224+K224)=0,(Q224+T224)=0),$H$1*H224*Variables!$I$23*0.25,0)</f>
        <v>0</v>
      </c>
      <c r="W224" s="97">
        <f>IF(AND((K224+J224)=0,(T224+Q224)=0),$I$1*H224*Variables!$Q$23*0.25,0)</f>
        <v>0</v>
      </c>
      <c r="X224" s="95">
        <f>IF(AND(NOT(K224=0),(H224-H223)&gt;0),(H224-H223)*(Variables!$M$5*$H$1+Variables!$U$5*$I$1),0)+IF(AND(NOT((J224+N224+Q224)=0),(H223-H224)&gt;0),(H223-H224)*(Variables!$M$4*$H$1+Variables!$U$4*$I$1),0)</f>
        <v>-506.03944400250157</v>
      </c>
      <c r="Y224" s="95">
        <f>IF(SUM(T224,U223:U224)&gt;0,H224*Variables!$Y$11*0.25*(1-$J$1),0)</f>
        <v>0</v>
      </c>
      <c r="Z224" s="95">
        <f>IF(T224=0,H224*$J$1*Variables!$Y$5*0.25,0)</f>
        <v>19.645325544065042</v>
      </c>
      <c r="AA224" s="95">
        <f t="shared" si="7"/>
        <v>-486.39411845843654</v>
      </c>
      <c r="AB224" s="91">
        <f>AA224/Variables!$E$49</f>
        <v>-78.450664267489756</v>
      </c>
    </row>
    <row r="225" spans="1:28" x14ac:dyDescent="0.25">
      <c r="A225" s="61">
        <f>'Water runs'!C232</f>
        <v>22524</v>
      </c>
      <c r="B225" s="61" t="str">
        <f>'Water runs'!B232</f>
        <v>Winter</v>
      </c>
      <c r="C225" s="54">
        <f>'Water runs'!D232/100</f>
        <v>0.41826190476190495</v>
      </c>
      <c r="D225" s="108">
        <f>VLOOKUP(ROW(D225)+4,'Water runs'!$BS$3:$CF$423,MATCH($B$1,Scenarios,0)+1)</f>
        <v>0</v>
      </c>
      <c r="E225" s="54">
        <f>IF(B225=Variables!$D$8,C225-Variables!$E$8,IF(B225=Variables!$D$9,C225-Variables!$E$9,IF(B225=Variables!$D$10,C225-Variables!$E$10,IF(B225=Variables!$D$11,C225-Variables!$E$11,"ELSE"))))</f>
        <v>-0.15350572089947079</v>
      </c>
      <c r="F225" s="108">
        <f>VLOOKUP(ROW(F225)+4,'Water runs'!$CH$3:$CU$423,MATCH($B$1,Scenarios,0)+1)</f>
        <v>0</v>
      </c>
      <c r="G225" s="65">
        <f>H225/Variables!$E$49</f>
        <v>0.2447401756002747</v>
      </c>
      <c r="H225" s="62">
        <f>IF((H224+I225)&gt;(1.1*Variables!$E$50),(1.1*Variables!$E$50),IF((H224+I225)&gt;0,H224+I225,0))</f>
        <v>1.5173890887217032</v>
      </c>
      <c r="I225" s="64">
        <f t="shared" si="6"/>
        <v>-1.5049686872883032</v>
      </c>
      <c r="J225" s="63">
        <f>IF(SUM(E221:E224)&lt;Variables!$B$3,-H224,0)</f>
        <v>0</v>
      </c>
      <c r="K225" s="64">
        <f>IF(AND(H224&lt;Variables!$B$6*Variables!$E$50,OR(SUM(D222:D225)&gt;Variables!$B$5,SUM(E222:E225)&gt;Variables!$B$4)),Variables!$B$6*Variables!$E$50+Variables!$B$7*$G$1*Variables!$E$50*SUM(D222:D225),0)</f>
        <v>0</v>
      </c>
      <c r="L225" s="64">
        <f>IF(B225="Winter",Variables!$B$8*H224,0)</f>
        <v>-1.5049686872883032</v>
      </c>
      <c r="M225" s="64">
        <f>IF(AND(B225="Spring",AND(NOT(H224=0),H224&lt;(Variables!$B$9*Variables!$E$50))),(Variables!$B$10*Variables!$E$50+Variables!$B$11*Variables!$E$50*SUM(E222:E225)+$G$1*SUM(D224:D225)*Variables!$E$50*Variables!$B$12),0)</f>
        <v>0</v>
      </c>
      <c r="N225" s="64">
        <f>IF(AND(B225="Spring",AND(SUM(D222:D225)&gt;Variables!$B$13,SUM(D218:D221)&gt;Variables!$B$13)),-Variables!$B$14*Variables!$E$50,0)</f>
        <v>0</v>
      </c>
      <c r="O225" s="64">
        <f>IF(AND(B225="Summer",SUM(C221:D225)&gt;Variables!$B$15),(Variables!$B$16*Variables!$E$50*SUM(C221:C225)+$G$1*Variables!$B$16*Variables!$E$50*SUM(D221:D225)+$G$1*Variables!$E$50*Variables!$B$17*F225),0)</f>
        <v>0</v>
      </c>
      <c r="P225" s="64">
        <f>IF(AND(AND(B225="Autumn",SUM(D224:E225)&gt;0),NOT(H224=0)),Variables!$B$18*Variables!$E$50+Variables!$B$19*Variables!$E$50*SUM(E224:E225)+$G$1*Variables!$B$19*Variables!$E$50*SUM(D224:D225),0)</f>
        <v>0</v>
      </c>
      <c r="Q225" s="64">
        <f>IF(AND(B225="Autumn",AND((E225+E224)&lt;Variables!$B$20,(D224+D225)=0)),-Variables!$B$21*Variables!$E$50,0)</f>
        <v>0</v>
      </c>
      <c r="R225" s="64">
        <f>IF(B225="Autumn",(SUM(F224:F225)*$G$1*Variables!$B$22*Variables!$E$50),0)</f>
        <v>0</v>
      </c>
      <c r="S225" s="64">
        <f>IF(B225="Spring",($G$1*Variables!$E$50*SUM('Guts (option 1)'!F224:F225)*Variables!$B$23),0)</f>
        <v>0</v>
      </c>
      <c r="T225" s="63">
        <f>IF((H224+SUM(J225:Q225))&lt;(Variables!$B$26*Variables!$E$50),$F$1*((Variables!$B$26*Variables!$E$50)-H224-SUM(J225:Q225)),0)</f>
        <v>0</v>
      </c>
      <c r="U225" s="64">
        <f>IF(AND(AND(B225="Autumn",SUM(D222:E225)&gt;Variables!$B$27),SUM(J225:Q225)&lt;Variables!$B$28*H224),$F$1*(Variables!$B$28*H224-SUM(J225:Q225)),0)</f>
        <v>0</v>
      </c>
      <c r="V225" s="96">
        <f>IF(AND((J225+K225)=0,(Q225+T225)=0),$H$1*H225*Variables!$I$23*0.25,0)</f>
        <v>29.240315348030531</v>
      </c>
      <c r="W225" s="97">
        <f>IF(AND((K225+J225)=0,(T225+Q225)=0),$I$1*H225*Variables!$Q$23*0.25,0)</f>
        <v>30.606875961333291</v>
      </c>
      <c r="X225" s="95">
        <f>IF(AND(NOT(K225=0),(H225-H224)&gt;0),(H225-H224)*(Variables!$M$5*$H$1+Variables!$U$5*$I$1),0)+IF(AND(NOT((J225+N225+Q225)=0),(H224-H225)&gt;0),(H224-H225)*(Variables!$M$4*$H$1+Variables!$U$4*$I$1),0)</f>
        <v>0</v>
      </c>
      <c r="Y225" s="95">
        <f>IF(SUM(T225,U224:U225)&gt;0,H225*Variables!$Y$11*0.25*(1-$J$1),0)</f>
        <v>0</v>
      </c>
      <c r="Z225" s="95">
        <f>IF(T225=0,H225*$J$1*Variables!$Y$5*0.25,0)</f>
        <v>9.8630290766910704</v>
      </c>
      <c r="AA225" s="95">
        <f t="shared" si="7"/>
        <v>69.710220386054885</v>
      </c>
      <c r="AB225" s="91">
        <f>AA225/Variables!$E$49</f>
        <v>11.243583933234659</v>
      </c>
    </row>
    <row r="226" spans="1:28" x14ac:dyDescent="0.25">
      <c r="A226" s="61">
        <f>'Water runs'!C233</f>
        <v>22615</v>
      </c>
      <c r="B226" s="61" t="str">
        <f>'Water runs'!B233</f>
        <v>Spring</v>
      </c>
      <c r="C226" s="54">
        <f>'Water runs'!D233/100</f>
        <v>0.35257142857142904</v>
      </c>
      <c r="D226" s="108">
        <f>VLOOKUP(ROW(D226)+4,'Water runs'!$BS$3:$CF$423,MATCH($B$1,Scenarios,0)+1)</f>
        <v>0</v>
      </c>
      <c r="E226" s="54">
        <f>IF(B226=Variables!$D$8,C226-Variables!$E$8,IF(B226=Variables!$D$9,C226-Variables!$E$9,IF(B226=Variables!$D$10,C226-Variables!$E$10,IF(B226=Variables!$D$11,C226-Variables!$E$11,"ELSE"))))</f>
        <v>-0.41141078042328011</v>
      </c>
      <c r="F226" s="108">
        <f>VLOOKUP(ROW(F226)+4,'Water runs'!$CH$3:$CU$423,MATCH($B$1,Scenarios,0)+1)</f>
        <v>0</v>
      </c>
      <c r="G226" s="65">
        <f>H226/Variables!$E$49</f>
        <v>0.20859197047083736</v>
      </c>
      <c r="H226" s="62">
        <f>IF((H225+I226)&gt;(1.1*Variables!$E$50),(1.1*Variables!$E$50),IF((H225+I226)&gt;0,H225+I226,0))</f>
        <v>1.2932702169191916</v>
      </c>
      <c r="I226" s="64">
        <f t="shared" si="6"/>
        <v>-0.22411887180251167</v>
      </c>
      <c r="J226" s="63">
        <f>IF(SUM(E222:E225)&lt;Variables!$B$3,-H225,0)</f>
        <v>0</v>
      </c>
      <c r="K226" s="64">
        <f>IF(AND(H225&lt;Variables!$B$6*Variables!$E$50,OR(SUM(D223:D226)&gt;Variables!$B$5,SUM(E223:E226)&gt;Variables!$B$4)),Variables!$B$6*Variables!$E$50+Variables!$B$7*$G$1*Variables!$E$50*SUM(D223:D226),0)</f>
        <v>0</v>
      </c>
      <c r="L226" s="64">
        <f>IF(B226="Winter",Variables!$B$8*H225,0)</f>
        <v>0</v>
      </c>
      <c r="M226" s="64">
        <f>IF(AND(B226="Spring",AND(NOT(H225=0),H225&lt;(Variables!$B$9*Variables!$E$50))),(Variables!$B$10*Variables!$E$50+Variables!$B$11*Variables!$E$50*SUM(E223:E226)+$G$1*SUM(D225:D226)*Variables!$E$50*Variables!$B$12),0)</f>
        <v>-0.22411887180251167</v>
      </c>
      <c r="N226" s="64">
        <f>IF(AND(B226="Spring",AND(SUM(D223:D226)&gt;Variables!$B$13,SUM(D219:D222)&gt;Variables!$B$13)),-Variables!$B$14*Variables!$E$50,0)</f>
        <v>0</v>
      </c>
      <c r="O226" s="64">
        <f>IF(AND(B226="Summer",SUM(C222:D226)&gt;Variables!$B$15),(Variables!$B$16*Variables!$E$50*SUM(C222:C226)+$G$1*Variables!$B$16*Variables!$E$50*SUM(D222:D226)+$G$1*Variables!$E$50*Variables!$B$17*F226),0)</f>
        <v>0</v>
      </c>
      <c r="P226" s="64">
        <f>IF(AND(AND(B226="Autumn",SUM(D225:E226)&gt;0),NOT(H225=0)),Variables!$B$18*Variables!$E$50+Variables!$B$19*Variables!$E$50*SUM(E225:E226)+$G$1*Variables!$B$19*Variables!$E$50*SUM(D225:D226),0)</f>
        <v>0</v>
      </c>
      <c r="Q226" s="64">
        <f>IF(AND(B226="Autumn",AND((E226+E225)&lt;Variables!$B$20,(D225+D226)=0)),-Variables!$B$21*Variables!$E$50,0)</f>
        <v>0</v>
      </c>
      <c r="R226" s="64">
        <f>IF(B226="Autumn",(SUM(F225:F226)*$G$1*Variables!$B$22*Variables!$E$50),0)</f>
        <v>0</v>
      </c>
      <c r="S226" s="64">
        <f>IF(B226="Spring",($G$1*Variables!$E$50*SUM('Guts (option 1)'!F225:F226)*Variables!$B$23),0)</f>
        <v>0</v>
      </c>
      <c r="T226" s="63">
        <f>IF((H225+SUM(J226:Q226))&lt;(Variables!$B$26*Variables!$E$50),$F$1*((Variables!$B$26*Variables!$E$50)-H225-SUM(J226:Q226)),0)</f>
        <v>0</v>
      </c>
      <c r="U226" s="64">
        <f>IF(AND(AND(B226="Autumn",SUM(D223:E226)&gt;Variables!$B$27),SUM(J226:Q226)&lt;Variables!$B$28*H225),$F$1*(Variables!$B$28*H225-SUM(J226:Q226)),0)</f>
        <v>0</v>
      </c>
      <c r="V226" s="96">
        <f>IF(AND((J226+K226)=0,(Q226+T226)=0),$H$1*H226*Variables!$I$23*0.25,0)</f>
        <v>24.921511070565362</v>
      </c>
      <c r="W226" s="97">
        <f>IF(AND((K226+J226)=0,(T226+Q226)=0),$I$1*H226*Variables!$Q$23*0.25,0)</f>
        <v>26.086230227922783</v>
      </c>
      <c r="X226" s="95">
        <f>IF(AND(NOT(K226=0),(H226-H225)&gt;0),(H226-H225)*(Variables!$M$5*$H$1+Variables!$U$5*$I$1),0)+IF(AND(NOT((J226+N226+Q226)=0),(H225-H226)&gt;0),(H225-H226)*(Variables!$M$4*$H$1+Variables!$U$4*$I$1),0)</f>
        <v>0</v>
      </c>
      <c r="Y226" s="95">
        <f>IF(SUM(T226,U225:U226)&gt;0,H226*Variables!$Y$11*0.25*(1-$J$1),0)</f>
        <v>0</v>
      </c>
      <c r="Z226" s="95">
        <f>IF(T226=0,H226*$J$1*Variables!$Y$5*0.25,0)</f>
        <v>8.4062564099747448</v>
      </c>
      <c r="AA226" s="95">
        <f t="shared" si="7"/>
        <v>59.413997708462887</v>
      </c>
      <c r="AB226" s="91">
        <f>AA226/Variables!$E$49</f>
        <v>9.5829028562036918</v>
      </c>
    </row>
    <row r="227" spans="1:28" x14ac:dyDescent="0.25">
      <c r="A227" s="61">
        <f>'Water runs'!C234</f>
        <v>22705</v>
      </c>
      <c r="B227" s="61" t="str">
        <f>'Water runs'!B234</f>
        <v>Summer</v>
      </c>
      <c r="C227" s="54">
        <f>'Water runs'!D234/100</f>
        <v>1.65533333333333</v>
      </c>
      <c r="D227" s="108">
        <f>VLOOKUP(ROW(D227)+4,'Water runs'!$BS$3:$CF$423,MATCH($B$1,Scenarios,0)+1)</f>
        <v>8.6817551999619949E-2</v>
      </c>
      <c r="E227" s="54">
        <f>IF(B227=Variables!$D$8,C227-Variables!$E$8,IF(B227=Variables!$D$9,C227-Variables!$E$9,IF(B227=Variables!$D$10,C227-Variables!$E$10,IF(B227=Variables!$D$11,C227-Variables!$E$11,"ELSE"))))</f>
        <v>0.39696319727890828</v>
      </c>
      <c r="F227" s="108">
        <f>VLOOKUP(ROW(F227)+4,'Water runs'!$CH$3:$CU$423,MATCH($B$1,Scenarios,0)+1)</f>
        <v>0</v>
      </c>
      <c r="G227" s="65">
        <f>H227/Variables!$E$49</f>
        <v>0.20859197047083736</v>
      </c>
      <c r="H227" s="62">
        <f>IF((H226+I227)&gt;(1.1*Variables!$E$50),(1.1*Variables!$E$50),IF((H226+I227)&gt;0,H226+I227,0))</f>
        <v>1.2932702169191916</v>
      </c>
      <c r="I227" s="64">
        <f t="shared" si="6"/>
        <v>0</v>
      </c>
      <c r="J227" s="63">
        <f>IF(SUM(E223:E226)&lt;Variables!$B$3,-H226,0)</f>
        <v>0</v>
      </c>
      <c r="K227" s="64">
        <f>IF(AND(H226&lt;Variables!$B$6*Variables!$E$50,OR(SUM(D224:D227)&gt;Variables!$B$5,SUM(E224:E227)&gt;Variables!$B$4)),Variables!$B$6*Variables!$E$50+Variables!$B$7*$G$1*Variables!$E$50*SUM(D224:D227),0)</f>
        <v>0</v>
      </c>
      <c r="L227" s="64">
        <f>IF(B227="Winter",Variables!$B$8*H226,0)</f>
        <v>0</v>
      </c>
      <c r="M227" s="64">
        <f>IF(AND(B227="Spring",AND(NOT(H226=0),H226&lt;(Variables!$B$9*Variables!$E$50))),(Variables!$B$10*Variables!$E$50+Variables!$B$11*Variables!$E$50*SUM(E224:E227)+$G$1*SUM(D226:D227)*Variables!$E$50*Variables!$B$12),0)</f>
        <v>0</v>
      </c>
      <c r="N227" s="64">
        <f>IF(AND(B227="Spring",AND(SUM(D224:D227)&gt;Variables!$B$13,SUM(D220:D223)&gt;Variables!$B$13)),-Variables!$B$14*Variables!$E$50,0)</f>
        <v>0</v>
      </c>
      <c r="O227" s="64">
        <f>IF(AND(B227="Summer",SUM(C223:D227)&gt;Variables!$B$15),(Variables!$B$16*Variables!$E$50*SUM(C223:C227)+$G$1*Variables!$B$16*Variables!$E$50*SUM(D223:D227)+$G$1*Variables!$E$50*Variables!$B$17*F227),0)</f>
        <v>0</v>
      </c>
      <c r="P227" s="64">
        <f>IF(AND(AND(B227="Autumn",SUM(D226:E227)&gt;0),NOT(H226=0)),Variables!$B$18*Variables!$E$50+Variables!$B$19*Variables!$E$50*SUM(E226:E227)+$G$1*Variables!$B$19*Variables!$E$50*SUM(D226:D227),0)</f>
        <v>0</v>
      </c>
      <c r="Q227" s="64">
        <f>IF(AND(B227="Autumn",AND((E227+E226)&lt;Variables!$B$20,(D226+D227)=0)),-Variables!$B$21*Variables!$E$50,0)</f>
        <v>0</v>
      </c>
      <c r="R227" s="64">
        <f>IF(B227="Autumn",(SUM(F226:F227)*$G$1*Variables!$B$22*Variables!$E$50),0)</f>
        <v>0</v>
      </c>
      <c r="S227" s="64">
        <f>IF(B227="Spring",($G$1*Variables!$E$50*SUM('Guts (option 1)'!F226:F227)*Variables!$B$23),0)</f>
        <v>0</v>
      </c>
      <c r="T227" s="63">
        <f>IF((H226+SUM(J227:Q227))&lt;(Variables!$B$26*Variables!$E$50),$F$1*((Variables!$B$26*Variables!$E$50)-H226-SUM(J227:Q227)),0)</f>
        <v>0</v>
      </c>
      <c r="U227" s="64">
        <f>IF(AND(AND(B227="Autumn",SUM(D224:E227)&gt;Variables!$B$27),SUM(J227:Q227)&lt;Variables!$B$28*H226),$F$1*(Variables!$B$28*H226-SUM(J227:Q227)),0)</f>
        <v>0</v>
      </c>
      <c r="V227" s="96">
        <f>IF(AND((J227+K227)=0,(Q227+T227)=0),$H$1*H227*Variables!$I$23*0.25,0)</f>
        <v>24.921511070565362</v>
      </c>
      <c r="W227" s="97">
        <f>IF(AND((K227+J227)=0,(T227+Q227)=0),$I$1*H227*Variables!$Q$23*0.25,0)</f>
        <v>26.086230227922783</v>
      </c>
      <c r="X227" s="95">
        <f>IF(AND(NOT(K227=0),(H227-H226)&gt;0),(H227-H226)*(Variables!$M$5*$H$1+Variables!$U$5*$I$1),0)+IF(AND(NOT((J227+N227+Q227)=0),(H226-H227)&gt;0),(H226-H227)*(Variables!$M$4*$H$1+Variables!$U$4*$I$1),0)</f>
        <v>0</v>
      </c>
      <c r="Y227" s="95">
        <f>IF(SUM(T227,U226:U227)&gt;0,H227*Variables!$Y$11*0.25*(1-$J$1),0)</f>
        <v>0</v>
      </c>
      <c r="Z227" s="95">
        <f>IF(T227=0,H227*$J$1*Variables!$Y$5*0.25,0)</f>
        <v>8.4062564099747448</v>
      </c>
      <c r="AA227" s="95">
        <f t="shared" si="7"/>
        <v>59.413997708462887</v>
      </c>
      <c r="AB227" s="91">
        <f>AA227/Variables!$E$49</f>
        <v>9.5829028562036918</v>
      </c>
    </row>
    <row r="228" spans="1:28" x14ac:dyDescent="0.25">
      <c r="A228" s="61">
        <f>'Water runs'!C235</f>
        <v>22797</v>
      </c>
      <c r="B228" s="61" t="str">
        <f>'Water runs'!B235</f>
        <v>Autumn</v>
      </c>
      <c r="C228" s="54">
        <f>'Water runs'!D235/100</f>
        <v>1.34814285714286</v>
      </c>
      <c r="D228" s="108">
        <f>VLOOKUP(ROW(D228)+4,'Water runs'!$BS$3:$CF$423,MATCH($B$1,Scenarios,0)+1)</f>
        <v>3.2870489869278458E-2</v>
      </c>
      <c r="E228" s="54">
        <f>IF(B228=Variables!$D$8,C228-Variables!$E$8,IF(B228=Variables!$D$9,C228-Variables!$E$9,IF(B228=Variables!$D$10,C228-Variables!$E$10,IF(B228=Variables!$D$11,C228-Variables!$E$11,"ELSE"))))</f>
        <v>0.35349955782313214</v>
      </c>
      <c r="F228" s="108">
        <f>VLOOKUP(ROW(F228)+4,'Water runs'!$CH$3:$CU$423,MATCH($B$1,Scenarios,0)+1)</f>
        <v>0</v>
      </c>
      <c r="G228" s="65">
        <f>H228/Variables!$E$49</f>
        <v>0.56348061298065166</v>
      </c>
      <c r="H228" s="62">
        <f>IF((H227+I228)&gt;(1.1*Variables!$E$50),(1.1*Variables!$E$50),IF((H227+I228)&gt;0,H227+I228,0))</f>
        <v>3.4935798004800405</v>
      </c>
      <c r="I228" s="64">
        <f t="shared" si="6"/>
        <v>2.2003095835608488</v>
      </c>
      <c r="J228" s="63">
        <f>IF(SUM(E224:E227)&lt;Variables!$B$3,-H227,0)</f>
        <v>0</v>
      </c>
      <c r="K228" s="64">
        <f>IF(AND(H227&lt;Variables!$B$6*Variables!$E$50,OR(SUM(D225:D228)&gt;Variables!$B$5,SUM(E225:E228)&gt;Variables!$B$4)),Variables!$B$6*Variables!$E$50+Variables!$B$7*$G$1*Variables!$E$50*SUM(D225:D228),0)</f>
        <v>0</v>
      </c>
      <c r="L228" s="64">
        <f>IF(B228="Winter",Variables!$B$8*H227,0)</f>
        <v>0</v>
      </c>
      <c r="M228" s="64">
        <f>IF(AND(B228="Spring",AND(NOT(H227=0),H227&lt;(Variables!$B$9*Variables!$E$50))),(Variables!$B$10*Variables!$E$50+Variables!$B$11*Variables!$E$50*SUM(E225:E228)+$G$1*SUM(D227:D228)*Variables!$E$50*Variables!$B$12),0)</f>
        <v>0</v>
      </c>
      <c r="N228" s="64">
        <f>IF(AND(B228="Spring",AND(SUM(D225:D228)&gt;Variables!$B$13,SUM(D221:D224)&gt;Variables!$B$13)),-Variables!$B$14*Variables!$E$50,0)</f>
        <v>0</v>
      </c>
      <c r="O228" s="64">
        <f>IF(AND(B228="Summer",SUM(C224:D228)&gt;Variables!$B$15),(Variables!$B$16*Variables!$E$50*SUM(C224:C228)+$G$1*Variables!$B$16*Variables!$E$50*SUM(D224:D228)+$G$1*Variables!$E$50*Variables!$B$17*F228),0)</f>
        <v>0</v>
      </c>
      <c r="P228" s="64">
        <f>IF(AND(AND(B228="Autumn",SUM(D227:E228)&gt;0),NOT(H227=0)),Variables!$B$18*Variables!$E$50+Variables!$B$19*Variables!$E$50*SUM(E227:E228)+$G$1*Variables!$B$19*Variables!$E$50*SUM(D227:D228),0)</f>
        <v>2.2003095835608488</v>
      </c>
      <c r="Q228" s="64">
        <f>IF(AND(B228="Autumn",AND((E228+E227)&lt;Variables!$B$20,(D227+D228)=0)),-Variables!$B$21*Variables!$E$50,0)</f>
        <v>0</v>
      </c>
      <c r="R228" s="64">
        <f>IF(B228="Autumn",(SUM(F227:F228)*$G$1*Variables!$B$22*Variables!$E$50),0)</f>
        <v>0</v>
      </c>
      <c r="S228" s="64">
        <f>IF(B228="Spring",($G$1*Variables!$E$50*SUM('Guts (option 1)'!F227:F228)*Variables!$B$23),0)</f>
        <v>0</v>
      </c>
      <c r="T228" s="63">
        <f>IF((H227+SUM(J228:Q228))&lt;(Variables!$B$26*Variables!$E$50),$F$1*((Variables!$B$26*Variables!$E$50)-H227-SUM(J228:Q228)),0)</f>
        <v>0</v>
      </c>
      <c r="U228" s="64">
        <f>IF(AND(AND(B228="Autumn",SUM(D225:E228)&gt;Variables!$B$27),SUM(J228:Q228)&lt;Variables!$B$28*H227),$F$1*(Variables!$B$28*H227-SUM(J228:Q228)),0)</f>
        <v>0</v>
      </c>
      <c r="V228" s="96">
        <f>IF(AND((J228+K228)=0,(Q228+T228)=0),$H$1*H228*Variables!$I$23*0.25,0)</f>
        <v>67.321806792220457</v>
      </c>
      <c r="W228" s="97">
        <f>IF(AND((K228+J228)=0,(T228+Q228)=0),$I$1*H228*Variables!$Q$23*0.25,0)</f>
        <v>70.468124760532774</v>
      </c>
      <c r="X228" s="95">
        <f>IF(AND(NOT(K228=0),(H228-H227)&gt;0),(H228-H227)*(Variables!$M$5*$H$1+Variables!$U$5*$I$1),0)+IF(AND(NOT((J228+N228+Q228)=0),(H227-H228)&gt;0),(H227-H228)*(Variables!$M$4*$H$1+Variables!$U$4*$I$1),0)</f>
        <v>0</v>
      </c>
      <c r="Y228" s="95">
        <f>IF(SUM(T228,U227:U228)&gt;0,H228*Variables!$Y$11*0.25*(1-$J$1),0)</f>
        <v>0</v>
      </c>
      <c r="Z228" s="95">
        <f>IF(T228=0,H228*$J$1*Variables!$Y$5*0.25,0)</f>
        <v>22.708268703120265</v>
      </c>
      <c r="AA228" s="95">
        <f t="shared" si="7"/>
        <v>160.49820025587348</v>
      </c>
      <c r="AB228" s="91">
        <f>AA228/Variables!$E$49</f>
        <v>25.886806492882819</v>
      </c>
    </row>
    <row r="229" spans="1:28" x14ac:dyDescent="0.25">
      <c r="A229" s="61">
        <f>'Water runs'!C236</f>
        <v>22889</v>
      </c>
      <c r="B229" s="61" t="str">
        <f>'Water runs'!B236</f>
        <v>Winter</v>
      </c>
      <c r="C229" s="54">
        <f>'Water runs'!D236/100</f>
        <v>0.65585714285714303</v>
      </c>
      <c r="D229" s="108">
        <f>VLOOKUP(ROW(D229)+4,'Water runs'!$BS$3:$CF$423,MATCH($B$1,Scenarios,0)+1)</f>
        <v>0</v>
      </c>
      <c r="E229" s="54">
        <f>IF(B229=Variables!$D$8,C229-Variables!$E$8,IF(B229=Variables!$D$9,C229-Variables!$E$9,IF(B229=Variables!$D$10,C229-Variables!$E$10,IF(B229=Variables!$D$11,C229-Variables!$E$11,"ELSE"))))</f>
        <v>8.4089517195767294E-2</v>
      </c>
      <c r="F229" s="108">
        <f>VLOOKUP(ROW(F229)+4,'Water runs'!$CH$3:$CU$423,MATCH($B$1,Scenarios,0)+1)</f>
        <v>0</v>
      </c>
      <c r="G229" s="65">
        <f>H229/Variables!$E$49</f>
        <v>0.28289812034491146</v>
      </c>
      <c r="H229" s="62">
        <f>IF((H228+I229)&gt;(1.1*Variables!$E$50),(1.1*Variables!$E$50),IF((H228+I229)&gt;0,H228+I229,0))</f>
        <v>1.753968346138451</v>
      </c>
      <c r="I229" s="64">
        <f t="shared" si="6"/>
        <v>-1.7396114543415895</v>
      </c>
      <c r="J229" s="63">
        <f>IF(SUM(E225:E228)&lt;Variables!$B$3,-H228,0)</f>
        <v>0</v>
      </c>
      <c r="K229" s="64">
        <f>IF(AND(H228&lt;Variables!$B$6*Variables!$E$50,OR(SUM(D226:D229)&gt;Variables!$B$5,SUM(E226:E229)&gt;Variables!$B$4)),Variables!$B$6*Variables!$E$50+Variables!$B$7*$G$1*Variables!$E$50*SUM(D226:D229),0)</f>
        <v>0</v>
      </c>
      <c r="L229" s="64">
        <f>IF(B229="Winter",Variables!$B$8*H228,0)</f>
        <v>-1.7396114543415895</v>
      </c>
      <c r="M229" s="64">
        <f>IF(AND(B229="Spring",AND(NOT(H228=0),H228&lt;(Variables!$B$9*Variables!$E$50))),(Variables!$B$10*Variables!$E$50+Variables!$B$11*Variables!$E$50*SUM(E226:E229)+$G$1*SUM(D228:D229)*Variables!$E$50*Variables!$B$12),0)</f>
        <v>0</v>
      </c>
      <c r="N229" s="64">
        <f>IF(AND(B229="Spring",AND(SUM(D226:D229)&gt;Variables!$B$13,SUM(D222:D225)&gt;Variables!$B$13)),-Variables!$B$14*Variables!$E$50,0)</f>
        <v>0</v>
      </c>
      <c r="O229" s="64">
        <f>IF(AND(B229="Summer",SUM(C225:D229)&gt;Variables!$B$15),(Variables!$B$16*Variables!$E$50*SUM(C225:C229)+$G$1*Variables!$B$16*Variables!$E$50*SUM(D225:D229)+$G$1*Variables!$E$50*Variables!$B$17*F229),0)</f>
        <v>0</v>
      </c>
      <c r="P229" s="64">
        <f>IF(AND(AND(B229="Autumn",SUM(D228:E229)&gt;0),NOT(H228=0)),Variables!$B$18*Variables!$E$50+Variables!$B$19*Variables!$E$50*SUM(E228:E229)+$G$1*Variables!$B$19*Variables!$E$50*SUM(D228:D229),0)</f>
        <v>0</v>
      </c>
      <c r="Q229" s="64">
        <f>IF(AND(B229="Autumn",AND((E229+E228)&lt;Variables!$B$20,(D228+D229)=0)),-Variables!$B$21*Variables!$E$50,0)</f>
        <v>0</v>
      </c>
      <c r="R229" s="64">
        <f>IF(B229="Autumn",(SUM(F228:F229)*$G$1*Variables!$B$22*Variables!$E$50),0)</f>
        <v>0</v>
      </c>
      <c r="S229" s="64">
        <f>IF(B229="Spring",($G$1*Variables!$E$50*SUM('Guts (option 1)'!F228:F229)*Variables!$B$23),0)</f>
        <v>0</v>
      </c>
      <c r="T229" s="63">
        <f>IF((H228+SUM(J229:Q229))&lt;(Variables!$B$26*Variables!$E$50),$F$1*((Variables!$B$26*Variables!$E$50)-H228-SUM(J229:Q229)),0)</f>
        <v>0</v>
      </c>
      <c r="U229" s="64">
        <f>IF(AND(AND(B229="Autumn",SUM(D226:E229)&gt;Variables!$B$27),SUM(J229:Q229)&lt;Variables!$B$28*H228),$F$1*(Variables!$B$28*H228-SUM(J229:Q229)),0)</f>
        <v>0</v>
      </c>
      <c r="V229" s="96">
        <f>IF(AND((J229+K229)=0,(Q229+T229)=0),$H$1*H229*Variables!$I$23*0.25,0)</f>
        <v>33.799233125339875</v>
      </c>
      <c r="W229" s="97">
        <f>IF(AND((K229+J229)=0,(T229+Q229)=0),$I$1*H229*Variables!$Q$23*0.25,0)</f>
        <v>35.378857017872157</v>
      </c>
      <c r="X229" s="95">
        <f>IF(AND(NOT(K229=0),(H229-H228)&gt;0),(H229-H228)*(Variables!$M$5*$H$1+Variables!$U$5*$I$1),0)+IF(AND(NOT((J229+N229+Q229)=0),(H228-H229)&gt;0),(H228-H229)*(Variables!$M$4*$H$1+Variables!$U$4*$I$1),0)</f>
        <v>0</v>
      </c>
      <c r="Y229" s="95">
        <f>IF(SUM(T229,U228:U229)&gt;0,H229*Variables!$Y$11*0.25*(1-$J$1),0)</f>
        <v>0</v>
      </c>
      <c r="Z229" s="95">
        <f>IF(T229=0,H229*$J$1*Variables!$Y$5*0.25,0)</f>
        <v>11.400794249899931</v>
      </c>
      <c r="AA229" s="95">
        <f t="shared" si="7"/>
        <v>80.578884393111963</v>
      </c>
      <c r="AB229" s="91">
        <f>AA229/Variables!$E$49</f>
        <v>12.996594256953543</v>
      </c>
    </row>
    <row r="230" spans="1:28" x14ac:dyDescent="0.25">
      <c r="A230" s="61">
        <f>'Water runs'!C237</f>
        <v>22980</v>
      </c>
      <c r="B230" s="61" t="str">
        <f>'Water runs'!B237</f>
        <v>Spring</v>
      </c>
      <c r="C230" s="54">
        <f>'Water runs'!D237/100</f>
        <v>0.58485714285714296</v>
      </c>
      <c r="D230" s="108">
        <f>VLOOKUP(ROW(D230)+4,'Water runs'!$BS$3:$CF$423,MATCH($B$1,Scenarios,0)+1)</f>
        <v>0</v>
      </c>
      <c r="E230" s="54">
        <f>IF(B230=Variables!$D$8,C230-Variables!$E$8,IF(B230=Variables!$D$9,C230-Variables!$E$9,IF(B230=Variables!$D$10,C230-Variables!$E$10,IF(B230=Variables!$D$11,C230-Variables!$E$11,"ELSE"))))</f>
        <v>-0.17912506613756618</v>
      </c>
      <c r="F230" s="108">
        <f>VLOOKUP(ROW(F230)+4,'Water runs'!$CH$3:$CU$423,MATCH($B$1,Scenarios,0)+1)</f>
        <v>0</v>
      </c>
      <c r="G230" s="65">
        <f>H230/Variables!$E$49</f>
        <v>0.35489592003913756</v>
      </c>
      <c r="H230" s="62">
        <f>IF((H229+I230)&gt;(1.1*Variables!$E$50),(1.1*Variables!$E$50),IF((H229+I230)&gt;0,H229+I230,0))</f>
        <v>2.200354704242653</v>
      </c>
      <c r="I230" s="64">
        <f t="shared" si="6"/>
        <v>0.44638635810420202</v>
      </c>
      <c r="J230" s="63">
        <f>IF(SUM(E226:E229)&lt;Variables!$B$3,-H229,0)</f>
        <v>0</v>
      </c>
      <c r="K230" s="64">
        <f>IF(AND(H229&lt;Variables!$B$6*Variables!$E$50,OR(SUM(D227:D230)&gt;Variables!$B$5,SUM(E227:E230)&gt;Variables!$B$4)),Variables!$B$6*Variables!$E$50+Variables!$B$7*$G$1*Variables!$E$50*SUM(D227:D230),0)</f>
        <v>0</v>
      </c>
      <c r="L230" s="64">
        <f>IF(B230="Winter",Variables!$B$8*H229,0)</f>
        <v>0</v>
      </c>
      <c r="M230" s="64">
        <f>IF(AND(B230="Spring",AND(NOT(H229=0),H229&lt;(Variables!$B$9*Variables!$E$50))),(Variables!$B$10*Variables!$E$50+Variables!$B$11*Variables!$E$50*SUM(E227:E230)+$G$1*SUM(D229:D230)*Variables!$E$50*Variables!$B$12),0)</f>
        <v>0.44638635810420202</v>
      </c>
      <c r="N230" s="64">
        <f>IF(AND(B230="Spring",AND(SUM(D227:D230)&gt;Variables!$B$13,SUM(D223:D226)&gt;Variables!$B$13)),-Variables!$B$14*Variables!$E$50,0)</f>
        <v>0</v>
      </c>
      <c r="O230" s="64">
        <f>IF(AND(B230="Summer",SUM(C226:D230)&gt;Variables!$B$15),(Variables!$B$16*Variables!$E$50*SUM(C226:C230)+$G$1*Variables!$B$16*Variables!$E$50*SUM(D226:D230)+$G$1*Variables!$E$50*Variables!$B$17*F230),0)</f>
        <v>0</v>
      </c>
      <c r="P230" s="64">
        <f>IF(AND(AND(B230="Autumn",SUM(D229:E230)&gt;0),NOT(H229=0)),Variables!$B$18*Variables!$E$50+Variables!$B$19*Variables!$E$50*SUM(E229:E230)+$G$1*Variables!$B$19*Variables!$E$50*SUM(D229:D230),0)</f>
        <v>0</v>
      </c>
      <c r="Q230" s="64">
        <f>IF(AND(B230="Autumn",AND((E230+E229)&lt;Variables!$B$20,(D229+D230)=0)),-Variables!$B$21*Variables!$E$50,0)</f>
        <v>0</v>
      </c>
      <c r="R230" s="64">
        <f>IF(B230="Autumn",(SUM(F229:F230)*$G$1*Variables!$B$22*Variables!$E$50),0)</f>
        <v>0</v>
      </c>
      <c r="S230" s="64">
        <f>IF(B230="Spring",($G$1*Variables!$E$50*SUM('Guts (option 1)'!F229:F230)*Variables!$B$23),0)</f>
        <v>0</v>
      </c>
      <c r="T230" s="63">
        <f>IF((H229+SUM(J230:Q230))&lt;(Variables!$B$26*Variables!$E$50),$F$1*((Variables!$B$26*Variables!$E$50)-H229-SUM(J230:Q230)),0)</f>
        <v>0</v>
      </c>
      <c r="U230" s="64">
        <f>IF(AND(AND(B230="Autumn",SUM(D227:E230)&gt;Variables!$B$27),SUM(J230:Q230)&lt;Variables!$B$28*H229),$F$1*(Variables!$B$28*H229-SUM(J230:Q230)),0)</f>
        <v>0</v>
      </c>
      <c r="V230" s="96">
        <f>IF(AND((J230+K230)=0,(Q230+T230)=0),$H$1*H230*Variables!$I$23*0.25,0)</f>
        <v>42.401165203961561</v>
      </c>
      <c r="W230" s="97">
        <f>IF(AND((K230+J230)=0,(T230+Q230)=0),$I$1*H230*Variables!$Q$23*0.25,0)</f>
        <v>44.382804650602488</v>
      </c>
      <c r="X230" s="95">
        <f>IF(AND(NOT(K230=0),(H230-H229)&gt;0),(H230-H229)*(Variables!$M$5*$H$1+Variables!$U$5*$I$1),0)+IF(AND(NOT((J230+N230+Q230)=0),(H229-H230)&gt;0),(H229-H230)*(Variables!$M$4*$H$1+Variables!$U$4*$I$1),0)</f>
        <v>0</v>
      </c>
      <c r="Y230" s="95">
        <f>IF(SUM(T230,U229:U230)&gt;0,H230*Variables!$Y$11*0.25*(1-$J$1),0)</f>
        <v>0</v>
      </c>
      <c r="Z230" s="95">
        <f>IF(T230=0,H230*$J$1*Variables!$Y$5*0.25,0)</f>
        <v>14.302305577577245</v>
      </c>
      <c r="AA230" s="95">
        <f t="shared" si="7"/>
        <v>101.08627543214129</v>
      </c>
      <c r="AB230" s="91">
        <f>AA230/Variables!$E$49</f>
        <v>16.304237972926014</v>
      </c>
    </row>
    <row r="231" spans="1:28" x14ac:dyDescent="0.25">
      <c r="A231" s="61">
        <f>'Water runs'!C238</f>
        <v>23070</v>
      </c>
      <c r="B231" s="61" t="str">
        <f>'Water runs'!B238</f>
        <v>Summer</v>
      </c>
      <c r="C231" s="54">
        <f>'Water runs'!D238/100</f>
        <v>2.6327857142857103</v>
      </c>
      <c r="D231" s="108">
        <f>VLOOKUP(ROW(D231)+4,'Water runs'!$BS$3:$CF$423,MATCH($B$1,Scenarios,0)+1)</f>
        <v>3.7162368664835035E-2</v>
      </c>
      <c r="E231" s="54">
        <f>IF(B231=Variables!$D$8,C231-Variables!$E$8,IF(B231=Variables!$D$9,C231-Variables!$E$9,IF(B231=Variables!$D$10,C231-Variables!$E$10,IF(B231=Variables!$D$11,C231-Variables!$E$11,"ELSE"))))</f>
        <v>1.3744155782312886</v>
      </c>
      <c r="F231" s="108">
        <f>VLOOKUP(ROW(F231)+4,'Water runs'!$CH$3:$CU$423,MATCH($B$1,Scenarios,0)+1)</f>
        <v>0</v>
      </c>
      <c r="G231" s="65">
        <f>H231/Variables!$E$49</f>
        <v>0.77945397978145381</v>
      </c>
      <c r="H231" s="62">
        <f>IF((H230+I231)&gt;(1.1*Variables!$E$50),(1.1*Variables!$E$50),IF((H230+I231)&gt;0,H230+I231,0))</f>
        <v>4.832614674645014</v>
      </c>
      <c r="I231" s="64">
        <f t="shared" si="6"/>
        <v>2.632259970402361</v>
      </c>
      <c r="J231" s="63">
        <f>IF(SUM(E227:E230)&lt;Variables!$B$3,-H230,0)</f>
        <v>0</v>
      </c>
      <c r="K231" s="64">
        <f>IF(AND(H230&lt;Variables!$B$6*Variables!$E$50,OR(SUM(D228:D231)&gt;Variables!$B$5,SUM(E228:E231)&gt;Variables!$B$4)),Variables!$B$6*Variables!$E$50+Variables!$B$7*$G$1*Variables!$E$50*SUM(D228:D231),0)</f>
        <v>0</v>
      </c>
      <c r="L231" s="64">
        <f>IF(B231="Winter",Variables!$B$8*H230,0)</f>
        <v>0</v>
      </c>
      <c r="M231" s="64">
        <f>IF(AND(B231="Spring",AND(NOT(H230=0),H230&lt;(Variables!$B$9*Variables!$E$50))),(Variables!$B$10*Variables!$E$50+Variables!$B$11*Variables!$E$50*SUM(E228:E231)+$G$1*SUM(D230:D231)*Variables!$E$50*Variables!$B$12),0)</f>
        <v>0</v>
      </c>
      <c r="N231" s="64">
        <f>IF(AND(B231="Spring",AND(SUM(D228:D231)&gt;Variables!$B$13,SUM(D224:D227)&gt;Variables!$B$13)),-Variables!$B$14*Variables!$E$50,0)</f>
        <v>0</v>
      </c>
      <c r="O231" s="64">
        <f>IF(AND(B231="Summer",SUM(C227:D231)&gt;Variables!$B$15),(Variables!$B$16*Variables!$E$50*SUM(C227:C231)+$G$1*Variables!$B$16*Variables!$E$50*SUM(D227:D231)+$G$1*Variables!$E$50*Variables!$B$17*F231),0)</f>
        <v>2.632259970402361</v>
      </c>
      <c r="P231" s="64">
        <f>IF(AND(AND(B231="Autumn",SUM(D230:E231)&gt;0),NOT(H230=0)),Variables!$B$18*Variables!$E$50+Variables!$B$19*Variables!$E$50*SUM(E230:E231)+$G$1*Variables!$B$19*Variables!$E$50*SUM(D230:D231),0)</f>
        <v>0</v>
      </c>
      <c r="Q231" s="64">
        <f>IF(AND(B231="Autumn",AND((E231+E230)&lt;Variables!$B$20,(D230+D231)=0)),-Variables!$B$21*Variables!$E$50,0)</f>
        <v>0</v>
      </c>
      <c r="R231" s="64">
        <f>IF(B231="Autumn",(SUM(F230:F231)*$G$1*Variables!$B$22*Variables!$E$50),0)</f>
        <v>0</v>
      </c>
      <c r="S231" s="64">
        <f>IF(B231="Spring",($G$1*Variables!$E$50*SUM('Guts (option 1)'!F230:F231)*Variables!$B$23),0)</f>
        <v>0</v>
      </c>
      <c r="T231" s="63">
        <f>IF((H230+SUM(J231:Q231))&lt;(Variables!$B$26*Variables!$E$50),$F$1*((Variables!$B$26*Variables!$E$50)-H230-SUM(J231:Q231)),0)</f>
        <v>0</v>
      </c>
      <c r="U231" s="64">
        <f>IF(AND(AND(B231="Autumn",SUM(D228:E231)&gt;Variables!$B$27),SUM(J231:Q231)&lt;Variables!$B$28*H230),$F$1*(Variables!$B$28*H230-SUM(J231:Q231)),0)</f>
        <v>0</v>
      </c>
      <c r="V231" s="96">
        <f>IF(AND((J231+K231)=0,(Q231+T231)=0),$H$1*H231*Variables!$I$23*0.25,0)</f>
        <v>93.125209672610623</v>
      </c>
      <c r="W231" s="97">
        <f>IF(AND((K231+J231)=0,(T231+Q231)=0),$I$1*H231*Variables!$Q$23*0.25,0)</f>
        <v>97.477462448595915</v>
      </c>
      <c r="X231" s="95">
        <f>IF(AND(NOT(K231=0),(H231-H230)&gt;0),(H231-H230)*(Variables!$M$5*$H$1+Variables!$U$5*$I$1),0)+IF(AND(NOT((J231+N231+Q231)=0),(H230-H231)&gt;0),(H230-H231)*(Variables!$M$4*$H$1+Variables!$U$4*$I$1),0)</f>
        <v>0</v>
      </c>
      <c r="Y231" s="95">
        <f>IF(SUM(T231,U230:U231)&gt;0,H231*Variables!$Y$11*0.25*(1-$J$1),0)</f>
        <v>0</v>
      </c>
      <c r="Z231" s="95">
        <f>IF(T231=0,H231*$J$1*Variables!$Y$5*0.25,0)</f>
        <v>31.41199538519259</v>
      </c>
      <c r="AA231" s="95">
        <f t="shared" si="7"/>
        <v>222.01466750639912</v>
      </c>
      <c r="AB231" s="91">
        <f>AA231/Variables!$E$49</f>
        <v>35.808817339741793</v>
      </c>
    </row>
    <row r="232" spans="1:28" x14ac:dyDescent="0.25">
      <c r="A232" s="61">
        <f>'Water runs'!C239</f>
        <v>23162</v>
      </c>
      <c r="B232" s="61" t="str">
        <f>'Water runs'!B239</f>
        <v>Autumn</v>
      </c>
      <c r="C232" s="54">
        <f>'Water runs'!D239/100</f>
        <v>1.63854761904762</v>
      </c>
      <c r="D232" s="108">
        <f>VLOOKUP(ROW(D232)+4,'Water runs'!$BS$3:$CF$423,MATCH($B$1,Scenarios,0)+1)</f>
        <v>0.15825350952897491</v>
      </c>
      <c r="E232" s="54">
        <f>IF(B232=Variables!$D$8,C232-Variables!$E$8,IF(B232=Variables!$D$9,C232-Variables!$E$9,IF(B232=Variables!$D$10,C232-Variables!$E$10,IF(B232=Variables!$D$11,C232-Variables!$E$11,"ELSE"))))</f>
        <v>0.64390431972789219</v>
      </c>
      <c r="F232" s="108">
        <f>VLOOKUP(ROW(F232)+4,'Water runs'!$CH$3:$CU$423,MATCH($B$1,Scenarios,0)+1)</f>
        <v>7.5615285948423983E-2</v>
      </c>
      <c r="G232" s="65">
        <f>H232/Variables!$E$49</f>
        <v>1.6029135776804777</v>
      </c>
      <c r="H232" s="62">
        <f>IF((H231+I232)&gt;(1.1*Variables!$E$50),(1.1*Variables!$E$50),IF((H231+I232)&gt;0,H231+I232,0))</f>
        <v>9.9380641816189623</v>
      </c>
      <c r="I232" s="64">
        <f t="shared" si="6"/>
        <v>5.1054495069739474</v>
      </c>
      <c r="J232" s="63">
        <f>IF(SUM(E228:E231)&lt;Variables!$B$3,-H231,0)</f>
        <v>0</v>
      </c>
      <c r="K232" s="64">
        <f>IF(AND(H231&lt;Variables!$B$6*Variables!$E$50,OR(SUM(D229:D232)&gt;Variables!$B$5,SUM(E229:E232)&gt;Variables!$B$4)),Variables!$B$6*Variables!$E$50+Variables!$B$7*$G$1*Variables!$E$50*SUM(D229:D232),0)</f>
        <v>0</v>
      </c>
      <c r="L232" s="64">
        <f>IF(B232="Winter",Variables!$B$8*H231,0)</f>
        <v>0</v>
      </c>
      <c r="M232" s="64">
        <f>IF(AND(B232="Spring",AND(NOT(H231=0),H231&lt;(Variables!$B$9*Variables!$E$50))),(Variables!$B$10*Variables!$E$50+Variables!$B$11*Variables!$E$50*SUM(E229:E232)+$G$1*SUM(D231:D232)*Variables!$E$50*Variables!$B$12),0)</f>
        <v>0</v>
      </c>
      <c r="N232" s="64">
        <f>IF(AND(B232="Spring",AND(SUM(D229:D232)&gt;Variables!$B$13,SUM(D225:D228)&gt;Variables!$B$13)),-Variables!$B$14*Variables!$E$50,0)</f>
        <v>0</v>
      </c>
      <c r="O232" s="64">
        <f>IF(AND(B232="Summer",SUM(C228:D232)&gt;Variables!$B$15),(Variables!$B$16*Variables!$E$50*SUM(C228:C232)+$G$1*Variables!$B$16*Variables!$E$50*SUM(D228:D232)+$G$1*Variables!$E$50*Variables!$B$17*F232),0)</f>
        <v>0</v>
      </c>
      <c r="P232" s="64">
        <f>IF(AND(AND(B232="Autumn",SUM(D231:E232)&gt;0),NOT(H231=0)),Variables!$B$18*Variables!$E$50+Variables!$B$19*Variables!$E$50*SUM(E231:E232)+$G$1*Variables!$B$19*Variables!$E$50*SUM(D231:D232),0)</f>
        <v>5.0948423508034946</v>
      </c>
      <c r="Q232" s="64">
        <f>IF(AND(B232="Autumn",AND((E232+E231)&lt;Variables!$B$20,(D231+D232)=0)),-Variables!$B$21*Variables!$E$50,0)</f>
        <v>0</v>
      </c>
      <c r="R232" s="64">
        <f>IF(B232="Autumn",(SUM(F231:F232)*$G$1*Variables!$B$22*Variables!$E$50),0)</f>
        <v>1.0607156170452639E-2</v>
      </c>
      <c r="S232" s="64">
        <f>IF(B232="Spring",($G$1*Variables!$E$50*SUM('Guts (option 1)'!F231:F232)*Variables!$B$23),0)</f>
        <v>0</v>
      </c>
      <c r="T232" s="63">
        <f>IF((H231+SUM(J232:Q232))&lt;(Variables!$B$26*Variables!$E$50),$F$1*((Variables!$B$26*Variables!$E$50)-H231-SUM(J232:Q232)),0)</f>
        <v>0</v>
      </c>
      <c r="U232" s="64">
        <f>IF(AND(AND(B232="Autumn",SUM(D229:E232)&gt;Variables!$B$27),SUM(J232:Q232)&lt;Variables!$B$28*H231),$F$1*(Variables!$B$28*H231-SUM(J232:Q232)),0)</f>
        <v>0</v>
      </c>
      <c r="V232" s="96">
        <f>IF(AND((J232+K232)=0,(Q232+T232)=0),$H$1*H232*Variables!$I$23*0.25,0)</f>
        <v>191.50798748942466</v>
      </c>
      <c r="W232" s="97">
        <f>IF(AND((K232+J232)=0,(T232+Q232)=0),$I$1*H232*Variables!$Q$23*0.25,0)</f>
        <v>200.45820809139067</v>
      </c>
      <c r="X232" s="95">
        <f>IF(AND(NOT(K232=0),(H232-H231)&gt;0),(H232-H231)*(Variables!$M$5*$H$1+Variables!$U$5*$I$1),0)+IF(AND(NOT((J232+N232+Q232)=0),(H231-H232)&gt;0),(H231-H232)*(Variables!$M$4*$H$1+Variables!$U$4*$I$1),0)</f>
        <v>0</v>
      </c>
      <c r="Y232" s="95">
        <f>IF(SUM(T232,U231:U232)&gt;0,H232*Variables!$Y$11*0.25*(1-$J$1),0)</f>
        <v>0</v>
      </c>
      <c r="Z232" s="95">
        <f>IF(T232=0,H232*$J$1*Variables!$Y$5*0.25,0)</f>
        <v>64.597417180523252</v>
      </c>
      <c r="AA232" s="95">
        <f t="shared" si="7"/>
        <v>456.56361276133862</v>
      </c>
      <c r="AB232" s="91">
        <f>AA232/Variables!$E$49</f>
        <v>73.639292380861065</v>
      </c>
    </row>
    <row r="233" spans="1:28" x14ac:dyDescent="0.25">
      <c r="A233" s="61">
        <f>'Water runs'!C240</f>
        <v>23254</v>
      </c>
      <c r="B233" s="61" t="str">
        <f>'Water runs'!B240</f>
        <v>Winter</v>
      </c>
      <c r="C233" s="54">
        <f>'Water runs'!D240/100</f>
        <v>0.313285714285714</v>
      </c>
      <c r="D233" s="108">
        <f>VLOOKUP(ROW(D233)+4,'Water runs'!$BS$3:$CF$423,MATCH($B$1,Scenarios,0)+1)</f>
        <v>0</v>
      </c>
      <c r="E233" s="54">
        <f>IF(B233=Variables!$D$8,C233-Variables!$E$8,IF(B233=Variables!$D$9,C233-Variables!$E$9,IF(B233=Variables!$D$10,C233-Variables!$E$10,IF(B233=Variables!$D$11,C233-Variables!$E$11,"ELSE"))))</f>
        <v>-0.25848191137566173</v>
      </c>
      <c r="F233" s="108">
        <f>VLOOKUP(ROW(F233)+4,'Water runs'!$CH$3:$CU$423,MATCH($B$1,Scenarios,0)+1)</f>
        <v>0</v>
      </c>
      <c r="G233" s="65">
        <f>H233/Variables!$E$49</f>
        <v>0.80475038138839206</v>
      </c>
      <c r="H233" s="62">
        <f>IF((H232+I233)&gt;(1.1*Variables!$E$50),(1.1*Variables!$E$50),IF((H232+I233)&gt;0,H232+I233,0))</f>
        <v>4.9894523646080309</v>
      </c>
      <c r="I233" s="64">
        <f t="shared" si="6"/>
        <v>-4.9486118170109314</v>
      </c>
      <c r="J233" s="63">
        <f>IF(SUM(E229:E232)&lt;Variables!$B$3,-H232,0)</f>
        <v>0</v>
      </c>
      <c r="K233" s="64">
        <f>IF(AND(H232&lt;Variables!$B$6*Variables!$E$50,OR(SUM(D230:D233)&gt;Variables!$B$5,SUM(E230:E233)&gt;Variables!$B$4)),Variables!$B$6*Variables!$E$50+Variables!$B$7*$G$1*Variables!$E$50*SUM(D230:D233),0)</f>
        <v>0</v>
      </c>
      <c r="L233" s="64">
        <f>IF(B233="Winter",Variables!$B$8*H232,0)</f>
        <v>-4.9486118170109314</v>
      </c>
      <c r="M233" s="64">
        <f>IF(AND(B233="Spring",AND(NOT(H232=0),H232&lt;(Variables!$B$9*Variables!$E$50))),(Variables!$B$10*Variables!$E$50+Variables!$B$11*Variables!$E$50*SUM(E230:E233)+$G$1*SUM(D232:D233)*Variables!$E$50*Variables!$B$12),0)</f>
        <v>0</v>
      </c>
      <c r="N233" s="64">
        <f>IF(AND(B233="Spring",AND(SUM(D230:D233)&gt;Variables!$B$13,SUM(D226:D229)&gt;Variables!$B$13)),-Variables!$B$14*Variables!$E$50,0)</f>
        <v>0</v>
      </c>
      <c r="O233" s="64">
        <f>IF(AND(B233="Summer",SUM(C229:D233)&gt;Variables!$B$15),(Variables!$B$16*Variables!$E$50*SUM(C229:C233)+$G$1*Variables!$B$16*Variables!$E$50*SUM(D229:D233)+$G$1*Variables!$E$50*Variables!$B$17*F233),0)</f>
        <v>0</v>
      </c>
      <c r="P233" s="64">
        <f>IF(AND(AND(B233="Autumn",SUM(D232:E233)&gt;0),NOT(H232=0)),Variables!$B$18*Variables!$E$50+Variables!$B$19*Variables!$E$50*SUM(E232:E233)+$G$1*Variables!$B$19*Variables!$E$50*SUM(D232:D233),0)</f>
        <v>0</v>
      </c>
      <c r="Q233" s="64">
        <f>IF(AND(B233="Autumn",AND((E233+E232)&lt;Variables!$B$20,(D232+D233)=0)),-Variables!$B$21*Variables!$E$50,0)</f>
        <v>0</v>
      </c>
      <c r="R233" s="64">
        <f>IF(B233="Autumn",(SUM(F232:F233)*$G$1*Variables!$B$22*Variables!$E$50),0)</f>
        <v>0</v>
      </c>
      <c r="S233" s="64">
        <f>IF(B233="Spring",($G$1*Variables!$E$50*SUM('Guts (option 1)'!F232:F233)*Variables!$B$23),0)</f>
        <v>0</v>
      </c>
      <c r="T233" s="63">
        <f>IF((H232+SUM(J233:Q233))&lt;(Variables!$B$26*Variables!$E$50),$F$1*((Variables!$B$26*Variables!$E$50)-H232-SUM(J233:Q233)),0)</f>
        <v>0</v>
      </c>
      <c r="U233" s="64">
        <f>IF(AND(AND(B233="Autumn",SUM(D230:E233)&gt;Variables!$B$27),SUM(J233:Q233)&lt;Variables!$B$28*H232),$F$1*(Variables!$B$28*H232-SUM(J233:Q233)),0)</f>
        <v>0</v>
      </c>
      <c r="V233" s="96">
        <f>IF(AND((J233+K233)=0,(Q233+T233)=0),$H$1*H233*Variables!$I$23*0.25,0)</f>
        <v>96.147495483851458</v>
      </c>
      <c r="W233" s="97">
        <f>IF(AND((K233+J233)=0,(T233+Q233)=0),$I$1*H233*Variables!$Q$23*0.25,0)</f>
        <v>100.64099628341744</v>
      </c>
      <c r="X233" s="95">
        <f>IF(AND(NOT(K233=0),(H233-H232)&gt;0),(H233-H232)*(Variables!$M$5*$H$1+Variables!$U$5*$I$1),0)+IF(AND(NOT((J233+N233+Q233)=0),(H232-H233)&gt;0),(H232-H233)*(Variables!$M$4*$H$1+Variables!$U$4*$I$1),0)</f>
        <v>0</v>
      </c>
      <c r="Y233" s="95">
        <f>IF(SUM(T233,U232:U233)&gt;0,H233*Variables!$Y$11*0.25*(1-$J$1),0)</f>
        <v>0</v>
      </c>
      <c r="Z233" s="95">
        <f>IF(T233=0,H233*$J$1*Variables!$Y$5*0.25,0)</f>
        <v>32.431440369952199</v>
      </c>
      <c r="AA233" s="95">
        <f t="shared" si="7"/>
        <v>229.21993213722112</v>
      </c>
      <c r="AB233" s="91">
        <f>AA233/Variables!$E$49</f>
        <v>36.970956796325986</v>
      </c>
    </row>
    <row r="234" spans="1:28" x14ac:dyDescent="0.25">
      <c r="A234" s="61">
        <f>'Water runs'!C241</f>
        <v>23345</v>
      </c>
      <c r="B234" s="61" t="str">
        <f>'Water runs'!B241</f>
        <v>Spring</v>
      </c>
      <c r="C234" s="54">
        <f>'Water runs'!D241/100</f>
        <v>0.73328571428571399</v>
      </c>
      <c r="D234" s="108">
        <f>VLOOKUP(ROW(D234)+4,'Water runs'!$BS$3:$CF$423,MATCH($B$1,Scenarios,0)+1)</f>
        <v>0</v>
      </c>
      <c r="E234" s="54">
        <f>IF(B234=Variables!$D$8,C234-Variables!$E$8,IF(B234=Variables!$D$9,C234-Variables!$E$9,IF(B234=Variables!$D$10,C234-Variables!$E$10,IF(B234=Variables!$D$11,C234-Variables!$E$11,"ELSE"))))</f>
        <v>-3.0696494708995159E-2</v>
      </c>
      <c r="F234" s="108">
        <f>VLOOKUP(ROW(F234)+4,'Water runs'!$CH$3:$CU$423,MATCH($B$1,Scenarios,0)+1)</f>
        <v>0</v>
      </c>
      <c r="G234" s="65">
        <f>H234/Variables!$E$49</f>
        <v>0.80475038138839206</v>
      </c>
      <c r="H234" s="62">
        <f>IF((H233+I234)&gt;(1.1*Variables!$E$50),(1.1*Variables!$E$50),IF((H233+I234)&gt;0,H233+I234,0))</f>
        <v>4.9894523646080309</v>
      </c>
      <c r="I234" s="64">
        <f t="shared" si="6"/>
        <v>0</v>
      </c>
      <c r="J234" s="63">
        <f>IF(SUM(E230:E233)&lt;Variables!$B$3,-H233,0)</f>
        <v>0</v>
      </c>
      <c r="K234" s="64">
        <f>IF(AND(H233&lt;Variables!$B$6*Variables!$E$50,OR(SUM(D231:D234)&gt;Variables!$B$5,SUM(E231:E234)&gt;Variables!$B$4)),Variables!$B$6*Variables!$E$50+Variables!$B$7*$G$1*Variables!$E$50*SUM(D231:D234),0)</f>
        <v>0</v>
      </c>
      <c r="L234" s="64">
        <f>IF(B234="Winter",Variables!$B$8*H233,0)</f>
        <v>0</v>
      </c>
      <c r="M234" s="64">
        <f>IF(AND(B234="Spring",AND(NOT(H233=0),H233&lt;(Variables!$B$9*Variables!$E$50))),(Variables!$B$10*Variables!$E$50+Variables!$B$11*Variables!$E$50*SUM(E231:E234)+$G$1*SUM(D233:D234)*Variables!$E$50*Variables!$B$12),0)</f>
        <v>0</v>
      </c>
      <c r="N234" s="64">
        <f>IF(AND(B234="Spring",AND(SUM(D231:D234)&gt;Variables!$B$13,SUM(D227:D230)&gt;Variables!$B$13)),-Variables!$B$14*Variables!$E$50,0)</f>
        <v>0</v>
      </c>
      <c r="O234" s="64">
        <f>IF(AND(B234="Summer",SUM(C230:D234)&gt;Variables!$B$15),(Variables!$B$16*Variables!$E$50*SUM(C230:C234)+$G$1*Variables!$B$16*Variables!$E$50*SUM(D230:D234)+$G$1*Variables!$E$50*Variables!$B$17*F234),0)</f>
        <v>0</v>
      </c>
      <c r="P234" s="64">
        <f>IF(AND(AND(B234="Autumn",SUM(D233:E234)&gt;0),NOT(H233=0)),Variables!$B$18*Variables!$E$50+Variables!$B$19*Variables!$E$50*SUM(E233:E234)+$G$1*Variables!$B$19*Variables!$E$50*SUM(D233:D234),0)</f>
        <v>0</v>
      </c>
      <c r="Q234" s="64">
        <f>IF(AND(B234="Autumn",AND((E234+E233)&lt;Variables!$B$20,(D233+D234)=0)),-Variables!$B$21*Variables!$E$50,0)</f>
        <v>0</v>
      </c>
      <c r="R234" s="64">
        <f>IF(B234="Autumn",(SUM(F233:F234)*$G$1*Variables!$B$22*Variables!$E$50),0)</f>
        <v>0</v>
      </c>
      <c r="S234" s="64">
        <f>IF(B234="Spring",($G$1*Variables!$E$50*SUM('Guts (option 1)'!F233:F234)*Variables!$B$23),0)</f>
        <v>0</v>
      </c>
      <c r="T234" s="63">
        <f>IF((H233+SUM(J234:Q234))&lt;(Variables!$B$26*Variables!$E$50),$F$1*((Variables!$B$26*Variables!$E$50)-H233-SUM(J234:Q234)),0)</f>
        <v>0</v>
      </c>
      <c r="U234" s="64">
        <f>IF(AND(AND(B234="Autumn",SUM(D231:E234)&gt;Variables!$B$27),SUM(J234:Q234)&lt;Variables!$B$28*H233),$F$1*(Variables!$B$28*H233-SUM(J234:Q234)),0)</f>
        <v>0</v>
      </c>
      <c r="V234" s="96">
        <f>IF(AND((J234+K234)=0,(Q234+T234)=0),$H$1*H234*Variables!$I$23*0.25,0)</f>
        <v>96.147495483851458</v>
      </c>
      <c r="W234" s="97">
        <f>IF(AND((K234+J234)=0,(T234+Q234)=0),$I$1*H234*Variables!$Q$23*0.25,0)</f>
        <v>100.64099628341744</v>
      </c>
      <c r="X234" s="95">
        <f>IF(AND(NOT(K234=0),(H234-H233)&gt;0),(H234-H233)*(Variables!$M$5*$H$1+Variables!$U$5*$I$1),0)+IF(AND(NOT((J234+N234+Q234)=0),(H233-H234)&gt;0),(H233-H234)*(Variables!$M$4*$H$1+Variables!$U$4*$I$1),0)</f>
        <v>0</v>
      </c>
      <c r="Y234" s="95">
        <f>IF(SUM(T234,U233:U234)&gt;0,H234*Variables!$Y$11*0.25*(1-$J$1),0)</f>
        <v>0</v>
      </c>
      <c r="Z234" s="95">
        <f>IF(T234=0,H234*$J$1*Variables!$Y$5*0.25,0)</f>
        <v>32.431440369952199</v>
      </c>
      <c r="AA234" s="95">
        <f t="shared" si="7"/>
        <v>229.21993213722112</v>
      </c>
      <c r="AB234" s="91">
        <f>AA234/Variables!$E$49</f>
        <v>36.970956796325986</v>
      </c>
    </row>
    <row r="235" spans="1:28" x14ac:dyDescent="0.25">
      <c r="A235" s="61">
        <f>'Water runs'!C242</f>
        <v>23435</v>
      </c>
      <c r="B235" s="61" t="str">
        <f>'Water runs'!B242</f>
        <v>Summer</v>
      </c>
      <c r="C235" s="54">
        <f>'Water runs'!D242/100</f>
        <v>1.7191904761904799</v>
      </c>
      <c r="D235" s="108">
        <f>VLOOKUP(ROW(D235)+4,'Water runs'!$BS$3:$CF$423,MATCH($B$1,Scenarios,0)+1)</f>
        <v>0</v>
      </c>
      <c r="E235" s="54">
        <f>IF(B235=Variables!$D$8,C235-Variables!$E$8,IF(B235=Variables!$D$9,C235-Variables!$E$9,IF(B235=Variables!$D$10,C235-Variables!$E$10,IF(B235=Variables!$D$11,C235-Variables!$E$11,"ELSE"))))</f>
        <v>0.46082034013605822</v>
      </c>
      <c r="F235" s="108">
        <f>VLOOKUP(ROW(F235)+4,'Water runs'!$CH$3:$CU$423,MATCH($B$1,Scenarios,0)+1)</f>
        <v>0</v>
      </c>
      <c r="G235" s="65">
        <f>H235/Variables!$E$49</f>
        <v>1.2407553988300033</v>
      </c>
      <c r="H235" s="62">
        <f>IF((H234+I235)&gt;(1.1*Variables!$E$50),(1.1*Variables!$E$50),IF((H234+I235)&gt;0,H234+I235,0))</f>
        <v>7.6926834727460207</v>
      </c>
      <c r="I235" s="64">
        <f t="shared" si="6"/>
        <v>2.7032311081379898</v>
      </c>
      <c r="J235" s="63">
        <f>IF(SUM(E231:E234)&lt;Variables!$B$3,-H234,0)</f>
        <v>0</v>
      </c>
      <c r="K235" s="64">
        <f>IF(AND(H234&lt;Variables!$B$6*Variables!$E$50,OR(SUM(D232:D235)&gt;Variables!$B$5,SUM(E232:E235)&gt;Variables!$B$4)),Variables!$B$6*Variables!$E$50+Variables!$B$7*$G$1*Variables!$E$50*SUM(D232:D235),0)</f>
        <v>0</v>
      </c>
      <c r="L235" s="64">
        <f>IF(B235="Winter",Variables!$B$8*H234,0)</f>
        <v>0</v>
      </c>
      <c r="M235" s="64">
        <f>IF(AND(B235="Spring",AND(NOT(H234=0),H234&lt;(Variables!$B$9*Variables!$E$50))),(Variables!$B$10*Variables!$E$50+Variables!$B$11*Variables!$E$50*SUM(E232:E235)+$G$1*SUM(D234:D235)*Variables!$E$50*Variables!$B$12),0)</f>
        <v>0</v>
      </c>
      <c r="N235" s="64">
        <f>IF(AND(B235="Spring",AND(SUM(D232:D235)&gt;Variables!$B$13,SUM(D228:D231)&gt;Variables!$B$13)),-Variables!$B$14*Variables!$E$50,0)</f>
        <v>0</v>
      </c>
      <c r="O235" s="64">
        <f>IF(AND(B235="Summer",SUM(C231:D235)&gt;Variables!$B$15),(Variables!$B$16*Variables!$E$50*SUM(C231:C235)+$G$1*Variables!$B$16*Variables!$E$50*SUM(D231:D235)+$G$1*Variables!$E$50*Variables!$B$17*F235),0)</f>
        <v>2.7032311081379898</v>
      </c>
      <c r="P235" s="64">
        <f>IF(AND(AND(B235="Autumn",SUM(D234:E235)&gt;0),NOT(H234=0)),Variables!$B$18*Variables!$E$50+Variables!$B$19*Variables!$E$50*SUM(E234:E235)+$G$1*Variables!$B$19*Variables!$E$50*SUM(D234:D235),0)</f>
        <v>0</v>
      </c>
      <c r="Q235" s="64">
        <f>IF(AND(B235="Autumn",AND((E235+E234)&lt;Variables!$B$20,(D234+D235)=0)),-Variables!$B$21*Variables!$E$50,0)</f>
        <v>0</v>
      </c>
      <c r="R235" s="64">
        <f>IF(B235="Autumn",(SUM(F234:F235)*$G$1*Variables!$B$22*Variables!$E$50),0)</f>
        <v>0</v>
      </c>
      <c r="S235" s="64">
        <f>IF(B235="Spring",($G$1*Variables!$E$50*SUM('Guts (option 1)'!F234:F235)*Variables!$B$23),0)</f>
        <v>0</v>
      </c>
      <c r="T235" s="63">
        <f>IF((H234+SUM(J235:Q235))&lt;(Variables!$B$26*Variables!$E$50),$F$1*((Variables!$B$26*Variables!$E$50)-H234-SUM(J235:Q235)),0)</f>
        <v>0</v>
      </c>
      <c r="U235" s="64">
        <f>IF(AND(AND(B235="Autumn",SUM(D232:E235)&gt;Variables!$B$27),SUM(J235:Q235)&lt;Variables!$B$28*H234),$F$1*(Variables!$B$28*H234-SUM(J235:Q235)),0)</f>
        <v>0</v>
      </c>
      <c r="V235" s="96">
        <f>IF(AND((J235+K235)=0,(Q235+T235)=0),$H$1*H235*Variables!$I$23*0.25,0)</f>
        <v>148.23916442233673</v>
      </c>
      <c r="W235" s="97">
        <f>IF(AND((K235+J235)=0,(T235+Q235)=0),$I$1*H235*Variables!$Q$23*0.25,0)</f>
        <v>155.1671951578918</v>
      </c>
      <c r="X235" s="95">
        <f>IF(AND(NOT(K235=0),(H235-H234)&gt;0),(H235-H234)*(Variables!$M$5*$H$1+Variables!$U$5*$I$1),0)+IF(AND(NOT((J235+N235+Q235)=0),(H234-H235)&gt;0),(H234-H235)*(Variables!$M$4*$H$1+Variables!$U$4*$I$1),0)</f>
        <v>0</v>
      </c>
      <c r="Y235" s="95">
        <f>IF(SUM(T235,U234:U235)&gt;0,H235*Variables!$Y$11*0.25*(1-$J$1),0)</f>
        <v>0</v>
      </c>
      <c r="Z235" s="95">
        <f>IF(T235=0,H235*$J$1*Variables!$Y$5*0.25,0)</f>
        <v>50.002442572849134</v>
      </c>
      <c r="AA235" s="95">
        <f t="shared" si="7"/>
        <v>353.40880215307766</v>
      </c>
      <c r="AB235" s="91">
        <f>AA235/Variables!$E$49</f>
        <v>57.001419702109295</v>
      </c>
    </row>
    <row r="236" spans="1:28" x14ac:dyDescent="0.25">
      <c r="A236" s="61">
        <f>'Water runs'!C243</f>
        <v>23528</v>
      </c>
      <c r="B236" s="61" t="str">
        <f>'Water runs'!B243</f>
        <v>Autumn</v>
      </c>
      <c r="C236" s="54">
        <f>'Water runs'!D243/100</f>
        <v>0.28728571428571398</v>
      </c>
      <c r="D236" s="108">
        <f>VLOOKUP(ROW(D236)+4,'Water runs'!$BS$3:$CF$423,MATCH($B$1,Scenarios,0)+1)</f>
        <v>0</v>
      </c>
      <c r="E236" s="54">
        <f>IF(B236=Variables!$D$8,C236-Variables!$E$8,IF(B236=Variables!$D$9,C236-Variables!$E$9,IF(B236=Variables!$D$10,C236-Variables!$E$10,IF(B236=Variables!$D$11,C236-Variables!$E$11,"ELSE"))))</f>
        <v>-0.70735758503401391</v>
      </c>
      <c r="F236" s="108">
        <f>VLOOKUP(ROW(F236)+4,'Water runs'!$CH$3:$CU$423,MATCH($B$1,Scenarios,0)+1)</f>
        <v>0</v>
      </c>
      <c r="G236" s="65">
        <f>H236/Variables!$E$49</f>
        <v>1.2407553988300033</v>
      </c>
      <c r="H236" s="62">
        <f>IF((H235+I236)&gt;(1.1*Variables!$E$50),(1.1*Variables!$E$50),IF((H235+I236)&gt;0,H235+I236,0))</f>
        <v>7.6926834727460207</v>
      </c>
      <c r="I236" s="64">
        <f t="shared" si="6"/>
        <v>0</v>
      </c>
      <c r="J236" s="63">
        <f>IF(SUM(E232:E235)&lt;Variables!$B$3,-H235,0)</f>
        <v>0</v>
      </c>
      <c r="K236" s="64">
        <f>IF(AND(H235&lt;Variables!$B$6*Variables!$E$50,OR(SUM(D233:D236)&gt;Variables!$B$5,SUM(E233:E236)&gt;Variables!$B$4)),Variables!$B$6*Variables!$E$50+Variables!$B$7*$G$1*Variables!$E$50*SUM(D233:D236),0)</f>
        <v>0</v>
      </c>
      <c r="L236" s="64">
        <f>IF(B236="Winter",Variables!$B$8*H235,0)</f>
        <v>0</v>
      </c>
      <c r="M236" s="64">
        <f>IF(AND(B236="Spring",AND(NOT(H235=0),H235&lt;(Variables!$B$9*Variables!$E$50))),(Variables!$B$10*Variables!$E$50+Variables!$B$11*Variables!$E$50*SUM(E233:E236)+$G$1*SUM(D235:D236)*Variables!$E$50*Variables!$B$12),0)</f>
        <v>0</v>
      </c>
      <c r="N236" s="64">
        <f>IF(AND(B236="Spring",AND(SUM(D233:D236)&gt;Variables!$B$13,SUM(D229:D232)&gt;Variables!$B$13)),-Variables!$B$14*Variables!$E$50,0)</f>
        <v>0</v>
      </c>
      <c r="O236" s="64">
        <f>IF(AND(B236="Summer",SUM(C232:D236)&gt;Variables!$B$15),(Variables!$B$16*Variables!$E$50*SUM(C232:C236)+$G$1*Variables!$B$16*Variables!$E$50*SUM(D232:D236)+$G$1*Variables!$E$50*Variables!$B$17*F236),0)</f>
        <v>0</v>
      </c>
      <c r="P236" s="64">
        <f>IF(AND(AND(B236="Autumn",SUM(D235:E236)&gt;0),NOT(H235=0)),Variables!$B$18*Variables!$E$50+Variables!$B$19*Variables!$E$50*SUM(E235:E236)+$G$1*Variables!$B$19*Variables!$E$50*SUM(D235:D236),0)</f>
        <v>0</v>
      </c>
      <c r="Q236" s="64">
        <f>IF(AND(B236="Autumn",AND((E236+E235)&lt;Variables!$B$20,(D235+D236)=0)),-Variables!$B$21*Variables!$E$50,0)</f>
        <v>0</v>
      </c>
      <c r="R236" s="64">
        <f>IF(B236="Autumn",(SUM(F235:F236)*$G$1*Variables!$B$22*Variables!$E$50),0)</f>
        <v>0</v>
      </c>
      <c r="S236" s="64">
        <f>IF(B236="Spring",($G$1*Variables!$E$50*SUM('Guts (option 1)'!F235:F236)*Variables!$B$23),0)</f>
        <v>0</v>
      </c>
      <c r="T236" s="63">
        <f>IF((H235+SUM(J236:Q236))&lt;(Variables!$B$26*Variables!$E$50),$F$1*((Variables!$B$26*Variables!$E$50)-H235-SUM(J236:Q236)),0)</f>
        <v>0</v>
      </c>
      <c r="U236" s="64">
        <f>IF(AND(AND(B236="Autumn",SUM(D233:E236)&gt;Variables!$B$27),SUM(J236:Q236)&lt;Variables!$B$28*H235),$F$1*(Variables!$B$28*H235-SUM(J236:Q236)),0)</f>
        <v>0</v>
      </c>
      <c r="V236" s="96">
        <f>IF(AND((J236+K236)=0,(Q236+T236)=0),$H$1*H236*Variables!$I$23*0.25,0)</f>
        <v>148.23916442233673</v>
      </c>
      <c r="W236" s="97">
        <f>IF(AND((K236+J236)=0,(T236+Q236)=0),$I$1*H236*Variables!$Q$23*0.25,0)</f>
        <v>155.1671951578918</v>
      </c>
      <c r="X236" s="95">
        <f>IF(AND(NOT(K236=0),(H236-H235)&gt;0),(H236-H235)*(Variables!$M$5*$H$1+Variables!$U$5*$I$1),0)+IF(AND(NOT((J236+N236+Q236)=0),(H235-H236)&gt;0),(H235-H236)*(Variables!$M$4*$H$1+Variables!$U$4*$I$1),0)</f>
        <v>0</v>
      </c>
      <c r="Y236" s="95">
        <f>IF(SUM(T236,U235:U236)&gt;0,H236*Variables!$Y$11*0.25*(1-$J$1),0)</f>
        <v>0</v>
      </c>
      <c r="Z236" s="95">
        <f>IF(T236=0,H236*$J$1*Variables!$Y$5*0.25,0)</f>
        <v>50.002442572849134</v>
      </c>
      <c r="AA236" s="95">
        <f t="shared" si="7"/>
        <v>353.40880215307766</v>
      </c>
      <c r="AB236" s="91">
        <f>AA236/Variables!$E$49</f>
        <v>57.001419702109295</v>
      </c>
    </row>
    <row r="237" spans="1:28" x14ac:dyDescent="0.25">
      <c r="A237" s="61">
        <f>'Water runs'!C244</f>
        <v>23620</v>
      </c>
      <c r="B237" s="61" t="str">
        <f>'Water runs'!B244</f>
        <v>Winter</v>
      </c>
      <c r="C237" s="54">
        <f>'Water runs'!D244/100</f>
        <v>0.42814285714285705</v>
      </c>
      <c r="D237" s="108">
        <f>VLOOKUP(ROW(D237)+4,'Water runs'!$BS$3:$CF$423,MATCH($B$1,Scenarios,0)+1)</f>
        <v>0</v>
      </c>
      <c r="E237" s="54">
        <f>IF(B237=Variables!$D$8,C237-Variables!$E$8,IF(B237=Variables!$D$9,C237-Variables!$E$9,IF(B237=Variables!$D$10,C237-Variables!$E$10,IF(B237=Variables!$D$11,C237-Variables!$E$11,"ELSE"))))</f>
        <v>-0.14362476851851869</v>
      </c>
      <c r="F237" s="108">
        <f>VLOOKUP(ROW(F237)+4,'Water runs'!$CH$3:$CU$423,MATCH($B$1,Scenarios,0)+1)</f>
        <v>0</v>
      </c>
      <c r="G237" s="65">
        <f>H237/Variables!$E$49</f>
        <v>0.62292714611791178</v>
      </c>
      <c r="H237" s="62">
        <f>IF((H236+I237)&gt;(1.1*Variables!$E$50),(1.1*Variables!$E$50),IF((H236+I237)&gt;0,H236+I237,0))</f>
        <v>3.8621483059310528</v>
      </c>
      <c r="I237" s="64">
        <f t="shared" si="6"/>
        <v>-3.8305351668149679</v>
      </c>
      <c r="J237" s="63">
        <f>IF(SUM(E233:E236)&lt;Variables!$B$3,-H236,0)</f>
        <v>0</v>
      </c>
      <c r="K237" s="64">
        <f>IF(AND(H236&lt;Variables!$B$6*Variables!$E$50,OR(SUM(D234:D237)&gt;Variables!$B$5,SUM(E234:E237)&gt;Variables!$B$4)),Variables!$B$6*Variables!$E$50+Variables!$B$7*$G$1*Variables!$E$50*SUM(D234:D237),0)</f>
        <v>0</v>
      </c>
      <c r="L237" s="64">
        <f>IF(B237="Winter",Variables!$B$8*H236,0)</f>
        <v>-3.8305351668149679</v>
      </c>
      <c r="M237" s="64">
        <f>IF(AND(B237="Spring",AND(NOT(H236=0),H236&lt;(Variables!$B$9*Variables!$E$50))),(Variables!$B$10*Variables!$E$50+Variables!$B$11*Variables!$E$50*SUM(E234:E237)+$G$1*SUM(D236:D237)*Variables!$E$50*Variables!$B$12),0)</f>
        <v>0</v>
      </c>
      <c r="N237" s="64">
        <f>IF(AND(B237="Spring",AND(SUM(D234:D237)&gt;Variables!$B$13,SUM(D230:D233)&gt;Variables!$B$13)),-Variables!$B$14*Variables!$E$50,0)</f>
        <v>0</v>
      </c>
      <c r="O237" s="64">
        <f>IF(AND(B237="Summer",SUM(C233:D237)&gt;Variables!$B$15),(Variables!$B$16*Variables!$E$50*SUM(C233:C237)+$G$1*Variables!$B$16*Variables!$E$50*SUM(D233:D237)+$G$1*Variables!$E$50*Variables!$B$17*F237),0)</f>
        <v>0</v>
      </c>
      <c r="P237" s="64">
        <f>IF(AND(AND(B237="Autumn",SUM(D236:E237)&gt;0),NOT(H236=0)),Variables!$B$18*Variables!$E$50+Variables!$B$19*Variables!$E$50*SUM(E236:E237)+$G$1*Variables!$B$19*Variables!$E$50*SUM(D236:D237),0)</f>
        <v>0</v>
      </c>
      <c r="Q237" s="64">
        <f>IF(AND(B237="Autumn",AND((E237+E236)&lt;Variables!$B$20,(D236+D237)=0)),-Variables!$B$21*Variables!$E$50,0)</f>
        <v>0</v>
      </c>
      <c r="R237" s="64">
        <f>IF(B237="Autumn",(SUM(F236:F237)*$G$1*Variables!$B$22*Variables!$E$50),0)</f>
        <v>0</v>
      </c>
      <c r="S237" s="64">
        <f>IF(B237="Spring",($G$1*Variables!$E$50*SUM('Guts (option 1)'!F236:F237)*Variables!$B$23),0)</f>
        <v>0</v>
      </c>
      <c r="T237" s="63">
        <f>IF((H236+SUM(J237:Q237))&lt;(Variables!$B$26*Variables!$E$50),$F$1*((Variables!$B$26*Variables!$E$50)-H236-SUM(J237:Q237)),0)</f>
        <v>0</v>
      </c>
      <c r="U237" s="64">
        <f>IF(AND(AND(B237="Autumn",SUM(D234:E237)&gt;Variables!$B$27),SUM(J237:Q237)&lt;Variables!$B$28*H236),$F$1*(Variables!$B$28*H236-SUM(J237:Q237)),0)</f>
        <v>0</v>
      </c>
      <c r="V237" s="96">
        <f>IF(AND((J237+K237)=0,(Q237+T237)=0),$H$1*H237*Variables!$I$23*0.25,0)</f>
        <v>74.424177177537288</v>
      </c>
      <c r="W237" s="97">
        <f>IF(AND((K237+J237)=0,(T237+Q237)=0),$I$1*H237*Variables!$Q$23*0.25,0)</f>
        <v>77.902427941858775</v>
      </c>
      <c r="X237" s="95">
        <f>IF(AND(NOT(K237=0),(H237-H236)&gt;0),(H237-H236)*(Variables!$M$5*$H$1+Variables!$U$5*$I$1),0)+IF(AND(NOT((J237+N237+Q237)=0),(H236-H237)&gt;0),(H236-H237)*(Variables!$M$4*$H$1+Variables!$U$4*$I$1),0)</f>
        <v>0</v>
      </c>
      <c r="Y237" s="95">
        <f>IF(SUM(T237,U236:U237)&gt;0,H237*Variables!$Y$11*0.25*(1-$J$1),0)</f>
        <v>0</v>
      </c>
      <c r="Z237" s="95">
        <f>IF(T237=0,H237*$J$1*Variables!$Y$5*0.25,0)</f>
        <v>25.103963988551843</v>
      </c>
      <c r="AA237" s="95">
        <f t="shared" si="7"/>
        <v>177.43056910794789</v>
      </c>
      <c r="AB237" s="91">
        <f>AA237/Variables!$E$49</f>
        <v>28.617833727088367</v>
      </c>
    </row>
    <row r="238" spans="1:28" x14ac:dyDescent="0.25">
      <c r="A238" s="61">
        <f>'Water runs'!C245</f>
        <v>23711</v>
      </c>
      <c r="B238" s="61" t="str">
        <f>'Water runs'!B245</f>
        <v>Spring</v>
      </c>
      <c r="C238" s="54">
        <f>'Water runs'!D245/100</f>
        <v>1.4167619047618998</v>
      </c>
      <c r="D238" s="108">
        <f>VLOOKUP(ROW(D238)+4,'Water runs'!$BS$3:$CF$423,MATCH($B$1,Scenarios,0)+1)</f>
        <v>0</v>
      </c>
      <c r="E238" s="54">
        <f>IF(B238=Variables!$D$8,C238-Variables!$E$8,IF(B238=Variables!$D$9,C238-Variables!$E$9,IF(B238=Variables!$D$10,C238-Variables!$E$10,IF(B238=Variables!$D$11,C238-Variables!$E$11,"ELSE"))))</f>
        <v>0.65277969576719064</v>
      </c>
      <c r="F238" s="108">
        <f>VLOOKUP(ROW(F238)+4,'Water runs'!$CH$3:$CU$423,MATCH($B$1,Scenarios,0)+1)</f>
        <v>0</v>
      </c>
      <c r="G238" s="65">
        <f>H238/Variables!$E$49</f>
        <v>0.62292714611791178</v>
      </c>
      <c r="H238" s="62">
        <f>IF((H237+I238)&gt;(1.1*Variables!$E$50),(1.1*Variables!$E$50),IF((H237+I238)&gt;0,H237+I238,0))</f>
        <v>3.8621483059310528</v>
      </c>
      <c r="I238" s="64">
        <f t="shared" si="6"/>
        <v>0</v>
      </c>
      <c r="J238" s="63">
        <f>IF(SUM(E234:E237)&lt;Variables!$B$3,-H237,0)</f>
        <v>0</v>
      </c>
      <c r="K238" s="64">
        <f>IF(AND(H237&lt;Variables!$B$6*Variables!$E$50,OR(SUM(D235:D238)&gt;Variables!$B$5,SUM(E235:E238)&gt;Variables!$B$4)),Variables!$B$6*Variables!$E$50+Variables!$B$7*$G$1*Variables!$E$50*SUM(D235:D238),0)</f>
        <v>0</v>
      </c>
      <c r="L238" s="64">
        <f>IF(B238="Winter",Variables!$B$8*H237,0)</f>
        <v>0</v>
      </c>
      <c r="M238" s="64">
        <f>IF(AND(B238="Spring",AND(NOT(H237=0),H237&lt;(Variables!$B$9*Variables!$E$50))),(Variables!$B$10*Variables!$E$50+Variables!$B$11*Variables!$E$50*SUM(E235:E238)+$G$1*SUM(D237:D238)*Variables!$E$50*Variables!$B$12),0)</f>
        <v>0</v>
      </c>
      <c r="N238" s="64">
        <f>IF(AND(B238="Spring",AND(SUM(D235:D238)&gt;Variables!$B$13,SUM(D231:D234)&gt;Variables!$B$13)),-Variables!$B$14*Variables!$E$50,0)</f>
        <v>0</v>
      </c>
      <c r="O238" s="64">
        <f>IF(AND(B238="Summer",SUM(C234:D238)&gt;Variables!$B$15),(Variables!$B$16*Variables!$E$50*SUM(C234:C238)+$G$1*Variables!$B$16*Variables!$E$50*SUM(D234:D238)+$G$1*Variables!$E$50*Variables!$B$17*F238),0)</f>
        <v>0</v>
      </c>
      <c r="P238" s="64">
        <f>IF(AND(AND(B238="Autumn",SUM(D237:E238)&gt;0),NOT(H237=0)),Variables!$B$18*Variables!$E$50+Variables!$B$19*Variables!$E$50*SUM(E237:E238)+$G$1*Variables!$B$19*Variables!$E$50*SUM(D237:D238),0)</f>
        <v>0</v>
      </c>
      <c r="Q238" s="64">
        <f>IF(AND(B238="Autumn",AND((E238+E237)&lt;Variables!$B$20,(D237+D238)=0)),-Variables!$B$21*Variables!$E$50,0)</f>
        <v>0</v>
      </c>
      <c r="R238" s="64">
        <f>IF(B238="Autumn",(SUM(F237:F238)*$G$1*Variables!$B$22*Variables!$E$50),0)</f>
        <v>0</v>
      </c>
      <c r="S238" s="64">
        <f>IF(B238="Spring",($G$1*Variables!$E$50*SUM('Guts (option 1)'!F237:F238)*Variables!$B$23),0)</f>
        <v>0</v>
      </c>
      <c r="T238" s="63">
        <f>IF((H237+SUM(J238:Q238))&lt;(Variables!$B$26*Variables!$E$50),$F$1*((Variables!$B$26*Variables!$E$50)-H237-SUM(J238:Q238)),0)</f>
        <v>0</v>
      </c>
      <c r="U238" s="64">
        <f>IF(AND(AND(B238="Autumn",SUM(D235:E238)&gt;Variables!$B$27),SUM(J238:Q238)&lt;Variables!$B$28*H237),$F$1*(Variables!$B$28*H237-SUM(J238:Q238)),0)</f>
        <v>0</v>
      </c>
      <c r="V238" s="96">
        <f>IF(AND((J238+K238)=0,(Q238+T238)=0),$H$1*H238*Variables!$I$23*0.25,0)</f>
        <v>74.424177177537288</v>
      </c>
      <c r="W238" s="97">
        <f>IF(AND((K238+J238)=0,(T238+Q238)=0),$I$1*H238*Variables!$Q$23*0.25,0)</f>
        <v>77.902427941858775</v>
      </c>
      <c r="X238" s="95">
        <f>IF(AND(NOT(K238=0),(H238-H237)&gt;0),(H238-H237)*(Variables!$M$5*$H$1+Variables!$U$5*$I$1),0)+IF(AND(NOT((J238+N238+Q238)=0),(H237-H238)&gt;0),(H237-H238)*(Variables!$M$4*$H$1+Variables!$U$4*$I$1),0)</f>
        <v>0</v>
      </c>
      <c r="Y238" s="95">
        <f>IF(SUM(T238,U237:U238)&gt;0,H238*Variables!$Y$11*0.25*(1-$J$1),0)</f>
        <v>0</v>
      </c>
      <c r="Z238" s="95">
        <f>IF(T238=0,H238*$J$1*Variables!$Y$5*0.25,0)</f>
        <v>25.103963988551843</v>
      </c>
      <c r="AA238" s="95">
        <f t="shared" si="7"/>
        <v>177.43056910794789</v>
      </c>
      <c r="AB238" s="91">
        <f>AA238/Variables!$E$49</f>
        <v>28.617833727088367</v>
      </c>
    </row>
    <row r="239" spans="1:28" x14ac:dyDescent="0.25">
      <c r="A239" s="61">
        <f>'Water runs'!C246</f>
        <v>23801</v>
      </c>
      <c r="B239" s="61" t="str">
        <f>'Water runs'!B246</f>
        <v>Summer</v>
      </c>
      <c r="C239" s="54">
        <f>'Water runs'!D246/100</f>
        <v>0.44814285714285701</v>
      </c>
      <c r="D239" s="108">
        <f>VLOOKUP(ROW(D239)+4,'Water runs'!$BS$3:$CF$423,MATCH($B$1,Scenarios,0)+1)</f>
        <v>0</v>
      </c>
      <c r="E239" s="54">
        <f>IF(B239=Variables!$D$8,C239-Variables!$E$8,IF(B239=Variables!$D$9,C239-Variables!$E$9,IF(B239=Variables!$D$10,C239-Variables!$E$10,IF(B239=Variables!$D$11,C239-Variables!$E$11,"ELSE"))))</f>
        <v>-0.81022727891156476</v>
      </c>
      <c r="F239" s="108">
        <f>VLOOKUP(ROW(F239)+4,'Water runs'!$CH$3:$CU$423,MATCH($B$1,Scenarios,0)+1)</f>
        <v>0</v>
      </c>
      <c r="G239" s="65">
        <f>H239/Variables!$E$49</f>
        <v>0.62292714611791178</v>
      </c>
      <c r="H239" s="62">
        <f>IF((H238+I239)&gt;(1.1*Variables!$E$50),(1.1*Variables!$E$50),IF((H238+I239)&gt;0,H238+I239,0))</f>
        <v>3.8621483059310528</v>
      </c>
      <c r="I239" s="64">
        <f t="shared" si="6"/>
        <v>0</v>
      </c>
      <c r="J239" s="63">
        <f>IF(SUM(E235:E238)&lt;Variables!$B$3,-H238,0)</f>
        <v>0</v>
      </c>
      <c r="K239" s="64">
        <f>IF(AND(H238&lt;Variables!$B$6*Variables!$E$50,OR(SUM(D236:D239)&gt;Variables!$B$5,SUM(E236:E239)&gt;Variables!$B$4)),Variables!$B$6*Variables!$E$50+Variables!$B$7*$G$1*Variables!$E$50*SUM(D236:D239),0)</f>
        <v>0</v>
      </c>
      <c r="L239" s="64">
        <f>IF(B239="Winter",Variables!$B$8*H238,0)</f>
        <v>0</v>
      </c>
      <c r="M239" s="64">
        <f>IF(AND(B239="Spring",AND(NOT(H238=0),H238&lt;(Variables!$B$9*Variables!$E$50))),(Variables!$B$10*Variables!$E$50+Variables!$B$11*Variables!$E$50*SUM(E236:E239)+$G$1*SUM(D238:D239)*Variables!$E$50*Variables!$B$12),0)</f>
        <v>0</v>
      </c>
      <c r="N239" s="64">
        <f>IF(AND(B239="Spring",AND(SUM(D236:D239)&gt;Variables!$B$13,SUM(D232:D235)&gt;Variables!$B$13)),-Variables!$B$14*Variables!$E$50,0)</f>
        <v>0</v>
      </c>
      <c r="O239" s="64">
        <f>IF(AND(B239="Summer",SUM(C235:D239)&gt;Variables!$B$15),(Variables!$B$16*Variables!$E$50*SUM(C235:C239)+$G$1*Variables!$B$16*Variables!$E$50*SUM(D235:D239)+$G$1*Variables!$E$50*Variables!$B$17*F239),0)</f>
        <v>0</v>
      </c>
      <c r="P239" s="64">
        <f>IF(AND(AND(B239="Autumn",SUM(D238:E239)&gt;0),NOT(H238=0)),Variables!$B$18*Variables!$E$50+Variables!$B$19*Variables!$E$50*SUM(E238:E239)+$G$1*Variables!$B$19*Variables!$E$50*SUM(D238:D239),0)</f>
        <v>0</v>
      </c>
      <c r="Q239" s="64">
        <f>IF(AND(B239="Autumn",AND((E239+E238)&lt;Variables!$B$20,(D238+D239)=0)),-Variables!$B$21*Variables!$E$50,0)</f>
        <v>0</v>
      </c>
      <c r="R239" s="64">
        <f>IF(B239="Autumn",(SUM(F238:F239)*$G$1*Variables!$B$22*Variables!$E$50),0)</f>
        <v>0</v>
      </c>
      <c r="S239" s="64">
        <f>IF(B239="Spring",($G$1*Variables!$E$50*SUM('Guts (option 1)'!F238:F239)*Variables!$B$23),0)</f>
        <v>0</v>
      </c>
      <c r="T239" s="63">
        <f>IF((H238+SUM(J239:Q239))&lt;(Variables!$B$26*Variables!$E$50),$F$1*((Variables!$B$26*Variables!$E$50)-H238-SUM(J239:Q239)),0)</f>
        <v>0</v>
      </c>
      <c r="U239" s="64">
        <f>IF(AND(AND(B239="Autumn",SUM(D236:E239)&gt;Variables!$B$27),SUM(J239:Q239)&lt;Variables!$B$28*H238),$F$1*(Variables!$B$28*H238-SUM(J239:Q239)),0)</f>
        <v>0</v>
      </c>
      <c r="V239" s="96">
        <f>IF(AND((J239+K239)=0,(Q239+T239)=0),$H$1*H239*Variables!$I$23*0.25,0)</f>
        <v>74.424177177537288</v>
      </c>
      <c r="W239" s="97">
        <f>IF(AND((K239+J239)=0,(T239+Q239)=0),$I$1*H239*Variables!$Q$23*0.25,0)</f>
        <v>77.902427941858775</v>
      </c>
      <c r="X239" s="95">
        <f>IF(AND(NOT(K239=0),(H239-H238)&gt;0),(H239-H238)*(Variables!$M$5*$H$1+Variables!$U$5*$I$1),0)+IF(AND(NOT((J239+N239+Q239)=0),(H238-H239)&gt;0),(H238-H239)*(Variables!$M$4*$H$1+Variables!$U$4*$I$1),0)</f>
        <v>0</v>
      </c>
      <c r="Y239" s="95">
        <f>IF(SUM(T239,U238:U239)&gt;0,H239*Variables!$Y$11*0.25*(1-$J$1),0)</f>
        <v>0</v>
      </c>
      <c r="Z239" s="95">
        <f>IF(T239=0,H239*$J$1*Variables!$Y$5*0.25,0)</f>
        <v>25.103963988551843</v>
      </c>
      <c r="AA239" s="95">
        <f t="shared" si="7"/>
        <v>177.43056910794789</v>
      </c>
      <c r="AB239" s="91">
        <f>AA239/Variables!$E$49</f>
        <v>28.617833727088367</v>
      </c>
    </row>
    <row r="240" spans="1:28" x14ac:dyDescent="0.25">
      <c r="A240" s="61">
        <f>'Water runs'!C247</f>
        <v>23893</v>
      </c>
      <c r="B240" s="61" t="str">
        <f>'Water runs'!B247</f>
        <v>Autumn</v>
      </c>
      <c r="C240" s="54">
        <f>'Water runs'!D247/100</f>
        <v>0.25</v>
      </c>
      <c r="D240" s="108">
        <f>VLOOKUP(ROW(D240)+4,'Water runs'!$BS$3:$CF$423,MATCH($B$1,Scenarios,0)+1)</f>
        <v>0</v>
      </c>
      <c r="E240" s="54">
        <f>IF(B240=Variables!$D$8,C240-Variables!$E$8,IF(B240=Variables!$D$9,C240-Variables!$E$9,IF(B240=Variables!$D$10,C240-Variables!$E$10,IF(B240=Variables!$D$11,C240-Variables!$E$11,"ELSE"))))</f>
        <v>-0.74464329931972784</v>
      </c>
      <c r="F240" s="108">
        <f>VLOOKUP(ROW(F240)+4,'Water runs'!$CH$3:$CU$423,MATCH($B$1,Scenarios,0)+1)</f>
        <v>0</v>
      </c>
      <c r="G240" s="65">
        <f>H240/Variables!$E$49</f>
        <v>0.62292714611791178</v>
      </c>
      <c r="H240" s="62">
        <f>IF((H239+I240)&gt;(1.1*Variables!$E$50),(1.1*Variables!$E$50),IF((H239+I240)&gt;0,H239+I240,0))</f>
        <v>3.8621483059310528</v>
      </c>
      <c r="I240" s="64">
        <f t="shared" si="6"/>
        <v>0</v>
      </c>
      <c r="J240" s="63">
        <f>IF(SUM(E236:E239)&lt;Variables!$B$3,-H239,0)</f>
        <v>0</v>
      </c>
      <c r="K240" s="64">
        <f>IF(AND(H239&lt;Variables!$B$6*Variables!$E$50,OR(SUM(D237:D240)&gt;Variables!$B$5,SUM(E237:E240)&gt;Variables!$B$4)),Variables!$B$6*Variables!$E$50+Variables!$B$7*$G$1*Variables!$E$50*SUM(D237:D240),0)</f>
        <v>0</v>
      </c>
      <c r="L240" s="64">
        <f>IF(B240="Winter",Variables!$B$8*H239,0)</f>
        <v>0</v>
      </c>
      <c r="M240" s="64">
        <f>IF(AND(B240="Spring",AND(NOT(H239=0),H239&lt;(Variables!$B$9*Variables!$E$50))),(Variables!$B$10*Variables!$E$50+Variables!$B$11*Variables!$E$50*SUM(E237:E240)+$G$1*SUM(D239:D240)*Variables!$E$50*Variables!$B$12),0)</f>
        <v>0</v>
      </c>
      <c r="N240" s="64">
        <f>IF(AND(B240="Spring",AND(SUM(D237:D240)&gt;Variables!$B$13,SUM(D233:D236)&gt;Variables!$B$13)),-Variables!$B$14*Variables!$E$50,0)</f>
        <v>0</v>
      </c>
      <c r="O240" s="64">
        <f>IF(AND(B240="Summer",SUM(C236:D240)&gt;Variables!$B$15),(Variables!$B$16*Variables!$E$50*SUM(C236:C240)+$G$1*Variables!$B$16*Variables!$E$50*SUM(D236:D240)+$G$1*Variables!$E$50*Variables!$B$17*F240),0)</f>
        <v>0</v>
      </c>
      <c r="P240" s="64">
        <f>IF(AND(AND(B240="Autumn",SUM(D239:E240)&gt;0),NOT(H239=0)),Variables!$B$18*Variables!$E$50+Variables!$B$19*Variables!$E$50*SUM(E239:E240)+$G$1*Variables!$B$19*Variables!$E$50*SUM(D239:D240),0)</f>
        <v>0</v>
      </c>
      <c r="Q240" s="64">
        <f>IF(AND(B240="Autumn",AND((E240+E239)&lt;Variables!$B$20,(D239+D240)=0)),-Variables!$B$21*Variables!$E$50,0)</f>
        <v>0</v>
      </c>
      <c r="R240" s="64">
        <f>IF(B240="Autumn",(SUM(F239:F240)*$G$1*Variables!$B$22*Variables!$E$50),0)</f>
        <v>0</v>
      </c>
      <c r="S240" s="64">
        <f>IF(B240="Spring",($G$1*Variables!$E$50*SUM('Guts (option 1)'!F239:F240)*Variables!$B$23),0)</f>
        <v>0</v>
      </c>
      <c r="T240" s="63">
        <f>IF((H239+SUM(J240:Q240))&lt;(Variables!$B$26*Variables!$E$50),$F$1*((Variables!$B$26*Variables!$E$50)-H239-SUM(J240:Q240)),0)</f>
        <v>0</v>
      </c>
      <c r="U240" s="64">
        <f>IF(AND(AND(B240="Autumn",SUM(D237:E240)&gt;Variables!$B$27),SUM(J240:Q240)&lt;Variables!$B$28*H239),$F$1*(Variables!$B$28*H239-SUM(J240:Q240)),0)</f>
        <v>0</v>
      </c>
      <c r="V240" s="96">
        <f>IF(AND((J240+K240)=0,(Q240+T240)=0),$H$1*H240*Variables!$I$23*0.25,0)</f>
        <v>74.424177177537288</v>
      </c>
      <c r="W240" s="97">
        <f>IF(AND((K240+J240)=0,(T240+Q240)=0),$I$1*H240*Variables!$Q$23*0.25,0)</f>
        <v>77.902427941858775</v>
      </c>
      <c r="X240" s="95">
        <f>IF(AND(NOT(K240=0),(H240-H239)&gt;0),(H240-H239)*(Variables!$M$5*$H$1+Variables!$U$5*$I$1),0)+IF(AND(NOT((J240+N240+Q240)=0),(H239-H240)&gt;0),(H239-H240)*(Variables!$M$4*$H$1+Variables!$U$4*$I$1),0)</f>
        <v>0</v>
      </c>
      <c r="Y240" s="95">
        <f>IF(SUM(T240,U239:U240)&gt;0,H240*Variables!$Y$11*0.25*(1-$J$1),0)</f>
        <v>0</v>
      </c>
      <c r="Z240" s="95">
        <f>IF(T240=0,H240*$J$1*Variables!$Y$5*0.25,0)</f>
        <v>25.103963988551843</v>
      </c>
      <c r="AA240" s="95">
        <f t="shared" si="7"/>
        <v>177.43056910794789</v>
      </c>
      <c r="AB240" s="91">
        <f>AA240/Variables!$E$49</f>
        <v>28.617833727088367</v>
      </c>
    </row>
    <row r="241" spans="1:28" x14ac:dyDescent="0.25">
      <c r="A241" s="61">
        <f>'Water runs'!C248</f>
        <v>23985</v>
      </c>
      <c r="B241" s="61" t="str">
        <f>'Water runs'!B248</f>
        <v>Winter</v>
      </c>
      <c r="C241" s="54">
        <f>'Water runs'!D248/100</f>
        <v>0.14199999999999999</v>
      </c>
      <c r="D241" s="108">
        <f>VLOOKUP(ROW(D241)+4,'Water runs'!$BS$3:$CF$423,MATCH($B$1,Scenarios,0)+1)</f>
        <v>0</v>
      </c>
      <c r="E241" s="54">
        <f>IF(B241=Variables!$D$8,C241-Variables!$E$8,IF(B241=Variables!$D$9,C241-Variables!$E$9,IF(B241=Variables!$D$10,C241-Variables!$E$10,IF(B241=Variables!$D$11,C241-Variables!$E$11,"ELSE"))))</f>
        <v>-0.42976762566137572</v>
      </c>
      <c r="F241" s="108">
        <f>VLOOKUP(ROW(F241)+4,'Water runs'!$CH$3:$CU$423,MATCH($B$1,Scenarios,0)+1)</f>
        <v>0</v>
      </c>
      <c r="G241" s="65">
        <f>H241/Variables!$E$49</f>
        <v>0.31274353489536699</v>
      </c>
      <c r="H241" s="62">
        <f>IF((H240+I241)&gt;(1.1*Variables!$E$50),(1.1*Variables!$E$50),IF((H240+I241)&gt;0,H240+I241,0))</f>
        <v>1.9390099163512755</v>
      </c>
      <c r="I241" s="64">
        <f t="shared" si="6"/>
        <v>-1.9231383895797773</v>
      </c>
      <c r="J241" s="63">
        <f>IF(SUM(E237:E240)&lt;Variables!$B$3,-H240,0)</f>
        <v>0</v>
      </c>
      <c r="K241" s="64">
        <f>IF(AND(H240&lt;Variables!$B$6*Variables!$E$50,OR(SUM(D238:D241)&gt;Variables!$B$5,SUM(E238:E241)&gt;Variables!$B$4)),Variables!$B$6*Variables!$E$50+Variables!$B$7*$G$1*Variables!$E$50*SUM(D238:D241),0)</f>
        <v>0</v>
      </c>
      <c r="L241" s="64">
        <f>IF(B241="Winter",Variables!$B$8*H240,0)</f>
        <v>-1.9231383895797773</v>
      </c>
      <c r="M241" s="64">
        <f>IF(AND(B241="Spring",AND(NOT(H240=0),H240&lt;(Variables!$B$9*Variables!$E$50))),(Variables!$B$10*Variables!$E$50+Variables!$B$11*Variables!$E$50*SUM(E238:E241)+$G$1*SUM(D240:D241)*Variables!$E$50*Variables!$B$12),0)</f>
        <v>0</v>
      </c>
      <c r="N241" s="64">
        <f>IF(AND(B241="Spring",AND(SUM(D238:D241)&gt;Variables!$B$13,SUM(D234:D237)&gt;Variables!$B$13)),-Variables!$B$14*Variables!$E$50,0)</f>
        <v>0</v>
      </c>
      <c r="O241" s="64">
        <f>IF(AND(B241="Summer",SUM(C237:D241)&gt;Variables!$B$15),(Variables!$B$16*Variables!$E$50*SUM(C237:C241)+$G$1*Variables!$B$16*Variables!$E$50*SUM(D237:D241)+$G$1*Variables!$E$50*Variables!$B$17*F241),0)</f>
        <v>0</v>
      </c>
      <c r="P241" s="64">
        <f>IF(AND(AND(B241="Autumn",SUM(D240:E241)&gt;0),NOT(H240=0)),Variables!$B$18*Variables!$E$50+Variables!$B$19*Variables!$E$50*SUM(E240:E241)+$G$1*Variables!$B$19*Variables!$E$50*SUM(D240:D241),0)</f>
        <v>0</v>
      </c>
      <c r="Q241" s="64">
        <f>IF(AND(B241="Autumn",AND((E241+E240)&lt;Variables!$B$20,(D240+D241)=0)),-Variables!$B$21*Variables!$E$50,0)</f>
        <v>0</v>
      </c>
      <c r="R241" s="64">
        <f>IF(B241="Autumn",(SUM(F240:F241)*$G$1*Variables!$B$22*Variables!$E$50),0)</f>
        <v>0</v>
      </c>
      <c r="S241" s="64">
        <f>IF(B241="Spring",($G$1*Variables!$E$50*SUM('Guts (option 1)'!F240:F241)*Variables!$B$23),0)</f>
        <v>0</v>
      </c>
      <c r="T241" s="63">
        <f>IF((H240+SUM(J241:Q241))&lt;(Variables!$B$26*Variables!$E$50),$F$1*((Variables!$B$26*Variables!$E$50)-H240-SUM(J241:Q241)),0)</f>
        <v>0</v>
      </c>
      <c r="U241" s="64">
        <f>IF(AND(AND(B241="Autumn",SUM(D238:E241)&gt;Variables!$B$27),SUM(J241:Q241)&lt;Variables!$B$28*H240),$F$1*(Variables!$B$28*H240-SUM(J241:Q241)),0)</f>
        <v>0</v>
      </c>
      <c r="V241" s="96">
        <f>IF(AND((J241+K241)=0,(Q241+T241)=0),$H$1*H241*Variables!$I$23*0.25,0)</f>
        <v>37.365011939576533</v>
      </c>
      <c r="W241" s="97">
        <f>IF(AND((K241+J241)=0,(T241+Q241)=0),$I$1*H241*Variables!$Q$23*0.25,0)</f>
        <v>39.111284270242486</v>
      </c>
      <c r="X241" s="95">
        <f>IF(AND(NOT(K241=0),(H241-H240)&gt;0),(H241-H240)*(Variables!$M$5*$H$1+Variables!$U$5*$I$1),0)+IF(AND(NOT((J241+N241+Q241)=0),(H240-H241)&gt;0),(H240-H241)*(Variables!$M$4*$H$1+Variables!$U$4*$I$1),0)</f>
        <v>0</v>
      </c>
      <c r="Y241" s="95">
        <f>IF(SUM(T241,U240:U241)&gt;0,H241*Variables!$Y$11*0.25*(1-$J$1),0)</f>
        <v>0</v>
      </c>
      <c r="Z241" s="95">
        <f>IF(T241=0,H241*$J$1*Variables!$Y$5*0.25,0)</f>
        <v>12.603564456283291</v>
      </c>
      <c r="AA241" s="95">
        <f t="shared" si="7"/>
        <v>89.07986066610232</v>
      </c>
      <c r="AB241" s="91">
        <f>AA241/Variables!$E$49</f>
        <v>14.367719462274568</v>
      </c>
    </row>
    <row r="242" spans="1:28" x14ac:dyDescent="0.25">
      <c r="A242" s="61">
        <f>'Water runs'!C249</f>
        <v>24076</v>
      </c>
      <c r="B242" s="61" t="str">
        <f>'Water runs'!B249</f>
        <v>Spring</v>
      </c>
      <c r="C242" s="54">
        <f>'Water runs'!D249/100</f>
        <v>0.121</v>
      </c>
      <c r="D242" s="108">
        <f>VLOOKUP(ROW(D242)+4,'Water runs'!$BS$3:$CF$423,MATCH($B$1,Scenarios,0)+1)</f>
        <v>0</v>
      </c>
      <c r="E242" s="54">
        <f>IF(B242=Variables!$D$8,C242-Variables!$E$8,IF(B242=Variables!$D$9,C242-Variables!$E$9,IF(B242=Variables!$D$10,C242-Variables!$E$10,IF(B242=Variables!$D$11,C242-Variables!$E$11,"ELSE"))))</f>
        <v>-0.64298220899470915</v>
      </c>
      <c r="F242" s="108">
        <f>VLOOKUP(ROW(F242)+4,'Water runs'!$CH$3:$CU$423,MATCH($B$1,Scenarios,0)+1)</f>
        <v>0</v>
      </c>
      <c r="G242" s="65">
        <f>H242/Variables!$E$49</f>
        <v>0.161</v>
      </c>
      <c r="H242" s="62">
        <f>IF((H241+I242)&gt;(1.1*Variables!$E$50),(1.1*Variables!$E$50),IF((H241+I242)&gt;0,H241+I242,0))</f>
        <v>0.99820000000000009</v>
      </c>
      <c r="I242" s="64">
        <f t="shared" si="6"/>
        <v>-0.94080991635127542</v>
      </c>
      <c r="J242" s="63">
        <f>IF(SUM(E238:E241)&lt;Variables!$B$3,-H241,0)</f>
        <v>0</v>
      </c>
      <c r="K242" s="64">
        <f>IF(AND(H241&lt;Variables!$B$6*Variables!$E$50,OR(SUM(D239:D242)&gt;Variables!$B$5,SUM(E239:E242)&gt;Variables!$B$4)),Variables!$B$6*Variables!$E$50+Variables!$B$7*$G$1*Variables!$E$50*SUM(D239:D242),0)</f>
        <v>0</v>
      </c>
      <c r="L242" s="64">
        <f>IF(B242="Winter",Variables!$B$8*H241,0)</f>
        <v>0</v>
      </c>
      <c r="M242" s="64">
        <f>IF(AND(B242="Spring",AND(NOT(H241=0),H241&lt;(Variables!$B$9*Variables!$E$50))),(Variables!$B$10*Variables!$E$50+Variables!$B$11*Variables!$E$50*SUM(E239:E242)+$G$1*SUM(D241:D242)*Variables!$E$50*Variables!$B$12),0)</f>
        <v>-1.7895715886750851</v>
      </c>
      <c r="N242" s="64">
        <f>IF(AND(B242="Spring",AND(SUM(D239:D242)&gt;Variables!$B$13,SUM(D235:D238)&gt;Variables!$B$13)),-Variables!$B$14*Variables!$E$50,0)</f>
        <v>0</v>
      </c>
      <c r="O242" s="64">
        <f>IF(AND(B242="Summer",SUM(C238:D242)&gt;Variables!$B$15),(Variables!$B$16*Variables!$E$50*SUM(C238:C242)+$G$1*Variables!$B$16*Variables!$E$50*SUM(D238:D242)+$G$1*Variables!$E$50*Variables!$B$17*F242),0)</f>
        <v>0</v>
      </c>
      <c r="P242" s="64">
        <f>IF(AND(AND(B242="Autumn",SUM(D241:E242)&gt;0),NOT(H241=0)),Variables!$B$18*Variables!$E$50+Variables!$B$19*Variables!$E$50*SUM(E241:E242)+$G$1*Variables!$B$19*Variables!$E$50*SUM(D241:D242),0)</f>
        <v>0</v>
      </c>
      <c r="Q242" s="64">
        <f>IF(AND(B242="Autumn",AND((E242+E241)&lt;Variables!$B$20,(D241+D242)=0)),-Variables!$B$21*Variables!$E$50,0)</f>
        <v>0</v>
      </c>
      <c r="R242" s="64">
        <f>IF(B242="Autumn",(SUM(F241:F242)*$G$1*Variables!$B$22*Variables!$E$50),0)</f>
        <v>0</v>
      </c>
      <c r="S242" s="64">
        <f>IF(B242="Spring",($G$1*Variables!$E$50*SUM('Guts (option 1)'!F241:F242)*Variables!$B$23),0)</f>
        <v>0</v>
      </c>
      <c r="T242" s="63">
        <f>IF((H241+SUM(J242:Q242))&lt;(Variables!$B$26*Variables!$E$50),$F$1*((Variables!$B$26*Variables!$E$50)-H241-SUM(J242:Q242)),0)</f>
        <v>0.84876167232380972</v>
      </c>
      <c r="U242" s="64">
        <f>IF(AND(AND(B242="Autumn",SUM(D239:E242)&gt;Variables!$B$27),SUM(J242:Q242)&lt;Variables!$B$28*H241),$F$1*(Variables!$B$28*H241-SUM(J242:Q242)),0)</f>
        <v>0</v>
      </c>
      <c r="V242" s="96">
        <f>IF(AND((J242+K242)=0,(Q242+T242)=0),$H$1*H242*Variables!$I$23*0.25,0)</f>
        <v>0</v>
      </c>
      <c r="W242" s="97">
        <f>IF(AND((K242+J242)=0,(T242+Q242)=0),$I$1*H242*Variables!$Q$23*0.25,0)</f>
        <v>0</v>
      </c>
      <c r="X242" s="95">
        <f>IF(AND(NOT(K242=0),(H242-H241)&gt;0),(H242-H241)*(Variables!$M$5*$H$1+Variables!$U$5*$I$1),0)+IF(AND(NOT((J242+N242+Q242)=0),(H241-H242)&gt;0),(H241-H242)*(Variables!$M$4*$H$1+Variables!$U$4*$I$1),0)</f>
        <v>0</v>
      </c>
      <c r="Y242" s="95">
        <f>IF(SUM(T242,U241:U242)&gt;0,H242*Variables!$Y$11*0.25*(1-$J$1),0)</f>
        <v>0</v>
      </c>
      <c r="Z242" s="95">
        <f>IF(T242=0,H242*$J$1*Variables!$Y$5*0.25,0)</f>
        <v>0</v>
      </c>
      <c r="AA242" s="95">
        <f t="shared" si="7"/>
        <v>0</v>
      </c>
      <c r="AB242" s="91">
        <f>AA242/Variables!$E$49</f>
        <v>0</v>
      </c>
    </row>
    <row r="243" spans="1:28" x14ac:dyDescent="0.25">
      <c r="A243" s="61">
        <f>'Water runs'!C250</f>
        <v>24166</v>
      </c>
      <c r="B243" s="61" t="str">
        <f>'Water runs'!B250</f>
        <v>Summer</v>
      </c>
      <c r="C243" s="54">
        <f>'Water runs'!D250/100</f>
        <v>1.3325714285714301</v>
      </c>
      <c r="D243" s="108">
        <f>VLOOKUP(ROW(D243)+4,'Water runs'!$BS$3:$CF$423,MATCH($B$1,Scenarios,0)+1)</f>
        <v>3.6133302718152956E-3</v>
      </c>
      <c r="E243" s="54">
        <f>IF(B243=Variables!$D$8,C243-Variables!$E$8,IF(B243=Variables!$D$9,C243-Variables!$E$9,IF(B243=Variables!$D$10,C243-Variables!$E$10,IF(B243=Variables!$D$11,C243-Variables!$E$11,"ELSE"))))</f>
        <v>7.4201292517008355E-2</v>
      </c>
      <c r="F243" s="108">
        <f>VLOOKUP(ROW(F243)+4,'Water runs'!$CH$3:$CU$423,MATCH($B$1,Scenarios,0)+1)</f>
        <v>0</v>
      </c>
      <c r="G243" s="65">
        <f>H243/Variables!$E$49</f>
        <v>0.161</v>
      </c>
      <c r="H243" s="62">
        <f>IF((H242+I243)&gt;(1.1*Variables!$E$50),(1.1*Variables!$E$50),IF((H242+I243)&gt;0,H242+I243,0))</f>
        <v>0.99820000000000009</v>
      </c>
      <c r="I243" s="64">
        <f t="shared" si="6"/>
        <v>0</v>
      </c>
      <c r="J243" s="63">
        <f>IF(SUM(E239:E242)&lt;Variables!$B$3,-H242,0)</f>
        <v>-0.99820000000000009</v>
      </c>
      <c r="K243" s="64">
        <f>IF(AND(H242&lt;Variables!$B$6*Variables!$E$50,OR(SUM(D240:D243)&gt;Variables!$B$5,SUM(E240:E243)&gt;Variables!$B$4)),Variables!$B$6*Variables!$E$50+Variables!$B$7*$G$1*Variables!$E$50*SUM(D240:D243),0)</f>
        <v>0</v>
      </c>
      <c r="L243" s="64">
        <f>IF(B243="Winter",Variables!$B$8*H242,0)</f>
        <v>0</v>
      </c>
      <c r="M243" s="64">
        <f>IF(AND(B243="Spring",AND(NOT(H242=0),H242&lt;(Variables!$B$9*Variables!$E$50))),(Variables!$B$10*Variables!$E$50+Variables!$B$11*Variables!$E$50*SUM(E240:E243)+$G$1*SUM(D242:D243)*Variables!$E$50*Variables!$B$12),0)</f>
        <v>0</v>
      </c>
      <c r="N243" s="64">
        <f>IF(AND(B243="Spring",AND(SUM(D240:D243)&gt;Variables!$B$13,SUM(D236:D239)&gt;Variables!$B$13)),-Variables!$B$14*Variables!$E$50,0)</f>
        <v>0</v>
      </c>
      <c r="O243" s="64">
        <f>IF(AND(B243="Summer",SUM(C239:D243)&gt;Variables!$B$15),(Variables!$B$16*Variables!$E$50*SUM(C239:C243)+$G$1*Variables!$B$16*Variables!$E$50*SUM(D239:D243)+$G$1*Variables!$E$50*Variables!$B$17*F243),0)</f>
        <v>0</v>
      </c>
      <c r="P243" s="64">
        <f>IF(AND(AND(B243="Autumn",SUM(D242:E243)&gt;0),NOT(H242=0)),Variables!$B$18*Variables!$E$50+Variables!$B$19*Variables!$E$50*SUM(E242:E243)+$G$1*Variables!$B$19*Variables!$E$50*SUM(D242:D243),0)</f>
        <v>0</v>
      </c>
      <c r="Q243" s="64">
        <f>IF(AND(B243="Autumn",AND((E243+E242)&lt;Variables!$B$20,(D242+D243)=0)),-Variables!$B$21*Variables!$E$50,0)</f>
        <v>0</v>
      </c>
      <c r="R243" s="64">
        <f>IF(B243="Autumn",(SUM(F242:F243)*$G$1*Variables!$B$22*Variables!$E$50),0)</f>
        <v>0</v>
      </c>
      <c r="S243" s="64">
        <f>IF(B243="Spring",($G$1*Variables!$E$50*SUM('Guts (option 1)'!F242:F243)*Variables!$B$23),0)</f>
        <v>0</v>
      </c>
      <c r="T243" s="63">
        <f>IF((H242+SUM(J243:Q243))&lt;(Variables!$B$26*Variables!$E$50),$F$1*((Variables!$B$26*Variables!$E$50)-H242-SUM(J243:Q243)),0)</f>
        <v>0.99820000000000009</v>
      </c>
      <c r="U243" s="64">
        <f>IF(AND(AND(B243="Autumn",SUM(D240:E243)&gt;Variables!$B$27),SUM(J243:Q243)&lt;Variables!$B$28*H242),$F$1*(Variables!$B$28*H242-SUM(J243:Q243)),0)</f>
        <v>0</v>
      </c>
      <c r="V243" s="96">
        <f>IF(AND((J243+K243)=0,(Q243+T243)=0),$H$1*H243*Variables!$I$23*0.25,0)</f>
        <v>0</v>
      </c>
      <c r="W243" s="97">
        <f>IF(AND((K243+J243)=0,(T243+Q243)=0),$I$1*H243*Variables!$Q$23*0.25,0)</f>
        <v>0</v>
      </c>
      <c r="X243" s="95">
        <f>IF(AND(NOT(K243=0),(H243-H242)&gt;0),(H243-H242)*(Variables!$M$5*$H$1+Variables!$U$5*$I$1),0)+IF(AND(NOT((J243+N243+Q243)=0),(H242-H243)&gt;0),(H242-H243)*(Variables!$M$4*$H$1+Variables!$U$4*$I$1),0)</f>
        <v>0</v>
      </c>
      <c r="Y243" s="95">
        <f>IF(SUM(T243,U242:U243)&gt;0,H243*Variables!$Y$11*0.25*(1-$J$1),0)</f>
        <v>0</v>
      </c>
      <c r="Z243" s="95">
        <f>IF(T243=0,H243*$J$1*Variables!$Y$5*0.25,0)</f>
        <v>0</v>
      </c>
      <c r="AA243" s="95">
        <f t="shared" si="7"/>
        <v>0</v>
      </c>
      <c r="AB243" s="91">
        <f>AA243/Variables!$E$49</f>
        <v>0</v>
      </c>
    </row>
    <row r="244" spans="1:28" x14ac:dyDescent="0.25">
      <c r="A244" s="61">
        <f>'Water runs'!C251</f>
        <v>24258</v>
      </c>
      <c r="B244" s="61" t="str">
        <f>'Water runs'!B251</f>
        <v>Autumn</v>
      </c>
      <c r="C244" s="54">
        <f>'Water runs'!D251/100</f>
        <v>0.51557142857142901</v>
      </c>
      <c r="D244" s="108">
        <f>VLOOKUP(ROW(D244)+4,'Water runs'!$BS$3:$CF$423,MATCH($B$1,Scenarios,0)+1)</f>
        <v>0</v>
      </c>
      <c r="E244" s="54">
        <f>IF(B244=Variables!$D$8,C244-Variables!$E$8,IF(B244=Variables!$D$9,C244-Variables!$E$9,IF(B244=Variables!$D$10,C244-Variables!$E$10,IF(B244=Variables!$D$11,C244-Variables!$E$11,"ELSE"))))</f>
        <v>-0.47907187074829882</v>
      </c>
      <c r="F244" s="108">
        <f>VLOOKUP(ROW(F244)+4,'Water runs'!$CH$3:$CU$423,MATCH($B$1,Scenarios,0)+1)</f>
        <v>0</v>
      </c>
      <c r="G244" s="65">
        <f>H244/Variables!$E$49</f>
        <v>0.161</v>
      </c>
      <c r="H244" s="62">
        <f>IF((H243+I244)&gt;(1.1*Variables!$E$50),(1.1*Variables!$E$50),IF((H243+I244)&gt;0,H243+I244,0))</f>
        <v>0.99820000000000009</v>
      </c>
      <c r="I244" s="64">
        <f t="shared" si="6"/>
        <v>0</v>
      </c>
      <c r="J244" s="63">
        <f>IF(SUM(E240:E243)&lt;Variables!$B$3,-H243,0)</f>
        <v>-0.99820000000000009</v>
      </c>
      <c r="K244" s="64">
        <f>IF(AND(H243&lt;Variables!$B$6*Variables!$E$50,OR(SUM(D241:D244)&gt;Variables!$B$5,SUM(E241:E244)&gt;Variables!$B$4)),Variables!$B$6*Variables!$E$50+Variables!$B$7*$G$1*Variables!$E$50*SUM(D241:D244),0)</f>
        <v>0</v>
      </c>
      <c r="L244" s="64">
        <f>IF(B244="Winter",Variables!$B$8*H243,0)</f>
        <v>0</v>
      </c>
      <c r="M244" s="64">
        <f>IF(AND(B244="Spring",AND(NOT(H243=0),H243&lt;(Variables!$B$9*Variables!$E$50))),(Variables!$B$10*Variables!$E$50+Variables!$B$11*Variables!$E$50*SUM(E241:E244)+$G$1*SUM(D243:D244)*Variables!$E$50*Variables!$B$12),0)</f>
        <v>0</v>
      </c>
      <c r="N244" s="64">
        <f>IF(AND(B244="Spring",AND(SUM(D241:D244)&gt;Variables!$B$13,SUM(D237:D240)&gt;Variables!$B$13)),-Variables!$B$14*Variables!$E$50,0)</f>
        <v>0</v>
      </c>
      <c r="O244" s="64">
        <f>IF(AND(B244="Summer",SUM(C240:D244)&gt;Variables!$B$15),(Variables!$B$16*Variables!$E$50*SUM(C240:C244)+$G$1*Variables!$B$16*Variables!$E$50*SUM(D240:D244)+$G$1*Variables!$E$50*Variables!$B$17*F244),0)</f>
        <v>0</v>
      </c>
      <c r="P244" s="64">
        <f>IF(AND(AND(B244="Autumn",SUM(D243:E244)&gt;0),NOT(H243=0)),Variables!$B$18*Variables!$E$50+Variables!$B$19*Variables!$E$50*SUM(E243:E244)+$G$1*Variables!$B$19*Variables!$E$50*SUM(D243:D244),0)</f>
        <v>0</v>
      </c>
      <c r="Q244" s="64">
        <f>IF(AND(B244="Autumn",AND((E244+E243)&lt;Variables!$B$20,(D243+D244)=0)),-Variables!$B$21*Variables!$E$50,0)</f>
        <v>0</v>
      </c>
      <c r="R244" s="64">
        <f>IF(B244="Autumn",(SUM(F243:F244)*$G$1*Variables!$B$22*Variables!$E$50),0)</f>
        <v>0</v>
      </c>
      <c r="S244" s="64">
        <f>IF(B244="Spring",($G$1*Variables!$E$50*SUM('Guts (option 1)'!F243:F244)*Variables!$B$23),0)</f>
        <v>0</v>
      </c>
      <c r="T244" s="63">
        <f>IF((H243+SUM(J244:Q244))&lt;(Variables!$B$26*Variables!$E$50),$F$1*((Variables!$B$26*Variables!$E$50)-H243-SUM(J244:Q244)),0)</f>
        <v>0.99820000000000009</v>
      </c>
      <c r="U244" s="64">
        <f>IF(AND(AND(B244="Autumn",SUM(D241:E244)&gt;Variables!$B$27),SUM(J244:Q244)&lt;Variables!$B$28*H243),$F$1*(Variables!$B$28*H243-SUM(J244:Q244)),0)</f>
        <v>0</v>
      </c>
      <c r="V244" s="96">
        <f>IF(AND((J244+K244)=0,(Q244+T244)=0),$H$1*H244*Variables!$I$23*0.25,0)</f>
        <v>0</v>
      </c>
      <c r="W244" s="97">
        <f>IF(AND((K244+J244)=0,(T244+Q244)=0),$I$1*H244*Variables!$Q$23*0.25,0)</f>
        <v>0</v>
      </c>
      <c r="X244" s="95">
        <f>IF(AND(NOT(K244=0),(H244-H243)&gt;0),(H244-H243)*(Variables!$M$5*$H$1+Variables!$U$5*$I$1),0)+IF(AND(NOT((J244+N244+Q244)=0),(H243-H244)&gt;0),(H243-H244)*(Variables!$M$4*$H$1+Variables!$U$4*$I$1),0)</f>
        <v>0</v>
      </c>
      <c r="Y244" s="95">
        <f>IF(SUM(T244,U243:U244)&gt;0,H244*Variables!$Y$11*0.25*(1-$J$1),0)</f>
        <v>0</v>
      </c>
      <c r="Z244" s="95">
        <f>IF(T244=0,H244*$J$1*Variables!$Y$5*0.25,0)</f>
        <v>0</v>
      </c>
      <c r="AA244" s="95">
        <f t="shared" si="7"/>
        <v>0</v>
      </c>
      <c r="AB244" s="91">
        <f>AA244/Variables!$E$49</f>
        <v>0</v>
      </c>
    </row>
    <row r="245" spans="1:28" x14ac:dyDescent="0.25">
      <c r="A245" s="61">
        <f>'Water runs'!C252</f>
        <v>24350</v>
      </c>
      <c r="B245" s="61" t="str">
        <f>'Water runs'!B252</f>
        <v>Winter</v>
      </c>
      <c r="C245" s="54">
        <f>'Water runs'!D252/100</f>
        <v>0.98185714285714298</v>
      </c>
      <c r="D245" s="108">
        <f>VLOOKUP(ROW(D245)+4,'Water runs'!$BS$3:$CF$423,MATCH($B$1,Scenarios,0)+1)</f>
        <v>0</v>
      </c>
      <c r="E245" s="54">
        <f>IF(B245=Variables!$D$8,C245-Variables!$E$8,IF(B245=Variables!$D$9,C245-Variables!$E$9,IF(B245=Variables!$D$10,C245-Variables!$E$10,IF(B245=Variables!$D$11,C245-Variables!$E$11,"ELSE"))))</f>
        <v>0.41008951719576725</v>
      </c>
      <c r="F245" s="108">
        <f>VLOOKUP(ROW(F245)+4,'Water runs'!$CH$3:$CU$423,MATCH($B$1,Scenarios,0)+1)</f>
        <v>0</v>
      </c>
      <c r="G245" s="65">
        <f>H245/Variables!$E$49</f>
        <v>0.161</v>
      </c>
      <c r="H245" s="62">
        <f>IF((H244+I245)&gt;(1.1*Variables!$E$50),(1.1*Variables!$E$50),IF((H244+I245)&gt;0,H244+I245,0))</f>
        <v>0.99820000000000009</v>
      </c>
      <c r="I245" s="64">
        <f t="shared" si="6"/>
        <v>0</v>
      </c>
      <c r="J245" s="63">
        <f>IF(SUM(E241:E244)&lt;Variables!$B$3,-H244,0)</f>
        <v>0</v>
      </c>
      <c r="K245" s="64">
        <f>IF(AND(H244&lt;Variables!$B$6*Variables!$E$50,OR(SUM(D242:D245)&gt;Variables!$B$5,SUM(E242:E245)&gt;Variables!$B$4)),Variables!$B$6*Variables!$E$50+Variables!$B$7*$G$1*Variables!$E$50*SUM(D242:D245),0)</f>
        <v>0</v>
      </c>
      <c r="L245" s="64">
        <f>IF(B245="Winter",Variables!$B$8*H244,0)</f>
        <v>-0.49704894489176149</v>
      </c>
      <c r="M245" s="64">
        <f>IF(AND(B245="Spring",AND(NOT(H244=0),H244&lt;(Variables!$B$9*Variables!$E$50))),(Variables!$B$10*Variables!$E$50+Variables!$B$11*Variables!$E$50*SUM(E242:E245)+$G$1*SUM(D244:D245)*Variables!$E$50*Variables!$B$12),0)</f>
        <v>0</v>
      </c>
      <c r="N245" s="64">
        <f>IF(AND(B245="Spring",AND(SUM(D242:D245)&gt;Variables!$B$13,SUM(D238:D241)&gt;Variables!$B$13)),-Variables!$B$14*Variables!$E$50,0)</f>
        <v>0</v>
      </c>
      <c r="O245" s="64">
        <f>IF(AND(B245="Summer",SUM(C241:D245)&gt;Variables!$B$15),(Variables!$B$16*Variables!$E$50*SUM(C241:C245)+$G$1*Variables!$B$16*Variables!$E$50*SUM(D241:D245)+$G$1*Variables!$E$50*Variables!$B$17*F245),0)</f>
        <v>0</v>
      </c>
      <c r="P245" s="64">
        <f>IF(AND(AND(B245="Autumn",SUM(D244:E245)&gt;0),NOT(H244=0)),Variables!$B$18*Variables!$E$50+Variables!$B$19*Variables!$E$50*SUM(E244:E245)+$G$1*Variables!$B$19*Variables!$E$50*SUM(D244:D245),0)</f>
        <v>0</v>
      </c>
      <c r="Q245" s="64">
        <f>IF(AND(B245="Autumn",AND((E245+E244)&lt;Variables!$B$20,(D244+D245)=0)),-Variables!$B$21*Variables!$E$50,0)</f>
        <v>0</v>
      </c>
      <c r="R245" s="64">
        <f>IF(B245="Autumn",(SUM(F244:F245)*$G$1*Variables!$B$22*Variables!$E$50),0)</f>
        <v>0</v>
      </c>
      <c r="S245" s="64">
        <f>IF(B245="Spring",($G$1*Variables!$E$50*SUM('Guts (option 1)'!F244:F245)*Variables!$B$23),0)</f>
        <v>0</v>
      </c>
      <c r="T245" s="63">
        <f>IF((H244+SUM(J245:Q245))&lt;(Variables!$B$26*Variables!$E$50),$F$1*((Variables!$B$26*Variables!$E$50)-H244-SUM(J245:Q245)),0)</f>
        <v>0.49704894489176149</v>
      </c>
      <c r="U245" s="64">
        <f>IF(AND(AND(B245="Autumn",SUM(D242:E245)&gt;Variables!$B$27),SUM(J245:Q245)&lt;Variables!$B$28*H244),$F$1*(Variables!$B$28*H244-SUM(J245:Q245)),0)</f>
        <v>0</v>
      </c>
      <c r="V245" s="96">
        <f>IF(AND((J245+K245)=0,(Q245+T245)=0),$H$1*H245*Variables!$I$23*0.25,0)</f>
        <v>0</v>
      </c>
      <c r="W245" s="97">
        <f>IF(AND((K245+J245)=0,(T245+Q245)=0),$I$1*H245*Variables!$Q$23*0.25,0)</f>
        <v>0</v>
      </c>
      <c r="X245" s="95">
        <f>IF(AND(NOT(K245=0),(H245-H244)&gt;0),(H245-H244)*(Variables!$M$5*$H$1+Variables!$U$5*$I$1),0)+IF(AND(NOT((J245+N245+Q245)=0),(H244-H245)&gt;0),(H244-H245)*(Variables!$M$4*$H$1+Variables!$U$4*$I$1),0)</f>
        <v>0</v>
      </c>
      <c r="Y245" s="95">
        <f>IF(SUM(T245,U244:U245)&gt;0,H245*Variables!$Y$11*0.25*(1-$J$1),0)</f>
        <v>0</v>
      </c>
      <c r="Z245" s="95">
        <f>IF(T245=0,H245*$J$1*Variables!$Y$5*0.25,0)</f>
        <v>0</v>
      </c>
      <c r="AA245" s="95">
        <f t="shared" si="7"/>
        <v>0</v>
      </c>
      <c r="AB245" s="91">
        <f>AA245/Variables!$E$49</f>
        <v>0</v>
      </c>
    </row>
    <row r="246" spans="1:28" x14ac:dyDescent="0.25">
      <c r="A246" s="61">
        <f>'Water runs'!C253</f>
        <v>24441</v>
      </c>
      <c r="B246" s="61" t="str">
        <f>'Water runs'!B253</f>
        <v>Spring</v>
      </c>
      <c r="C246" s="54">
        <f>'Water runs'!D253/100</f>
        <v>0.77500000000000002</v>
      </c>
      <c r="D246" s="108">
        <f>VLOOKUP(ROW(D246)+4,'Water runs'!$BS$3:$CF$423,MATCH($B$1,Scenarios,0)+1)</f>
        <v>0</v>
      </c>
      <c r="E246" s="54">
        <f>IF(B246=Variables!$D$8,C246-Variables!$E$8,IF(B246=Variables!$D$9,C246-Variables!$E$9,IF(B246=Variables!$D$10,C246-Variables!$E$10,IF(B246=Variables!$D$11,C246-Variables!$E$11,"ELSE"))))</f>
        <v>1.1017791005290878E-2</v>
      </c>
      <c r="F246" s="108">
        <f>VLOOKUP(ROW(F246)+4,'Water runs'!$CH$3:$CU$423,MATCH($B$1,Scenarios,0)+1)</f>
        <v>0</v>
      </c>
      <c r="G246" s="65">
        <f>H246/Variables!$E$49</f>
        <v>0.34681419858797768</v>
      </c>
      <c r="H246" s="62">
        <f>IF((H245+I246)&gt;(1.1*Variables!$E$50),(1.1*Variables!$E$50),IF((H245+I246)&gt;0,H245+I246,0))</f>
        <v>2.1502480312454617</v>
      </c>
      <c r="I246" s="64">
        <f t="shared" si="6"/>
        <v>1.1520480312454615</v>
      </c>
      <c r="J246" s="63">
        <f>IF(SUM(E242:E245)&lt;Variables!$B$3,-H245,0)</f>
        <v>0</v>
      </c>
      <c r="K246" s="64">
        <f>IF(AND(H245&lt;Variables!$B$6*Variables!$E$50,OR(SUM(D243:D246)&gt;Variables!$B$5,SUM(E243:E246)&gt;Variables!$B$4)),Variables!$B$6*Variables!$E$50+Variables!$B$7*$G$1*Variables!$E$50*SUM(D243:D246),0)</f>
        <v>1.1409898165564698</v>
      </c>
      <c r="L246" s="64">
        <f>IF(B246="Winter",Variables!$B$8*H245,0)</f>
        <v>0</v>
      </c>
      <c r="M246" s="64">
        <f>IF(AND(B246="Spring",AND(NOT(H245=0),H245&lt;(Variables!$B$9*Variables!$E$50))),(Variables!$B$10*Variables!$E$50+Variables!$B$11*Variables!$E$50*SUM(E243:E246)+$G$1*SUM(D245:D246)*Variables!$E$50*Variables!$B$12),0)</f>
        <v>1.1058214688991642E-2</v>
      </c>
      <c r="N246" s="64">
        <f>IF(AND(B246="Spring",AND(SUM(D243:D246)&gt;Variables!$B$13,SUM(D239:D242)&gt;Variables!$B$13)),-Variables!$B$14*Variables!$E$50,0)</f>
        <v>0</v>
      </c>
      <c r="O246" s="64">
        <f>IF(AND(B246="Summer",SUM(C242:D246)&gt;Variables!$B$15),(Variables!$B$16*Variables!$E$50*SUM(C242:C246)+$G$1*Variables!$B$16*Variables!$E$50*SUM(D242:D246)+$G$1*Variables!$E$50*Variables!$B$17*F246),0)</f>
        <v>0</v>
      </c>
      <c r="P246" s="64">
        <f>IF(AND(AND(B246="Autumn",SUM(D245:E246)&gt;0),NOT(H245=0)),Variables!$B$18*Variables!$E$50+Variables!$B$19*Variables!$E$50*SUM(E245:E246)+$G$1*Variables!$B$19*Variables!$E$50*SUM(D245:D246),0)</f>
        <v>0</v>
      </c>
      <c r="Q246" s="64">
        <f>IF(AND(B246="Autumn",AND((E246+E245)&lt;Variables!$B$20,(D245+D246)=0)),-Variables!$B$21*Variables!$E$50,0)</f>
        <v>0</v>
      </c>
      <c r="R246" s="64">
        <f>IF(B246="Autumn",(SUM(F245:F246)*$G$1*Variables!$B$22*Variables!$E$50),0)</f>
        <v>0</v>
      </c>
      <c r="S246" s="64">
        <f>IF(B246="Spring",($G$1*Variables!$E$50*SUM('Guts (option 1)'!F245:F246)*Variables!$B$23),0)</f>
        <v>0</v>
      </c>
      <c r="T246" s="63">
        <f>IF((H245+SUM(J246:Q246))&lt;(Variables!$B$26*Variables!$E$50),$F$1*((Variables!$B$26*Variables!$E$50)-H245-SUM(J246:Q246)),0)</f>
        <v>0</v>
      </c>
      <c r="U246" s="64">
        <f>IF(AND(AND(B246="Autumn",SUM(D243:E246)&gt;Variables!$B$27),SUM(J246:Q246)&lt;Variables!$B$28*H245),$F$1*(Variables!$B$28*H245-SUM(J246:Q246)),0)</f>
        <v>0</v>
      </c>
      <c r="V246" s="96">
        <f>IF(AND((J246+K246)=0,(Q246+T246)=0),$H$1*H246*Variables!$I$23*0.25,0)</f>
        <v>0</v>
      </c>
      <c r="W246" s="97">
        <f>IF(AND((K246+J246)=0,(T246+Q246)=0),$I$1*H246*Variables!$Q$23*0.25,0)</f>
        <v>0</v>
      </c>
      <c r="X246" s="95">
        <f>IF(AND(NOT(K246=0),(H246-H245)&gt;0),(H246-H245)*(Variables!$M$5*$H$1+Variables!$U$5*$I$1),0)+IF(AND(NOT((J246+N246+Q246)=0),(H245-H246)&gt;0),(H245-H246)*(Variables!$M$4*$H$1+Variables!$U$4*$I$1),0)</f>
        <v>-288.01200781136538</v>
      </c>
      <c r="Y246" s="95">
        <f>IF(SUM(T246,U245:U246)&gt;0,H246*Variables!$Y$11*0.25*(1-$J$1),0)</f>
        <v>0</v>
      </c>
      <c r="Z246" s="95">
        <f>IF(T246=0,H246*$J$1*Variables!$Y$5*0.25,0)</f>
        <v>13.976612203095501</v>
      </c>
      <c r="AA246" s="95">
        <f t="shared" si="7"/>
        <v>-274.03539560826988</v>
      </c>
      <c r="AB246" s="91">
        <f>AA246/Variables!$E$49</f>
        <v>-44.199257356172559</v>
      </c>
    </row>
    <row r="247" spans="1:28" x14ac:dyDescent="0.25">
      <c r="A247" s="61">
        <f>'Water runs'!C254</f>
        <v>24531</v>
      </c>
      <c r="B247" s="61" t="str">
        <f>'Water runs'!B254</f>
        <v>Summer</v>
      </c>
      <c r="C247" s="54">
        <f>'Water runs'!D254/100</f>
        <v>0.78137500000000004</v>
      </c>
      <c r="D247" s="108">
        <f>VLOOKUP(ROW(D247)+4,'Water runs'!$BS$3:$CF$423,MATCH($B$1,Scenarios,0)+1)</f>
        <v>0</v>
      </c>
      <c r="E247" s="54">
        <f>IF(B247=Variables!$D$8,C247-Variables!$E$8,IF(B247=Variables!$D$9,C247-Variables!$E$9,IF(B247=Variables!$D$10,C247-Variables!$E$10,IF(B247=Variables!$D$11,C247-Variables!$E$11,"ELSE"))))</f>
        <v>-0.47699513605442168</v>
      </c>
      <c r="F247" s="108">
        <f>VLOOKUP(ROW(F247)+4,'Water runs'!$CH$3:$CU$423,MATCH($B$1,Scenarios,0)+1)</f>
        <v>0</v>
      </c>
      <c r="G247" s="65">
        <f>H247/Variables!$E$49</f>
        <v>0.34681419858797768</v>
      </c>
      <c r="H247" s="62">
        <f>IF((H246+I247)&gt;(1.1*Variables!$E$50),(1.1*Variables!$E$50),IF((H246+I247)&gt;0,H246+I247,0))</f>
        <v>2.1502480312454617</v>
      </c>
      <c r="I247" s="64">
        <f t="shared" si="6"/>
        <v>0</v>
      </c>
      <c r="J247" s="63">
        <f>IF(SUM(E243:E246)&lt;Variables!$B$3,-H246,0)</f>
        <v>0</v>
      </c>
      <c r="K247" s="64">
        <f>IF(AND(H246&lt;Variables!$B$6*Variables!$E$50,OR(SUM(D244:D247)&gt;Variables!$B$5,SUM(E244:E247)&gt;Variables!$B$4)),Variables!$B$6*Variables!$E$50+Variables!$B$7*$G$1*Variables!$E$50*SUM(D244:D247),0)</f>
        <v>0</v>
      </c>
      <c r="L247" s="64">
        <f>IF(B247="Winter",Variables!$B$8*H246,0)</f>
        <v>0</v>
      </c>
      <c r="M247" s="64">
        <f>IF(AND(B247="Spring",AND(NOT(H246=0),H246&lt;(Variables!$B$9*Variables!$E$50))),(Variables!$B$10*Variables!$E$50+Variables!$B$11*Variables!$E$50*SUM(E244:E247)+$G$1*SUM(D246:D247)*Variables!$E$50*Variables!$B$12),0)</f>
        <v>0</v>
      </c>
      <c r="N247" s="64">
        <f>IF(AND(B247="Spring",AND(SUM(D244:D247)&gt;Variables!$B$13,SUM(D240:D243)&gt;Variables!$B$13)),-Variables!$B$14*Variables!$E$50,0)</f>
        <v>0</v>
      </c>
      <c r="O247" s="64">
        <f>IF(AND(B247="Summer",SUM(C243:D247)&gt;Variables!$B$15),(Variables!$B$16*Variables!$E$50*SUM(C243:C247)+$G$1*Variables!$B$16*Variables!$E$50*SUM(D243:D247)+$G$1*Variables!$E$50*Variables!$B$17*F247),0)</f>
        <v>0</v>
      </c>
      <c r="P247" s="64">
        <f>IF(AND(AND(B247="Autumn",SUM(D246:E247)&gt;0),NOT(H246=0)),Variables!$B$18*Variables!$E$50+Variables!$B$19*Variables!$E$50*SUM(E246:E247)+$G$1*Variables!$B$19*Variables!$E$50*SUM(D246:D247),0)</f>
        <v>0</v>
      </c>
      <c r="Q247" s="64">
        <f>IF(AND(B247="Autumn",AND((E247+E246)&lt;Variables!$B$20,(D246+D247)=0)),-Variables!$B$21*Variables!$E$50,0)</f>
        <v>0</v>
      </c>
      <c r="R247" s="64">
        <f>IF(B247="Autumn",(SUM(F246:F247)*$G$1*Variables!$B$22*Variables!$E$50),0)</f>
        <v>0</v>
      </c>
      <c r="S247" s="64">
        <f>IF(B247="Spring",($G$1*Variables!$E$50*SUM('Guts (option 1)'!F246:F247)*Variables!$B$23),0)</f>
        <v>0</v>
      </c>
      <c r="T247" s="63">
        <f>IF((H246+SUM(J247:Q247))&lt;(Variables!$B$26*Variables!$E$50),$F$1*((Variables!$B$26*Variables!$E$50)-H246-SUM(J247:Q247)),0)</f>
        <v>0</v>
      </c>
      <c r="U247" s="64">
        <f>IF(AND(AND(B247="Autumn",SUM(D244:E247)&gt;Variables!$B$27),SUM(J247:Q247)&lt;Variables!$B$28*H246),$F$1*(Variables!$B$28*H246-SUM(J247:Q247)),0)</f>
        <v>0</v>
      </c>
      <c r="V247" s="96">
        <f>IF(AND((J247+K247)=0,(Q247+T247)=0),$H$1*H247*Variables!$I$23*0.25,0)</f>
        <v>41.435602099304738</v>
      </c>
      <c r="W247" s="97">
        <f>IF(AND((K247+J247)=0,(T247+Q247)=0),$I$1*H247*Variables!$Q$23*0.25,0)</f>
        <v>43.372115476244396</v>
      </c>
      <c r="X247" s="95">
        <f>IF(AND(NOT(K247=0),(H247-H246)&gt;0),(H247-H246)*(Variables!$M$5*$H$1+Variables!$U$5*$I$1),0)+IF(AND(NOT((J247+N247+Q247)=0),(H246-H247)&gt;0),(H246-H247)*(Variables!$M$4*$H$1+Variables!$U$4*$I$1),0)</f>
        <v>0</v>
      </c>
      <c r="Y247" s="95">
        <f>IF(SUM(T247,U246:U247)&gt;0,H247*Variables!$Y$11*0.25*(1-$J$1),0)</f>
        <v>0</v>
      </c>
      <c r="Z247" s="95">
        <f>IF(T247=0,H247*$J$1*Variables!$Y$5*0.25,0)</f>
        <v>13.976612203095501</v>
      </c>
      <c r="AA247" s="95">
        <f t="shared" si="7"/>
        <v>98.784329778644633</v>
      </c>
      <c r="AB247" s="91">
        <f>AA247/Variables!$E$49</f>
        <v>15.932956415910423</v>
      </c>
    </row>
    <row r="248" spans="1:28" x14ac:dyDescent="0.25">
      <c r="A248" s="61">
        <f>'Water runs'!C255</f>
        <v>24623</v>
      </c>
      <c r="B248" s="61" t="str">
        <f>'Water runs'!B255</f>
        <v>Autumn</v>
      </c>
      <c r="C248" s="54">
        <f>'Water runs'!D255/100</f>
        <v>1.6096250000000001</v>
      </c>
      <c r="D248" s="108">
        <f>VLOOKUP(ROW(D248)+4,'Water runs'!$BS$3:$CF$423,MATCH($B$1,Scenarios,0)+1)</f>
        <v>0</v>
      </c>
      <c r="E248" s="54">
        <f>IF(B248=Variables!$D$8,C248-Variables!$E$8,IF(B248=Variables!$D$9,C248-Variables!$E$9,IF(B248=Variables!$D$10,C248-Variables!$E$10,IF(B248=Variables!$D$11,C248-Variables!$E$11,"ELSE"))))</f>
        <v>0.61498170068027225</v>
      </c>
      <c r="F248" s="108">
        <f>VLOOKUP(ROW(F248)+4,'Water runs'!$CH$3:$CU$423,MATCH($B$1,Scenarios,0)+1)</f>
        <v>0</v>
      </c>
      <c r="G248" s="65">
        <f>H248/Variables!$E$49</f>
        <v>0.45457583505911681</v>
      </c>
      <c r="H248" s="62">
        <f>IF((H247+I248)&gt;(1.1*Variables!$E$50),(1.1*Variables!$E$50),IF((H247+I248)&gt;0,H247+I248,0))</f>
        <v>2.8183701773665244</v>
      </c>
      <c r="I248" s="64">
        <f t="shared" si="6"/>
        <v>0.66812214612106269</v>
      </c>
      <c r="J248" s="63">
        <f>IF(SUM(E244:E247)&lt;Variables!$B$3,-H247,0)</f>
        <v>0</v>
      </c>
      <c r="K248" s="64">
        <f>IF(AND(H247&lt;Variables!$B$6*Variables!$E$50,OR(SUM(D245:D248)&gt;Variables!$B$5,SUM(E245:E248)&gt;Variables!$B$4)),Variables!$B$6*Variables!$E$50+Variables!$B$7*$G$1*Variables!$E$50*SUM(D245:D248),0)</f>
        <v>0</v>
      </c>
      <c r="L248" s="64">
        <f>IF(B248="Winter",Variables!$B$8*H247,0)</f>
        <v>0</v>
      </c>
      <c r="M248" s="64">
        <f>IF(AND(B248="Spring",AND(NOT(H247=0),H247&lt;(Variables!$B$9*Variables!$E$50))),(Variables!$B$10*Variables!$E$50+Variables!$B$11*Variables!$E$50*SUM(E245:E248)+$G$1*SUM(D247:D248)*Variables!$E$50*Variables!$B$12),0)</f>
        <v>0</v>
      </c>
      <c r="N248" s="64">
        <f>IF(AND(B248="Spring",AND(SUM(D245:D248)&gt;Variables!$B$13,SUM(D241:D244)&gt;Variables!$B$13)),-Variables!$B$14*Variables!$E$50,0)</f>
        <v>0</v>
      </c>
      <c r="O248" s="64">
        <f>IF(AND(B248="Summer",SUM(C244:D248)&gt;Variables!$B$15),(Variables!$B$16*Variables!$E$50*SUM(C244:C248)+$G$1*Variables!$B$16*Variables!$E$50*SUM(D244:D248)+$G$1*Variables!$E$50*Variables!$B$17*F248),0)</f>
        <v>0</v>
      </c>
      <c r="P248" s="64">
        <f>IF(AND(AND(B248="Autumn",SUM(D247:E248)&gt;0),NOT(H247=0)),Variables!$B$18*Variables!$E$50+Variables!$B$19*Variables!$E$50*SUM(E247:E248)+$G$1*Variables!$B$19*Variables!$E$50*SUM(D247:D248),0)</f>
        <v>0.66812214612106269</v>
      </c>
      <c r="Q248" s="64">
        <f>IF(AND(B248="Autumn",AND((E248+E247)&lt;Variables!$B$20,(D247+D248)=0)),-Variables!$B$21*Variables!$E$50,0)</f>
        <v>0</v>
      </c>
      <c r="R248" s="64">
        <f>IF(B248="Autumn",(SUM(F247:F248)*$G$1*Variables!$B$22*Variables!$E$50),0)</f>
        <v>0</v>
      </c>
      <c r="S248" s="64">
        <f>IF(B248="Spring",($G$1*Variables!$E$50*SUM('Guts (option 1)'!F247:F248)*Variables!$B$23),0)</f>
        <v>0</v>
      </c>
      <c r="T248" s="63">
        <f>IF((H247+SUM(J248:Q248))&lt;(Variables!$B$26*Variables!$E$50),$F$1*((Variables!$B$26*Variables!$E$50)-H247-SUM(J248:Q248)),0)</f>
        <v>0</v>
      </c>
      <c r="U248" s="64">
        <f>IF(AND(AND(B248="Autumn",SUM(D245:E248)&gt;Variables!$B$27),SUM(J248:Q248)&lt;Variables!$B$28*H247),$F$1*(Variables!$B$28*H247-SUM(J248:Q248)),0)</f>
        <v>0</v>
      </c>
      <c r="V248" s="96">
        <f>IF(AND((J248+K248)=0,(Q248+T248)=0),$H$1*H248*Variables!$I$23*0.25,0)</f>
        <v>54.310416073379535</v>
      </c>
      <c r="W248" s="97">
        <f>IF(AND((K248+J248)=0,(T248+Q248)=0),$I$1*H248*Variables!$Q$23*0.25,0)</f>
        <v>56.848640255115818</v>
      </c>
      <c r="X248" s="95">
        <f>IF(AND(NOT(K248=0),(H248-H247)&gt;0),(H248-H247)*(Variables!$M$5*$H$1+Variables!$U$5*$I$1),0)+IF(AND(NOT((J248+N248+Q248)=0),(H247-H248)&gt;0),(H247-H248)*(Variables!$M$4*$H$1+Variables!$U$4*$I$1),0)</f>
        <v>0</v>
      </c>
      <c r="Y248" s="95">
        <f>IF(SUM(T248,U247:U248)&gt;0,H248*Variables!$Y$11*0.25*(1-$J$1),0)</f>
        <v>0</v>
      </c>
      <c r="Z248" s="95">
        <f>IF(T248=0,H248*$J$1*Variables!$Y$5*0.25,0)</f>
        <v>18.319406152882408</v>
      </c>
      <c r="AA248" s="95">
        <f t="shared" si="7"/>
        <v>129.47846248137776</v>
      </c>
      <c r="AB248" s="91">
        <f>AA248/Variables!$E$49</f>
        <v>20.883622980867379</v>
      </c>
    </row>
    <row r="249" spans="1:28" x14ac:dyDescent="0.25">
      <c r="A249" s="61">
        <f>'Water runs'!C256</f>
        <v>24715</v>
      </c>
      <c r="B249" s="61" t="str">
        <f>'Water runs'!B256</f>
        <v>Winter</v>
      </c>
      <c r="C249" s="54">
        <f>'Water runs'!D256/100</f>
        <v>0.27708928571428598</v>
      </c>
      <c r="D249" s="108">
        <f>VLOOKUP(ROW(D249)+4,'Water runs'!$BS$3:$CF$423,MATCH($B$1,Scenarios,0)+1)</f>
        <v>3.0120586861336987E-3</v>
      </c>
      <c r="E249" s="54">
        <f>IF(B249=Variables!$D$8,C249-Variables!$E$8,IF(B249=Variables!$D$9,C249-Variables!$E$9,IF(B249=Variables!$D$10,C249-Variables!$E$10,IF(B249=Variables!$D$11,C249-Variables!$E$11,"ELSE"))))</f>
        <v>-0.29467833994708975</v>
      </c>
      <c r="F249" s="108">
        <f>VLOOKUP(ROW(F249)+4,'Water runs'!$CH$3:$CU$423,MATCH($B$1,Scenarios,0)+1)</f>
        <v>0</v>
      </c>
      <c r="G249" s="65">
        <f>H249/Variables!$E$49</f>
        <v>0.2282219588925917</v>
      </c>
      <c r="H249" s="62">
        <f>IF((H248+I249)&gt;(1.1*Variables!$E$50),(1.1*Variables!$E$50),IF((H248+I249)&gt;0,H248+I249,0))</f>
        <v>1.4149761451340686</v>
      </c>
      <c r="I249" s="64">
        <f t="shared" si="6"/>
        <v>-1.4033940322324558</v>
      </c>
      <c r="J249" s="63">
        <f>IF(SUM(E245:E248)&lt;Variables!$B$3,-H248,0)</f>
        <v>0</v>
      </c>
      <c r="K249" s="64">
        <f>IF(AND(H248&lt;Variables!$B$6*Variables!$E$50,OR(SUM(D246:D249)&gt;Variables!$B$5,SUM(E246:E249)&gt;Variables!$B$4)),Variables!$B$6*Variables!$E$50+Variables!$B$7*$G$1*Variables!$E$50*SUM(D246:D249),0)</f>
        <v>0</v>
      </c>
      <c r="L249" s="64">
        <f>IF(B249="Winter",Variables!$B$8*H248,0)</f>
        <v>-1.4033940322324558</v>
      </c>
      <c r="M249" s="64">
        <f>IF(AND(B249="Spring",AND(NOT(H248=0),H248&lt;(Variables!$B$9*Variables!$E$50))),(Variables!$B$10*Variables!$E$50+Variables!$B$11*Variables!$E$50*SUM(E246:E249)+$G$1*SUM(D248:D249)*Variables!$E$50*Variables!$B$12),0)</f>
        <v>0</v>
      </c>
      <c r="N249" s="64">
        <f>IF(AND(B249="Spring",AND(SUM(D246:D249)&gt;Variables!$B$13,SUM(D242:D245)&gt;Variables!$B$13)),-Variables!$B$14*Variables!$E$50,0)</f>
        <v>0</v>
      </c>
      <c r="O249" s="64">
        <f>IF(AND(B249="Summer",SUM(C245:D249)&gt;Variables!$B$15),(Variables!$B$16*Variables!$E$50*SUM(C245:C249)+$G$1*Variables!$B$16*Variables!$E$50*SUM(D245:D249)+$G$1*Variables!$E$50*Variables!$B$17*F249),0)</f>
        <v>0</v>
      </c>
      <c r="P249" s="64">
        <f>IF(AND(AND(B249="Autumn",SUM(D248:E249)&gt;0),NOT(H248=0)),Variables!$B$18*Variables!$E$50+Variables!$B$19*Variables!$E$50*SUM(E248:E249)+$G$1*Variables!$B$19*Variables!$E$50*SUM(D248:D249),0)</f>
        <v>0</v>
      </c>
      <c r="Q249" s="64">
        <f>IF(AND(B249="Autumn",AND((E249+E248)&lt;Variables!$B$20,(D248+D249)=0)),-Variables!$B$21*Variables!$E$50,0)</f>
        <v>0</v>
      </c>
      <c r="R249" s="64">
        <f>IF(B249="Autumn",(SUM(F248:F249)*$G$1*Variables!$B$22*Variables!$E$50),0)</f>
        <v>0</v>
      </c>
      <c r="S249" s="64">
        <f>IF(B249="Spring",($G$1*Variables!$E$50*SUM('Guts (option 1)'!F248:F249)*Variables!$B$23),0)</f>
        <v>0</v>
      </c>
      <c r="T249" s="63">
        <f>IF((H248+SUM(J249:Q249))&lt;(Variables!$B$26*Variables!$E$50),$F$1*((Variables!$B$26*Variables!$E$50)-H248-SUM(J249:Q249)),0)</f>
        <v>0</v>
      </c>
      <c r="U249" s="64">
        <f>IF(AND(AND(B249="Autumn",SUM(D246:E249)&gt;Variables!$B$27),SUM(J249:Q249)&lt;Variables!$B$28*H248),$F$1*(Variables!$B$28*H248-SUM(J249:Q249)),0)</f>
        <v>0</v>
      </c>
      <c r="V249" s="96">
        <f>IF(AND((J249+K249)=0,(Q249+T249)=0),$H$1*H249*Variables!$I$23*0.25,0)</f>
        <v>27.266802563155274</v>
      </c>
      <c r="W249" s="97">
        <f>IF(AND((K249+J249)=0,(T249+Q249)=0),$I$1*H249*Variables!$Q$23*0.25,0)</f>
        <v>28.541130079463009</v>
      </c>
      <c r="X249" s="95">
        <f>IF(AND(NOT(K249=0),(H249-H248)&gt;0),(H249-H248)*(Variables!$M$5*$H$1+Variables!$U$5*$I$1),0)+IF(AND(NOT((J249+N249+Q249)=0),(H248-H249)&gt;0),(H248-H249)*(Variables!$M$4*$H$1+Variables!$U$4*$I$1),0)</f>
        <v>0</v>
      </c>
      <c r="Y249" s="95">
        <f>IF(SUM(T249,U248:U249)&gt;0,H249*Variables!$Y$11*0.25*(1-$J$1),0)</f>
        <v>0</v>
      </c>
      <c r="Z249" s="95">
        <f>IF(T249=0,H249*$J$1*Variables!$Y$5*0.25,0)</f>
        <v>9.197344943371446</v>
      </c>
      <c r="AA249" s="95">
        <f t="shared" si="7"/>
        <v>65.005277585989731</v>
      </c>
      <c r="AB249" s="91">
        <f>AA249/Variables!$E$49</f>
        <v>10.484722191288666</v>
      </c>
    </row>
    <row r="250" spans="1:28" x14ac:dyDescent="0.25">
      <c r="A250" s="61">
        <f>'Water runs'!C257</f>
        <v>24806</v>
      </c>
      <c r="B250" s="61" t="str">
        <f>'Water runs'!B257</f>
        <v>Spring</v>
      </c>
      <c r="C250" s="54">
        <f>'Water runs'!D257/100</f>
        <v>0</v>
      </c>
      <c r="D250" s="108">
        <f>VLOOKUP(ROW(D250)+4,'Water runs'!$BS$3:$CF$423,MATCH($B$1,Scenarios,0)+1)</f>
        <v>0</v>
      </c>
      <c r="E250" s="54">
        <f>IF(B250=Variables!$D$8,C250-Variables!$E$8,IF(B250=Variables!$D$9,C250-Variables!$E$9,IF(B250=Variables!$D$10,C250-Variables!$E$10,IF(B250=Variables!$D$11,C250-Variables!$E$11,"ELSE"))))</f>
        <v>-0.76398220899470914</v>
      </c>
      <c r="F250" s="108">
        <f>VLOOKUP(ROW(F250)+4,'Water runs'!$CH$3:$CU$423,MATCH($B$1,Scenarios,0)+1)</f>
        <v>0</v>
      </c>
      <c r="G250" s="65">
        <f>H250/Variables!$E$49</f>
        <v>0.161</v>
      </c>
      <c r="H250" s="62">
        <f>IF((H249+I250)&gt;(1.1*Variables!$E$50),(1.1*Variables!$E$50),IF((H249+I250)&gt;0,H249+I250,0))</f>
        <v>0.99820000000000009</v>
      </c>
      <c r="I250" s="64">
        <f t="shared" si="6"/>
        <v>-0.41677614513406847</v>
      </c>
      <c r="J250" s="63">
        <f>IF(SUM(E246:E249)&lt;Variables!$B$3,-H249,0)</f>
        <v>0</v>
      </c>
      <c r="K250" s="64">
        <f>IF(AND(H249&lt;Variables!$B$6*Variables!$E$50,OR(SUM(D247:D250)&gt;Variables!$B$5,SUM(E247:E250)&gt;Variables!$B$4)),Variables!$B$6*Variables!$E$50+Variables!$B$7*$G$1*Variables!$E$50*SUM(D247:D250),0)</f>
        <v>0</v>
      </c>
      <c r="L250" s="64">
        <f>IF(B250="Winter",Variables!$B$8*H249,0)</f>
        <v>0</v>
      </c>
      <c r="M250" s="64">
        <f>IF(AND(B250="Spring",AND(NOT(H249=0),H249&lt;(Variables!$B$9*Variables!$E$50))),(Variables!$B$10*Variables!$E$50+Variables!$B$11*Variables!$E$50*SUM(E247:E250)+$G$1*SUM(D249:D250)*Variables!$E$50*Variables!$B$12),0)</f>
        <v>-0.62592557232527568</v>
      </c>
      <c r="N250" s="64">
        <f>IF(AND(B250="Spring",AND(SUM(D247:D250)&gt;Variables!$B$13,SUM(D243:D246)&gt;Variables!$B$13)),-Variables!$B$14*Variables!$E$50,0)</f>
        <v>0</v>
      </c>
      <c r="O250" s="64">
        <f>IF(AND(B250="Summer",SUM(C246:D250)&gt;Variables!$B$15),(Variables!$B$16*Variables!$E$50*SUM(C246:C250)+$G$1*Variables!$B$16*Variables!$E$50*SUM(D246:D250)+$G$1*Variables!$E$50*Variables!$B$17*F250),0)</f>
        <v>0</v>
      </c>
      <c r="P250" s="64">
        <f>IF(AND(AND(B250="Autumn",SUM(D249:E250)&gt;0),NOT(H249=0)),Variables!$B$18*Variables!$E$50+Variables!$B$19*Variables!$E$50*SUM(E249:E250)+$G$1*Variables!$B$19*Variables!$E$50*SUM(D249:D250),0)</f>
        <v>0</v>
      </c>
      <c r="Q250" s="64">
        <f>IF(AND(B250="Autumn",AND((E250+E249)&lt;Variables!$B$20,(D249+D250)=0)),-Variables!$B$21*Variables!$E$50,0)</f>
        <v>0</v>
      </c>
      <c r="R250" s="64">
        <f>IF(B250="Autumn",(SUM(F249:F250)*$G$1*Variables!$B$22*Variables!$E$50),0)</f>
        <v>0</v>
      </c>
      <c r="S250" s="64">
        <f>IF(B250="Spring",($G$1*Variables!$E$50*SUM('Guts (option 1)'!F249:F250)*Variables!$B$23),0)</f>
        <v>0</v>
      </c>
      <c r="T250" s="63">
        <f>IF((H249+SUM(J250:Q250))&lt;(Variables!$B$26*Variables!$E$50),$F$1*((Variables!$B$26*Variables!$E$50)-H249-SUM(J250:Q250)),0)</f>
        <v>0.20914942719120722</v>
      </c>
      <c r="U250" s="64">
        <f>IF(AND(AND(B250="Autumn",SUM(D247:E250)&gt;Variables!$B$27),SUM(J250:Q250)&lt;Variables!$B$28*H249),$F$1*(Variables!$B$28*H249-SUM(J250:Q250)),0)</f>
        <v>0</v>
      </c>
      <c r="V250" s="96">
        <f>IF(AND((J250+K250)=0,(Q250+T250)=0),$H$1*H250*Variables!$I$23*0.25,0)</f>
        <v>0</v>
      </c>
      <c r="W250" s="97">
        <f>IF(AND((K250+J250)=0,(T250+Q250)=0),$I$1*H250*Variables!$Q$23*0.25,0)</f>
        <v>0</v>
      </c>
      <c r="X250" s="95">
        <f>IF(AND(NOT(K250=0),(H250-H249)&gt;0),(H250-H249)*(Variables!$M$5*$H$1+Variables!$U$5*$I$1),0)+IF(AND(NOT((J250+N250+Q250)=0),(H249-H250)&gt;0),(H249-H250)*(Variables!$M$4*$H$1+Variables!$U$4*$I$1),0)</f>
        <v>0</v>
      </c>
      <c r="Y250" s="95">
        <f>IF(SUM(T250,U249:U250)&gt;0,H250*Variables!$Y$11*0.25*(1-$J$1),0)</f>
        <v>0</v>
      </c>
      <c r="Z250" s="95">
        <f>IF(T250=0,H250*$J$1*Variables!$Y$5*0.25,0)</f>
        <v>0</v>
      </c>
      <c r="AA250" s="95">
        <f t="shared" si="7"/>
        <v>0</v>
      </c>
      <c r="AB250" s="91">
        <f>AA250/Variables!$E$49</f>
        <v>0</v>
      </c>
    </row>
    <row r="251" spans="1:28" x14ac:dyDescent="0.25">
      <c r="A251" s="61">
        <f>'Water runs'!C258</f>
        <v>24896</v>
      </c>
      <c r="B251" s="61" t="str">
        <f>'Water runs'!B258</f>
        <v>Summer</v>
      </c>
      <c r="C251" s="54">
        <f>'Water runs'!D258/100</f>
        <v>1.78525</v>
      </c>
      <c r="D251" s="108">
        <f>VLOOKUP(ROW(D251)+4,'Water runs'!$BS$3:$CF$423,MATCH($B$1,Scenarios,0)+1)</f>
        <v>0</v>
      </c>
      <c r="E251" s="54">
        <f>IF(B251=Variables!$D$8,C251-Variables!$E$8,IF(B251=Variables!$D$9,C251-Variables!$E$9,IF(B251=Variables!$D$10,C251-Variables!$E$10,IF(B251=Variables!$D$11,C251-Variables!$E$11,"ELSE"))))</f>
        <v>0.52687986394557829</v>
      </c>
      <c r="F251" s="108">
        <f>VLOOKUP(ROW(F251)+4,'Water runs'!$CH$3:$CU$423,MATCH($B$1,Scenarios,0)+1)</f>
        <v>0</v>
      </c>
      <c r="G251" s="65">
        <f>H251/Variables!$E$49</f>
        <v>0.34502552102839451</v>
      </c>
      <c r="H251" s="62">
        <f>IF((H250+I251)&gt;(1.1*Variables!$E$50),(1.1*Variables!$E$50),IF((H250+I251)&gt;0,H250+I251,0))</f>
        <v>2.1391582303760459</v>
      </c>
      <c r="I251" s="64">
        <f t="shared" si="6"/>
        <v>1.1409582303760459</v>
      </c>
      <c r="J251" s="63">
        <f>IF(SUM(E247:E250)&lt;Variables!$B$3,-H250,0)</f>
        <v>0</v>
      </c>
      <c r="K251" s="64">
        <f>IF(AND(H250&lt;Variables!$B$6*Variables!$E$50,OR(SUM(D248:D251)&gt;Variables!$B$5,SUM(E248:E251)&gt;Variables!$B$4)),Variables!$B$6*Variables!$E$50+Variables!$B$7*$G$1*Variables!$E$50*SUM(D248:D251),0)</f>
        <v>1.1409582303760459</v>
      </c>
      <c r="L251" s="64">
        <f>IF(B251="Winter",Variables!$B$8*H250,0)</f>
        <v>0</v>
      </c>
      <c r="M251" s="64">
        <f>IF(AND(B251="Spring",AND(NOT(H250=0),H250&lt;(Variables!$B$9*Variables!$E$50))),(Variables!$B$10*Variables!$E$50+Variables!$B$11*Variables!$E$50*SUM(E248:E251)+$G$1*SUM(D250:D251)*Variables!$E$50*Variables!$B$12),0)</f>
        <v>0</v>
      </c>
      <c r="N251" s="64">
        <f>IF(AND(B251="Spring",AND(SUM(D248:D251)&gt;Variables!$B$13,SUM(D244:D247)&gt;Variables!$B$13)),-Variables!$B$14*Variables!$E$50,0)</f>
        <v>0</v>
      </c>
      <c r="O251" s="64">
        <f>IF(AND(B251="Summer",SUM(C247:D251)&gt;Variables!$B$15),(Variables!$B$16*Variables!$E$50*SUM(C247:C251)+$G$1*Variables!$B$16*Variables!$E$50*SUM(D247:D251)+$G$1*Variables!$E$50*Variables!$B$17*F251),0)</f>
        <v>0</v>
      </c>
      <c r="P251" s="64">
        <f>IF(AND(AND(B251="Autumn",SUM(D250:E251)&gt;0),NOT(H250=0)),Variables!$B$18*Variables!$E$50+Variables!$B$19*Variables!$E$50*SUM(E250:E251)+$G$1*Variables!$B$19*Variables!$E$50*SUM(D250:D251),0)</f>
        <v>0</v>
      </c>
      <c r="Q251" s="64">
        <f>IF(AND(B251="Autumn",AND((E251+E250)&lt;Variables!$B$20,(D250+D251)=0)),-Variables!$B$21*Variables!$E$50,0)</f>
        <v>0</v>
      </c>
      <c r="R251" s="64">
        <f>IF(B251="Autumn",(SUM(F250:F251)*$G$1*Variables!$B$22*Variables!$E$50),0)</f>
        <v>0</v>
      </c>
      <c r="S251" s="64">
        <f>IF(B251="Spring",($G$1*Variables!$E$50*SUM('Guts (option 1)'!F250:F251)*Variables!$B$23),0)</f>
        <v>0</v>
      </c>
      <c r="T251" s="63">
        <f>IF((H250+SUM(J251:Q251))&lt;(Variables!$B$26*Variables!$E$50),$F$1*((Variables!$B$26*Variables!$E$50)-H250-SUM(J251:Q251)),0)</f>
        <v>0</v>
      </c>
      <c r="U251" s="64">
        <f>IF(AND(AND(B251="Autumn",SUM(D248:E251)&gt;Variables!$B$27),SUM(J251:Q251)&lt;Variables!$B$28*H250),$F$1*(Variables!$B$28*H250-SUM(J251:Q251)),0)</f>
        <v>0</v>
      </c>
      <c r="V251" s="96">
        <f>IF(AND((J251+K251)=0,(Q251+T251)=0),$H$1*H251*Variables!$I$23*0.25,0)</f>
        <v>0</v>
      </c>
      <c r="W251" s="97">
        <f>IF(AND((K251+J251)=0,(T251+Q251)=0),$I$1*H251*Variables!$Q$23*0.25,0)</f>
        <v>0</v>
      </c>
      <c r="X251" s="95">
        <f>IF(AND(NOT(K251=0),(H251-H250)&gt;0),(H251-H250)*(Variables!$M$5*$H$1+Variables!$U$5*$I$1),0)+IF(AND(NOT((J251+N251+Q251)=0),(H250-H251)&gt;0),(H250-H251)*(Variables!$M$4*$H$1+Variables!$U$4*$I$1),0)</f>
        <v>-285.23955759401144</v>
      </c>
      <c r="Y251" s="95">
        <f>IF(SUM(T251,U250:U251)&gt;0,H251*Variables!$Y$11*0.25*(1-$J$1),0)</f>
        <v>0</v>
      </c>
      <c r="Z251" s="95">
        <f>IF(T251=0,H251*$J$1*Variables!$Y$5*0.25,0)</f>
        <v>13.904528497444298</v>
      </c>
      <c r="AA251" s="95">
        <f t="shared" si="7"/>
        <v>-271.33502909656715</v>
      </c>
      <c r="AB251" s="91">
        <f>AA251/Variables!$E$49</f>
        <v>-43.763714370414057</v>
      </c>
    </row>
    <row r="252" spans="1:28" x14ac:dyDescent="0.25">
      <c r="A252" s="61">
        <f>'Water runs'!C259</f>
        <v>24989</v>
      </c>
      <c r="B252" s="61" t="str">
        <f>'Water runs'!B259</f>
        <v>Autumn</v>
      </c>
      <c r="C252" s="54">
        <f>'Water runs'!D259/100</f>
        <v>1.14825</v>
      </c>
      <c r="D252" s="108">
        <f>VLOOKUP(ROW(D252)+4,'Water runs'!$BS$3:$CF$423,MATCH($B$1,Scenarios,0)+1)</f>
        <v>0</v>
      </c>
      <c r="E252" s="54">
        <f>IF(B252=Variables!$D$8,C252-Variables!$E$8,IF(B252=Variables!$D$9,C252-Variables!$E$9,IF(B252=Variables!$D$10,C252-Variables!$E$10,IF(B252=Variables!$D$11,C252-Variables!$E$11,"ELSE"))))</f>
        <v>0.15360670068027216</v>
      </c>
      <c r="F252" s="108">
        <f>VLOOKUP(ROW(F252)+4,'Water runs'!$CH$3:$CU$423,MATCH($B$1,Scenarios,0)+1)</f>
        <v>0</v>
      </c>
      <c r="G252" s="65">
        <f>H252/Variables!$E$49</f>
        <v>0.64413024422131138</v>
      </c>
      <c r="H252" s="62">
        <f>IF((H251+I252)&gt;(1.1*Variables!$E$50),(1.1*Variables!$E$50),IF((H251+I252)&gt;0,H251+I252,0))</f>
        <v>3.9936075141721306</v>
      </c>
      <c r="I252" s="64">
        <f t="shared" si="6"/>
        <v>1.8544492837960844</v>
      </c>
      <c r="J252" s="63">
        <f>IF(SUM(E248:E251)&lt;Variables!$B$3,-H251,0)</f>
        <v>0</v>
      </c>
      <c r="K252" s="64">
        <f>IF(AND(H251&lt;Variables!$B$6*Variables!$E$50,OR(SUM(D249:D252)&gt;Variables!$B$5,SUM(E249:E252)&gt;Variables!$B$4)),Variables!$B$6*Variables!$E$50+Variables!$B$7*$G$1*Variables!$E$50*SUM(D249:D252),0)</f>
        <v>0</v>
      </c>
      <c r="L252" s="64">
        <f>IF(B252="Winter",Variables!$B$8*H251,0)</f>
        <v>0</v>
      </c>
      <c r="M252" s="64">
        <f>IF(AND(B252="Spring",AND(NOT(H251=0),H251&lt;(Variables!$B$9*Variables!$E$50))),(Variables!$B$10*Variables!$E$50+Variables!$B$11*Variables!$E$50*SUM(E249:E252)+$G$1*SUM(D251:D252)*Variables!$E$50*Variables!$B$12),0)</f>
        <v>0</v>
      </c>
      <c r="N252" s="64">
        <f>IF(AND(B252="Spring",AND(SUM(D249:D252)&gt;Variables!$B$13,SUM(D245:D248)&gt;Variables!$B$13)),-Variables!$B$14*Variables!$E$50,0)</f>
        <v>0</v>
      </c>
      <c r="O252" s="64">
        <f>IF(AND(B252="Summer",SUM(C248:D252)&gt;Variables!$B$15),(Variables!$B$16*Variables!$E$50*SUM(C248:C252)+$G$1*Variables!$B$16*Variables!$E$50*SUM(D248:D252)+$G$1*Variables!$E$50*Variables!$B$17*F252),0)</f>
        <v>0</v>
      </c>
      <c r="P252" s="64">
        <f>IF(AND(AND(B252="Autumn",SUM(D251:E252)&gt;0),NOT(H251=0)),Variables!$B$18*Variables!$E$50+Variables!$B$19*Variables!$E$50*SUM(E251:E252)+$G$1*Variables!$B$19*Variables!$E$50*SUM(D251:D252),0)</f>
        <v>1.8544492837960844</v>
      </c>
      <c r="Q252" s="64">
        <f>IF(AND(B252="Autumn",AND((E252+E251)&lt;Variables!$B$20,(D251+D252)=0)),-Variables!$B$21*Variables!$E$50,0)</f>
        <v>0</v>
      </c>
      <c r="R252" s="64">
        <f>IF(B252="Autumn",(SUM(F251:F252)*$G$1*Variables!$B$22*Variables!$E$50),0)</f>
        <v>0</v>
      </c>
      <c r="S252" s="64">
        <f>IF(B252="Spring",($G$1*Variables!$E$50*SUM('Guts (option 1)'!F251:F252)*Variables!$B$23),0)</f>
        <v>0</v>
      </c>
      <c r="T252" s="63">
        <f>IF((H251+SUM(J252:Q252))&lt;(Variables!$B$26*Variables!$E$50),$F$1*((Variables!$B$26*Variables!$E$50)-H251-SUM(J252:Q252)),0)</f>
        <v>0</v>
      </c>
      <c r="U252" s="64">
        <f>IF(AND(AND(B252="Autumn",SUM(D249:E252)&gt;Variables!$B$27),SUM(J252:Q252)&lt;Variables!$B$28*H251),$F$1*(Variables!$B$28*H251-SUM(J252:Q252)),0)</f>
        <v>0</v>
      </c>
      <c r="V252" s="96">
        <f>IF(AND((J252+K252)=0,(Q252+T252)=0),$H$1*H252*Variables!$I$23*0.25,0)</f>
        <v>76.957415839224083</v>
      </c>
      <c r="W252" s="97">
        <f>IF(AND((K252+J252)=0,(T252+Q252)=0),$I$1*H252*Variables!$Q$23*0.25,0)</f>
        <v>80.554058766487501</v>
      </c>
      <c r="X252" s="95">
        <f>IF(AND(NOT(K252=0),(H252-H251)&gt;0),(H252-H251)*(Variables!$M$5*$H$1+Variables!$U$5*$I$1),0)+IF(AND(NOT((J252+N252+Q252)=0),(H251-H252)&gt;0),(H251-H252)*(Variables!$M$4*$H$1+Variables!$U$4*$I$1),0)</f>
        <v>0</v>
      </c>
      <c r="Y252" s="95">
        <f>IF(SUM(T252,U251:U252)&gt;0,H252*Variables!$Y$11*0.25*(1-$J$1),0)</f>
        <v>0</v>
      </c>
      <c r="Z252" s="95">
        <f>IF(T252=0,H252*$J$1*Variables!$Y$5*0.25,0)</f>
        <v>25.958448842118848</v>
      </c>
      <c r="AA252" s="95">
        <f t="shared" si="7"/>
        <v>183.46992344783044</v>
      </c>
      <c r="AB252" s="91">
        <f>AA252/Variables!$E$49</f>
        <v>29.591923136746843</v>
      </c>
    </row>
    <row r="253" spans="1:28" x14ac:dyDescent="0.25">
      <c r="A253" s="61">
        <f>'Water runs'!C260</f>
        <v>25081</v>
      </c>
      <c r="B253" s="61" t="str">
        <f>'Water runs'!B260</f>
        <v>Winter</v>
      </c>
      <c r="C253" s="54">
        <f>'Water runs'!D260/100</f>
        <v>0.20874999999999999</v>
      </c>
      <c r="D253" s="108">
        <f>VLOOKUP(ROW(D253)+4,'Water runs'!$BS$3:$CF$423,MATCH($B$1,Scenarios,0)+1)</f>
        <v>0</v>
      </c>
      <c r="E253" s="54">
        <f>IF(B253=Variables!$D$8,C253-Variables!$E$8,IF(B253=Variables!$D$9,C253-Variables!$E$9,IF(B253=Variables!$D$10,C253-Variables!$E$10,IF(B253=Variables!$D$11,C253-Variables!$E$11,"ELSE"))))</f>
        <v>-0.36301762566137574</v>
      </c>
      <c r="F253" s="108">
        <f>VLOOKUP(ROW(F253)+4,'Water runs'!$CH$3:$CU$423,MATCH($B$1,Scenarios,0)+1)</f>
        <v>0</v>
      </c>
      <c r="G253" s="65">
        <f>H253/Variables!$E$49</f>
        <v>0.32338865109060067</v>
      </c>
      <c r="H253" s="62">
        <f>IF((H252+I253)&gt;(1.1*Variables!$E$50),(1.1*Variables!$E$50),IF((H252+I253)&gt;0,H252+I253,0))</f>
        <v>2.0050096367617241</v>
      </c>
      <c r="I253" s="64">
        <f t="shared" ref="I253:I316" si="8">SUM(J253:U253)</f>
        <v>-1.9885978774104065</v>
      </c>
      <c r="J253" s="63">
        <f>IF(SUM(E249:E252)&lt;Variables!$B$3,-H252,0)</f>
        <v>0</v>
      </c>
      <c r="K253" s="64">
        <f>IF(AND(H252&lt;Variables!$B$6*Variables!$E$50,OR(SUM(D250:D253)&gt;Variables!$B$5,SUM(E250:E253)&gt;Variables!$B$4)),Variables!$B$6*Variables!$E$50+Variables!$B$7*$G$1*Variables!$E$50*SUM(D250:D253),0)</f>
        <v>0</v>
      </c>
      <c r="L253" s="64">
        <f>IF(B253="Winter",Variables!$B$8*H252,0)</f>
        <v>-1.9885978774104065</v>
      </c>
      <c r="M253" s="64">
        <f>IF(AND(B253="Spring",AND(NOT(H252=0),H252&lt;(Variables!$B$9*Variables!$E$50))),(Variables!$B$10*Variables!$E$50+Variables!$B$11*Variables!$E$50*SUM(E250:E253)+$G$1*SUM(D252:D253)*Variables!$E$50*Variables!$B$12),0)</f>
        <v>0</v>
      </c>
      <c r="N253" s="64">
        <f>IF(AND(B253="Spring",AND(SUM(D250:D253)&gt;Variables!$B$13,SUM(D246:D249)&gt;Variables!$B$13)),-Variables!$B$14*Variables!$E$50,0)</f>
        <v>0</v>
      </c>
      <c r="O253" s="64">
        <f>IF(AND(B253="Summer",SUM(C249:D253)&gt;Variables!$B$15),(Variables!$B$16*Variables!$E$50*SUM(C249:C253)+$G$1*Variables!$B$16*Variables!$E$50*SUM(D249:D253)+$G$1*Variables!$E$50*Variables!$B$17*F253),0)</f>
        <v>0</v>
      </c>
      <c r="P253" s="64">
        <f>IF(AND(AND(B253="Autumn",SUM(D252:E253)&gt;0),NOT(H252=0)),Variables!$B$18*Variables!$E$50+Variables!$B$19*Variables!$E$50*SUM(E252:E253)+$G$1*Variables!$B$19*Variables!$E$50*SUM(D252:D253),0)</f>
        <v>0</v>
      </c>
      <c r="Q253" s="64">
        <f>IF(AND(B253="Autumn",AND((E253+E252)&lt;Variables!$B$20,(D252+D253)=0)),-Variables!$B$21*Variables!$E$50,0)</f>
        <v>0</v>
      </c>
      <c r="R253" s="64">
        <f>IF(B253="Autumn",(SUM(F252:F253)*$G$1*Variables!$B$22*Variables!$E$50),0)</f>
        <v>0</v>
      </c>
      <c r="S253" s="64">
        <f>IF(B253="Spring",($G$1*Variables!$E$50*SUM('Guts (option 1)'!F252:F253)*Variables!$B$23),0)</f>
        <v>0</v>
      </c>
      <c r="T253" s="63">
        <f>IF((H252+SUM(J253:Q253))&lt;(Variables!$B$26*Variables!$E$50),$F$1*((Variables!$B$26*Variables!$E$50)-H252-SUM(J253:Q253)),0)</f>
        <v>0</v>
      </c>
      <c r="U253" s="64">
        <f>IF(AND(AND(B253="Autumn",SUM(D250:E253)&gt;Variables!$B$27),SUM(J253:Q253)&lt;Variables!$B$28*H252),$F$1*(Variables!$B$28*H252-SUM(J253:Q253)),0)</f>
        <v>0</v>
      </c>
      <c r="V253" s="96">
        <f>IF(AND((J253+K253)=0,(Q253+T253)=0),$H$1*H253*Variables!$I$23*0.25,0)</f>
        <v>38.636836451843941</v>
      </c>
      <c r="W253" s="97">
        <f>IF(AND((K253+J253)=0,(T253+Q253)=0),$I$1*H253*Variables!$Q$23*0.25,0)</f>
        <v>40.442548130711543</v>
      </c>
      <c r="X253" s="95">
        <f>IF(AND(NOT(K253=0),(H253-H252)&gt;0),(H253-H252)*(Variables!$M$5*$H$1+Variables!$U$5*$I$1),0)+IF(AND(NOT((J253+N253+Q253)=0),(H252-H253)&gt;0),(H252-H253)*(Variables!$M$4*$H$1+Variables!$U$4*$I$1),0)</f>
        <v>0</v>
      </c>
      <c r="Y253" s="95">
        <f>IF(SUM(T253,U252:U253)&gt;0,H253*Variables!$Y$11*0.25*(1-$J$1),0)</f>
        <v>0</v>
      </c>
      <c r="Z253" s="95">
        <f>IF(T253=0,H253*$J$1*Variables!$Y$5*0.25,0)</f>
        <v>13.032562638951207</v>
      </c>
      <c r="AA253" s="95">
        <f t="shared" si="7"/>
        <v>92.111947221506696</v>
      </c>
      <c r="AB253" s="91">
        <f>AA253/Variables!$E$49</f>
        <v>14.856765680888177</v>
      </c>
    </row>
    <row r="254" spans="1:28" x14ac:dyDescent="0.25">
      <c r="A254" s="61">
        <f>'Water runs'!C261</f>
        <v>25172</v>
      </c>
      <c r="B254" s="61" t="str">
        <f>'Water runs'!B261</f>
        <v>Spring</v>
      </c>
      <c r="C254" s="54">
        <f>'Water runs'!D261/100</f>
        <v>0.14199999999999999</v>
      </c>
      <c r="D254" s="108">
        <f>VLOOKUP(ROW(D254)+4,'Water runs'!$BS$3:$CF$423,MATCH($B$1,Scenarios,0)+1)</f>
        <v>0</v>
      </c>
      <c r="E254" s="54">
        <f>IF(B254=Variables!$D$8,C254-Variables!$E$8,IF(B254=Variables!$D$9,C254-Variables!$E$9,IF(B254=Variables!$D$10,C254-Variables!$E$10,IF(B254=Variables!$D$11,C254-Variables!$E$11,"ELSE"))))</f>
        <v>-0.62198220899470913</v>
      </c>
      <c r="F254" s="108">
        <f>VLOOKUP(ROW(F254)+4,'Water runs'!$CH$3:$CU$423,MATCH($B$1,Scenarios,0)+1)</f>
        <v>0</v>
      </c>
      <c r="G254" s="65">
        <f>H254/Variables!$E$49</f>
        <v>0.28993827671827033</v>
      </c>
      <c r="H254" s="62">
        <f>IF((H253+I254)&gt;(1.1*Variables!$E$50),(1.1*Variables!$E$50),IF((H253+I254)&gt;0,H253+I254,0))</f>
        <v>1.797617315653276</v>
      </c>
      <c r="I254" s="64">
        <f t="shared" si="8"/>
        <v>-0.20739232110844805</v>
      </c>
      <c r="J254" s="63">
        <f>IF(SUM(E250:E253)&lt;Variables!$B$3,-H253,0)</f>
        <v>0</v>
      </c>
      <c r="K254" s="64">
        <f>IF(AND(H253&lt;Variables!$B$6*Variables!$E$50,OR(SUM(D251:D254)&gt;Variables!$B$5,SUM(E251:E254)&gt;Variables!$B$4)),Variables!$B$6*Variables!$E$50+Variables!$B$7*$G$1*Variables!$E$50*SUM(D251:D254),0)</f>
        <v>0</v>
      </c>
      <c r="L254" s="64">
        <f>IF(B254="Winter",Variables!$B$8*H253,0)</f>
        <v>0</v>
      </c>
      <c r="M254" s="64">
        <f>IF(AND(B254="Spring",AND(NOT(H253=0),H253&lt;(Variables!$B$9*Variables!$E$50))),(Variables!$B$10*Variables!$E$50+Variables!$B$11*Variables!$E$50*SUM(E251:E254)+$G$1*SUM(D253:D254)*Variables!$E$50*Variables!$B$12),0)</f>
        <v>-0.20739232110844805</v>
      </c>
      <c r="N254" s="64">
        <f>IF(AND(B254="Spring",AND(SUM(D251:D254)&gt;Variables!$B$13,SUM(D247:D250)&gt;Variables!$B$13)),-Variables!$B$14*Variables!$E$50,0)</f>
        <v>0</v>
      </c>
      <c r="O254" s="64">
        <f>IF(AND(B254="Summer",SUM(C250:D254)&gt;Variables!$B$15),(Variables!$B$16*Variables!$E$50*SUM(C250:C254)+$G$1*Variables!$B$16*Variables!$E$50*SUM(D250:D254)+$G$1*Variables!$E$50*Variables!$B$17*F254),0)</f>
        <v>0</v>
      </c>
      <c r="P254" s="64">
        <f>IF(AND(AND(B254="Autumn",SUM(D253:E254)&gt;0),NOT(H253=0)),Variables!$B$18*Variables!$E$50+Variables!$B$19*Variables!$E$50*SUM(E253:E254)+$G$1*Variables!$B$19*Variables!$E$50*SUM(D253:D254),0)</f>
        <v>0</v>
      </c>
      <c r="Q254" s="64">
        <f>IF(AND(B254="Autumn",AND((E254+E253)&lt;Variables!$B$20,(D253+D254)=0)),-Variables!$B$21*Variables!$E$50,0)</f>
        <v>0</v>
      </c>
      <c r="R254" s="64">
        <f>IF(B254="Autumn",(SUM(F253:F254)*$G$1*Variables!$B$22*Variables!$E$50),0)</f>
        <v>0</v>
      </c>
      <c r="S254" s="64">
        <f>IF(B254="Spring",($G$1*Variables!$E$50*SUM('Guts (option 1)'!F253:F254)*Variables!$B$23),0)</f>
        <v>0</v>
      </c>
      <c r="T254" s="63">
        <f>IF((H253+SUM(J254:Q254))&lt;(Variables!$B$26*Variables!$E$50),$F$1*((Variables!$B$26*Variables!$E$50)-H253-SUM(J254:Q254)),0)</f>
        <v>0</v>
      </c>
      <c r="U254" s="64">
        <f>IF(AND(AND(B254="Autumn",SUM(D251:E254)&gt;Variables!$B$27),SUM(J254:Q254)&lt;Variables!$B$28*H253),$F$1*(Variables!$B$28*H253-SUM(J254:Q254)),0)</f>
        <v>0</v>
      </c>
      <c r="V254" s="96">
        <f>IF(AND((J254+K254)=0,(Q254+T254)=0),$H$1*H254*Variables!$I$23*0.25,0)</f>
        <v>34.640355315235979</v>
      </c>
      <c r="W254" s="97">
        <f>IF(AND((K254+J254)=0,(T254+Q254)=0),$I$1*H254*Variables!$Q$23*0.25,0)</f>
        <v>36.259289469713316</v>
      </c>
      <c r="X254" s="95">
        <f>IF(AND(NOT(K254=0),(H254-H253)&gt;0),(H254-H253)*(Variables!$M$5*$H$1+Variables!$U$5*$I$1),0)+IF(AND(NOT((J254+N254+Q254)=0),(H253-H254)&gt;0),(H253-H254)*(Variables!$M$4*$H$1+Variables!$U$4*$I$1),0)</f>
        <v>0</v>
      </c>
      <c r="Y254" s="95">
        <f>IF(SUM(T254,U253:U254)&gt;0,H254*Variables!$Y$11*0.25*(1-$J$1),0)</f>
        <v>0</v>
      </c>
      <c r="Z254" s="95">
        <f>IF(T254=0,H254*$J$1*Variables!$Y$5*0.25,0)</f>
        <v>11.684512551746295</v>
      </c>
      <c r="AA254" s="95">
        <f t="shared" si="7"/>
        <v>82.584157336695583</v>
      </c>
      <c r="AB254" s="91">
        <f>AA254/Variables!$E$49</f>
        <v>13.320025376886385</v>
      </c>
    </row>
    <row r="255" spans="1:28" x14ac:dyDescent="0.25">
      <c r="A255" s="61">
        <f>'Water runs'!C262</f>
        <v>25262</v>
      </c>
      <c r="B255" s="61" t="str">
        <f>'Water runs'!B262</f>
        <v>Summer</v>
      </c>
      <c r="C255" s="54">
        <f>'Water runs'!D262/100</f>
        <v>0.73016071428571394</v>
      </c>
      <c r="D255" s="108">
        <f>VLOOKUP(ROW(D255)+4,'Water runs'!$BS$3:$CF$423,MATCH($B$1,Scenarios,0)+1)</f>
        <v>0</v>
      </c>
      <c r="E255" s="54">
        <f>IF(B255=Variables!$D$8,C255-Variables!$E$8,IF(B255=Variables!$D$9,C255-Variables!$E$9,IF(B255=Variables!$D$10,C255-Variables!$E$10,IF(B255=Variables!$D$11,C255-Variables!$E$11,"ELSE"))))</f>
        <v>-0.52820942176870778</v>
      </c>
      <c r="F255" s="108">
        <f>VLOOKUP(ROW(F255)+4,'Water runs'!$CH$3:$CU$423,MATCH($B$1,Scenarios,0)+1)</f>
        <v>0</v>
      </c>
      <c r="G255" s="65">
        <f>H255/Variables!$E$49</f>
        <v>0.28993827671827033</v>
      </c>
      <c r="H255" s="62">
        <f>IF((H254+I255)&gt;(1.1*Variables!$E$50),(1.1*Variables!$E$50),IF((H254+I255)&gt;0,H254+I255,0))</f>
        <v>1.797617315653276</v>
      </c>
      <c r="I255" s="64">
        <f t="shared" si="8"/>
        <v>0</v>
      </c>
      <c r="J255" s="63">
        <f>IF(SUM(E251:E254)&lt;Variables!$B$3,-H254,0)</f>
        <v>0</v>
      </c>
      <c r="K255" s="64">
        <f>IF(AND(H254&lt;Variables!$B$6*Variables!$E$50,OR(SUM(D252:D255)&gt;Variables!$B$5,SUM(E252:E255)&gt;Variables!$B$4)),Variables!$B$6*Variables!$E$50+Variables!$B$7*$G$1*Variables!$E$50*SUM(D252:D255),0)</f>
        <v>0</v>
      </c>
      <c r="L255" s="64">
        <f>IF(B255="Winter",Variables!$B$8*H254,0)</f>
        <v>0</v>
      </c>
      <c r="M255" s="64">
        <f>IF(AND(B255="Spring",AND(NOT(H254=0),H254&lt;(Variables!$B$9*Variables!$E$50))),(Variables!$B$10*Variables!$E$50+Variables!$B$11*Variables!$E$50*SUM(E252:E255)+$G$1*SUM(D254:D255)*Variables!$E$50*Variables!$B$12),0)</f>
        <v>0</v>
      </c>
      <c r="N255" s="64">
        <f>IF(AND(B255="Spring",AND(SUM(D252:D255)&gt;Variables!$B$13,SUM(D248:D251)&gt;Variables!$B$13)),-Variables!$B$14*Variables!$E$50,0)</f>
        <v>0</v>
      </c>
      <c r="O255" s="64">
        <f>IF(AND(B255="Summer",SUM(C251:D255)&gt;Variables!$B$15),(Variables!$B$16*Variables!$E$50*SUM(C251:C255)+$G$1*Variables!$B$16*Variables!$E$50*SUM(D251:D255)+$G$1*Variables!$E$50*Variables!$B$17*F255),0)</f>
        <v>0</v>
      </c>
      <c r="P255" s="64">
        <f>IF(AND(AND(B255="Autumn",SUM(D254:E255)&gt;0),NOT(H254=0)),Variables!$B$18*Variables!$E$50+Variables!$B$19*Variables!$E$50*SUM(E254:E255)+$G$1*Variables!$B$19*Variables!$E$50*SUM(D254:D255),0)</f>
        <v>0</v>
      </c>
      <c r="Q255" s="64">
        <f>IF(AND(B255="Autumn",AND((E255+E254)&lt;Variables!$B$20,(D254+D255)=0)),-Variables!$B$21*Variables!$E$50,0)</f>
        <v>0</v>
      </c>
      <c r="R255" s="64">
        <f>IF(B255="Autumn",(SUM(F254:F255)*$G$1*Variables!$B$22*Variables!$E$50),0)</f>
        <v>0</v>
      </c>
      <c r="S255" s="64">
        <f>IF(B255="Spring",($G$1*Variables!$E$50*SUM('Guts (option 1)'!F254:F255)*Variables!$B$23),0)</f>
        <v>0</v>
      </c>
      <c r="T255" s="63">
        <f>IF((H254+SUM(J255:Q255))&lt;(Variables!$B$26*Variables!$E$50),$F$1*((Variables!$B$26*Variables!$E$50)-H254-SUM(J255:Q255)),0)</f>
        <v>0</v>
      </c>
      <c r="U255" s="64">
        <f>IF(AND(AND(B255="Autumn",SUM(D252:E255)&gt;Variables!$B$27),SUM(J255:Q255)&lt;Variables!$B$28*H254),$F$1*(Variables!$B$28*H254-SUM(J255:Q255)),0)</f>
        <v>0</v>
      </c>
      <c r="V255" s="96">
        <f>IF(AND((J255+K255)=0,(Q255+T255)=0),$H$1*H255*Variables!$I$23*0.25,0)</f>
        <v>34.640355315235979</v>
      </c>
      <c r="W255" s="97">
        <f>IF(AND((K255+J255)=0,(T255+Q255)=0),$I$1*H255*Variables!$Q$23*0.25,0)</f>
        <v>36.259289469713316</v>
      </c>
      <c r="X255" s="95">
        <f>IF(AND(NOT(K255=0),(H255-H254)&gt;0),(H255-H254)*(Variables!$M$5*$H$1+Variables!$U$5*$I$1),0)+IF(AND(NOT((J255+N255+Q255)=0),(H254-H255)&gt;0),(H254-H255)*(Variables!$M$4*$H$1+Variables!$U$4*$I$1),0)</f>
        <v>0</v>
      </c>
      <c r="Y255" s="95">
        <f>IF(SUM(T255,U254:U255)&gt;0,H255*Variables!$Y$11*0.25*(1-$J$1),0)</f>
        <v>0</v>
      </c>
      <c r="Z255" s="95">
        <f>IF(T255=0,H255*$J$1*Variables!$Y$5*0.25,0)</f>
        <v>11.684512551746295</v>
      </c>
      <c r="AA255" s="95">
        <f t="shared" si="7"/>
        <v>82.584157336695583</v>
      </c>
      <c r="AB255" s="91">
        <f>AA255/Variables!$E$49</f>
        <v>13.320025376886385</v>
      </c>
    </row>
    <row r="256" spans="1:28" x14ac:dyDescent="0.25">
      <c r="A256" s="61">
        <f>'Water runs'!C263</f>
        <v>25354</v>
      </c>
      <c r="B256" s="61" t="str">
        <f>'Water runs'!B263</f>
        <v>Autumn</v>
      </c>
      <c r="C256" s="54">
        <f>'Water runs'!D263/100</f>
        <v>1.4157499999999998</v>
      </c>
      <c r="D256" s="108">
        <f>VLOOKUP(ROW(D256)+4,'Water runs'!$BS$3:$CF$423,MATCH($B$1,Scenarios,0)+1)</f>
        <v>0</v>
      </c>
      <c r="E256" s="54">
        <f>IF(B256=Variables!$D$8,C256-Variables!$E$8,IF(B256=Variables!$D$9,C256-Variables!$E$9,IF(B256=Variables!$D$10,C256-Variables!$E$10,IF(B256=Variables!$D$11,C256-Variables!$E$11,"ELSE"))))</f>
        <v>0.42110670068027201</v>
      </c>
      <c r="F256" s="108">
        <f>VLOOKUP(ROW(F256)+4,'Water runs'!$CH$3:$CU$423,MATCH($B$1,Scenarios,0)+1)</f>
        <v>0</v>
      </c>
      <c r="G256" s="65">
        <f>H256/Variables!$E$49</f>
        <v>0.28993827671827033</v>
      </c>
      <c r="H256" s="62">
        <f>IF((H255+I256)&gt;(1.1*Variables!$E$50),(1.1*Variables!$E$50),IF((H255+I256)&gt;0,H255+I256,0))</f>
        <v>1.797617315653276</v>
      </c>
      <c r="I256" s="64">
        <f t="shared" si="8"/>
        <v>0</v>
      </c>
      <c r="J256" s="63">
        <f>IF(SUM(E252:E255)&lt;Variables!$B$3,-H255,0)</f>
        <v>0</v>
      </c>
      <c r="K256" s="64">
        <f>IF(AND(H255&lt;Variables!$B$6*Variables!$E$50,OR(SUM(D253:D256)&gt;Variables!$B$5,SUM(E253:E256)&gt;Variables!$B$4)),Variables!$B$6*Variables!$E$50+Variables!$B$7*$G$1*Variables!$E$50*SUM(D253:D256),0)</f>
        <v>0</v>
      </c>
      <c r="L256" s="64">
        <f>IF(B256="Winter",Variables!$B$8*H255,0)</f>
        <v>0</v>
      </c>
      <c r="M256" s="64">
        <f>IF(AND(B256="Spring",AND(NOT(H255=0),H255&lt;(Variables!$B$9*Variables!$E$50))),(Variables!$B$10*Variables!$E$50+Variables!$B$11*Variables!$E$50*SUM(E253:E256)+$G$1*SUM(D255:D256)*Variables!$E$50*Variables!$B$12),0)</f>
        <v>0</v>
      </c>
      <c r="N256" s="64">
        <f>IF(AND(B256="Spring",AND(SUM(D253:D256)&gt;Variables!$B$13,SUM(D249:D252)&gt;Variables!$B$13)),-Variables!$B$14*Variables!$E$50,0)</f>
        <v>0</v>
      </c>
      <c r="O256" s="64">
        <f>IF(AND(B256="Summer",SUM(C252:D256)&gt;Variables!$B$15),(Variables!$B$16*Variables!$E$50*SUM(C252:C256)+$G$1*Variables!$B$16*Variables!$E$50*SUM(D252:D256)+$G$1*Variables!$E$50*Variables!$B$17*F256),0)</f>
        <v>0</v>
      </c>
      <c r="P256" s="64">
        <f>IF(AND(AND(B256="Autumn",SUM(D255:E256)&gt;0),NOT(H255=0)),Variables!$B$18*Variables!$E$50+Variables!$B$19*Variables!$E$50*SUM(E255:E256)+$G$1*Variables!$B$19*Variables!$E$50*SUM(D255:D256),0)</f>
        <v>0</v>
      </c>
      <c r="Q256" s="64">
        <f>IF(AND(B256="Autumn",AND((E256+E255)&lt;Variables!$B$20,(D255+D256)=0)),-Variables!$B$21*Variables!$E$50,0)</f>
        <v>0</v>
      </c>
      <c r="R256" s="64">
        <f>IF(B256="Autumn",(SUM(F255:F256)*$G$1*Variables!$B$22*Variables!$E$50),0)</f>
        <v>0</v>
      </c>
      <c r="S256" s="64">
        <f>IF(B256="Spring",($G$1*Variables!$E$50*SUM('Guts (option 1)'!F255:F256)*Variables!$B$23),0)</f>
        <v>0</v>
      </c>
      <c r="T256" s="63">
        <f>IF((H255+SUM(J256:Q256))&lt;(Variables!$B$26*Variables!$E$50),$F$1*((Variables!$B$26*Variables!$E$50)-H255-SUM(J256:Q256)),0)</f>
        <v>0</v>
      </c>
      <c r="U256" s="64">
        <f>IF(AND(AND(B256="Autumn",SUM(D253:E256)&gt;Variables!$B$27),SUM(J256:Q256)&lt;Variables!$B$28*H255),$F$1*(Variables!$B$28*H255-SUM(J256:Q256)),0)</f>
        <v>0</v>
      </c>
      <c r="V256" s="96">
        <f>IF(AND((J256+K256)=0,(Q256+T256)=0),$H$1*H256*Variables!$I$23*0.25,0)</f>
        <v>34.640355315235979</v>
      </c>
      <c r="W256" s="97">
        <f>IF(AND((K256+J256)=0,(T256+Q256)=0),$I$1*H256*Variables!$Q$23*0.25,0)</f>
        <v>36.259289469713316</v>
      </c>
      <c r="X256" s="95">
        <f>IF(AND(NOT(K256=0),(H256-H255)&gt;0),(H256-H255)*(Variables!$M$5*$H$1+Variables!$U$5*$I$1),0)+IF(AND(NOT((J256+N256+Q256)=0),(H255-H256)&gt;0),(H255-H256)*(Variables!$M$4*$H$1+Variables!$U$4*$I$1),0)</f>
        <v>0</v>
      </c>
      <c r="Y256" s="95">
        <f>IF(SUM(T256,U255:U256)&gt;0,H256*Variables!$Y$11*0.25*(1-$J$1),0)</f>
        <v>0</v>
      </c>
      <c r="Z256" s="95">
        <f>IF(T256=0,H256*$J$1*Variables!$Y$5*0.25,0)</f>
        <v>11.684512551746295</v>
      </c>
      <c r="AA256" s="95">
        <f t="shared" si="7"/>
        <v>82.584157336695583</v>
      </c>
      <c r="AB256" s="91">
        <f>AA256/Variables!$E$49</f>
        <v>13.320025376886385</v>
      </c>
    </row>
    <row r="257" spans="1:28" x14ac:dyDescent="0.25">
      <c r="A257" s="61">
        <f>'Water runs'!C264</f>
        <v>25446</v>
      </c>
      <c r="B257" s="61" t="str">
        <f>'Water runs'!B264</f>
        <v>Winter</v>
      </c>
      <c r="C257" s="54">
        <f>'Water runs'!D264/100</f>
        <v>0.62712499999999993</v>
      </c>
      <c r="D257" s="108">
        <f>VLOOKUP(ROW(D257)+4,'Water runs'!$BS$3:$CF$423,MATCH($B$1,Scenarios,0)+1)</f>
        <v>0</v>
      </c>
      <c r="E257" s="54">
        <f>IF(B257=Variables!$D$8,C257-Variables!$E$8,IF(B257=Variables!$D$9,C257-Variables!$E$9,IF(B257=Variables!$D$10,C257-Variables!$E$10,IF(B257=Variables!$D$11,C257-Variables!$E$11,"ELSE"))))</f>
        <v>5.5357374338624199E-2</v>
      </c>
      <c r="F257" s="108">
        <f>VLOOKUP(ROW(F257)+4,'Water runs'!$CH$3:$CU$423,MATCH($B$1,Scenarios,0)+1)</f>
        <v>0</v>
      </c>
      <c r="G257" s="65">
        <f>H257/Variables!$E$49</f>
        <v>0.161</v>
      </c>
      <c r="H257" s="62">
        <f>IF((H256+I257)&gt;(1.1*Variables!$E$50),(1.1*Variables!$E$50),IF((H256+I257)&gt;0,H256+I257,0))</f>
        <v>0.99820000000000009</v>
      </c>
      <c r="I257" s="64">
        <f t="shared" si="8"/>
        <v>-0.7994173156532759</v>
      </c>
      <c r="J257" s="63">
        <f>IF(SUM(E253:E256)&lt;Variables!$B$3,-H256,0)</f>
        <v>0</v>
      </c>
      <c r="K257" s="64">
        <f>IF(AND(H256&lt;Variables!$B$6*Variables!$E$50,OR(SUM(D254:D257)&gt;Variables!$B$5,SUM(E254:E257)&gt;Variables!$B$4)),Variables!$B$6*Variables!$E$50+Variables!$B$7*$G$1*Variables!$E$50*SUM(D254:D257),0)</f>
        <v>0</v>
      </c>
      <c r="L257" s="64">
        <f>IF(B257="Winter",Variables!$B$8*H256,0)</f>
        <v>-0.89511499705932807</v>
      </c>
      <c r="M257" s="64">
        <f>IF(AND(B257="Spring",AND(NOT(H256=0),H256&lt;(Variables!$B$9*Variables!$E$50))),(Variables!$B$10*Variables!$E$50+Variables!$B$11*Variables!$E$50*SUM(E254:E257)+$G$1*SUM(D256:D257)*Variables!$E$50*Variables!$B$12),0)</f>
        <v>0</v>
      </c>
      <c r="N257" s="64">
        <f>IF(AND(B257="Spring",AND(SUM(D254:D257)&gt;Variables!$B$13,SUM(D250:D253)&gt;Variables!$B$13)),-Variables!$B$14*Variables!$E$50,0)</f>
        <v>0</v>
      </c>
      <c r="O257" s="64">
        <f>IF(AND(B257="Summer",SUM(C253:D257)&gt;Variables!$B$15),(Variables!$B$16*Variables!$E$50*SUM(C253:C257)+$G$1*Variables!$B$16*Variables!$E$50*SUM(D253:D257)+$G$1*Variables!$E$50*Variables!$B$17*F257),0)</f>
        <v>0</v>
      </c>
      <c r="P257" s="64">
        <f>IF(AND(AND(B257="Autumn",SUM(D256:E257)&gt;0),NOT(H256=0)),Variables!$B$18*Variables!$E$50+Variables!$B$19*Variables!$E$50*SUM(E256:E257)+$G$1*Variables!$B$19*Variables!$E$50*SUM(D256:D257),0)</f>
        <v>0</v>
      </c>
      <c r="Q257" s="64">
        <f>IF(AND(B257="Autumn",AND((E257+E256)&lt;Variables!$B$20,(D256+D257)=0)),-Variables!$B$21*Variables!$E$50,0)</f>
        <v>0</v>
      </c>
      <c r="R257" s="64">
        <f>IF(B257="Autumn",(SUM(F256:F257)*$G$1*Variables!$B$22*Variables!$E$50),0)</f>
        <v>0</v>
      </c>
      <c r="S257" s="64">
        <f>IF(B257="Spring",($G$1*Variables!$E$50*SUM('Guts (option 1)'!F256:F257)*Variables!$B$23),0)</f>
        <v>0</v>
      </c>
      <c r="T257" s="63">
        <f>IF((H256+SUM(J257:Q257))&lt;(Variables!$B$26*Variables!$E$50),$F$1*((Variables!$B$26*Variables!$E$50)-H256-SUM(J257:Q257)),0)</f>
        <v>9.5697681406052171E-2</v>
      </c>
      <c r="U257" s="64">
        <f>IF(AND(AND(B257="Autumn",SUM(D254:E257)&gt;Variables!$B$27),SUM(J257:Q257)&lt;Variables!$B$28*H256),$F$1*(Variables!$B$28*H256-SUM(J257:Q257)),0)</f>
        <v>0</v>
      </c>
      <c r="V257" s="96">
        <f>IF(AND((J257+K257)=0,(Q257+T257)=0),$H$1*H257*Variables!$I$23*0.25,0)</f>
        <v>0</v>
      </c>
      <c r="W257" s="97">
        <f>IF(AND((K257+J257)=0,(T257+Q257)=0),$I$1*H257*Variables!$Q$23*0.25,0)</f>
        <v>0</v>
      </c>
      <c r="X257" s="95">
        <f>IF(AND(NOT(K257=0),(H257-H256)&gt;0),(H257-H256)*(Variables!$M$5*$H$1+Variables!$U$5*$I$1),0)+IF(AND(NOT((J257+N257+Q257)=0),(H256-H257)&gt;0),(H256-H257)*(Variables!$M$4*$H$1+Variables!$U$4*$I$1),0)</f>
        <v>0</v>
      </c>
      <c r="Y257" s="95">
        <f>IF(SUM(T257,U256:U257)&gt;0,H257*Variables!$Y$11*0.25*(1-$J$1),0)</f>
        <v>0</v>
      </c>
      <c r="Z257" s="95">
        <f>IF(T257=0,H257*$J$1*Variables!$Y$5*0.25,0)</f>
        <v>0</v>
      </c>
      <c r="AA257" s="95">
        <f t="shared" si="7"/>
        <v>0</v>
      </c>
      <c r="AB257" s="91">
        <f>AA257/Variables!$E$49</f>
        <v>0</v>
      </c>
    </row>
    <row r="258" spans="1:28" x14ac:dyDescent="0.25">
      <c r="A258" s="61">
        <f>'Water runs'!C265</f>
        <v>25537</v>
      </c>
      <c r="B258" s="61" t="str">
        <f>'Water runs'!B265</f>
        <v>Spring</v>
      </c>
      <c r="C258" s="54">
        <f>'Water runs'!D265/100</f>
        <v>0.99546428571428602</v>
      </c>
      <c r="D258" s="108">
        <f>VLOOKUP(ROW(D258)+4,'Water runs'!$BS$3:$CF$423,MATCH($B$1,Scenarios,0)+1)</f>
        <v>3.0815762595111682E-4</v>
      </c>
      <c r="E258" s="54">
        <f>IF(B258=Variables!$D$8,C258-Variables!$E$8,IF(B258=Variables!$D$9,C258-Variables!$E$9,IF(B258=Variables!$D$10,C258-Variables!$E$10,IF(B258=Variables!$D$11,C258-Variables!$E$11,"ELSE"))))</f>
        <v>0.23148207671957688</v>
      </c>
      <c r="F258" s="108">
        <f>VLOOKUP(ROW(F258)+4,'Water runs'!$CH$3:$CU$423,MATCH($B$1,Scenarios,0)+1)</f>
        <v>0</v>
      </c>
      <c r="G258" s="65">
        <f>H258/Variables!$E$49</f>
        <v>0.36476476956153731</v>
      </c>
      <c r="H258" s="62">
        <f>IF((H257+I258)&gt;(1.1*Variables!$E$50),(1.1*Variables!$E$50),IF((H257+I258)&gt;0,H257+I258,0))</f>
        <v>2.2615415712815312</v>
      </c>
      <c r="I258" s="64">
        <f t="shared" si="8"/>
        <v>1.2633415712815312</v>
      </c>
      <c r="J258" s="63">
        <f>IF(SUM(E254:E257)&lt;Variables!$B$3,-H257,0)</f>
        <v>0</v>
      </c>
      <c r="K258" s="64">
        <f>IF(AND(H257&lt;Variables!$B$6*Variables!$E$50,OR(SUM(D255:D258)&gt;Variables!$B$5,SUM(E255:E258)&gt;Variables!$B$4)),Variables!$B$6*Variables!$E$50+Variables!$B$7*$G$1*Variables!$E$50*SUM(D255:D258),0)</f>
        <v>1.1408161882294194</v>
      </c>
      <c r="L258" s="64">
        <f>IF(B258="Winter",Variables!$B$8*H257,0)</f>
        <v>0</v>
      </c>
      <c r="M258" s="64">
        <f>IF(AND(B258="Spring",AND(NOT(H257=0),H257&lt;(Variables!$B$9*Variables!$E$50))),(Variables!$B$10*Variables!$E$50+Variables!$B$11*Variables!$E$50*SUM(E255:E258)+$G$1*SUM(D257:D258)*Variables!$E$50*Variables!$B$12),0)</f>
        <v>0.12252538305211189</v>
      </c>
      <c r="N258" s="64">
        <f>IF(AND(B258="Spring",AND(SUM(D255:D258)&gt;Variables!$B$13,SUM(D251:D254)&gt;Variables!$B$13)),-Variables!$B$14*Variables!$E$50,0)</f>
        <v>0</v>
      </c>
      <c r="O258" s="64">
        <f>IF(AND(B258="Summer",SUM(C254:D258)&gt;Variables!$B$15),(Variables!$B$16*Variables!$E$50*SUM(C254:C258)+$G$1*Variables!$B$16*Variables!$E$50*SUM(D254:D258)+$G$1*Variables!$E$50*Variables!$B$17*F258),0)</f>
        <v>0</v>
      </c>
      <c r="P258" s="64">
        <f>IF(AND(AND(B258="Autumn",SUM(D257:E258)&gt;0),NOT(H257=0)),Variables!$B$18*Variables!$E$50+Variables!$B$19*Variables!$E$50*SUM(E257:E258)+$G$1*Variables!$B$19*Variables!$E$50*SUM(D257:D258),0)</f>
        <v>0</v>
      </c>
      <c r="Q258" s="64">
        <f>IF(AND(B258="Autumn",AND((E258+E257)&lt;Variables!$B$20,(D257+D258)=0)),-Variables!$B$21*Variables!$E$50,0)</f>
        <v>0</v>
      </c>
      <c r="R258" s="64">
        <f>IF(B258="Autumn",(SUM(F257:F258)*$G$1*Variables!$B$22*Variables!$E$50),0)</f>
        <v>0</v>
      </c>
      <c r="S258" s="64">
        <f>IF(B258="Spring",($G$1*Variables!$E$50*SUM('Guts (option 1)'!F257:F258)*Variables!$B$23),0)</f>
        <v>0</v>
      </c>
      <c r="T258" s="63">
        <f>IF((H257+SUM(J258:Q258))&lt;(Variables!$B$26*Variables!$E$50),$F$1*((Variables!$B$26*Variables!$E$50)-H257-SUM(J258:Q258)),0)</f>
        <v>0</v>
      </c>
      <c r="U258" s="64">
        <f>IF(AND(AND(B258="Autumn",SUM(D255:E258)&gt;Variables!$B$27),SUM(J258:Q258)&lt;Variables!$B$28*H257),$F$1*(Variables!$B$28*H257-SUM(J258:Q258)),0)</f>
        <v>0</v>
      </c>
      <c r="V258" s="96">
        <f>IF(AND((J258+K258)=0,(Q258+T258)=0),$H$1*H258*Variables!$I$23*0.25,0)</f>
        <v>0</v>
      </c>
      <c r="W258" s="97">
        <f>IF(AND((K258+J258)=0,(T258+Q258)=0),$I$1*H258*Variables!$Q$23*0.25,0)</f>
        <v>0</v>
      </c>
      <c r="X258" s="95">
        <f>IF(AND(NOT(K258=0),(H258-H257)&gt;0),(H258-H257)*(Variables!$M$5*$H$1+Variables!$U$5*$I$1),0)+IF(AND(NOT((J258+N258+Q258)=0),(H257-H258)&gt;0),(H257-H258)*(Variables!$M$4*$H$1+Variables!$U$4*$I$1),0)</f>
        <v>-315.83539282038276</v>
      </c>
      <c r="Y258" s="95">
        <f>IF(SUM(T258,U257:U258)&gt;0,H258*Variables!$Y$11*0.25*(1-$J$1),0)</f>
        <v>0</v>
      </c>
      <c r="Z258" s="95">
        <f>IF(T258=0,H258*$J$1*Variables!$Y$5*0.25,0)</f>
        <v>14.700020213329953</v>
      </c>
      <c r="AA258" s="95">
        <f t="shared" si="7"/>
        <v>-301.13537260705283</v>
      </c>
      <c r="AB258" s="91">
        <f>AA258/Variables!$E$49</f>
        <v>-48.570221388234323</v>
      </c>
    </row>
    <row r="259" spans="1:28" x14ac:dyDescent="0.25">
      <c r="A259" s="61">
        <f>'Water runs'!C266</f>
        <v>25627</v>
      </c>
      <c r="B259" s="61" t="str">
        <f>'Water runs'!B266</f>
        <v>Summer</v>
      </c>
      <c r="C259" s="54">
        <f>'Water runs'!D266/100</f>
        <v>0.84762500000000007</v>
      </c>
      <c r="D259" s="108">
        <f>VLOOKUP(ROW(D259)+4,'Water runs'!$BS$3:$CF$423,MATCH($B$1,Scenarios,0)+1)</f>
        <v>1.2296217705603371E-4</v>
      </c>
      <c r="E259" s="54">
        <f>IF(B259=Variables!$D$8,C259-Variables!$E$8,IF(B259=Variables!$D$9,C259-Variables!$E$9,IF(B259=Variables!$D$10,C259-Variables!$E$10,IF(B259=Variables!$D$11,C259-Variables!$E$11,"ELSE"))))</f>
        <v>-0.41074513605442164</v>
      </c>
      <c r="F259" s="108">
        <f>VLOOKUP(ROW(F259)+4,'Water runs'!$CH$3:$CU$423,MATCH($B$1,Scenarios,0)+1)</f>
        <v>0</v>
      </c>
      <c r="G259" s="65">
        <f>H259/Variables!$E$49</f>
        <v>0.36476476956153731</v>
      </c>
      <c r="H259" s="62">
        <f>IF((H258+I259)&gt;(1.1*Variables!$E$50),(1.1*Variables!$E$50),IF((H258+I259)&gt;0,H258+I259,0))</f>
        <v>2.2615415712815312</v>
      </c>
      <c r="I259" s="64">
        <f t="shared" si="8"/>
        <v>0</v>
      </c>
      <c r="J259" s="63">
        <f>IF(SUM(E255:E258)&lt;Variables!$B$3,-H258,0)</f>
        <v>0</v>
      </c>
      <c r="K259" s="64">
        <f>IF(AND(H258&lt;Variables!$B$6*Variables!$E$50,OR(SUM(D256:D259)&gt;Variables!$B$5,SUM(E256:E259)&gt;Variables!$B$4)),Variables!$B$6*Variables!$E$50+Variables!$B$7*$G$1*Variables!$E$50*SUM(D256:D259),0)</f>
        <v>0</v>
      </c>
      <c r="L259" s="64">
        <f>IF(B259="Winter",Variables!$B$8*H258,0)</f>
        <v>0</v>
      </c>
      <c r="M259" s="64">
        <f>IF(AND(B259="Spring",AND(NOT(H258=0),H258&lt;(Variables!$B$9*Variables!$E$50))),(Variables!$B$10*Variables!$E$50+Variables!$B$11*Variables!$E$50*SUM(E256:E259)+$G$1*SUM(D258:D259)*Variables!$E$50*Variables!$B$12),0)</f>
        <v>0</v>
      </c>
      <c r="N259" s="64">
        <f>IF(AND(B259="Spring",AND(SUM(D256:D259)&gt;Variables!$B$13,SUM(D252:D255)&gt;Variables!$B$13)),-Variables!$B$14*Variables!$E$50,0)</f>
        <v>0</v>
      </c>
      <c r="O259" s="64">
        <f>IF(AND(B259="Summer",SUM(C255:D259)&gt;Variables!$B$15),(Variables!$B$16*Variables!$E$50*SUM(C255:C259)+$G$1*Variables!$B$16*Variables!$E$50*SUM(D255:D259)+$G$1*Variables!$E$50*Variables!$B$17*F259),0)</f>
        <v>0</v>
      </c>
      <c r="P259" s="64">
        <f>IF(AND(AND(B259="Autumn",SUM(D258:E259)&gt;0),NOT(H258=0)),Variables!$B$18*Variables!$E$50+Variables!$B$19*Variables!$E$50*SUM(E258:E259)+$G$1*Variables!$B$19*Variables!$E$50*SUM(D258:D259),0)</f>
        <v>0</v>
      </c>
      <c r="Q259" s="64">
        <f>IF(AND(B259="Autumn",AND((E259+E258)&lt;Variables!$B$20,(D258+D259)=0)),-Variables!$B$21*Variables!$E$50,0)</f>
        <v>0</v>
      </c>
      <c r="R259" s="64">
        <f>IF(B259="Autumn",(SUM(F258:F259)*$G$1*Variables!$B$22*Variables!$E$50),0)</f>
        <v>0</v>
      </c>
      <c r="S259" s="64">
        <f>IF(B259="Spring",($G$1*Variables!$E$50*SUM('Guts (option 1)'!F258:F259)*Variables!$B$23),0)</f>
        <v>0</v>
      </c>
      <c r="T259" s="63">
        <f>IF((H258+SUM(J259:Q259))&lt;(Variables!$B$26*Variables!$E$50),$F$1*((Variables!$B$26*Variables!$E$50)-H258-SUM(J259:Q259)),0)</f>
        <v>0</v>
      </c>
      <c r="U259" s="64">
        <f>IF(AND(AND(B259="Autumn",SUM(D256:E259)&gt;Variables!$B$27),SUM(J259:Q259)&lt;Variables!$B$28*H258),$F$1*(Variables!$B$28*H258-SUM(J259:Q259)),0)</f>
        <v>0</v>
      </c>
      <c r="V259" s="96">
        <f>IF(AND((J259+K259)=0,(Q259+T259)=0),$H$1*H259*Variables!$I$23*0.25,0)</f>
        <v>43.580245309830801</v>
      </c>
      <c r="W259" s="97">
        <f>IF(AND((K259+J259)=0,(T259+Q259)=0),$I$1*H259*Variables!$Q$23*0.25,0)</f>
        <v>45.616989648926939</v>
      </c>
      <c r="X259" s="95">
        <f>IF(AND(NOT(K259=0),(H259-H258)&gt;0),(H259-H258)*(Variables!$M$5*$H$1+Variables!$U$5*$I$1),0)+IF(AND(NOT((J259+N259+Q259)=0),(H258-H259)&gt;0),(H258-H259)*(Variables!$M$4*$H$1+Variables!$U$4*$I$1),0)</f>
        <v>0</v>
      </c>
      <c r="Y259" s="95">
        <f>IF(SUM(T259,U258:U259)&gt;0,H259*Variables!$Y$11*0.25*(1-$J$1),0)</f>
        <v>0</v>
      </c>
      <c r="Z259" s="95">
        <f>IF(T259=0,H259*$J$1*Variables!$Y$5*0.25,0)</f>
        <v>14.700020213329953</v>
      </c>
      <c r="AA259" s="95">
        <f t="shared" si="7"/>
        <v>103.8972551720877</v>
      </c>
      <c r="AB259" s="91">
        <f>AA259/Variables!$E$49</f>
        <v>16.757621801949629</v>
      </c>
    </row>
    <row r="260" spans="1:28" x14ac:dyDescent="0.25">
      <c r="A260" s="61">
        <f>'Water runs'!C267</f>
        <v>25719</v>
      </c>
      <c r="B260" s="61" t="str">
        <f>'Water runs'!B267</f>
        <v>Autumn</v>
      </c>
      <c r="C260" s="54">
        <f>'Water runs'!D267/100</f>
        <v>0.765625</v>
      </c>
      <c r="D260" s="108">
        <f>VLOOKUP(ROW(D260)+4,'Water runs'!$BS$3:$CF$423,MATCH($B$1,Scenarios,0)+1)</f>
        <v>0</v>
      </c>
      <c r="E260" s="54">
        <f>IF(B260=Variables!$D$8,C260-Variables!$E$8,IF(B260=Variables!$D$9,C260-Variables!$E$9,IF(B260=Variables!$D$10,C260-Variables!$E$10,IF(B260=Variables!$D$11,C260-Variables!$E$11,"ELSE"))))</f>
        <v>-0.22901829931972784</v>
      </c>
      <c r="F260" s="108">
        <f>VLOOKUP(ROW(F260)+4,'Water runs'!$CH$3:$CU$423,MATCH($B$1,Scenarios,0)+1)</f>
        <v>0</v>
      </c>
      <c r="G260" s="65">
        <f>H260/Variables!$E$49</f>
        <v>0.36476476956153731</v>
      </c>
      <c r="H260" s="62">
        <f>IF((H259+I260)&gt;(1.1*Variables!$E$50),(1.1*Variables!$E$50),IF((H259+I260)&gt;0,H259+I260,0))</f>
        <v>2.2615415712815312</v>
      </c>
      <c r="I260" s="64">
        <f t="shared" si="8"/>
        <v>0</v>
      </c>
      <c r="J260" s="63">
        <f>IF(SUM(E256:E259)&lt;Variables!$B$3,-H259,0)</f>
        <v>0</v>
      </c>
      <c r="K260" s="64">
        <f>IF(AND(H259&lt;Variables!$B$6*Variables!$E$50,OR(SUM(D257:D260)&gt;Variables!$B$5,SUM(E257:E260)&gt;Variables!$B$4)),Variables!$B$6*Variables!$E$50+Variables!$B$7*$G$1*Variables!$E$50*SUM(D257:D260),0)</f>
        <v>0</v>
      </c>
      <c r="L260" s="64">
        <f>IF(B260="Winter",Variables!$B$8*H259,0)</f>
        <v>0</v>
      </c>
      <c r="M260" s="64">
        <f>IF(AND(B260="Spring",AND(NOT(H259=0),H259&lt;(Variables!$B$9*Variables!$E$50))),(Variables!$B$10*Variables!$E$50+Variables!$B$11*Variables!$E$50*SUM(E257:E260)+$G$1*SUM(D259:D260)*Variables!$E$50*Variables!$B$12),0)</f>
        <v>0</v>
      </c>
      <c r="N260" s="64">
        <f>IF(AND(B260="Spring",AND(SUM(D257:D260)&gt;Variables!$B$13,SUM(D253:D256)&gt;Variables!$B$13)),-Variables!$B$14*Variables!$E$50,0)</f>
        <v>0</v>
      </c>
      <c r="O260" s="64">
        <f>IF(AND(B260="Summer",SUM(C256:D260)&gt;Variables!$B$15),(Variables!$B$16*Variables!$E$50*SUM(C256:C260)+$G$1*Variables!$B$16*Variables!$E$50*SUM(D256:D260)+$G$1*Variables!$E$50*Variables!$B$17*F260),0)</f>
        <v>0</v>
      </c>
      <c r="P260" s="64">
        <f>IF(AND(AND(B260="Autumn",SUM(D259:E260)&gt;0),NOT(H259=0)),Variables!$B$18*Variables!$E$50+Variables!$B$19*Variables!$E$50*SUM(E259:E260)+$G$1*Variables!$B$19*Variables!$E$50*SUM(D259:D260),0)</f>
        <v>0</v>
      </c>
      <c r="Q260" s="64">
        <f>IF(AND(B260="Autumn",AND((E260+E259)&lt;Variables!$B$20,(D259+D260)=0)),-Variables!$B$21*Variables!$E$50,0)</f>
        <v>0</v>
      </c>
      <c r="R260" s="64">
        <f>IF(B260="Autumn",(SUM(F259:F260)*$G$1*Variables!$B$22*Variables!$E$50),0)</f>
        <v>0</v>
      </c>
      <c r="S260" s="64">
        <f>IF(B260="Spring",($G$1*Variables!$E$50*SUM('Guts (option 1)'!F259:F260)*Variables!$B$23),0)</f>
        <v>0</v>
      </c>
      <c r="T260" s="63">
        <f>IF((H259+SUM(J260:Q260))&lt;(Variables!$B$26*Variables!$E$50),$F$1*((Variables!$B$26*Variables!$E$50)-H259-SUM(J260:Q260)),0)</f>
        <v>0</v>
      </c>
      <c r="U260" s="64">
        <f>IF(AND(AND(B260="Autumn",SUM(D257:E260)&gt;Variables!$B$27),SUM(J260:Q260)&lt;Variables!$B$28*H259),$F$1*(Variables!$B$28*H259-SUM(J260:Q260)),0)</f>
        <v>0</v>
      </c>
      <c r="V260" s="96">
        <f>IF(AND((J260+K260)=0,(Q260+T260)=0),$H$1*H260*Variables!$I$23*0.25,0)</f>
        <v>43.580245309830801</v>
      </c>
      <c r="W260" s="97">
        <f>IF(AND((K260+J260)=0,(T260+Q260)=0),$I$1*H260*Variables!$Q$23*0.25,0)</f>
        <v>45.616989648926939</v>
      </c>
      <c r="X260" s="95">
        <f>IF(AND(NOT(K260=0),(H260-H259)&gt;0),(H260-H259)*(Variables!$M$5*$H$1+Variables!$U$5*$I$1),0)+IF(AND(NOT((J260+N260+Q260)=0),(H259-H260)&gt;0),(H259-H260)*(Variables!$M$4*$H$1+Variables!$U$4*$I$1),0)</f>
        <v>0</v>
      </c>
      <c r="Y260" s="95">
        <f>IF(SUM(T260,U259:U260)&gt;0,H260*Variables!$Y$11*0.25*(1-$J$1),0)</f>
        <v>0</v>
      </c>
      <c r="Z260" s="95">
        <f>IF(T260=0,H260*$J$1*Variables!$Y$5*0.25,0)</f>
        <v>14.700020213329953</v>
      </c>
      <c r="AA260" s="95">
        <f t="shared" si="7"/>
        <v>103.8972551720877</v>
      </c>
      <c r="AB260" s="91">
        <f>AA260/Variables!$E$49</f>
        <v>16.757621801949629</v>
      </c>
    </row>
    <row r="261" spans="1:28" x14ac:dyDescent="0.25">
      <c r="A261" s="61">
        <f>'Water runs'!C268</f>
        <v>25811</v>
      </c>
      <c r="B261" s="61" t="str">
        <f>'Water runs'!B268</f>
        <v>Winter</v>
      </c>
      <c r="C261" s="54">
        <f>'Water runs'!D268/100</f>
        <v>0.123857142857143</v>
      </c>
      <c r="D261" s="108">
        <f>VLOOKUP(ROW(D261)+4,'Water runs'!$BS$3:$CF$423,MATCH($B$1,Scenarios,0)+1)</f>
        <v>0</v>
      </c>
      <c r="E261" s="54">
        <f>IF(B261=Variables!$D$8,C261-Variables!$E$8,IF(B261=Variables!$D$9,C261-Variables!$E$9,IF(B261=Variables!$D$10,C261-Variables!$E$10,IF(B261=Variables!$D$11,C261-Variables!$E$11,"ELSE"))))</f>
        <v>-0.44791048280423273</v>
      </c>
      <c r="F261" s="108">
        <f>VLOOKUP(ROW(F261)+4,'Water runs'!$CH$3:$CU$423,MATCH($B$1,Scenarios,0)+1)</f>
        <v>0</v>
      </c>
      <c r="G261" s="65">
        <f>H261/Variables!$E$49</f>
        <v>0.183131886527828</v>
      </c>
      <c r="H261" s="62">
        <f>IF((H260+I261)&gt;(1.1*Variables!$E$50),(1.1*Variables!$E$50),IF((H260+I261)&gt;0,H260+I261,0))</f>
        <v>1.1354176964725335</v>
      </c>
      <c r="I261" s="64">
        <f t="shared" si="8"/>
        <v>-1.1261238748089977</v>
      </c>
      <c r="J261" s="63">
        <f>IF(SUM(E257:E260)&lt;Variables!$B$3,-H260,0)</f>
        <v>0</v>
      </c>
      <c r="K261" s="64">
        <f>IF(AND(H260&lt;Variables!$B$6*Variables!$E$50,OR(SUM(D258:D261)&gt;Variables!$B$5,SUM(E258:E261)&gt;Variables!$B$4)),Variables!$B$6*Variables!$E$50+Variables!$B$7*$G$1*Variables!$E$50*SUM(D258:D261),0)</f>
        <v>0</v>
      </c>
      <c r="L261" s="64">
        <f>IF(B261="Winter",Variables!$B$8*H260,0)</f>
        <v>-1.1261238748089977</v>
      </c>
      <c r="M261" s="64">
        <f>IF(AND(B261="Spring",AND(NOT(H260=0),H260&lt;(Variables!$B$9*Variables!$E$50))),(Variables!$B$10*Variables!$E$50+Variables!$B$11*Variables!$E$50*SUM(E258:E261)+$G$1*SUM(D260:D261)*Variables!$E$50*Variables!$B$12),0)</f>
        <v>0</v>
      </c>
      <c r="N261" s="64">
        <f>IF(AND(B261="Spring",AND(SUM(D258:D261)&gt;Variables!$B$13,SUM(D254:D257)&gt;Variables!$B$13)),-Variables!$B$14*Variables!$E$50,0)</f>
        <v>0</v>
      </c>
      <c r="O261" s="64">
        <f>IF(AND(B261="Summer",SUM(C257:D261)&gt;Variables!$B$15),(Variables!$B$16*Variables!$E$50*SUM(C257:C261)+$G$1*Variables!$B$16*Variables!$E$50*SUM(D257:D261)+$G$1*Variables!$E$50*Variables!$B$17*F261),0)</f>
        <v>0</v>
      </c>
      <c r="P261" s="64">
        <f>IF(AND(AND(B261="Autumn",SUM(D260:E261)&gt;0),NOT(H260=0)),Variables!$B$18*Variables!$E$50+Variables!$B$19*Variables!$E$50*SUM(E260:E261)+$G$1*Variables!$B$19*Variables!$E$50*SUM(D260:D261),0)</f>
        <v>0</v>
      </c>
      <c r="Q261" s="64">
        <f>IF(AND(B261="Autumn",AND((E261+E260)&lt;Variables!$B$20,(D260+D261)=0)),-Variables!$B$21*Variables!$E$50,0)</f>
        <v>0</v>
      </c>
      <c r="R261" s="64">
        <f>IF(B261="Autumn",(SUM(F260:F261)*$G$1*Variables!$B$22*Variables!$E$50),0)</f>
        <v>0</v>
      </c>
      <c r="S261" s="64">
        <f>IF(B261="Spring",($G$1*Variables!$E$50*SUM('Guts (option 1)'!F260:F261)*Variables!$B$23),0)</f>
        <v>0</v>
      </c>
      <c r="T261" s="63">
        <f>IF((H260+SUM(J261:Q261))&lt;(Variables!$B$26*Variables!$E$50),$F$1*((Variables!$B$26*Variables!$E$50)-H260-SUM(J261:Q261)),0)</f>
        <v>0</v>
      </c>
      <c r="U261" s="64">
        <f>IF(AND(AND(B261="Autumn",SUM(D258:E261)&gt;Variables!$B$27),SUM(J261:Q261)&lt;Variables!$B$28*H260),$F$1*(Variables!$B$28*H260-SUM(J261:Q261)),0)</f>
        <v>0</v>
      </c>
      <c r="V261" s="96">
        <f>IF(AND((J261+K261)=0,(Q261+T261)=0),$H$1*H261*Variables!$I$23*0.25,0)</f>
        <v>21.879669323680194</v>
      </c>
      <c r="W261" s="97">
        <f>IF(AND((K261+J261)=0,(T261+Q261)=0),$I$1*H261*Variables!$Q$23*0.25,0)</f>
        <v>22.902226501123355</v>
      </c>
      <c r="X261" s="95">
        <f>IF(AND(NOT(K261=0),(H261-H260)&gt;0),(H261-H260)*(Variables!$M$5*$H$1+Variables!$U$5*$I$1),0)+IF(AND(NOT((J261+N261+Q261)=0),(H260-H261)&gt;0),(H260-H261)*(Variables!$M$4*$H$1+Variables!$U$4*$I$1),0)</f>
        <v>0</v>
      </c>
      <c r="Y261" s="95">
        <f>IF(SUM(T261,U260:U261)&gt;0,H261*Variables!$Y$11*0.25*(1-$J$1),0)</f>
        <v>0</v>
      </c>
      <c r="Z261" s="95">
        <f>IF(T261=0,H261*$J$1*Variables!$Y$5*0.25,0)</f>
        <v>7.3802150270714684</v>
      </c>
      <c r="AA261" s="95">
        <f t="shared" si="7"/>
        <v>52.162110851875013</v>
      </c>
      <c r="AB261" s="91">
        <f>AA261/Variables!$E$49</f>
        <v>8.4132436857862931</v>
      </c>
    </row>
    <row r="262" spans="1:28" x14ac:dyDescent="0.25">
      <c r="A262" s="61">
        <f>'Water runs'!C269</f>
        <v>25902</v>
      </c>
      <c r="B262" s="61" t="str">
        <f>'Water runs'!B269</f>
        <v>Spring</v>
      </c>
      <c r="C262" s="54">
        <f>'Water runs'!D269/100</f>
        <v>1.3118571428571399</v>
      </c>
      <c r="D262" s="108">
        <f>VLOOKUP(ROW(D262)+4,'Water runs'!$BS$3:$CF$423,MATCH($B$1,Scenarios,0)+1)</f>
        <v>0</v>
      </c>
      <c r="E262" s="54">
        <f>IF(B262=Variables!$D$8,C262-Variables!$E$8,IF(B262=Variables!$D$9,C262-Variables!$E$9,IF(B262=Variables!$D$10,C262-Variables!$E$10,IF(B262=Variables!$D$11,C262-Variables!$E$11,"ELSE"))))</f>
        <v>0.5478749338624308</v>
      </c>
      <c r="F262" s="108">
        <f>VLOOKUP(ROW(F262)+4,'Water runs'!$CH$3:$CU$423,MATCH($B$1,Scenarios,0)+1)</f>
        <v>0</v>
      </c>
      <c r="G262" s="65">
        <f>H262/Variables!$E$49</f>
        <v>0.161</v>
      </c>
      <c r="H262" s="62">
        <f>IF((H261+I262)&gt;(1.1*Variables!$E$50),(1.1*Variables!$E$50),IF((H261+I262)&gt;0,H261+I262,0))</f>
        <v>0.99820000000000009</v>
      </c>
      <c r="I262" s="64">
        <f t="shared" si="8"/>
        <v>-0.13721769647253346</v>
      </c>
      <c r="J262" s="63">
        <f>IF(SUM(E258:E261)&lt;Variables!$B$3,-H261,0)</f>
        <v>0</v>
      </c>
      <c r="K262" s="64">
        <f>IF(AND(H261&lt;Variables!$B$6*Variables!$E$50,OR(SUM(D259:D262)&gt;Variables!$B$5,SUM(E259:E262)&gt;Variables!$B$4)),Variables!$B$6*Variables!$E$50+Variables!$B$7*$G$1*Variables!$E$50*SUM(D259:D262),0)</f>
        <v>0</v>
      </c>
      <c r="L262" s="64">
        <f>IF(B262="Winter",Variables!$B$8*H261,0)</f>
        <v>0</v>
      </c>
      <c r="M262" s="64">
        <f>IF(AND(B262="Spring",AND(NOT(H261=0),H261&lt;(Variables!$B$9*Variables!$E$50))),(Variables!$B$10*Variables!$E$50+Variables!$B$11*Variables!$E$50*SUM(E259:E262)+$G$1*SUM(D261:D262)*Variables!$E$50*Variables!$B$12),0)</f>
        <v>-0.36763640638108369</v>
      </c>
      <c r="N262" s="64">
        <f>IF(AND(B262="Spring",AND(SUM(D259:D262)&gt;Variables!$B$13,SUM(D255:D258)&gt;Variables!$B$13)),-Variables!$B$14*Variables!$E$50,0)</f>
        <v>0</v>
      </c>
      <c r="O262" s="64">
        <f>IF(AND(B262="Summer",SUM(C258:D262)&gt;Variables!$B$15),(Variables!$B$16*Variables!$E$50*SUM(C258:C262)+$G$1*Variables!$B$16*Variables!$E$50*SUM(D258:D262)+$G$1*Variables!$E$50*Variables!$B$17*F262),0)</f>
        <v>0</v>
      </c>
      <c r="P262" s="64">
        <f>IF(AND(AND(B262="Autumn",SUM(D261:E262)&gt;0),NOT(H261=0)),Variables!$B$18*Variables!$E$50+Variables!$B$19*Variables!$E$50*SUM(E261:E262)+$G$1*Variables!$B$19*Variables!$E$50*SUM(D261:D262),0)</f>
        <v>0</v>
      </c>
      <c r="Q262" s="64">
        <f>IF(AND(B262="Autumn",AND((E262+E261)&lt;Variables!$B$20,(D261+D262)=0)),-Variables!$B$21*Variables!$E$50,0)</f>
        <v>0</v>
      </c>
      <c r="R262" s="64">
        <f>IF(B262="Autumn",(SUM(F261:F262)*$G$1*Variables!$B$22*Variables!$E$50),0)</f>
        <v>0</v>
      </c>
      <c r="S262" s="64">
        <f>IF(B262="Spring",($G$1*Variables!$E$50*SUM('Guts (option 1)'!F261:F262)*Variables!$B$23),0)</f>
        <v>0</v>
      </c>
      <c r="T262" s="63">
        <f>IF((H261+SUM(J262:Q262))&lt;(Variables!$B$26*Variables!$E$50),$F$1*((Variables!$B$26*Variables!$E$50)-H261-SUM(J262:Q262)),0)</f>
        <v>0.23041870990855023</v>
      </c>
      <c r="U262" s="64">
        <f>IF(AND(AND(B262="Autumn",SUM(D259:E262)&gt;Variables!$B$27),SUM(J262:Q262)&lt;Variables!$B$28*H261),$F$1*(Variables!$B$28*H261-SUM(J262:Q262)),0)</f>
        <v>0</v>
      </c>
      <c r="V262" s="96">
        <f>IF(AND((J262+K262)=0,(Q262+T262)=0),$H$1*H262*Variables!$I$23*0.25,0)</f>
        <v>0</v>
      </c>
      <c r="W262" s="97">
        <f>IF(AND((K262+J262)=0,(T262+Q262)=0),$I$1*H262*Variables!$Q$23*0.25,0)</f>
        <v>0</v>
      </c>
      <c r="X262" s="95">
        <f>IF(AND(NOT(K262=0),(H262-H261)&gt;0),(H262-H261)*(Variables!$M$5*$H$1+Variables!$U$5*$I$1),0)+IF(AND(NOT((J262+N262+Q262)=0),(H261-H262)&gt;0),(H261-H262)*(Variables!$M$4*$H$1+Variables!$U$4*$I$1),0)</f>
        <v>0</v>
      </c>
      <c r="Y262" s="95">
        <f>IF(SUM(T262,U261:U262)&gt;0,H262*Variables!$Y$11*0.25*(1-$J$1),0)</f>
        <v>0</v>
      </c>
      <c r="Z262" s="95">
        <f>IF(T262=0,H262*$J$1*Variables!$Y$5*0.25,0)</f>
        <v>0</v>
      </c>
      <c r="AA262" s="95">
        <f t="shared" si="7"/>
        <v>0</v>
      </c>
      <c r="AB262" s="91">
        <f>AA262/Variables!$E$49</f>
        <v>0</v>
      </c>
    </row>
    <row r="263" spans="1:28" x14ac:dyDescent="0.25">
      <c r="A263" s="61">
        <f>'Water runs'!C270</f>
        <v>25992</v>
      </c>
      <c r="B263" s="61" t="str">
        <f>'Water runs'!B270</f>
        <v>Summer</v>
      </c>
      <c r="C263" s="54">
        <f>'Water runs'!D270/100</f>
        <v>2.0666071428571398</v>
      </c>
      <c r="D263" s="108">
        <f>VLOOKUP(ROW(D263)+4,'Water runs'!$BS$3:$CF$423,MATCH($B$1,Scenarios,0)+1)</f>
        <v>0.55679728263881745</v>
      </c>
      <c r="E263" s="54">
        <f>IF(B263=Variables!$D$8,C263-Variables!$E$8,IF(B263=Variables!$D$9,C263-Variables!$E$9,IF(B263=Variables!$D$10,C263-Variables!$E$10,IF(B263=Variables!$D$11,C263-Variables!$E$11,"ELSE"))))</f>
        <v>0.80823700680271804</v>
      </c>
      <c r="F263" s="108">
        <f>VLOOKUP(ROW(F263)+4,'Water runs'!$CH$3:$CU$423,MATCH($B$1,Scenarios,0)+1)</f>
        <v>0.52173437636085795</v>
      </c>
      <c r="G263" s="65">
        <f>H263/Variables!$E$49</f>
        <v>0.34971771659882184</v>
      </c>
      <c r="H263" s="62">
        <f>IF((H262+I263)&gt;(1.1*Variables!$E$50),(1.1*Variables!$E$50),IF((H262+I263)&gt;0,H262+I263,0))</f>
        <v>2.1682498429126955</v>
      </c>
      <c r="I263" s="64">
        <f t="shared" si="8"/>
        <v>1.1700498429126955</v>
      </c>
      <c r="J263" s="63">
        <f>IF(SUM(E259:E262)&lt;Variables!$B$3,-H262,0)</f>
        <v>0</v>
      </c>
      <c r="K263" s="64">
        <f>IF(AND(H262&lt;Variables!$B$6*Variables!$E$50,OR(SUM(D260:D263)&gt;Variables!$B$5,SUM(E260:E263)&gt;Variables!$B$4)),Variables!$B$6*Variables!$E$50+Variables!$B$7*$G$1*Variables!$E$50*SUM(D260:D263),0)</f>
        <v>1.1700498429126955</v>
      </c>
      <c r="L263" s="64">
        <f>IF(B263="Winter",Variables!$B$8*H262,0)</f>
        <v>0</v>
      </c>
      <c r="M263" s="64">
        <f>IF(AND(B263="Spring",AND(NOT(H262=0),H262&lt;(Variables!$B$9*Variables!$E$50))),(Variables!$B$10*Variables!$E$50+Variables!$B$11*Variables!$E$50*SUM(E260:E263)+$G$1*SUM(D262:D263)*Variables!$E$50*Variables!$B$12),0)</f>
        <v>0</v>
      </c>
      <c r="N263" s="64">
        <f>IF(AND(B263="Spring",AND(SUM(D260:D263)&gt;Variables!$B$13,SUM(D256:D259)&gt;Variables!$B$13)),-Variables!$B$14*Variables!$E$50,0)</f>
        <v>0</v>
      </c>
      <c r="O263" s="64">
        <f>IF(AND(B263="Summer",SUM(C259:D263)&gt;Variables!$B$15),(Variables!$B$16*Variables!$E$50*SUM(C259:C263)+$G$1*Variables!$B$16*Variables!$E$50*SUM(D259:D263)+$G$1*Variables!$E$50*Variables!$B$17*F263),0)</f>
        <v>0</v>
      </c>
      <c r="P263" s="64">
        <f>IF(AND(AND(B263="Autumn",SUM(D262:E263)&gt;0),NOT(H262=0)),Variables!$B$18*Variables!$E$50+Variables!$B$19*Variables!$E$50*SUM(E262:E263)+$G$1*Variables!$B$19*Variables!$E$50*SUM(D262:D263),0)</f>
        <v>0</v>
      </c>
      <c r="Q263" s="64">
        <f>IF(AND(B263="Autumn",AND((E263+E262)&lt;Variables!$B$20,(D262+D263)=0)),-Variables!$B$21*Variables!$E$50,0)</f>
        <v>0</v>
      </c>
      <c r="R263" s="64">
        <f>IF(B263="Autumn",(SUM(F262:F263)*$G$1*Variables!$B$22*Variables!$E$50),0)</f>
        <v>0</v>
      </c>
      <c r="S263" s="64">
        <f>IF(B263="Spring",($G$1*Variables!$E$50*SUM('Guts (option 1)'!F262:F263)*Variables!$B$23),0)</f>
        <v>0</v>
      </c>
      <c r="T263" s="63">
        <f>IF((H262+SUM(J263:Q263))&lt;(Variables!$B$26*Variables!$E$50),$F$1*((Variables!$B$26*Variables!$E$50)-H262-SUM(J263:Q263)),0)</f>
        <v>0</v>
      </c>
      <c r="U263" s="64">
        <f>IF(AND(AND(B263="Autumn",SUM(D260:E263)&gt;Variables!$B$27),SUM(J263:Q263)&lt;Variables!$B$28*H262),$F$1*(Variables!$B$28*H262-SUM(J263:Q263)),0)</f>
        <v>0</v>
      </c>
      <c r="V263" s="96">
        <f>IF(AND((J263+K263)=0,(Q263+T263)=0),$H$1*H263*Variables!$I$23*0.25,0)</f>
        <v>0</v>
      </c>
      <c r="W263" s="97">
        <f>IF(AND((K263+J263)=0,(T263+Q263)=0),$I$1*H263*Variables!$Q$23*0.25,0)</f>
        <v>0</v>
      </c>
      <c r="X263" s="95">
        <f>IF(AND(NOT(K263=0),(H263-H262)&gt;0),(H263-H262)*(Variables!$M$5*$H$1+Variables!$U$5*$I$1),0)+IF(AND(NOT((J263+N263+Q263)=0),(H262-H263)&gt;0),(H262-H263)*(Variables!$M$4*$H$1+Variables!$U$4*$I$1),0)</f>
        <v>-292.51246072817383</v>
      </c>
      <c r="Y263" s="95">
        <f>IF(SUM(T263,U262:U263)&gt;0,H263*Variables!$Y$11*0.25*(1-$J$1),0)</f>
        <v>0</v>
      </c>
      <c r="Z263" s="95">
        <f>IF(T263=0,H263*$J$1*Variables!$Y$5*0.25,0)</f>
        <v>14.09362397893252</v>
      </c>
      <c r="AA263" s="95">
        <f t="shared" si="7"/>
        <v>-278.41883674924134</v>
      </c>
      <c r="AB263" s="91">
        <f>AA263/Variables!$E$49</f>
        <v>-44.90626399181312</v>
      </c>
    </row>
    <row r="264" spans="1:28" x14ac:dyDescent="0.25">
      <c r="A264" s="61">
        <f>'Water runs'!C271</f>
        <v>26084</v>
      </c>
      <c r="B264" s="61" t="str">
        <f>'Water runs'!B271</f>
        <v>Autumn</v>
      </c>
      <c r="C264" s="54">
        <f>'Water runs'!D271/100</f>
        <v>0.82262500000000005</v>
      </c>
      <c r="D264" s="108">
        <f>VLOOKUP(ROW(D264)+4,'Water runs'!$BS$3:$CF$423,MATCH($B$1,Scenarios,0)+1)</f>
        <v>0.326110737218822</v>
      </c>
      <c r="E264" s="54">
        <f>IF(B264=Variables!$D$8,C264-Variables!$E$8,IF(B264=Variables!$D$9,C264-Variables!$E$9,IF(B264=Variables!$D$10,C264-Variables!$E$10,IF(B264=Variables!$D$11,C264-Variables!$E$11,"ELSE"))))</f>
        <v>-0.17201829931972779</v>
      </c>
      <c r="F264" s="108">
        <f>VLOOKUP(ROW(F264)+4,'Water runs'!$CH$3:$CU$423,MATCH($B$1,Scenarios,0)+1)</f>
        <v>0.60200120349329767</v>
      </c>
      <c r="G264" s="65">
        <f>H264/Variables!$E$49</f>
        <v>0.88807196895180052</v>
      </c>
      <c r="H264" s="62">
        <f>IF((H263+I264)&gt;(1.1*Variables!$E$50),(1.1*Variables!$E$50),IF((H263+I264)&gt;0,H263+I264,0))</f>
        <v>5.5060462075011634</v>
      </c>
      <c r="I264" s="64">
        <f t="shared" si="8"/>
        <v>3.3377963645884678</v>
      </c>
      <c r="J264" s="63">
        <f>IF(SUM(E260:E263)&lt;Variables!$B$3,-H263,0)</f>
        <v>0</v>
      </c>
      <c r="K264" s="64">
        <f>IF(AND(H263&lt;Variables!$B$6*Variables!$E$50,OR(SUM(D261:D264)&gt;Variables!$B$5,SUM(E261:E264)&gt;Variables!$B$4)),Variables!$B$6*Variables!$E$50+Variables!$B$7*$G$1*Variables!$E$50*SUM(D261:D264),0)</f>
        <v>0</v>
      </c>
      <c r="L264" s="64">
        <f>IF(B264="Winter",Variables!$B$8*H263,0)</f>
        <v>0</v>
      </c>
      <c r="M264" s="64">
        <f>IF(AND(B264="Spring",AND(NOT(H263=0),H263&lt;(Variables!$B$9*Variables!$E$50))),(Variables!$B$10*Variables!$E$50+Variables!$B$11*Variables!$E$50*SUM(E261:E264)+$G$1*SUM(D263:D264)*Variables!$E$50*Variables!$B$12),0)</f>
        <v>0</v>
      </c>
      <c r="N264" s="64">
        <f>IF(AND(B264="Spring",AND(SUM(D261:D264)&gt;Variables!$B$13,SUM(D257:D260)&gt;Variables!$B$13)),-Variables!$B$14*Variables!$E$50,0)</f>
        <v>0</v>
      </c>
      <c r="O264" s="64">
        <f>IF(AND(B264="Summer",SUM(C260:D264)&gt;Variables!$B$15),(Variables!$B$16*Variables!$E$50*SUM(C260:C264)+$G$1*Variables!$B$16*Variables!$E$50*SUM(D260:D264)+$G$1*Variables!$E$50*Variables!$B$17*F264),0)</f>
        <v>0</v>
      </c>
      <c r="P264" s="64">
        <f>IF(AND(AND(B264="Autumn",SUM(D263:E264)&gt;0),NOT(H263=0)),Variables!$B$18*Variables!$E$50+Variables!$B$19*Variables!$E$50*SUM(E263:E264)+$G$1*Variables!$B$19*Variables!$E$50*SUM(D263:D264),0)</f>
        <v>3.1801610579133417</v>
      </c>
      <c r="Q264" s="64">
        <f>IF(AND(B264="Autumn",AND((E264+E263)&lt;Variables!$B$20,(D263+D264)=0)),-Variables!$B$21*Variables!$E$50,0)</f>
        <v>0</v>
      </c>
      <c r="R264" s="64">
        <f>IF(B264="Autumn",(SUM(F263:F264)*$G$1*Variables!$B$22*Variables!$E$50),0)</f>
        <v>0.15763530667512629</v>
      </c>
      <c r="S264" s="64">
        <f>IF(B264="Spring",($G$1*Variables!$E$50*SUM('Guts (option 1)'!F263:F264)*Variables!$B$23),0)</f>
        <v>0</v>
      </c>
      <c r="T264" s="63">
        <f>IF((H263+SUM(J264:Q264))&lt;(Variables!$B$26*Variables!$E$50),$F$1*((Variables!$B$26*Variables!$E$50)-H263-SUM(J264:Q264)),0)</f>
        <v>0</v>
      </c>
      <c r="U264" s="64">
        <f>IF(AND(AND(B264="Autumn",SUM(D261:E264)&gt;Variables!$B$27),SUM(J264:Q264)&lt;Variables!$B$28*H263),$F$1*(Variables!$B$28*H263-SUM(J264:Q264)),0)</f>
        <v>0</v>
      </c>
      <c r="V264" s="96">
        <f>IF(AND((J264+K264)=0,(Q264+T264)=0),$H$1*H264*Variables!$I$23*0.25,0)</f>
        <v>106.10233632547855</v>
      </c>
      <c r="W264" s="97">
        <f>IF(AND((K264+J264)=0,(T264+Q264)=0),$I$1*H264*Variables!$Q$23*0.25,0)</f>
        <v>111.06108153995407</v>
      </c>
      <c r="X264" s="95">
        <f>IF(AND(NOT(K264=0),(H264-H263)&gt;0),(H264-H263)*(Variables!$M$5*$H$1+Variables!$U$5*$I$1),0)+IF(AND(NOT((J264+N264+Q264)=0),(H263-H264)&gt;0),(H263-H264)*(Variables!$M$4*$H$1+Variables!$U$4*$I$1),0)</f>
        <v>0</v>
      </c>
      <c r="Y264" s="95">
        <f>IF(SUM(T264,U263:U264)&gt;0,H264*Variables!$Y$11*0.25*(1-$J$1),0)</f>
        <v>0</v>
      </c>
      <c r="Z264" s="95">
        <f>IF(T264=0,H264*$J$1*Variables!$Y$5*0.25,0)</f>
        <v>35.789300348757564</v>
      </c>
      <c r="AA264" s="95">
        <f t="shared" si="7"/>
        <v>252.95271821419018</v>
      </c>
      <c r="AB264" s="91">
        <f>AA264/Variables!$E$49</f>
        <v>40.798825518417772</v>
      </c>
    </row>
    <row r="265" spans="1:28" x14ac:dyDescent="0.25">
      <c r="A265" s="61">
        <f>'Water runs'!C272</f>
        <v>26176</v>
      </c>
      <c r="B265" s="61" t="str">
        <f>'Water runs'!B272</f>
        <v>Winter</v>
      </c>
      <c r="C265" s="54">
        <f>'Water runs'!D272/100</f>
        <v>0.876142857142857</v>
      </c>
      <c r="D265" s="108">
        <f>VLOOKUP(ROW(D265)+4,'Water runs'!$BS$3:$CF$423,MATCH($B$1,Scenarios,0)+1)</f>
        <v>0</v>
      </c>
      <c r="E265" s="54">
        <f>IF(B265=Variables!$D$8,C265-Variables!$E$8,IF(B265=Variables!$D$9,C265-Variables!$E$9,IF(B265=Variables!$D$10,C265-Variables!$E$10,IF(B265=Variables!$D$11,C265-Variables!$E$11,"ELSE"))))</f>
        <v>0.30437523148148127</v>
      </c>
      <c r="F265" s="108">
        <f>VLOOKUP(ROW(F265)+4,'Water runs'!$CH$3:$CU$423,MATCH($B$1,Scenarios,0)+1)</f>
        <v>0</v>
      </c>
      <c r="G265" s="65">
        <f>H265/Variables!$E$49</f>
        <v>0.44586075360874144</v>
      </c>
      <c r="H265" s="62">
        <f>IF((H264+I265)&gt;(1.1*Variables!$E$50),(1.1*Variables!$E$50),IF((H264+I265)&gt;0,H264+I265,0))</f>
        <v>2.7643366723741969</v>
      </c>
      <c r="I265" s="64">
        <f t="shared" si="8"/>
        <v>-2.7417095351269665</v>
      </c>
      <c r="J265" s="63">
        <f>IF(SUM(E261:E264)&lt;Variables!$B$3,-H264,0)</f>
        <v>0</v>
      </c>
      <c r="K265" s="64">
        <f>IF(AND(H264&lt;Variables!$B$6*Variables!$E$50,OR(SUM(D262:D265)&gt;Variables!$B$5,SUM(E262:E265)&gt;Variables!$B$4)),Variables!$B$6*Variables!$E$50+Variables!$B$7*$G$1*Variables!$E$50*SUM(D262:D265),0)</f>
        <v>0</v>
      </c>
      <c r="L265" s="64">
        <f>IF(B265="Winter",Variables!$B$8*H264,0)</f>
        <v>-2.7417095351269665</v>
      </c>
      <c r="M265" s="64">
        <f>IF(AND(B265="Spring",AND(NOT(H264=0),H264&lt;(Variables!$B$9*Variables!$E$50))),(Variables!$B$10*Variables!$E$50+Variables!$B$11*Variables!$E$50*SUM(E262:E265)+$G$1*SUM(D264:D265)*Variables!$E$50*Variables!$B$12),0)</f>
        <v>0</v>
      </c>
      <c r="N265" s="64">
        <f>IF(AND(B265="Spring",AND(SUM(D262:D265)&gt;Variables!$B$13,SUM(D258:D261)&gt;Variables!$B$13)),-Variables!$B$14*Variables!$E$50,0)</f>
        <v>0</v>
      </c>
      <c r="O265" s="64">
        <f>IF(AND(B265="Summer",SUM(C261:D265)&gt;Variables!$B$15),(Variables!$B$16*Variables!$E$50*SUM(C261:C265)+$G$1*Variables!$B$16*Variables!$E$50*SUM(D261:D265)+$G$1*Variables!$E$50*Variables!$B$17*F265),0)</f>
        <v>0</v>
      </c>
      <c r="P265" s="64">
        <f>IF(AND(AND(B265="Autumn",SUM(D264:E265)&gt;0),NOT(H264=0)),Variables!$B$18*Variables!$E$50+Variables!$B$19*Variables!$E$50*SUM(E264:E265)+$G$1*Variables!$B$19*Variables!$E$50*SUM(D264:D265),0)</f>
        <v>0</v>
      </c>
      <c r="Q265" s="64">
        <f>IF(AND(B265="Autumn",AND((E265+E264)&lt;Variables!$B$20,(D264+D265)=0)),-Variables!$B$21*Variables!$E$50,0)</f>
        <v>0</v>
      </c>
      <c r="R265" s="64">
        <f>IF(B265="Autumn",(SUM(F264:F265)*$G$1*Variables!$B$22*Variables!$E$50),0)</f>
        <v>0</v>
      </c>
      <c r="S265" s="64">
        <f>IF(B265="Spring",($G$1*Variables!$E$50*SUM('Guts (option 1)'!F264:F265)*Variables!$B$23),0)</f>
        <v>0</v>
      </c>
      <c r="T265" s="63">
        <f>IF((H264+SUM(J265:Q265))&lt;(Variables!$B$26*Variables!$E$50),$F$1*((Variables!$B$26*Variables!$E$50)-H264-SUM(J265:Q265)),0)</f>
        <v>0</v>
      </c>
      <c r="U265" s="64">
        <f>IF(AND(AND(B265="Autumn",SUM(D262:E265)&gt;Variables!$B$27),SUM(J265:Q265)&lt;Variables!$B$28*H264),$F$1*(Variables!$B$28*H264-SUM(J265:Q265)),0)</f>
        <v>0</v>
      </c>
      <c r="V265" s="96">
        <f>IF(AND((J265+K265)=0,(Q265+T265)=0),$H$1*H265*Variables!$I$23*0.25,0)</f>
        <v>53.269182327151633</v>
      </c>
      <c r="W265" s="97">
        <f>IF(AND((K265+J265)=0,(T265+Q265)=0),$I$1*H265*Variables!$Q$23*0.25,0)</f>
        <v>55.758743934291829</v>
      </c>
      <c r="X265" s="95">
        <f>IF(AND(NOT(K265=0),(H265-H264)&gt;0),(H265-H264)*(Variables!$M$5*$H$1+Variables!$U$5*$I$1),0)+IF(AND(NOT((J265+N265+Q265)=0),(H264-H265)&gt;0),(H264-H265)*(Variables!$M$4*$H$1+Variables!$U$4*$I$1),0)</f>
        <v>0</v>
      </c>
      <c r="Y265" s="95">
        <f>IF(SUM(T265,U264:U265)&gt;0,H265*Variables!$Y$11*0.25*(1-$J$1),0)</f>
        <v>0</v>
      </c>
      <c r="Z265" s="95">
        <f>IF(T265=0,H265*$J$1*Variables!$Y$5*0.25,0)</f>
        <v>17.96818837043228</v>
      </c>
      <c r="AA265" s="95">
        <f t="shared" si="7"/>
        <v>126.99611463187574</v>
      </c>
      <c r="AB265" s="91">
        <f>AA265/Variables!$E$49</f>
        <v>20.48324429546383</v>
      </c>
    </row>
    <row r="266" spans="1:28" x14ac:dyDescent="0.25">
      <c r="A266" s="61">
        <f>'Water runs'!C273</f>
        <v>26267</v>
      </c>
      <c r="B266" s="61" t="str">
        <f>'Water runs'!B273</f>
        <v>Spring</v>
      </c>
      <c r="C266" s="54">
        <f>'Water runs'!D273/100</f>
        <v>0.25251785714285702</v>
      </c>
      <c r="D266" s="108">
        <f>VLOOKUP(ROW(D266)+4,'Water runs'!$BS$3:$CF$423,MATCH($B$1,Scenarios,0)+1)</f>
        <v>0</v>
      </c>
      <c r="E266" s="54">
        <f>IF(B266=Variables!$D$8,C266-Variables!$E$8,IF(B266=Variables!$D$9,C266-Variables!$E$9,IF(B266=Variables!$D$10,C266-Variables!$E$10,IF(B266=Variables!$D$11,C266-Variables!$E$11,"ELSE"))))</f>
        <v>-0.51146435185185213</v>
      </c>
      <c r="F266" s="108">
        <f>VLOOKUP(ROW(F266)+4,'Water runs'!$CH$3:$CU$423,MATCH($B$1,Scenarios,0)+1)</f>
        <v>0</v>
      </c>
      <c r="G266" s="65">
        <f>H266/Variables!$E$49</f>
        <v>0.44586075360874144</v>
      </c>
      <c r="H266" s="62">
        <f>IF((H265+I266)&gt;(1.1*Variables!$E$50),(1.1*Variables!$E$50),IF((H265+I266)&gt;0,H265+I266,0))</f>
        <v>2.7643366723741969</v>
      </c>
      <c r="I266" s="64">
        <f t="shared" si="8"/>
        <v>0</v>
      </c>
      <c r="J266" s="63">
        <f>IF(SUM(E262:E265)&lt;Variables!$B$3,-H265,0)</f>
        <v>0</v>
      </c>
      <c r="K266" s="64">
        <f>IF(AND(H265&lt;Variables!$B$6*Variables!$E$50,OR(SUM(D263:D266)&gt;Variables!$B$5,SUM(E263:E266)&gt;Variables!$B$4)),Variables!$B$6*Variables!$E$50+Variables!$B$7*$G$1*Variables!$E$50*SUM(D263:D266),0)</f>
        <v>0</v>
      </c>
      <c r="L266" s="64">
        <f>IF(B266="Winter",Variables!$B$8*H265,0)</f>
        <v>0</v>
      </c>
      <c r="M266" s="64">
        <f>IF(AND(B266="Spring",AND(NOT(H265=0),H265&lt;(Variables!$B$9*Variables!$E$50))),(Variables!$B$10*Variables!$E$50+Variables!$B$11*Variables!$E$50*SUM(E263:E266)+$G$1*SUM(D265:D266)*Variables!$E$50*Variables!$B$12),0)</f>
        <v>0</v>
      </c>
      <c r="N266" s="64">
        <f>IF(AND(B266="Spring",AND(SUM(D263:D266)&gt;Variables!$B$13,SUM(D259:D262)&gt;Variables!$B$13)),-Variables!$B$14*Variables!$E$50,0)</f>
        <v>0</v>
      </c>
      <c r="O266" s="64">
        <f>IF(AND(B266="Summer",SUM(C262:D266)&gt;Variables!$B$15),(Variables!$B$16*Variables!$E$50*SUM(C262:C266)+$G$1*Variables!$B$16*Variables!$E$50*SUM(D262:D266)+$G$1*Variables!$E$50*Variables!$B$17*F266),0)</f>
        <v>0</v>
      </c>
      <c r="P266" s="64">
        <f>IF(AND(AND(B266="Autumn",SUM(D265:E266)&gt;0),NOT(H265=0)),Variables!$B$18*Variables!$E$50+Variables!$B$19*Variables!$E$50*SUM(E265:E266)+$G$1*Variables!$B$19*Variables!$E$50*SUM(D265:D266),0)</f>
        <v>0</v>
      </c>
      <c r="Q266" s="64">
        <f>IF(AND(B266="Autumn",AND((E266+E265)&lt;Variables!$B$20,(D265+D266)=0)),-Variables!$B$21*Variables!$E$50,0)</f>
        <v>0</v>
      </c>
      <c r="R266" s="64">
        <f>IF(B266="Autumn",(SUM(F265:F266)*$G$1*Variables!$B$22*Variables!$E$50),0)</f>
        <v>0</v>
      </c>
      <c r="S266" s="64">
        <f>IF(B266="Spring",($G$1*Variables!$E$50*SUM('Guts (option 1)'!F265:F266)*Variables!$B$23),0)</f>
        <v>0</v>
      </c>
      <c r="T266" s="63">
        <f>IF((H265+SUM(J266:Q266))&lt;(Variables!$B$26*Variables!$E$50),$F$1*((Variables!$B$26*Variables!$E$50)-H265-SUM(J266:Q266)),0)</f>
        <v>0</v>
      </c>
      <c r="U266" s="64">
        <f>IF(AND(AND(B266="Autumn",SUM(D263:E266)&gt;Variables!$B$27),SUM(J266:Q266)&lt;Variables!$B$28*H265),$F$1*(Variables!$B$28*H265-SUM(J266:Q266)),0)</f>
        <v>0</v>
      </c>
      <c r="V266" s="96">
        <f>IF(AND((J266+K266)=0,(Q266+T266)=0),$H$1*H266*Variables!$I$23*0.25,0)</f>
        <v>53.269182327151633</v>
      </c>
      <c r="W266" s="97">
        <f>IF(AND((K266+J266)=0,(T266+Q266)=0),$I$1*H266*Variables!$Q$23*0.25,0)</f>
        <v>55.758743934291829</v>
      </c>
      <c r="X266" s="95">
        <f>IF(AND(NOT(K266=0),(H266-H265)&gt;0),(H266-H265)*(Variables!$M$5*$H$1+Variables!$U$5*$I$1),0)+IF(AND(NOT((J266+N266+Q266)=0),(H265-H266)&gt;0),(H265-H266)*(Variables!$M$4*$H$1+Variables!$U$4*$I$1),0)</f>
        <v>0</v>
      </c>
      <c r="Y266" s="95">
        <f>IF(SUM(T266,U265:U266)&gt;0,H266*Variables!$Y$11*0.25*(1-$J$1),0)</f>
        <v>0</v>
      </c>
      <c r="Z266" s="95">
        <f>IF(T266=0,H266*$J$1*Variables!$Y$5*0.25,0)</f>
        <v>17.96818837043228</v>
      </c>
      <c r="AA266" s="95">
        <f t="shared" si="7"/>
        <v>126.99611463187574</v>
      </c>
      <c r="AB266" s="91">
        <f>AA266/Variables!$E$49</f>
        <v>20.48324429546383</v>
      </c>
    </row>
    <row r="267" spans="1:28" x14ac:dyDescent="0.25">
      <c r="A267" s="61">
        <f>'Water runs'!C274</f>
        <v>26357</v>
      </c>
      <c r="B267" s="61" t="str">
        <f>'Water runs'!B274</f>
        <v>Summer</v>
      </c>
      <c r="C267" s="54">
        <f>'Water runs'!D274/100</f>
        <v>1.3305750000000001</v>
      </c>
      <c r="D267" s="108">
        <f>VLOOKUP(ROW(D267)+4,'Water runs'!$BS$3:$CF$423,MATCH($B$1,Scenarios,0)+1)</f>
        <v>0.10213976357690877</v>
      </c>
      <c r="E267" s="54">
        <f>IF(B267=Variables!$D$8,C267-Variables!$E$8,IF(B267=Variables!$D$9,C267-Variables!$E$9,IF(B267=Variables!$D$10,C267-Variables!$E$10,IF(B267=Variables!$D$11,C267-Variables!$E$11,"ELSE"))))</f>
        <v>7.2204863945578346E-2</v>
      </c>
      <c r="F267" s="108">
        <f>VLOOKUP(ROW(F267)+4,'Water runs'!$CH$3:$CU$423,MATCH($B$1,Scenarios,0)+1)</f>
        <v>0</v>
      </c>
      <c r="G267" s="65">
        <f>H267/Variables!$E$49</f>
        <v>0.81466281326530965</v>
      </c>
      <c r="H267" s="62">
        <f>IF((H266+I267)&gt;(1.1*Variables!$E$50),(1.1*Variables!$E$50),IF((H266+I267)&gt;0,H266+I267,0))</f>
        <v>5.0509094422449197</v>
      </c>
      <c r="I267" s="64">
        <f t="shared" si="8"/>
        <v>2.2865727698707228</v>
      </c>
      <c r="J267" s="63">
        <f>IF(SUM(E263:E266)&lt;Variables!$B$3,-H266,0)</f>
        <v>0</v>
      </c>
      <c r="K267" s="64">
        <f>IF(AND(H266&lt;Variables!$B$6*Variables!$E$50,OR(SUM(D264:D267)&gt;Variables!$B$5,SUM(E264:E267)&gt;Variables!$B$4)),Variables!$B$6*Variables!$E$50+Variables!$B$7*$G$1*Variables!$E$50*SUM(D264:D267),0)</f>
        <v>0</v>
      </c>
      <c r="L267" s="64">
        <f>IF(B267="Winter",Variables!$B$8*H266,0)</f>
        <v>0</v>
      </c>
      <c r="M267" s="64">
        <f>IF(AND(B267="Spring",AND(NOT(H266=0),H266&lt;(Variables!$B$9*Variables!$E$50))),(Variables!$B$10*Variables!$E$50+Variables!$B$11*Variables!$E$50*SUM(E264:E267)+$G$1*SUM(D266:D267)*Variables!$E$50*Variables!$B$12),0)</f>
        <v>0</v>
      </c>
      <c r="N267" s="64">
        <f>IF(AND(B267="Spring",AND(SUM(D264:D267)&gt;Variables!$B$13,SUM(D260:D263)&gt;Variables!$B$13)),-Variables!$B$14*Variables!$E$50,0)</f>
        <v>0</v>
      </c>
      <c r="O267" s="64">
        <f>IF(AND(B267="Summer",SUM(C263:D267)&gt;Variables!$B$15),(Variables!$B$16*Variables!$E$50*SUM(C263:C267)+$G$1*Variables!$B$16*Variables!$E$50*SUM(D263:D267)+$G$1*Variables!$E$50*Variables!$B$17*F267),0)</f>
        <v>2.2865727698707228</v>
      </c>
      <c r="P267" s="64">
        <f>IF(AND(AND(B267="Autumn",SUM(D266:E267)&gt;0),NOT(H266=0)),Variables!$B$18*Variables!$E$50+Variables!$B$19*Variables!$E$50*SUM(E266:E267)+$G$1*Variables!$B$19*Variables!$E$50*SUM(D266:D267),0)</f>
        <v>0</v>
      </c>
      <c r="Q267" s="64">
        <f>IF(AND(B267="Autumn",AND((E267+E266)&lt;Variables!$B$20,(D266+D267)=0)),-Variables!$B$21*Variables!$E$50,0)</f>
        <v>0</v>
      </c>
      <c r="R267" s="64">
        <f>IF(B267="Autumn",(SUM(F266:F267)*$G$1*Variables!$B$22*Variables!$E$50),0)</f>
        <v>0</v>
      </c>
      <c r="S267" s="64">
        <f>IF(B267="Spring",($G$1*Variables!$E$50*SUM('Guts (option 1)'!F266:F267)*Variables!$B$23),0)</f>
        <v>0</v>
      </c>
      <c r="T267" s="63">
        <f>IF((H266+SUM(J267:Q267))&lt;(Variables!$B$26*Variables!$E$50),$F$1*((Variables!$B$26*Variables!$E$50)-H266-SUM(J267:Q267)),0)</f>
        <v>0</v>
      </c>
      <c r="U267" s="64">
        <f>IF(AND(AND(B267="Autumn",SUM(D264:E267)&gt;Variables!$B$27),SUM(J267:Q267)&lt;Variables!$B$28*H266),$F$1*(Variables!$B$28*H266-SUM(J267:Q267)),0)</f>
        <v>0</v>
      </c>
      <c r="V267" s="96">
        <f>IF(AND((J267+K267)=0,(Q267+T267)=0),$H$1*H267*Variables!$I$23*0.25,0)</f>
        <v>97.331782588475946</v>
      </c>
      <c r="W267" s="97">
        <f>IF(AND((K267+J267)=0,(T267+Q267)=0),$I$1*H267*Variables!$Q$23*0.25,0)</f>
        <v>101.88063163216171</v>
      </c>
      <c r="X267" s="95">
        <f>IF(AND(NOT(K267=0),(H267-H266)&gt;0),(H267-H266)*(Variables!$M$5*$H$1+Variables!$U$5*$I$1),0)+IF(AND(NOT((J267+N267+Q267)=0),(H266-H267)&gt;0),(H266-H267)*(Variables!$M$4*$H$1+Variables!$U$4*$I$1),0)</f>
        <v>0</v>
      </c>
      <c r="Y267" s="95">
        <f>IF(SUM(T267,U266:U267)&gt;0,H267*Variables!$Y$11*0.25*(1-$J$1),0)</f>
        <v>0</v>
      </c>
      <c r="Z267" s="95">
        <f>IF(T267=0,H267*$J$1*Variables!$Y$5*0.25,0)</f>
        <v>32.830911374591977</v>
      </c>
      <c r="AA267" s="95">
        <f t="shared" si="7"/>
        <v>232.04332559522962</v>
      </c>
      <c r="AB267" s="91">
        <f>AA267/Variables!$E$49</f>
        <v>37.426342837940261</v>
      </c>
    </row>
    <row r="268" spans="1:28" x14ac:dyDescent="0.25">
      <c r="A268" s="61">
        <f>'Water runs'!C275</f>
        <v>26450</v>
      </c>
      <c r="B268" s="61" t="str">
        <f>'Water runs'!B275</f>
        <v>Autumn</v>
      </c>
      <c r="C268" s="54">
        <f>'Water runs'!D275/100</f>
        <v>0.412333333333333</v>
      </c>
      <c r="D268" s="108">
        <f>VLOOKUP(ROW(D268)+4,'Water runs'!$BS$3:$CF$423,MATCH($B$1,Scenarios,0)+1)</f>
        <v>0</v>
      </c>
      <c r="E268" s="54">
        <f>IF(B268=Variables!$D$8,C268-Variables!$E$8,IF(B268=Variables!$D$9,C268-Variables!$E$9,IF(B268=Variables!$D$10,C268-Variables!$E$10,IF(B268=Variables!$D$11,C268-Variables!$E$11,"ELSE"))))</f>
        <v>-0.58230996598639484</v>
      </c>
      <c r="F268" s="108">
        <f>VLOOKUP(ROW(F268)+4,'Water runs'!$CH$3:$CU$423,MATCH($B$1,Scenarios,0)+1)</f>
        <v>0</v>
      </c>
      <c r="G268" s="65">
        <f>H268/Variables!$E$49</f>
        <v>0.81466281326530965</v>
      </c>
      <c r="H268" s="62">
        <f>IF((H267+I268)&gt;(1.1*Variables!$E$50),(1.1*Variables!$E$50),IF((H267+I268)&gt;0,H267+I268,0))</f>
        <v>5.0509094422449197</v>
      </c>
      <c r="I268" s="64">
        <f t="shared" si="8"/>
        <v>0</v>
      </c>
      <c r="J268" s="63">
        <f>IF(SUM(E264:E267)&lt;Variables!$B$3,-H267,0)</f>
        <v>0</v>
      </c>
      <c r="K268" s="64">
        <f>IF(AND(H267&lt;Variables!$B$6*Variables!$E$50,OR(SUM(D265:D268)&gt;Variables!$B$5,SUM(E265:E268)&gt;Variables!$B$4)),Variables!$B$6*Variables!$E$50+Variables!$B$7*$G$1*Variables!$E$50*SUM(D265:D268),0)</f>
        <v>0</v>
      </c>
      <c r="L268" s="64">
        <f>IF(B268="Winter",Variables!$B$8*H267,0)</f>
        <v>0</v>
      </c>
      <c r="M268" s="64">
        <f>IF(AND(B268="Spring",AND(NOT(H267=0),H267&lt;(Variables!$B$9*Variables!$E$50))),(Variables!$B$10*Variables!$E$50+Variables!$B$11*Variables!$E$50*SUM(E265:E268)+$G$1*SUM(D267:D268)*Variables!$E$50*Variables!$B$12),0)</f>
        <v>0</v>
      </c>
      <c r="N268" s="64">
        <f>IF(AND(B268="Spring",AND(SUM(D265:D268)&gt;Variables!$B$13,SUM(D261:D264)&gt;Variables!$B$13)),-Variables!$B$14*Variables!$E$50,0)</f>
        <v>0</v>
      </c>
      <c r="O268" s="64">
        <f>IF(AND(B268="Summer",SUM(C264:D268)&gt;Variables!$B$15),(Variables!$B$16*Variables!$E$50*SUM(C264:C268)+$G$1*Variables!$B$16*Variables!$E$50*SUM(D264:D268)+$G$1*Variables!$E$50*Variables!$B$17*F268),0)</f>
        <v>0</v>
      </c>
      <c r="P268" s="64">
        <f>IF(AND(AND(B268="Autumn",SUM(D267:E268)&gt;0),NOT(H267=0)),Variables!$B$18*Variables!$E$50+Variables!$B$19*Variables!$E$50*SUM(E267:E268)+$G$1*Variables!$B$19*Variables!$E$50*SUM(D267:D268),0)</f>
        <v>0</v>
      </c>
      <c r="Q268" s="64">
        <f>IF(AND(B268="Autumn",AND((E268+E267)&lt;Variables!$B$20,(D267+D268)=0)),-Variables!$B$21*Variables!$E$50,0)</f>
        <v>0</v>
      </c>
      <c r="R268" s="64">
        <f>IF(B268="Autumn",(SUM(F267:F268)*$G$1*Variables!$B$22*Variables!$E$50),0)</f>
        <v>0</v>
      </c>
      <c r="S268" s="64">
        <f>IF(B268="Spring",($G$1*Variables!$E$50*SUM('Guts (option 1)'!F267:F268)*Variables!$B$23),0)</f>
        <v>0</v>
      </c>
      <c r="T268" s="63">
        <f>IF((H267+SUM(J268:Q268))&lt;(Variables!$B$26*Variables!$E$50),$F$1*((Variables!$B$26*Variables!$E$50)-H267-SUM(J268:Q268)),0)</f>
        <v>0</v>
      </c>
      <c r="U268" s="64">
        <f>IF(AND(AND(B268="Autumn",SUM(D265:E268)&gt;Variables!$B$27),SUM(J268:Q268)&lt;Variables!$B$28*H267),$F$1*(Variables!$B$28*H267-SUM(J268:Q268)),0)</f>
        <v>0</v>
      </c>
      <c r="V268" s="96">
        <f>IF(AND((J268+K268)=0,(Q268+T268)=0),$H$1*H268*Variables!$I$23*0.25,0)</f>
        <v>97.331782588475946</v>
      </c>
      <c r="W268" s="97">
        <f>IF(AND((K268+J268)=0,(T268+Q268)=0),$I$1*H268*Variables!$Q$23*0.25,0)</f>
        <v>101.88063163216171</v>
      </c>
      <c r="X268" s="95">
        <f>IF(AND(NOT(K268=0),(H268-H267)&gt;0),(H268-H267)*(Variables!$M$5*$H$1+Variables!$U$5*$I$1),0)+IF(AND(NOT((J268+N268+Q268)=0),(H267-H268)&gt;0),(H267-H268)*(Variables!$M$4*$H$1+Variables!$U$4*$I$1),0)</f>
        <v>0</v>
      </c>
      <c r="Y268" s="95">
        <f>IF(SUM(T268,U267:U268)&gt;0,H268*Variables!$Y$11*0.25*(1-$J$1),0)</f>
        <v>0</v>
      </c>
      <c r="Z268" s="95">
        <f>IF(T268=0,H268*$J$1*Variables!$Y$5*0.25,0)</f>
        <v>32.830911374591977</v>
      </c>
      <c r="AA268" s="95">
        <f t="shared" si="7"/>
        <v>232.04332559522962</v>
      </c>
      <c r="AB268" s="91">
        <f>AA268/Variables!$E$49</f>
        <v>37.426342837940261</v>
      </c>
    </row>
    <row r="269" spans="1:28" x14ac:dyDescent="0.25">
      <c r="A269" s="61">
        <f>'Water runs'!C276</f>
        <v>26542</v>
      </c>
      <c r="B269" s="61" t="str">
        <f>'Water runs'!B276</f>
        <v>Winter</v>
      </c>
      <c r="C269" s="54">
        <f>'Water runs'!D276/100</f>
        <v>0.13849999999999998</v>
      </c>
      <c r="D269" s="108">
        <f>VLOOKUP(ROW(D269)+4,'Water runs'!$BS$3:$CF$423,MATCH($B$1,Scenarios,0)+1)</f>
        <v>0</v>
      </c>
      <c r="E269" s="54">
        <f>IF(B269=Variables!$D$8,C269-Variables!$E$8,IF(B269=Variables!$D$9,C269-Variables!$E$9,IF(B269=Variables!$D$10,C269-Variables!$E$10,IF(B269=Variables!$D$11,C269-Variables!$E$11,"ELSE"))))</f>
        <v>-0.43326762566137578</v>
      </c>
      <c r="F269" s="108">
        <f>VLOOKUP(ROW(F269)+4,'Water runs'!$CH$3:$CU$423,MATCH($B$1,Scenarios,0)+1)</f>
        <v>0</v>
      </c>
      <c r="G269" s="65">
        <f>H269/Variables!$E$49</f>
        <v>0.40900533803381667</v>
      </c>
      <c r="H269" s="62">
        <f>IF((H268+I269)&gt;(1.1*Variables!$E$50),(1.1*Variables!$E$50),IF((H268+I269)&gt;0,H268+I269,0))</f>
        <v>2.5358330958096635</v>
      </c>
      <c r="I269" s="64">
        <f t="shared" si="8"/>
        <v>-2.5150763464352561</v>
      </c>
      <c r="J269" s="63">
        <f>IF(SUM(E265:E268)&lt;Variables!$B$3,-H268,0)</f>
        <v>0</v>
      </c>
      <c r="K269" s="64">
        <f>IF(AND(H268&lt;Variables!$B$6*Variables!$E$50,OR(SUM(D266:D269)&gt;Variables!$B$5,SUM(E266:E269)&gt;Variables!$B$4)),Variables!$B$6*Variables!$E$50+Variables!$B$7*$G$1*Variables!$E$50*SUM(D266:D269),0)</f>
        <v>0</v>
      </c>
      <c r="L269" s="64">
        <f>IF(B269="Winter",Variables!$B$8*H268,0)</f>
        <v>-2.5150763464352561</v>
      </c>
      <c r="M269" s="64">
        <f>IF(AND(B269="Spring",AND(NOT(H268=0),H268&lt;(Variables!$B$9*Variables!$E$50))),(Variables!$B$10*Variables!$E$50+Variables!$B$11*Variables!$E$50*SUM(E266:E269)+$G$1*SUM(D268:D269)*Variables!$E$50*Variables!$B$12),0)</f>
        <v>0</v>
      </c>
      <c r="N269" s="64">
        <f>IF(AND(B269="Spring",AND(SUM(D266:D269)&gt;Variables!$B$13,SUM(D262:D265)&gt;Variables!$B$13)),-Variables!$B$14*Variables!$E$50,0)</f>
        <v>0</v>
      </c>
      <c r="O269" s="64">
        <f>IF(AND(B269="Summer",SUM(C265:D269)&gt;Variables!$B$15),(Variables!$B$16*Variables!$E$50*SUM(C265:C269)+$G$1*Variables!$B$16*Variables!$E$50*SUM(D265:D269)+$G$1*Variables!$E$50*Variables!$B$17*F269),0)</f>
        <v>0</v>
      </c>
      <c r="P269" s="64">
        <f>IF(AND(AND(B269="Autumn",SUM(D268:E269)&gt;0),NOT(H268=0)),Variables!$B$18*Variables!$E$50+Variables!$B$19*Variables!$E$50*SUM(E268:E269)+$G$1*Variables!$B$19*Variables!$E$50*SUM(D268:D269),0)</f>
        <v>0</v>
      </c>
      <c r="Q269" s="64">
        <f>IF(AND(B269="Autumn",AND((E269+E268)&lt;Variables!$B$20,(D268+D269)=0)),-Variables!$B$21*Variables!$E$50,0)</f>
        <v>0</v>
      </c>
      <c r="R269" s="64">
        <f>IF(B269="Autumn",(SUM(F268:F269)*$G$1*Variables!$B$22*Variables!$E$50),0)</f>
        <v>0</v>
      </c>
      <c r="S269" s="64">
        <f>IF(B269="Spring",($G$1*Variables!$E$50*SUM('Guts (option 1)'!F268:F269)*Variables!$B$23),0)</f>
        <v>0</v>
      </c>
      <c r="T269" s="63">
        <f>IF((H268+SUM(J269:Q269))&lt;(Variables!$B$26*Variables!$E$50),$F$1*((Variables!$B$26*Variables!$E$50)-H268-SUM(J269:Q269)),0)</f>
        <v>0</v>
      </c>
      <c r="U269" s="64">
        <f>IF(AND(AND(B269="Autumn",SUM(D266:E269)&gt;Variables!$B$27),SUM(J269:Q269)&lt;Variables!$B$28*H268),$F$1*(Variables!$B$28*H268-SUM(J269:Q269)),0)</f>
        <v>0</v>
      </c>
      <c r="V269" s="96">
        <f>IF(AND((J269+K269)=0,(Q269+T269)=0),$H$1*H269*Variables!$I$23*0.25,0)</f>
        <v>48.865884131216589</v>
      </c>
      <c r="W269" s="97">
        <f>IF(AND((K269+J269)=0,(T269+Q269)=0),$I$1*H269*Variables!$Q$23*0.25,0)</f>
        <v>51.149655417302768</v>
      </c>
      <c r="X269" s="95">
        <f>IF(AND(NOT(K269=0),(H269-H268)&gt;0),(H269-H268)*(Variables!$M$5*$H$1+Variables!$U$5*$I$1),0)+IF(AND(NOT((J269+N269+Q269)=0),(H268-H269)&gt;0),(H268-H269)*(Variables!$M$4*$H$1+Variables!$U$4*$I$1),0)</f>
        <v>0</v>
      </c>
      <c r="Y269" s="95">
        <f>IF(SUM(T269,U268:U269)&gt;0,H269*Variables!$Y$11*0.25*(1-$J$1),0)</f>
        <v>0</v>
      </c>
      <c r="Z269" s="95">
        <f>IF(T269=0,H269*$J$1*Variables!$Y$5*0.25,0)</f>
        <v>16.482915122762812</v>
      </c>
      <c r="AA269" s="95">
        <f t="shared" si="7"/>
        <v>116.49845467128216</v>
      </c>
      <c r="AB269" s="91">
        <f>AA269/Variables!$E$49</f>
        <v>18.790073334077768</v>
      </c>
    </row>
    <row r="270" spans="1:28" x14ac:dyDescent="0.25">
      <c r="A270" s="61">
        <f>'Water runs'!C277</f>
        <v>26633</v>
      </c>
      <c r="B270" s="61" t="str">
        <f>'Water runs'!B277</f>
        <v>Spring</v>
      </c>
      <c r="C270" s="54">
        <f>'Water runs'!D277/100</f>
        <v>0.80312499999999998</v>
      </c>
      <c r="D270" s="108">
        <f>VLOOKUP(ROW(D270)+4,'Water runs'!$BS$3:$CF$423,MATCH($B$1,Scenarios,0)+1)</f>
        <v>2.6915969247579156E-2</v>
      </c>
      <c r="E270" s="54">
        <f>IF(B270=Variables!$D$8,C270-Variables!$E$8,IF(B270=Variables!$D$9,C270-Variables!$E$9,IF(B270=Variables!$D$10,C270-Variables!$E$10,IF(B270=Variables!$D$11,C270-Variables!$E$11,"ELSE"))))</f>
        <v>3.9142791005290833E-2</v>
      </c>
      <c r="F270" s="108">
        <f>VLOOKUP(ROW(F270)+4,'Water runs'!$CH$3:$CU$423,MATCH($B$1,Scenarios,0)+1)</f>
        <v>0</v>
      </c>
      <c r="G270" s="65">
        <f>H270/Variables!$E$49</f>
        <v>0.40900533803381667</v>
      </c>
      <c r="H270" s="62">
        <f>IF((H269+I270)&gt;(1.1*Variables!$E$50),(1.1*Variables!$E$50),IF((H269+I270)&gt;0,H269+I270,0))</f>
        <v>2.5358330958096635</v>
      </c>
      <c r="I270" s="64">
        <f t="shared" si="8"/>
        <v>0</v>
      </c>
      <c r="J270" s="63">
        <f>IF(SUM(E266:E269)&lt;Variables!$B$3,-H269,0)</f>
        <v>0</v>
      </c>
      <c r="K270" s="64">
        <f>IF(AND(H269&lt;Variables!$B$6*Variables!$E$50,OR(SUM(D267:D270)&gt;Variables!$B$5,SUM(E267:E270)&gt;Variables!$B$4)),Variables!$B$6*Variables!$E$50+Variables!$B$7*$G$1*Variables!$E$50*SUM(D267:D270),0)</f>
        <v>0</v>
      </c>
      <c r="L270" s="64">
        <f>IF(B270="Winter",Variables!$B$8*H269,0)</f>
        <v>0</v>
      </c>
      <c r="M270" s="64">
        <f>IF(AND(B270="Spring",AND(NOT(H269=0),H269&lt;(Variables!$B$9*Variables!$E$50))),(Variables!$B$10*Variables!$E$50+Variables!$B$11*Variables!$E$50*SUM(E267:E270)+$G$1*SUM(D269:D270)*Variables!$E$50*Variables!$B$12),0)</f>
        <v>0</v>
      </c>
      <c r="N270" s="64">
        <f>IF(AND(B270="Spring",AND(SUM(D267:D270)&gt;Variables!$B$13,SUM(D263:D266)&gt;Variables!$B$13)),-Variables!$B$14*Variables!$E$50,0)</f>
        <v>0</v>
      </c>
      <c r="O270" s="64">
        <f>IF(AND(B270="Summer",SUM(C266:D270)&gt;Variables!$B$15),(Variables!$B$16*Variables!$E$50*SUM(C266:C270)+$G$1*Variables!$B$16*Variables!$E$50*SUM(D266:D270)+$G$1*Variables!$E$50*Variables!$B$17*F270),0)</f>
        <v>0</v>
      </c>
      <c r="P270" s="64">
        <f>IF(AND(AND(B270="Autumn",SUM(D269:E270)&gt;0),NOT(H269=0)),Variables!$B$18*Variables!$E$50+Variables!$B$19*Variables!$E$50*SUM(E269:E270)+$G$1*Variables!$B$19*Variables!$E$50*SUM(D269:D270),0)</f>
        <v>0</v>
      </c>
      <c r="Q270" s="64">
        <f>IF(AND(B270="Autumn",AND((E270+E269)&lt;Variables!$B$20,(D269+D270)=0)),-Variables!$B$21*Variables!$E$50,0)</f>
        <v>0</v>
      </c>
      <c r="R270" s="64">
        <f>IF(B270="Autumn",(SUM(F269:F270)*$G$1*Variables!$B$22*Variables!$E$50),0)</f>
        <v>0</v>
      </c>
      <c r="S270" s="64">
        <f>IF(B270="Spring",($G$1*Variables!$E$50*SUM('Guts (option 1)'!F269:F270)*Variables!$B$23),0)</f>
        <v>0</v>
      </c>
      <c r="T270" s="63">
        <f>IF((H269+SUM(J270:Q270))&lt;(Variables!$B$26*Variables!$E$50),$F$1*((Variables!$B$26*Variables!$E$50)-H269-SUM(J270:Q270)),0)</f>
        <v>0</v>
      </c>
      <c r="U270" s="64">
        <f>IF(AND(AND(B270="Autumn",SUM(D267:E270)&gt;Variables!$B$27),SUM(J270:Q270)&lt;Variables!$B$28*H269),$F$1*(Variables!$B$28*H269-SUM(J270:Q270)),0)</f>
        <v>0</v>
      </c>
      <c r="V270" s="96">
        <f>IF(AND((J270+K270)=0,(Q270+T270)=0),$H$1*H270*Variables!$I$23*0.25,0)</f>
        <v>48.865884131216589</v>
      </c>
      <c r="W270" s="97">
        <f>IF(AND((K270+J270)=0,(T270+Q270)=0),$I$1*H270*Variables!$Q$23*0.25,0)</f>
        <v>51.149655417302768</v>
      </c>
      <c r="X270" s="95">
        <f>IF(AND(NOT(K270=0),(H270-H269)&gt;0),(H270-H269)*(Variables!$M$5*$H$1+Variables!$U$5*$I$1),0)+IF(AND(NOT((J270+N270+Q270)=0),(H269-H270)&gt;0),(H269-H270)*(Variables!$M$4*$H$1+Variables!$U$4*$I$1),0)</f>
        <v>0</v>
      </c>
      <c r="Y270" s="95">
        <f>IF(SUM(T270,U269:U270)&gt;0,H270*Variables!$Y$11*0.25*(1-$J$1),0)</f>
        <v>0</v>
      </c>
      <c r="Z270" s="95">
        <f>IF(T270=0,H270*$J$1*Variables!$Y$5*0.25,0)</f>
        <v>16.482915122762812</v>
      </c>
      <c r="AA270" s="95">
        <f t="shared" si="7"/>
        <v>116.49845467128216</v>
      </c>
      <c r="AB270" s="91">
        <f>AA270/Variables!$E$49</f>
        <v>18.790073334077768</v>
      </c>
    </row>
    <row r="271" spans="1:28" x14ac:dyDescent="0.25">
      <c r="A271" s="61">
        <f>'Water runs'!C278</f>
        <v>26723</v>
      </c>
      <c r="B271" s="61" t="str">
        <f>'Water runs'!B278</f>
        <v>Summer</v>
      </c>
      <c r="C271" s="54">
        <f>'Water runs'!D278/100</f>
        <v>1.6336250000000001</v>
      </c>
      <c r="D271" s="108">
        <f>VLOOKUP(ROW(D271)+4,'Water runs'!$BS$3:$CF$423,MATCH($B$1,Scenarios,0)+1)</f>
        <v>1.1780774194570028E-3</v>
      </c>
      <c r="E271" s="54">
        <f>IF(B271=Variables!$D$8,C271-Variables!$E$8,IF(B271=Variables!$D$9,C271-Variables!$E$9,IF(B271=Variables!$D$10,C271-Variables!$E$10,IF(B271=Variables!$D$11,C271-Variables!$E$11,"ELSE"))))</f>
        <v>0.37525486394557839</v>
      </c>
      <c r="F271" s="108">
        <f>VLOOKUP(ROW(F271)+4,'Water runs'!$CH$3:$CU$423,MATCH($B$1,Scenarios,0)+1)</f>
        <v>0</v>
      </c>
      <c r="G271" s="65">
        <f>H271/Variables!$E$49</f>
        <v>0.40900533803381667</v>
      </c>
      <c r="H271" s="62">
        <f>IF((H270+I271)&gt;(1.1*Variables!$E$50),(1.1*Variables!$E$50),IF((H270+I271)&gt;0,H270+I271,0))</f>
        <v>2.5358330958096635</v>
      </c>
      <c r="I271" s="64">
        <f t="shared" si="8"/>
        <v>0</v>
      </c>
      <c r="J271" s="63">
        <f>IF(SUM(E267:E270)&lt;Variables!$B$3,-H270,0)</f>
        <v>0</v>
      </c>
      <c r="K271" s="64">
        <f>IF(AND(H270&lt;Variables!$B$6*Variables!$E$50,OR(SUM(D268:D271)&gt;Variables!$B$5,SUM(E268:E271)&gt;Variables!$B$4)),Variables!$B$6*Variables!$E$50+Variables!$B$7*$G$1*Variables!$E$50*SUM(D268:D271),0)</f>
        <v>0</v>
      </c>
      <c r="L271" s="64">
        <f>IF(B271="Winter",Variables!$B$8*H270,0)</f>
        <v>0</v>
      </c>
      <c r="M271" s="64">
        <f>IF(AND(B271="Spring",AND(NOT(H270=0),H270&lt;(Variables!$B$9*Variables!$E$50))),(Variables!$B$10*Variables!$E$50+Variables!$B$11*Variables!$E$50*SUM(E268:E271)+$G$1*SUM(D270:D271)*Variables!$E$50*Variables!$B$12),0)</f>
        <v>0</v>
      </c>
      <c r="N271" s="64">
        <f>IF(AND(B271="Spring",AND(SUM(D268:D271)&gt;Variables!$B$13,SUM(D264:D267)&gt;Variables!$B$13)),-Variables!$B$14*Variables!$E$50,0)</f>
        <v>0</v>
      </c>
      <c r="O271" s="64">
        <f>IF(AND(B271="Summer",SUM(C267:D271)&gt;Variables!$B$15),(Variables!$B$16*Variables!$E$50*SUM(C267:C271)+$G$1*Variables!$B$16*Variables!$E$50*SUM(D267:D271)+$G$1*Variables!$E$50*Variables!$B$17*F271),0)</f>
        <v>0</v>
      </c>
      <c r="P271" s="64">
        <f>IF(AND(AND(B271="Autumn",SUM(D270:E271)&gt;0),NOT(H270=0)),Variables!$B$18*Variables!$E$50+Variables!$B$19*Variables!$E$50*SUM(E270:E271)+$G$1*Variables!$B$19*Variables!$E$50*SUM(D270:D271),0)</f>
        <v>0</v>
      </c>
      <c r="Q271" s="64">
        <f>IF(AND(B271="Autumn",AND((E271+E270)&lt;Variables!$B$20,(D270+D271)=0)),-Variables!$B$21*Variables!$E$50,0)</f>
        <v>0</v>
      </c>
      <c r="R271" s="64">
        <f>IF(B271="Autumn",(SUM(F270:F271)*$G$1*Variables!$B$22*Variables!$E$50),0)</f>
        <v>0</v>
      </c>
      <c r="S271" s="64">
        <f>IF(B271="Spring",($G$1*Variables!$E$50*SUM('Guts (option 1)'!F270:F271)*Variables!$B$23),0)</f>
        <v>0</v>
      </c>
      <c r="T271" s="63">
        <f>IF((H270+SUM(J271:Q271))&lt;(Variables!$B$26*Variables!$E$50),$F$1*((Variables!$B$26*Variables!$E$50)-H270-SUM(J271:Q271)),0)</f>
        <v>0</v>
      </c>
      <c r="U271" s="64">
        <f>IF(AND(AND(B271="Autumn",SUM(D268:E271)&gt;Variables!$B$27),SUM(J271:Q271)&lt;Variables!$B$28*H270),$F$1*(Variables!$B$28*H270-SUM(J271:Q271)),0)</f>
        <v>0</v>
      </c>
      <c r="V271" s="96">
        <f>IF(AND((J271+K271)=0,(Q271+T271)=0),$H$1*H271*Variables!$I$23*0.25,0)</f>
        <v>48.865884131216589</v>
      </c>
      <c r="W271" s="97">
        <f>IF(AND((K271+J271)=0,(T271+Q271)=0),$I$1*H271*Variables!$Q$23*0.25,0)</f>
        <v>51.149655417302768</v>
      </c>
      <c r="X271" s="95">
        <f>IF(AND(NOT(K271=0),(H271-H270)&gt;0),(H271-H270)*(Variables!$M$5*$H$1+Variables!$U$5*$I$1),0)+IF(AND(NOT((J271+N271+Q271)=0),(H270-H271)&gt;0),(H270-H271)*(Variables!$M$4*$H$1+Variables!$U$4*$I$1),0)</f>
        <v>0</v>
      </c>
      <c r="Y271" s="95">
        <f>IF(SUM(T271,U270:U271)&gt;0,H271*Variables!$Y$11*0.25*(1-$J$1),0)</f>
        <v>0</v>
      </c>
      <c r="Z271" s="95">
        <f>IF(T271=0,H271*$J$1*Variables!$Y$5*0.25,0)</f>
        <v>16.482915122762812</v>
      </c>
      <c r="AA271" s="95">
        <f t="shared" si="7"/>
        <v>116.49845467128216</v>
      </c>
      <c r="AB271" s="91">
        <f>AA271/Variables!$E$49</f>
        <v>18.790073334077768</v>
      </c>
    </row>
    <row r="272" spans="1:28" x14ac:dyDescent="0.25">
      <c r="A272" s="61">
        <f>'Water runs'!C279</f>
        <v>26815</v>
      </c>
      <c r="B272" s="61" t="str">
        <f>'Water runs'!B279</f>
        <v>Autumn</v>
      </c>
      <c r="C272" s="54">
        <f>'Water runs'!D279/100</f>
        <v>0.50639285714285698</v>
      </c>
      <c r="D272" s="108">
        <f>VLOOKUP(ROW(D272)+4,'Water runs'!$BS$3:$CF$423,MATCH($B$1,Scenarios,0)+1)</f>
        <v>0</v>
      </c>
      <c r="E272" s="54">
        <f>IF(B272=Variables!$D$8,C272-Variables!$E$8,IF(B272=Variables!$D$9,C272-Variables!$E$9,IF(B272=Variables!$D$10,C272-Variables!$E$10,IF(B272=Variables!$D$11,C272-Variables!$E$11,"ELSE"))))</f>
        <v>-0.48825044217687086</v>
      </c>
      <c r="F272" s="108">
        <f>VLOOKUP(ROW(F272)+4,'Water runs'!$CH$3:$CU$423,MATCH($B$1,Scenarios,0)+1)</f>
        <v>0</v>
      </c>
      <c r="G272" s="65">
        <f>H272/Variables!$E$49</f>
        <v>0.40900533803381667</v>
      </c>
      <c r="H272" s="62">
        <f>IF((H271+I272)&gt;(1.1*Variables!$E$50),(1.1*Variables!$E$50),IF((H271+I272)&gt;0,H271+I272,0))</f>
        <v>2.5358330958096635</v>
      </c>
      <c r="I272" s="64">
        <f t="shared" si="8"/>
        <v>0</v>
      </c>
      <c r="J272" s="63">
        <f>IF(SUM(E268:E271)&lt;Variables!$B$3,-H271,0)</f>
        <v>0</v>
      </c>
      <c r="K272" s="64">
        <f>IF(AND(H271&lt;Variables!$B$6*Variables!$E$50,OR(SUM(D269:D272)&gt;Variables!$B$5,SUM(E269:E272)&gt;Variables!$B$4)),Variables!$B$6*Variables!$E$50+Variables!$B$7*$G$1*Variables!$E$50*SUM(D269:D272),0)</f>
        <v>0</v>
      </c>
      <c r="L272" s="64">
        <f>IF(B272="Winter",Variables!$B$8*H271,0)</f>
        <v>0</v>
      </c>
      <c r="M272" s="64">
        <f>IF(AND(B272="Spring",AND(NOT(H271=0),H271&lt;(Variables!$B$9*Variables!$E$50))),(Variables!$B$10*Variables!$E$50+Variables!$B$11*Variables!$E$50*SUM(E269:E272)+$G$1*SUM(D271:D272)*Variables!$E$50*Variables!$B$12),0)</f>
        <v>0</v>
      </c>
      <c r="N272" s="64">
        <f>IF(AND(B272="Spring",AND(SUM(D269:D272)&gt;Variables!$B$13,SUM(D265:D268)&gt;Variables!$B$13)),-Variables!$B$14*Variables!$E$50,0)</f>
        <v>0</v>
      </c>
      <c r="O272" s="64">
        <f>IF(AND(B272="Summer",SUM(C268:D272)&gt;Variables!$B$15),(Variables!$B$16*Variables!$E$50*SUM(C268:C272)+$G$1*Variables!$B$16*Variables!$E$50*SUM(D268:D272)+$G$1*Variables!$E$50*Variables!$B$17*F272),0)</f>
        <v>0</v>
      </c>
      <c r="P272" s="64">
        <f>IF(AND(AND(B272="Autumn",SUM(D271:E272)&gt;0),NOT(H271=0)),Variables!$B$18*Variables!$E$50+Variables!$B$19*Variables!$E$50*SUM(E271:E272)+$G$1*Variables!$B$19*Variables!$E$50*SUM(D271:D272),0)</f>
        <v>0</v>
      </c>
      <c r="Q272" s="64">
        <f>IF(AND(B272="Autumn",AND((E272+E271)&lt;Variables!$B$20,(D271+D272)=0)),-Variables!$B$21*Variables!$E$50,0)</f>
        <v>0</v>
      </c>
      <c r="R272" s="64">
        <f>IF(B272="Autumn",(SUM(F271:F272)*$G$1*Variables!$B$22*Variables!$E$50),0)</f>
        <v>0</v>
      </c>
      <c r="S272" s="64">
        <f>IF(B272="Spring",($G$1*Variables!$E$50*SUM('Guts (option 1)'!F271:F272)*Variables!$B$23),0)</f>
        <v>0</v>
      </c>
      <c r="T272" s="63">
        <f>IF((H271+SUM(J272:Q272))&lt;(Variables!$B$26*Variables!$E$50),$F$1*((Variables!$B$26*Variables!$E$50)-H271-SUM(J272:Q272)),0)</f>
        <v>0</v>
      </c>
      <c r="U272" s="64">
        <f>IF(AND(AND(B272="Autumn",SUM(D269:E272)&gt;Variables!$B$27),SUM(J272:Q272)&lt;Variables!$B$28*H271),$F$1*(Variables!$B$28*H271-SUM(J272:Q272)),0)</f>
        <v>0</v>
      </c>
      <c r="V272" s="96">
        <f>IF(AND((J272+K272)=0,(Q272+T272)=0),$H$1*H272*Variables!$I$23*0.25,0)</f>
        <v>48.865884131216589</v>
      </c>
      <c r="W272" s="97">
        <f>IF(AND((K272+J272)=0,(T272+Q272)=0),$I$1*H272*Variables!$Q$23*0.25,0)</f>
        <v>51.149655417302768</v>
      </c>
      <c r="X272" s="95">
        <f>IF(AND(NOT(K272=0),(H272-H271)&gt;0),(H272-H271)*(Variables!$M$5*$H$1+Variables!$U$5*$I$1),0)+IF(AND(NOT((J272+N272+Q272)=0),(H271-H272)&gt;0),(H271-H272)*(Variables!$M$4*$H$1+Variables!$U$4*$I$1),0)</f>
        <v>0</v>
      </c>
      <c r="Y272" s="95">
        <f>IF(SUM(T272,U271:U272)&gt;0,H272*Variables!$Y$11*0.25*(1-$J$1),0)</f>
        <v>0</v>
      </c>
      <c r="Z272" s="95">
        <f>IF(T272=0,H272*$J$1*Variables!$Y$5*0.25,0)</f>
        <v>16.482915122762812</v>
      </c>
      <c r="AA272" s="95">
        <f t="shared" ref="AA272:AA335" si="9">SUM(V272:Z272)</f>
        <v>116.49845467128216</v>
      </c>
      <c r="AB272" s="91">
        <f>AA272/Variables!$E$49</f>
        <v>18.790073334077768</v>
      </c>
    </row>
    <row r="273" spans="1:28" x14ac:dyDescent="0.25">
      <c r="A273" s="61">
        <f>'Water runs'!C280</f>
        <v>26907</v>
      </c>
      <c r="B273" s="61" t="str">
        <f>'Water runs'!B280</f>
        <v>Winter</v>
      </c>
      <c r="C273" s="54">
        <f>'Water runs'!D280/100</f>
        <v>0.73633333333333295</v>
      </c>
      <c r="D273" s="108">
        <f>VLOOKUP(ROW(D273)+4,'Water runs'!$BS$3:$CF$423,MATCH($B$1,Scenarios,0)+1)</f>
        <v>0</v>
      </c>
      <c r="E273" s="54">
        <f>IF(B273=Variables!$D$8,C273-Variables!$E$8,IF(B273=Variables!$D$9,C273-Variables!$E$9,IF(B273=Variables!$D$10,C273-Variables!$E$10,IF(B273=Variables!$D$11,C273-Variables!$E$11,"ELSE"))))</f>
        <v>0.16456570767195722</v>
      </c>
      <c r="F273" s="108">
        <f>VLOOKUP(ROW(F273)+4,'Water runs'!$CH$3:$CU$423,MATCH($B$1,Scenarios,0)+1)</f>
        <v>0</v>
      </c>
      <c r="G273" s="65">
        <f>H273/Variables!$E$49</f>
        <v>0.2053430742341705</v>
      </c>
      <c r="H273" s="62">
        <f>IF((H272+I273)&gt;(1.1*Variables!$E$50),(1.1*Variables!$E$50),IF((H272+I273)&gt;0,H272+I273,0))</f>
        <v>1.2731270602518572</v>
      </c>
      <c r="I273" s="64">
        <f t="shared" si="8"/>
        <v>-1.2627060355578064</v>
      </c>
      <c r="J273" s="63">
        <f>IF(SUM(E269:E272)&lt;Variables!$B$3,-H272,0)</f>
        <v>0</v>
      </c>
      <c r="K273" s="64">
        <f>IF(AND(H272&lt;Variables!$B$6*Variables!$E$50,OR(SUM(D270:D273)&gt;Variables!$B$5,SUM(E270:E273)&gt;Variables!$B$4)),Variables!$B$6*Variables!$E$50+Variables!$B$7*$G$1*Variables!$E$50*SUM(D270:D273),0)</f>
        <v>0</v>
      </c>
      <c r="L273" s="64">
        <f>IF(B273="Winter",Variables!$B$8*H272,0)</f>
        <v>-1.2627060355578064</v>
      </c>
      <c r="M273" s="64">
        <f>IF(AND(B273="Spring",AND(NOT(H272=0),H272&lt;(Variables!$B$9*Variables!$E$50))),(Variables!$B$10*Variables!$E$50+Variables!$B$11*Variables!$E$50*SUM(E270:E273)+$G$1*SUM(D272:D273)*Variables!$E$50*Variables!$B$12),0)</f>
        <v>0</v>
      </c>
      <c r="N273" s="64">
        <f>IF(AND(B273="Spring",AND(SUM(D270:D273)&gt;Variables!$B$13,SUM(D266:D269)&gt;Variables!$B$13)),-Variables!$B$14*Variables!$E$50,0)</f>
        <v>0</v>
      </c>
      <c r="O273" s="64">
        <f>IF(AND(B273="Summer",SUM(C269:D273)&gt;Variables!$B$15),(Variables!$B$16*Variables!$E$50*SUM(C269:C273)+$G$1*Variables!$B$16*Variables!$E$50*SUM(D269:D273)+$G$1*Variables!$E$50*Variables!$B$17*F273),0)</f>
        <v>0</v>
      </c>
      <c r="P273" s="64">
        <f>IF(AND(AND(B273="Autumn",SUM(D272:E273)&gt;0),NOT(H272=0)),Variables!$B$18*Variables!$E$50+Variables!$B$19*Variables!$E$50*SUM(E272:E273)+$G$1*Variables!$B$19*Variables!$E$50*SUM(D272:D273),0)</f>
        <v>0</v>
      </c>
      <c r="Q273" s="64">
        <f>IF(AND(B273="Autumn",AND((E273+E272)&lt;Variables!$B$20,(D272+D273)=0)),-Variables!$B$21*Variables!$E$50,0)</f>
        <v>0</v>
      </c>
      <c r="R273" s="64">
        <f>IF(B273="Autumn",(SUM(F272:F273)*$G$1*Variables!$B$22*Variables!$E$50),0)</f>
        <v>0</v>
      </c>
      <c r="S273" s="64">
        <f>IF(B273="Spring",($G$1*Variables!$E$50*SUM('Guts (option 1)'!F272:F273)*Variables!$B$23),0)</f>
        <v>0</v>
      </c>
      <c r="T273" s="63">
        <f>IF((H272+SUM(J273:Q273))&lt;(Variables!$B$26*Variables!$E$50),$F$1*((Variables!$B$26*Variables!$E$50)-H272-SUM(J273:Q273)),0)</f>
        <v>0</v>
      </c>
      <c r="U273" s="64">
        <f>IF(AND(AND(B273="Autumn",SUM(D270:E273)&gt;Variables!$B$27),SUM(J273:Q273)&lt;Variables!$B$28*H272),$F$1*(Variables!$B$28*H272-SUM(J273:Q273)),0)</f>
        <v>0</v>
      </c>
      <c r="V273" s="96">
        <f>IF(AND((J273+K273)=0,(Q273+T273)=0),$H$1*H273*Variables!$I$23*0.25,0)</f>
        <v>24.533349420112327</v>
      </c>
      <c r="W273" s="97">
        <f>IF(AND((K273+J273)=0,(T273+Q273)=0),$I$1*H273*Variables!$Q$23*0.25,0)</f>
        <v>25.679927650575145</v>
      </c>
      <c r="X273" s="95">
        <f>IF(AND(NOT(K273=0),(H273-H272)&gt;0),(H273-H272)*(Variables!$M$5*$H$1+Variables!$U$5*$I$1),0)+IF(AND(NOT((J273+N273+Q273)=0),(H272-H273)&gt;0),(H272-H273)*(Variables!$M$4*$H$1+Variables!$U$4*$I$1),0)</f>
        <v>0</v>
      </c>
      <c r="Y273" s="95">
        <f>IF(SUM(T273,U272:U273)&gt;0,H273*Variables!$Y$11*0.25*(1-$J$1),0)</f>
        <v>0</v>
      </c>
      <c r="Z273" s="95">
        <f>IF(T273=0,H273*$J$1*Variables!$Y$5*0.25,0)</f>
        <v>8.2753258916370722</v>
      </c>
      <c r="AA273" s="95">
        <f t="shared" si="9"/>
        <v>58.488602962324542</v>
      </c>
      <c r="AB273" s="91">
        <f>AA273/Variables!$E$49</f>
        <v>9.4336456390846024</v>
      </c>
    </row>
    <row r="274" spans="1:28" x14ac:dyDescent="0.25">
      <c r="A274" s="61">
        <f>'Water runs'!C281</f>
        <v>26998</v>
      </c>
      <c r="B274" s="61" t="str">
        <f>'Water runs'!B281</f>
        <v>Spring</v>
      </c>
      <c r="C274" s="54">
        <f>'Water runs'!D281/100</f>
        <v>1.5094999999999998</v>
      </c>
      <c r="D274" s="108">
        <f>VLOOKUP(ROW(D274)+4,'Water runs'!$BS$3:$CF$423,MATCH($B$1,Scenarios,0)+1)</f>
        <v>0</v>
      </c>
      <c r="E274" s="54">
        <f>IF(B274=Variables!$D$8,C274-Variables!$E$8,IF(B274=Variables!$D$9,C274-Variables!$E$9,IF(B274=Variables!$D$10,C274-Variables!$E$10,IF(B274=Variables!$D$11,C274-Variables!$E$11,"ELSE"))))</f>
        <v>0.7455177910052907</v>
      </c>
      <c r="F274" s="108">
        <f>VLOOKUP(ROW(F274)+4,'Water runs'!$CH$3:$CU$423,MATCH($B$1,Scenarios,0)+1)</f>
        <v>0</v>
      </c>
      <c r="G274" s="65">
        <f>H274/Variables!$E$49</f>
        <v>0.29290211343115585</v>
      </c>
      <c r="H274" s="62">
        <f>IF((H273+I274)&gt;(1.1*Variables!$E$50),(1.1*Variables!$E$50),IF((H273+I274)&gt;0,H273+I274,0))</f>
        <v>1.8159931032731662</v>
      </c>
      <c r="I274" s="64">
        <f t="shared" si="8"/>
        <v>0.54286604302130892</v>
      </c>
      <c r="J274" s="63">
        <f>IF(SUM(E270:E273)&lt;Variables!$B$3,-H273,0)</f>
        <v>0</v>
      </c>
      <c r="K274" s="64">
        <f>IF(AND(H273&lt;Variables!$B$6*Variables!$E$50,OR(SUM(D271:D274)&gt;Variables!$B$5,SUM(E271:E274)&gt;Variables!$B$4)),Variables!$B$6*Variables!$E$50+Variables!$B$7*$G$1*Variables!$E$50*SUM(D271:D274),0)</f>
        <v>0</v>
      </c>
      <c r="L274" s="64">
        <f>IF(B274="Winter",Variables!$B$8*H273,0)</f>
        <v>0</v>
      </c>
      <c r="M274" s="64">
        <f>IF(AND(B274="Spring",AND(NOT(H273=0),H273&lt;(Variables!$B$9*Variables!$E$50))),(Variables!$B$10*Variables!$E$50+Variables!$B$11*Variables!$E$50*SUM(E271:E274)+$G$1*SUM(D273:D274)*Variables!$E$50*Variables!$B$12),0)</f>
        <v>0.54286604302130892</v>
      </c>
      <c r="N274" s="64">
        <f>IF(AND(B274="Spring",AND(SUM(D271:D274)&gt;Variables!$B$13,SUM(D267:D270)&gt;Variables!$B$13)),-Variables!$B$14*Variables!$E$50,0)</f>
        <v>0</v>
      </c>
      <c r="O274" s="64">
        <f>IF(AND(B274="Summer",SUM(C270:D274)&gt;Variables!$B$15),(Variables!$B$16*Variables!$E$50*SUM(C270:C274)+$G$1*Variables!$B$16*Variables!$E$50*SUM(D270:D274)+$G$1*Variables!$E$50*Variables!$B$17*F274),0)</f>
        <v>0</v>
      </c>
      <c r="P274" s="64">
        <f>IF(AND(AND(B274="Autumn",SUM(D273:E274)&gt;0),NOT(H273=0)),Variables!$B$18*Variables!$E$50+Variables!$B$19*Variables!$E$50*SUM(E273:E274)+$G$1*Variables!$B$19*Variables!$E$50*SUM(D273:D274),0)</f>
        <v>0</v>
      </c>
      <c r="Q274" s="64">
        <f>IF(AND(B274="Autumn",AND((E274+E273)&lt;Variables!$B$20,(D273+D274)=0)),-Variables!$B$21*Variables!$E$50,0)</f>
        <v>0</v>
      </c>
      <c r="R274" s="64">
        <f>IF(B274="Autumn",(SUM(F273:F274)*$G$1*Variables!$B$22*Variables!$E$50),0)</f>
        <v>0</v>
      </c>
      <c r="S274" s="64">
        <f>IF(B274="Spring",($G$1*Variables!$E$50*SUM('Guts (option 1)'!F273:F274)*Variables!$B$23),0)</f>
        <v>0</v>
      </c>
      <c r="T274" s="63">
        <f>IF((H273+SUM(J274:Q274))&lt;(Variables!$B$26*Variables!$E$50),$F$1*((Variables!$B$26*Variables!$E$50)-H273-SUM(J274:Q274)),0)</f>
        <v>0</v>
      </c>
      <c r="U274" s="64">
        <f>IF(AND(AND(B274="Autumn",SUM(D271:E274)&gt;Variables!$B$27),SUM(J274:Q274)&lt;Variables!$B$28*H273),$F$1*(Variables!$B$28*H273-SUM(J274:Q274)),0)</f>
        <v>0</v>
      </c>
      <c r="V274" s="96">
        <f>IF(AND((J274+K274)=0,(Q274+T274)=0),$H$1*H274*Variables!$I$23*0.25,0)</f>
        <v>34.994459499039408</v>
      </c>
      <c r="W274" s="97">
        <f>IF(AND((K274+J274)=0,(T274+Q274)=0),$I$1*H274*Variables!$Q$23*0.25,0)</f>
        <v>36.629942887847214</v>
      </c>
      <c r="X274" s="95">
        <f>IF(AND(NOT(K274=0),(H274-H273)&gt;0),(H274-H273)*(Variables!$M$5*$H$1+Variables!$U$5*$I$1),0)+IF(AND(NOT((J274+N274+Q274)=0),(H273-H274)&gt;0),(H273-H274)*(Variables!$M$4*$H$1+Variables!$U$4*$I$1),0)</f>
        <v>0</v>
      </c>
      <c r="Y274" s="95">
        <f>IF(SUM(T274,U273:U274)&gt;0,H274*Variables!$Y$11*0.25*(1-$J$1),0)</f>
        <v>0</v>
      </c>
      <c r="Z274" s="95">
        <f>IF(T274=0,H274*$J$1*Variables!$Y$5*0.25,0)</f>
        <v>11.803955171275581</v>
      </c>
      <c r="AA274" s="95">
        <f t="shared" si="9"/>
        <v>83.428357558162205</v>
      </c>
      <c r="AB274" s="91">
        <f>AA274/Variables!$E$49</f>
        <v>13.456186702929388</v>
      </c>
    </row>
    <row r="275" spans="1:28" x14ac:dyDescent="0.25">
      <c r="A275" s="61">
        <f>'Water runs'!C282</f>
        <v>27088</v>
      </c>
      <c r="B275" s="61" t="str">
        <f>'Water runs'!B282</f>
        <v>Summer</v>
      </c>
      <c r="C275" s="54">
        <f>'Water runs'!D282/100</f>
        <v>4.6364999999999998</v>
      </c>
      <c r="D275" s="108">
        <f>VLOOKUP(ROW(D275)+4,'Water runs'!$BS$3:$CF$423,MATCH($B$1,Scenarios,0)+1)</f>
        <v>0.15611152899072833</v>
      </c>
      <c r="E275" s="54">
        <f>IF(B275=Variables!$D$8,C275-Variables!$E$8,IF(B275=Variables!$D$9,C275-Variables!$E$9,IF(B275=Variables!$D$10,C275-Variables!$E$10,IF(B275=Variables!$D$11,C275-Variables!$E$11,"ELSE"))))</f>
        <v>3.3781298639455781</v>
      </c>
      <c r="F275" s="108">
        <f>VLOOKUP(ROW(F275)+4,'Water runs'!$CH$3:$CU$423,MATCH($B$1,Scenarios,0)+1)</f>
        <v>6.9185266708366652E-2</v>
      </c>
      <c r="G275" s="65">
        <f>H275/Variables!$E$49</f>
        <v>0.86035880900047879</v>
      </c>
      <c r="H275" s="62">
        <f>IF((H274+I275)&gt;(1.1*Variables!$E$50),(1.1*Variables!$E$50),IF((H274+I275)&gt;0,H274+I275,0))</f>
        <v>5.3342246158029685</v>
      </c>
      <c r="I275" s="64">
        <f t="shared" si="8"/>
        <v>3.5182315125298027</v>
      </c>
      <c r="J275" s="63">
        <f>IF(SUM(E271:E274)&lt;Variables!$B$3,-H274,0)</f>
        <v>0</v>
      </c>
      <c r="K275" s="64">
        <f>IF(AND(H274&lt;Variables!$B$6*Variables!$E$50,OR(SUM(D272:D275)&gt;Variables!$B$5,SUM(E272:E275)&gt;Variables!$B$4)),Variables!$B$6*Variables!$E$50+Variables!$B$7*$G$1*Variables!$E$50*SUM(D272:D275),0)</f>
        <v>0</v>
      </c>
      <c r="L275" s="64">
        <f>IF(B275="Winter",Variables!$B$8*H274,0)</f>
        <v>0</v>
      </c>
      <c r="M275" s="64">
        <f>IF(AND(B275="Spring",AND(NOT(H274=0),H274&lt;(Variables!$B$9*Variables!$E$50))),(Variables!$B$10*Variables!$E$50+Variables!$B$11*Variables!$E$50*SUM(E272:E275)+$G$1*SUM(D274:D275)*Variables!$E$50*Variables!$B$12),0)</f>
        <v>0</v>
      </c>
      <c r="N275" s="64">
        <f>IF(AND(B275="Spring",AND(SUM(D272:D275)&gt;Variables!$B$13,SUM(D268:D271)&gt;Variables!$B$13)),-Variables!$B$14*Variables!$E$50,0)</f>
        <v>0</v>
      </c>
      <c r="O275" s="64">
        <f>IF(AND(B275="Summer",SUM(C271:D275)&gt;Variables!$B$15),(Variables!$B$16*Variables!$E$50*SUM(C271:C275)+$G$1*Variables!$B$16*Variables!$E$50*SUM(D271:D275)+$G$1*Variables!$E$50*Variables!$B$17*F275),0)</f>
        <v>3.5182315125298027</v>
      </c>
      <c r="P275" s="64">
        <f>IF(AND(AND(B275="Autumn",SUM(D274:E275)&gt;0),NOT(H274=0)),Variables!$B$18*Variables!$E$50+Variables!$B$19*Variables!$E$50*SUM(E274:E275)+$G$1*Variables!$B$19*Variables!$E$50*SUM(D274:D275),0)</f>
        <v>0</v>
      </c>
      <c r="Q275" s="64">
        <f>IF(AND(B275="Autumn",AND((E275+E274)&lt;Variables!$B$20,(D274+D275)=0)),-Variables!$B$21*Variables!$E$50,0)</f>
        <v>0</v>
      </c>
      <c r="R275" s="64">
        <f>IF(B275="Autumn",(SUM(F274:F275)*$G$1*Variables!$B$22*Variables!$E$50),0)</f>
        <v>0</v>
      </c>
      <c r="S275" s="64">
        <f>IF(B275="Spring",($G$1*Variables!$E$50*SUM('Guts (option 1)'!F274:F275)*Variables!$B$23),0)</f>
        <v>0</v>
      </c>
      <c r="T275" s="63">
        <f>IF((H274+SUM(J275:Q275))&lt;(Variables!$B$26*Variables!$E$50),$F$1*((Variables!$B$26*Variables!$E$50)-H274-SUM(J275:Q275)),0)</f>
        <v>0</v>
      </c>
      <c r="U275" s="64">
        <f>IF(AND(AND(B275="Autumn",SUM(D272:E275)&gt;Variables!$B$27),SUM(J275:Q275)&lt;Variables!$B$28*H274),$F$1*(Variables!$B$28*H274-SUM(J275:Q275)),0)</f>
        <v>0</v>
      </c>
      <c r="V275" s="96">
        <f>IF(AND((J275+K275)=0,(Q275+T275)=0),$H$1*H275*Variables!$I$23*0.25,0)</f>
        <v>102.79130848021558</v>
      </c>
      <c r="W275" s="97">
        <f>IF(AND((K275+J275)=0,(T275+Q275)=0),$I$1*H275*Variables!$Q$23*0.25,0)</f>
        <v>107.59531116920772</v>
      </c>
      <c r="X275" s="95">
        <f>IF(AND(NOT(K275=0),(H275-H274)&gt;0),(H275-H274)*(Variables!$M$5*$H$1+Variables!$U$5*$I$1),0)+IF(AND(NOT((J275+N275+Q275)=0),(H274-H275)&gt;0),(H274-H275)*(Variables!$M$4*$H$1+Variables!$U$4*$I$1),0)</f>
        <v>0</v>
      </c>
      <c r="Y275" s="95">
        <f>IF(SUM(T275,U274:U275)&gt;0,H275*Variables!$Y$11*0.25*(1-$J$1),0)</f>
        <v>0</v>
      </c>
      <c r="Z275" s="95">
        <f>IF(T275=0,H275*$J$1*Variables!$Y$5*0.25,0)</f>
        <v>34.672460002719298</v>
      </c>
      <c r="AA275" s="95">
        <f t="shared" si="9"/>
        <v>245.0590796521426</v>
      </c>
      <c r="AB275" s="91">
        <f>AA275/Variables!$E$49</f>
        <v>39.525658008410097</v>
      </c>
    </row>
    <row r="276" spans="1:28" x14ac:dyDescent="0.25">
      <c r="A276" s="61">
        <f>'Water runs'!C283</f>
        <v>27180</v>
      </c>
      <c r="B276" s="61" t="str">
        <f>'Water runs'!B283</f>
        <v>Autumn</v>
      </c>
      <c r="C276" s="54">
        <f>'Water runs'!D283/100</f>
        <v>1.5951249999999999</v>
      </c>
      <c r="D276" s="108">
        <f>VLOOKUP(ROW(D276)+4,'Water runs'!$BS$3:$CF$423,MATCH($B$1,Scenarios,0)+1)</f>
        <v>0</v>
      </c>
      <c r="E276" s="54">
        <f>IF(B276=Variables!$D$8,C276-Variables!$E$8,IF(B276=Variables!$D$9,C276-Variables!$E$9,IF(B276=Variables!$D$10,C276-Variables!$E$10,IF(B276=Variables!$D$11,C276-Variables!$E$11,"ELSE"))))</f>
        <v>0.60048170068027207</v>
      </c>
      <c r="F276" s="108">
        <f>VLOOKUP(ROW(F276)+4,'Water runs'!$CH$3:$CU$423,MATCH($B$1,Scenarios,0)+1)</f>
        <v>0</v>
      </c>
      <c r="G276" s="65">
        <f>H276/Variables!$E$49</f>
        <v>2.3648659774246181</v>
      </c>
      <c r="H276" s="62">
        <f>IF((H275+I276)&gt;(1.1*Variables!$E$50),(1.1*Variables!$E$50),IF((H275+I276)&gt;0,H275+I276,0))</f>
        <v>14.662169060032634</v>
      </c>
      <c r="I276" s="64">
        <f t="shared" si="8"/>
        <v>9.3279444442296651</v>
      </c>
      <c r="J276" s="63">
        <f>IF(SUM(E272:E275)&lt;Variables!$B$3,-H275,0)</f>
        <v>0</v>
      </c>
      <c r="K276" s="64">
        <f>IF(AND(H275&lt;Variables!$B$6*Variables!$E$50,OR(SUM(D273:D276)&gt;Variables!$B$5,SUM(E273:E276)&gt;Variables!$B$4)),Variables!$B$6*Variables!$E$50+Variables!$B$7*$G$1*Variables!$E$50*SUM(D273:D276),0)</f>
        <v>0</v>
      </c>
      <c r="L276" s="64">
        <f>IF(B276="Winter",Variables!$B$8*H275,0)</f>
        <v>0</v>
      </c>
      <c r="M276" s="64">
        <f>IF(AND(B276="Spring",AND(NOT(H275=0),H275&lt;(Variables!$B$9*Variables!$E$50))),(Variables!$B$10*Variables!$E$50+Variables!$B$11*Variables!$E$50*SUM(E273:E276)+$G$1*SUM(D275:D276)*Variables!$E$50*Variables!$B$12),0)</f>
        <v>0</v>
      </c>
      <c r="N276" s="64">
        <f>IF(AND(B276="Spring",AND(SUM(D273:D276)&gt;Variables!$B$13,SUM(D269:D272)&gt;Variables!$B$13)),-Variables!$B$14*Variables!$E$50,0)</f>
        <v>0</v>
      </c>
      <c r="O276" s="64">
        <f>IF(AND(B276="Summer",SUM(C272:D276)&gt;Variables!$B$15),(Variables!$B$16*Variables!$E$50*SUM(C272:C276)+$G$1*Variables!$B$16*Variables!$E$50*SUM(D272:D276)+$G$1*Variables!$E$50*Variables!$B$17*F276),0)</f>
        <v>0</v>
      </c>
      <c r="P276" s="64">
        <f>IF(AND(AND(B276="Autumn",SUM(D275:E276)&gt;0),NOT(H275=0)),Variables!$B$18*Variables!$E$50+Variables!$B$19*Variables!$E$50*SUM(E275:E276)+$G$1*Variables!$B$19*Variables!$E$50*SUM(D275:D276),0)</f>
        <v>9.3182392778804886</v>
      </c>
      <c r="Q276" s="64">
        <f>IF(AND(B276="Autumn",AND((E276+E275)&lt;Variables!$B$20,(D275+D276)=0)),-Variables!$B$21*Variables!$E$50,0)</f>
        <v>0</v>
      </c>
      <c r="R276" s="64">
        <f>IF(B276="Autumn",(SUM(F275:F276)*$G$1*Variables!$B$22*Variables!$E$50),0)</f>
        <v>9.7051663491772924E-3</v>
      </c>
      <c r="S276" s="64">
        <f>IF(B276="Spring",($G$1*Variables!$E$50*SUM('Guts (option 1)'!F275:F276)*Variables!$B$23),0)</f>
        <v>0</v>
      </c>
      <c r="T276" s="63">
        <f>IF((H275+SUM(J276:Q276))&lt;(Variables!$B$26*Variables!$E$50),$F$1*((Variables!$B$26*Variables!$E$50)-H275-SUM(J276:Q276)),0)</f>
        <v>0</v>
      </c>
      <c r="U276" s="64">
        <f>IF(AND(AND(B276="Autumn",SUM(D273:E276)&gt;Variables!$B$27),SUM(J276:Q276)&lt;Variables!$B$28*H275),$F$1*(Variables!$B$28*H275-SUM(J276:Q276)),0)</f>
        <v>0</v>
      </c>
      <c r="V276" s="96">
        <f>IF(AND((J276+K276)=0,(Q276+T276)=0),$H$1*H276*Variables!$I$23*0.25,0)</f>
        <v>282.54219711218786</v>
      </c>
      <c r="W276" s="97">
        <f>IF(AND((K276+J276)=0,(T276+Q276)=0),$I$1*H276*Variables!$Q$23*0.25,0)</f>
        <v>295.7469465676532</v>
      </c>
      <c r="X276" s="95">
        <f>IF(AND(NOT(K276=0),(H276-H275)&gt;0),(H276-H275)*(Variables!$M$5*$H$1+Variables!$U$5*$I$1),0)+IF(AND(NOT((J276+N276+Q276)=0),(H275-H276)&gt;0),(H275-H276)*(Variables!$M$4*$H$1+Variables!$U$4*$I$1),0)</f>
        <v>0</v>
      </c>
      <c r="Y276" s="95">
        <f>IF(SUM(T276,U275:U276)&gt;0,H276*Variables!$Y$11*0.25*(1-$J$1),0)</f>
        <v>0</v>
      </c>
      <c r="Z276" s="95">
        <f>IF(T276=0,H276*$J$1*Variables!$Y$5*0.25,0)</f>
        <v>95.304098890212117</v>
      </c>
      <c r="AA276" s="95">
        <f t="shared" si="9"/>
        <v>673.59324257005323</v>
      </c>
      <c r="AB276" s="91">
        <f>AA276/Variables!$E$49</f>
        <v>108.64407138226665</v>
      </c>
    </row>
    <row r="277" spans="1:28" x14ac:dyDescent="0.25">
      <c r="A277" s="61">
        <f>'Water runs'!C284</f>
        <v>27272</v>
      </c>
      <c r="B277" s="61" t="str">
        <f>'Water runs'!B284</f>
        <v>Winter</v>
      </c>
      <c r="C277" s="54">
        <f>'Water runs'!D284/100</f>
        <v>0.79076666666666595</v>
      </c>
      <c r="D277" s="108">
        <f>VLOOKUP(ROW(D277)+4,'Water runs'!$BS$3:$CF$423,MATCH($B$1,Scenarios,0)+1)</f>
        <v>0</v>
      </c>
      <c r="E277" s="54">
        <f>IF(B277=Variables!$D$8,C277-Variables!$E$8,IF(B277=Variables!$D$9,C277-Variables!$E$9,IF(B277=Variables!$D$10,C277-Variables!$E$10,IF(B277=Variables!$D$11,C277-Variables!$E$11,"ELSE"))))</f>
        <v>0.21899904100529022</v>
      </c>
      <c r="F277" s="108">
        <f>VLOOKUP(ROW(F277)+4,'Water runs'!$CH$3:$CU$423,MATCH($B$1,Scenarios,0)+1)</f>
        <v>0</v>
      </c>
      <c r="G277" s="65">
        <f>H277/Variables!$E$49</f>
        <v>1.1872922057462665</v>
      </c>
      <c r="H277" s="62">
        <f>IF((H276+I277)&gt;(1.1*Variables!$E$50),(1.1*Variables!$E$50),IF((H276+I277)&gt;0,H276+I277,0))</f>
        <v>7.3612116756268531</v>
      </c>
      <c r="I277" s="64">
        <f t="shared" si="8"/>
        <v>-7.3009573844057805</v>
      </c>
      <c r="J277" s="63">
        <f>IF(SUM(E273:E276)&lt;Variables!$B$3,-H276,0)</f>
        <v>0</v>
      </c>
      <c r="K277" s="64">
        <f>IF(AND(H276&lt;Variables!$B$6*Variables!$E$50,OR(SUM(D274:D277)&gt;Variables!$B$5,SUM(E274:E277)&gt;Variables!$B$4)),Variables!$B$6*Variables!$E$50+Variables!$B$7*$G$1*Variables!$E$50*SUM(D274:D277),0)</f>
        <v>0</v>
      </c>
      <c r="L277" s="64">
        <f>IF(B277="Winter",Variables!$B$8*H276,0)</f>
        <v>-7.3009573844057805</v>
      </c>
      <c r="M277" s="64">
        <f>IF(AND(B277="Spring",AND(NOT(H276=0),H276&lt;(Variables!$B$9*Variables!$E$50))),(Variables!$B$10*Variables!$E$50+Variables!$B$11*Variables!$E$50*SUM(E274:E277)+$G$1*SUM(D276:D277)*Variables!$E$50*Variables!$B$12),0)</f>
        <v>0</v>
      </c>
      <c r="N277" s="64">
        <f>IF(AND(B277="Spring",AND(SUM(D274:D277)&gt;Variables!$B$13,SUM(D270:D273)&gt;Variables!$B$13)),-Variables!$B$14*Variables!$E$50,0)</f>
        <v>0</v>
      </c>
      <c r="O277" s="64">
        <f>IF(AND(B277="Summer",SUM(C273:D277)&gt;Variables!$B$15),(Variables!$B$16*Variables!$E$50*SUM(C273:C277)+$G$1*Variables!$B$16*Variables!$E$50*SUM(D273:D277)+$G$1*Variables!$E$50*Variables!$B$17*F277),0)</f>
        <v>0</v>
      </c>
      <c r="P277" s="64">
        <f>IF(AND(AND(B277="Autumn",SUM(D276:E277)&gt;0),NOT(H276=0)),Variables!$B$18*Variables!$E$50+Variables!$B$19*Variables!$E$50*SUM(E276:E277)+$G$1*Variables!$B$19*Variables!$E$50*SUM(D276:D277),0)</f>
        <v>0</v>
      </c>
      <c r="Q277" s="64">
        <f>IF(AND(B277="Autumn",AND((E277+E276)&lt;Variables!$B$20,(D276+D277)=0)),-Variables!$B$21*Variables!$E$50,0)</f>
        <v>0</v>
      </c>
      <c r="R277" s="64">
        <f>IF(B277="Autumn",(SUM(F276:F277)*$G$1*Variables!$B$22*Variables!$E$50),0)</f>
        <v>0</v>
      </c>
      <c r="S277" s="64">
        <f>IF(B277="Spring",($G$1*Variables!$E$50*SUM('Guts (option 1)'!F276:F277)*Variables!$B$23),0)</f>
        <v>0</v>
      </c>
      <c r="T277" s="63">
        <f>IF((H276+SUM(J277:Q277))&lt;(Variables!$B$26*Variables!$E$50),$F$1*((Variables!$B$26*Variables!$E$50)-H276-SUM(J277:Q277)),0)</f>
        <v>0</v>
      </c>
      <c r="U277" s="64">
        <f>IF(AND(AND(B277="Autumn",SUM(D274:E277)&gt;Variables!$B$27),SUM(J277:Q277)&lt;Variables!$B$28*H276),$F$1*(Variables!$B$28*H276-SUM(J277:Q277)),0)</f>
        <v>0</v>
      </c>
      <c r="V277" s="96">
        <f>IF(AND((J277+K277)=0,(Q277+T277)=0),$H$1*H277*Variables!$I$23*0.25,0)</f>
        <v>141.85165317108081</v>
      </c>
      <c r="W277" s="97">
        <f>IF(AND((K277+J277)=0,(T277+Q277)=0),$I$1*H277*Variables!$Q$23*0.25,0)</f>
        <v>148.48116040615034</v>
      </c>
      <c r="X277" s="95">
        <f>IF(AND(NOT(K277=0),(H277-H276)&gt;0),(H277-H276)*(Variables!$M$5*$H$1+Variables!$U$5*$I$1),0)+IF(AND(NOT((J277+N277+Q277)=0),(H276-H277)&gt;0),(H276-H277)*(Variables!$M$4*$H$1+Variables!$U$4*$I$1),0)</f>
        <v>0</v>
      </c>
      <c r="Y277" s="95">
        <f>IF(SUM(T277,U276:U277)&gt;0,H277*Variables!$Y$11*0.25*(1-$J$1),0)</f>
        <v>0</v>
      </c>
      <c r="Z277" s="95">
        <f>IF(T277=0,H277*$J$1*Variables!$Y$5*0.25,0)</f>
        <v>47.847875891574546</v>
      </c>
      <c r="AA277" s="95">
        <f t="shared" si="9"/>
        <v>338.18068946880567</v>
      </c>
      <c r="AB277" s="91">
        <f>AA277/Variables!$E$49</f>
        <v>54.545272494968657</v>
      </c>
    </row>
    <row r="278" spans="1:28" x14ac:dyDescent="0.25">
      <c r="A278" s="61">
        <f>'Water runs'!C285</f>
        <v>27363</v>
      </c>
      <c r="B278" s="61" t="str">
        <f>'Water runs'!B285</f>
        <v>Spring</v>
      </c>
      <c r="C278" s="54">
        <f>'Water runs'!D285/100</f>
        <v>0.903107142857143</v>
      </c>
      <c r="D278" s="108">
        <f>VLOOKUP(ROW(D278)+4,'Water runs'!$BS$3:$CF$423,MATCH($B$1,Scenarios,0)+1)</f>
        <v>0</v>
      </c>
      <c r="E278" s="54">
        <f>IF(B278=Variables!$D$8,C278-Variables!$E$8,IF(B278=Variables!$D$9,C278-Variables!$E$9,IF(B278=Variables!$D$10,C278-Variables!$E$10,IF(B278=Variables!$D$11,C278-Variables!$E$11,"ELSE"))))</f>
        <v>0.13912493386243385</v>
      </c>
      <c r="F278" s="108">
        <f>VLOOKUP(ROW(F278)+4,'Water runs'!$CH$3:$CU$423,MATCH($B$1,Scenarios,0)+1)</f>
        <v>0</v>
      </c>
      <c r="G278" s="65">
        <f>H278/Variables!$E$49</f>
        <v>1.1872922057462665</v>
      </c>
      <c r="H278" s="62">
        <f>IF((H277+I278)&gt;(1.1*Variables!$E$50),(1.1*Variables!$E$50),IF((H277+I278)&gt;0,H277+I278,0))</f>
        <v>7.3612116756268531</v>
      </c>
      <c r="I278" s="64">
        <f t="shared" si="8"/>
        <v>0</v>
      </c>
      <c r="J278" s="63">
        <f>IF(SUM(E274:E277)&lt;Variables!$B$3,-H277,0)</f>
        <v>0</v>
      </c>
      <c r="K278" s="64">
        <f>IF(AND(H277&lt;Variables!$B$6*Variables!$E$50,OR(SUM(D275:D278)&gt;Variables!$B$5,SUM(E275:E278)&gt;Variables!$B$4)),Variables!$B$6*Variables!$E$50+Variables!$B$7*$G$1*Variables!$E$50*SUM(D275:D278),0)</f>
        <v>0</v>
      </c>
      <c r="L278" s="64">
        <f>IF(B278="Winter",Variables!$B$8*H277,0)</f>
        <v>0</v>
      </c>
      <c r="M278" s="64">
        <f>IF(AND(B278="Spring",AND(NOT(H277=0),H277&lt;(Variables!$B$9*Variables!$E$50))),(Variables!$B$10*Variables!$E$50+Variables!$B$11*Variables!$E$50*SUM(E275:E278)+$G$1*SUM(D277:D278)*Variables!$E$50*Variables!$B$12),0)</f>
        <v>0</v>
      </c>
      <c r="N278" s="64">
        <f>IF(AND(B278="Spring",AND(SUM(D275:D278)&gt;Variables!$B$13,SUM(D271:D274)&gt;Variables!$B$13)),-Variables!$B$14*Variables!$E$50,0)</f>
        <v>0</v>
      </c>
      <c r="O278" s="64">
        <f>IF(AND(B278="Summer",SUM(C274:D278)&gt;Variables!$B$15),(Variables!$B$16*Variables!$E$50*SUM(C274:C278)+$G$1*Variables!$B$16*Variables!$E$50*SUM(D274:D278)+$G$1*Variables!$E$50*Variables!$B$17*F278),0)</f>
        <v>0</v>
      </c>
      <c r="P278" s="64">
        <f>IF(AND(AND(B278="Autumn",SUM(D277:E278)&gt;0),NOT(H277=0)),Variables!$B$18*Variables!$E$50+Variables!$B$19*Variables!$E$50*SUM(E277:E278)+$G$1*Variables!$B$19*Variables!$E$50*SUM(D277:D278),0)</f>
        <v>0</v>
      </c>
      <c r="Q278" s="64">
        <f>IF(AND(B278="Autumn",AND((E278+E277)&lt;Variables!$B$20,(D277+D278)=0)),-Variables!$B$21*Variables!$E$50,0)</f>
        <v>0</v>
      </c>
      <c r="R278" s="64">
        <f>IF(B278="Autumn",(SUM(F277:F278)*$G$1*Variables!$B$22*Variables!$E$50),0)</f>
        <v>0</v>
      </c>
      <c r="S278" s="64">
        <f>IF(B278="Spring",($G$1*Variables!$E$50*SUM('Guts (option 1)'!F277:F278)*Variables!$B$23),0)</f>
        <v>0</v>
      </c>
      <c r="T278" s="63">
        <f>IF((H277+SUM(J278:Q278))&lt;(Variables!$B$26*Variables!$E$50),$F$1*((Variables!$B$26*Variables!$E$50)-H277-SUM(J278:Q278)),0)</f>
        <v>0</v>
      </c>
      <c r="U278" s="64">
        <f>IF(AND(AND(B278="Autumn",SUM(D275:E278)&gt;Variables!$B$27),SUM(J278:Q278)&lt;Variables!$B$28*H277),$F$1*(Variables!$B$28*H277-SUM(J278:Q278)),0)</f>
        <v>0</v>
      </c>
      <c r="V278" s="96">
        <f>IF(AND((J278+K278)=0,(Q278+T278)=0),$H$1*H278*Variables!$I$23*0.25,0)</f>
        <v>141.85165317108081</v>
      </c>
      <c r="W278" s="97">
        <f>IF(AND((K278+J278)=0,(T278+Q278)=0),$I$1*H278*Variables!$Q$23*0.25,0)</f>
        <v>148.48116040615034</v>
      </c>
      <c r="X278" s="95">
        <f>IF(AND(NOT(K278=0),(H278-H277)&gt;0),(H278-H277)*(Variables!$M$5*$H$1+Variables!$U$5*$I$1),0)+IF(AND(NOT((J278+N278+Q278)=0),(H277-H278)&gt;0),(H277-H278)*(Variables!$M$4*$H$1+Variables!$U$4*$I$1),0)</f>
        <v>0</v>
      </c>
      <c r="Y278" s="95">
        <f>IF(SUM(T278,U277:U278)&gt;0,H278*Variables!$Y$11*0.25*(1-$J$1),0)</f>
        <v>0</v>
      </c>
      <c r="Z278" s="95">
        <f>IF(T278=0,H278*$J$1*Variables!$Y$5*0.25,0)</f>
        <v>47.847875891574546</v>
      </c>
      <c r="AA278" s="95">
        <f t="shared" si="9"/>
        <v>338.18068946880567</v>
      </c>
      <c r="AB278" s="91">
        <f>AA278/Variables!$E$49</f>
        <v>54.545272494968657</v>
      </c>
    </row>
    <row r="279" spans="1:28" x14ac:dyDescent="0.25">
      <c r="A279" s="61">
        <f>'Water runs'!C286</f>
        <v>27453</v>
      </c>
      <c r="B279" s="61" t="str">
        <f>'Water runs'!B286</f>
        <v>Summer</v>
      </c>
      <c r="C279" s="54">
        <f>'Water runs'!D286/100</f>
        <v>1.6819999999999999</v>
      </c>
      <c r="D279" s="108">
        <f>VLOOKUP(ROW(D279)+4,'Water runs'!$BS$3:$CF$423,MATCH($B$1,Scenarios,0)+1)</f>
        <v>0</v>
      </c>
      <c r="E279" s="54">
        <f>IF(B279=Variables!$D$8,C279-Variables!$E$8,IF(B279=Variables!$D$9,C279-Variables!$E$9,IF(B279=Variables!$D$10,C279-Variables!$E$10,IF(B279=Variables!$D$11,C279-Variables!$E$11,"ELSE"))))</f>
        <v>0.42362986394557822</v>
      </c>
      <c r="F279" s="108">
        <f>VLOOKUP(ROW(F279)+4,'Water runs'!$CH$3:$CU$423,MATCH($B$1,Scenarios,0)+1)</f>
        <v>0</v>
      </c>
      <c r="G279" s="65">
        <f>H279/Variables!$E$49</f>
        <v>1.7776032290556711</v>
      </c>
      <c r="H279" s="62">
        <f>IF((H278+I279)&gt;(1.1*Variables!$E$50),(1.1*Variables!$E$50),IF((H278+I279)&gt;0,H278+I279,0))</f>
        <v>11.021140020145161</v>
      </c>
      <c r="I279" s="64">
        <f t="shared" si="8"/>
        <v>3.6599283445183071</v>
      </c>
      <c r="J279" s="63">
        <f>IF(SUM(E275:E278)&lt;Variables!$B$3,-H278,0)</f>
        <v>0</v>
      </c>
      <c r="K279" s="64">
        <f>IF(AND(H278&lt;Variables!$B$6*Variables!$E$50,OR(SUM(D276:D279)&gt;Variables!$B$5,SUM(E276:E279)&gt;Variables!$B$4)),Variables!$B$6*Variables!$E$50+Variables!$B$7*$G$1*Variables!$E$50*SUM(D276:D279),0)</f>
        <v>0</v>
      </c>
      <c r="L279" s="64">
        <f>IF(B279="Winter",Variables!$B$8*H278,0)</f>
        <v>0</v>
      </c>
      <c r="M279" s="64">
        <f>IF(AND(B279="Spring",AND(NOT(H278=0),H278&lt;(Variables!$B$9*Variables!$E$50))),(Variables!$B$10*Variables!$E$50+Variables!$B$11*Variables!$E$50*SUM(E276:E279)+$G$1*SUM(D278:D279)*Variables!$E$50*Variables!$B$12),0)</f>
        <v>0</v>
      </c>
      <c r="N279" s="64">
        <f>IF(AND(B279="Spring",AND(SUM(D276:D279)&gt;Variables!$B$13,SUM(D272:D275)&gt;Variables!$B$13)),-Variables!$B$14*Variables!$E$50,0)</f>
        <v>0</v>
      </c>
      <c r="O279" s="64">
        <f>IF(AND(B279="Summer",SUM(C275:D279)&gt;Variables!$B$15),(Variables!$B$16*Variables!$E$50*SUM(C275:C279)+$G$1*Variables!$B$16*Variables!$E$50*SUM(D275:D279)+$G$1*Variables!$E$50*Variables!$B$17*F279),0)</f>
        <v>3.6599283445183071</v>
      </c>
      <c r="P279" s="64">
        <f>IF(AND(AND(B279="Autumn",SUM(D278:E279)&gt;0),NOT(H278=0)),Variables!$B$18*Variables!$E$50+Variables!$B$19*Variables!$E$50*SUM(E278:E279)+$G$1*Variables!$B$19*Variables!$E$50*SUM(D278:D279),0)</f>
        <v>0</v>
      </c>
      <c r="Q279" s="64">
        <f>IF(AND(B279="Autumn",AND((E279+E278)&lt;Variables!$B$20,(D278+D279)=0)),-Variables!$B$21*Variables!$E$50,0)</f>
        <v>0</v>
      </c>
      <c r="R279" s="64">
        <f>IF(B279="Autumn",(SUM(F278:F279)*$G$1*Variables!$B$22*Variables!$E$50),0)</f>
        <v>0</v>
      </c>
      <c r="S279" s="64">
        <f>IF(B279="Spring",($G$1*Variables!$E$50*SUM('Guts (option 1)'!F278:F279)*Variables!$B$23),0)</f>
        <v>0</v>
      </c>
      <c r="T279" s="63">
        <f>IF((H278+SUM(J279:Q279))&lt;(Variables!$B$26*Variables!$E$50),$F$1*((Variables!$B$26*Variables!$E$50)-H278-SUM(J279:Q279)),0)</f>
        <v>0</v>
      </c>
      <c r="U279" s="64">
        <f>IF(AND(AND(B279="Autumn",SUM(D276:E279)&gt;Variables!$B$27),SUM(J279:Q279)&lt;Variables!$B$28*H278),$F$1*(Variables!$B$28*H278-SUM(J279:Q279)),0)</f>
        <v>0</v>
      </c>
      <c r="V279" s="96">
        <f>IF(AND((J279+K279)=0,(Q279+T279)=0),$H$1*H279*Variables!$I$23*0.25,0)</f>
        <v>212.37902135920029</v>
      </c>
      <c r="W279" s="97">
        <f>IF(AND((K279+J279)=0,(T279+Q279)=0),$I$1*H279*Variables!$Q$23*0.25,0)</f>
        <v>222.30466006134299</v>
      </c>
      <c r="X279" s="95">
        <f>IF(AND(NOT(K279=0),(H279-H278)&gt;0),(H279-H278)*(Variables!$M$5*$H$1+Variables!$U$5*$I$1),0)+IF(AND(NOT((J279+N279+Q279)=0),(H278-H279)&gt;0),(H278-H279)*(Variables!$M$4*$H$1+Variables!$U$4*$I$1),0)</f>
        <v>0</v>
      </c>
      <c r="Y279" s="95">
        <f>IF(SUM(T279,U278:U279)&gt;0,H279*Variables!$Y$11*0.25*(1-$J$1),0)</f>
        <v>0</v>
      </c>
      <c r="Z279" s="95">
        <f>IF(T279=0,H279*$J$1*Variables!$Y$5*0.25,0)</f>
        <v>71.63741013094355</v>
      </c>
      <c r="AA279" s="95">
        <f t="shared" si="9"/>
        <v>506.3210915514868</v>
      </c>
      <c r="AB279" s="91">
        <f>AA279/Variables!$E$49</f>
        <v>81.66469218572368</v>
      </c>
    </row>
    <row r="280" spans="1:28" x14ac:dyDescent="0.25">
      <c r="A280" s="61">
        <f>'Water runs'!C287</f>
        <v>27545</v>
      </c>
      <c r="B280" s="61" t="str">
        <f>'Water runs'!B287</f>
        <v>Autumn</v>
      </c>
      <c r="C280" s="54">
        <f>'Water runs'!D287/100</f>
        <v>0.193</v>
      </c>
      <c r="D280" s="108">
        <f>VLOOKUP(ROW(D280)+4,'Water runs'!$BS$3:$CF$423,MATCH($B$1,Scenarios,0)+1)</f>
        <v>2.8027933712856E-3</v>
      </c>
      <c r="E280" s="54">
        <f>IF(B280=Variables!$D$8,C280-Variables!$E$8,IF(B280=Variables!$D$9,C280-Variables!$E$9,IF(B280=Variables!$D$10,C280-Variables!$E$10,IF(B280=Variables!$D$11,C280-Variables!$E$11,"ELSE"))))</f>
        <v>-0.80164329931972778</v>
      </c>
      <c r="F280" s="108">
        <f>VLOOKUP(ROW(F280)+4,'Water runs'!$CH$3:$CU$423,MATCH($B$1,Scenarios,0)+1)</f>
        <v>0</v>
      </c>
      <c r="G280" s="65">
        <f>H280/Variables!$E$49</f>
        <v>1.7776032290556711</v>
      </c>
      <c r="H280" s="62">
        <f>IF((H279+I280)&gt;(1.1*Variables!$E$50),(1.1*Variables!$E$50),IF((H279+I280)&gt;0,H279+I280,0))</f>
        <v>11.021140020145161</v>
      </c>
      <c r="I280" s="64">
        <f t="shared" si="8"/>
        <v>0</v>
      </c>
      <c r="J280" s="63">
        <f>IF(SUM(E276:E279)&lt;Variables!$B$3,-H279,0)</f>
        <v>0</v>
      </c>
      <c r="K280" s="64">
        <f>IF(AND(H279&lt;Variables!$B$6*Variables!$E$50,OR(SUM(D277:D280)&gt;Variables!$B$5,SUM(E277:E280)&gt;Variables!$B$4)),Variables!$B$6*Variables!$E$50+Variables!$B$7*$G$1*Variables!$E$50*SUM(D277:D280),0)</f>
        <v>0</v>
      </c>
      <c r="L280" s="64">
        <f>IF(B280="Winter",Variables!$B$8*H279,0)</f>
        <v>0</v>
      </c>
      <c r="M280" s="64">
        <f>IF(AND(B280="Spring",AND(NOT(H279=0),H279&lt;(Variables!$B$9*Variables!$E$50))),(Variables!$B$10*Variables!$E$50+Variables!$B$11*Variables!$E$50*SUM(E277:E280)+$G$1*SUM(D279:D280)*Variables!$E$50*Variables!$B$12),0)</f>
        <v>0</v>
      </c>
      <c r="N280" s="64">
        <f>IF(AND(B280="Spring",AND(SUM(D277:D280)&gt;Variables!$B$13,SUM(D273:D276)&gt;Variables!$B$13)),-Variables!$B$14*Variables!$E$50,0)</f>
        <v>0</v>
      </c>
      <c r="O280" s="64">
        <f>IF(AND(B280="Summer",SUM(C276:D280)&gt;Variables!$B$15),(Variables!$B$16*Variables!$E$50*SUM(C276:C280)+$G$1*Variables!$B$16*Variables!$E$50*SUM(D276:D280)+$G$1*Variables!$E$50*Variables!$B$17*F280),0)</f>
        <v>0</v>
      </c>
      <c r="P280" s="64">
        <f>IF(AND(AND(B280="Autumn",SUM(D279:E280)&gt;0),NOT(H279=0)),Variables!$B$18*Variables!$E$50+Variables!$B$19*Variables!$E$50*SUM(E279:E280)+$G$1*Variables!$B$19*Variables!$E$50*SUM(D279:D280),0)</f>
        <v>0</v>
      </c>
      <c r="Q280" s="64">
        <f>IF(AND(B280="Autumn",AND((E280+E279)&lt;Variables!$B$20,(D279+D280)=0)),-Variables!$B$21*Variables!$E$50,0)</f>
        <v>0</v>
      </c>
      <c r="R280" s="64">
        <f>IF(B280="Autumn",(SUM(F279:F280)*$G$1*Variables!$B$22*Variables!$E$50),0)</f>
        <v>0</v>
      </c>
      <c r="S280" s="64">
        <f>IF(B280="Spring",($G$1*Variables!$E$50*SUM('Guts (option 1)'!F279:F280)*Variables!$B$23),0)</f>
        <v>0</v>
      </c>
      <c r="T280" s="63">
        <f>IF((H279+SUM(J280:Q280))&lt;(Variables!$B$26*Variables!$E$50),$F$1*((Variables!$B$26*Variables!$E$50)-H279-SUM(J280:Q280)),0)</f>
        <v>0</v>
      </c>
      <c r="U280" s="64">
        <f>IF(AND(AND(B280="Autumn",SUM(D277:E280)&gt;Variables!$B$27),SUM(J280:Q280)&lt;Variables!$B$28*H279),$F$1*(Variables!$B$28*H279-SUM(J280:Q280)),0)</f>
        <v>0</v>
      </c>
      <c r="V280" s="96">
        <f>IF(AND((J280+K280)=0,(Q280+T280)=0),$H$1*H280*Variables!$I$23*0.25,0)</f>
        <v>212.37902135920029</v>
      </c>
      <c r="W280" s="97">
        <f>IF(AND((K280+J280)=0,(T280+Q280)=0),$I$1*H280*Variables!$Q$23*0.25,0)</f>
        <v>222.30466006134299</v>
      </c>
      <c r="X280" s="95">
        <f>IF(AND(NOT(K280=0),(H280-H279)&gt;0),(H280-H279)*(Variables!$M$5*$H$1+Variables!$U$5*$I$1),0)+IF(AND(NOT((J280+N280+Q280)=0),(H279-H280)&gt;0),(H279-H280)*(Variables!$M$4*$H$1+Variables!$U$4*$I$1),0)</f>
        <v>0</v>
      </c>
      <c r="Y280" s="95">
        <f>IF(SUM(T280,U279:U280)&gt;0,H280*Variables!$Y$11*0.25*(1-$J$1),0)</f>
        <v>0</v>
      </c>
      <c r="Z280" s="95">
        <f>IF(T280=0,H280*$J$1*Variables!$Y$5*0.25,0)</f>
        <v>71.63741013094355</v>
      </c>
      <c r="AA280" s="95">
        <f t="shared" si="9"/>
        <v>506.3210915514868</v>
      </c>
      <c r="AB280" s="91">
        <f>AA280/Variables!$E$49</f>
        <v>81.66469218572368</v>
      </c>
    </row>
    <row r="281" spans="1:28" x14ac:dyDescent="0.25">
      <c r="A281" s="61">
        <f>'Water runs'!C288</f>
        <v>27637</v>
      </c>
      <c r="B281" s="61" t="str">
        <f>'Water runs'!B288</f>
        <v>Winter</v>
      </c>
      <c r="C281" s="54">
        <f>'Water runs'!D288/100</f>
        <v>0.73499999999999999</v>
      </c>
      <c r="D281" s="108">
        <f>VLOOKUP(ROW(D281)+4,'Water runs'!$BS$3:$CF$423,MATCH($B$1,Scenarios,0)+1)</f>
        <v>0</v>
      </c>
      <c r="E281" s="54">
        <f>IF(B281=Variables!$D$8,C281-Variables!$E$8,IF(B281=Variables!$D$9,C281-Variables!$E$9,IF(B281=Variables!$D$10,C281-Variables!$E$10,IF(B281=Variables!$D$11,C281-Variables!$E$11,"ELSE"))))</f>
        <v>0.16323237433862425</v>
      </c>
      <c r="F281" s="108">
        <f>VLOOKUP(ROW(F281)+4,'Water runs'!$CH$3:$CU$423,MATCH($B$1,Scenarios,0)+1)</f>
        <v>0</v>
      </c>
      <c r="G281" s="65">
        <f>H281/Variables!$E$49</f>
        <v>0.89245415127736072</v>
      </c>
      <c r="H281" s="62">
        <f>IF((H280+I281)&gt;(1.1*Variables!$E$50),(1.1*Variables!$E$50),IF((H280+I281)&gt;0,H280+I281,0))</f>
        <v>5.5332157379196367</v>
      </c>
      <c r="I281" s="64">
        <f t="shared" si="8"/>
        <v>-5.4879242822255243</v>
      </c>
      <c r="J281" s="63">
        <f>IF(SUM(E277:E280)&lt;Variables!$B$3,-H280,0)</f>
        <v>0</v>
      </c>
      <c r="K281" s="64">
        <f>IF(AND(H280&lt;Variables!$B$6*Variables!$E$50,OR(SUM(D278:D281)&gt;Variables!$B$5,SUM(E278:E281)&gt;Variables!$B$4)),Variables!$B$6*Variables!$E$50+Variables!$B$7*$G$1*Variables!$E$50*SUM(D278:D281),0)</f>
        <v>0</v>
      </c>
      <c r="L281" s="64">
        <f>IF(B281="Winter",Variables!$B$8*H280,0)</f>
        <v>-5.4879242822255243</v>
      </c>
      <c r="M281" s="64">
        <f>IF(AND(B281="Spring",AND(NOT(H280=0),H280&lt;(Variables!$B$9*Variables!$E$50))),(Variables!$B$10*Variables!$E$50+Variables!$B$11*Variables!$E$50*SUM(E278:E281)+$G$1*SUM(D280:D281)*Variables!$E$50*Variables!$B$12),0)</f>
        <v>0</v>
      </c>
      <c r="N281" s="64">
        <f>IF(AND(B281="Spring",AND(SUM(D278:D281)&gt;Variables!$B$13,SUM(D274:D277)&gt;Variables!$B$13)),-Variables!$B$14*Variables!$E$50,0)</f>
        <v>0</v>
      </c>
      <c r="O281" s="64">
        <f>IF(AND(B281="Summer",SUM(C277:D281)&gt;Variables!$B$15),(Variables!$B$16*Variables!$E$50*SUM(C277:C281)+$G$1*Variables!$B$16*Variables!$E$50*SUM(D277:D281)+$G$1*Variables!$E$50*Variables!$B$17*F281),0)</f>
        <v>0</v>
      </c>
      <c r="P281" s="64">
        <f>IF(AND(AND(B281="Autumn",SUM(D280:E281)&gt;0),NOT(H280=0)),Variables!$B$18*Variables!$E$50+Variables!$B$19*Variables!$E$50*SUM(E280:E281)+$G$1*Variables!$B$19*Variables!$E$50*SUM(D280:D281),0)</f>
        <v>0</v>
      </c>
      <c r="Q281" s="64">
        <f>IF(AND(B281="Autumn",AND((E281+E280)&lt;Variables!$B$20,(D280+D281)=0)),-Variables!$B$21*Variables!$E$50,0)</f>
        <v>0</v>
      </c>
      <c r="R281" s="64">
        <f>IF(B281="Autumn",(SUM(F280:F281)*$G$1*Variables!$B$22*Variables!$E$50),0)</f>
        <v>0</v>
      </c>
      <c r="S281" s="64">
        <f>IF(B281="Spring",($G$1*Variables!$E$50*SUM('Guts (option 1)'!F280:F281)*Variables!$B$23),0)</f>
        <v>0</v>
      </c>
      <c r="T281" s="63">
        <f>IF((H280+SUM(J281:Q281))&lt;(Variables!$B$26*Variables!$E$50),$F$1*((Variables!$B$26*Variables!$E$50)-H280-SUM(J281:Q281)),0)</f>
        <v>0</v>
      </c>
      <c r="U281" s="64">
        <f>IF(AND(AND(B281="Autumn",SUM(D278:E281)&gt;Variables!$B$27),SUM(J281:Q281)&lt;Variables!$B$28*H280),$F$1*(Variables!$B$28*H280-SUM(J281:Q281)),0)</f>
        <v>0</v>
      </c>
      <c r="V281" s="96">
        <f>IF(AND((J281+K281)=0,(Q281+T281)=0),$H$1*H281*Variables!$I$23*0.25,0)</f>
        <v>106.62589725207209</v>
      </c>
      <c r="W281" s="97">
        <f>IF(AND((K281+J281)=0,(T281+Q281)=0),$I$1*H281*Variables!$Q$23*0.25,0)</f>
        <v>111.6091113456425</v>
      </c>
      <c r="X281" s="95">
        <f>IF(AND(NOT(K281=0),(H281-H280)&gt;0),(H281-H280)*(Variables!$M$5*$H$1+Variables!$U$5*$I$1),0)+IF(AND(NOT((J281+N281+Q281)=0),(H280-H281)&gt;0),(H280-H281)*(Variables!$M$4*$H$1+Variables!$U$4*$I$1),0)</f>
        <v>0</v>
      </c>
      <c r="Y281" s="95">
        <f>IF(SUM(T281,U280:U281)&gt;0,H281*Variables!$Y$11*0.25*(1-$J$1),0)</f>
        <v>0</v>
      </c>
      <c r="Z281" s="95">
        <f>IF(T281=0,H281*$J$1*Variables!$Y$5*0.25,0)</f>
        <v>35.965902296477637</v>
      </c>
      <c r="AA281" s="95">
        <f t="shared" si="9"/>
        <v>254.20091089419225</v>
      </c>
      <c r="AB281" s="91">
        <f>AA281/Variables!$E$49</f>
        <v>41.000146918418103</v>
      </c>
    </row>
    <row r="282" spans="1:28" x14ac:dyDescent="0.25">
      <c r="A282" s="61">
        <f>'Water runs'!C289</f>
        <v>27728</v>
      </c>
      <c r="B282" s="61" t="str">
        <f>'Water runs'!B289</f>
        <v>Spring</v>
      </c>
      <c r="C282" s="54">
        <f>'Water runs'!D289/100</f>
        <v>0.44385714285714301</v>
      </c>
      <c r="D282" s="108">
        <f>VLOOKUP(ROW(D282)+4,'Water runs'!$BS$3:$CF$423,MATCH($B$1,Scenarios,0)+1)</f>
        <v>0</v>
      </c>
      <c r="E282" s="54">
        <f>IF(B282=Variables!$D$8,C282-Variables!$E$8,IF(B282=Variables!$D$9,C282-Variables!$E$9,IF(B282=Variables!$D$10,C282-Variables!$E$10,IF(B282=Variables!$D$11,C282-Variables!$E$11,"ELSE"))))</f>
        <v>-0.32012506613756614</v>
      </c>
      <c r="F282" s="108">
        <f>VLOOKUP(ROW(F282)+4,'Water runs'!$CH$3:$CU$423,MATCH($B$1,Scenarios,0)+1)</f>
        <v>0</v>
      </c>
      <c r="G282" s="65">
        <f>H282/Variables!$E$49</f>
        <v>0.89245415127736072</v>
      </c>
      <c r="H282" s="62">
        <f>IF((H281+I282)&gt;(1.1*Variables!$E$50),(1.1*Variables!$E$50),IF((H281+I282)&gt;0,H281+I282,0))</f>
        <v>5.5332157379196367</v>
      </c>
      <c r="I282" s="64">
        <f t="shared" si="8"/>
        <v>0</v>
      </c>
      <c r="J282" s="63">
        <f>IF(SUM(E278:E281)&lt;Variables!$B$3,-H281,0)</f>
        <v>0</v>
      </c>
      <c r="K282" s="64">
        <f>IF(AND(H281&lt;Variables!$B$6*Variables!$E$50,OR(SUM(D279:D282)&gt;Variables!$B$5,SUM(E279:E282)&gt;Variables!$B$4)),Variables!$B$6*Variables!$E$50+Variables!$B$7*$G$1*Variables!$E$50*SUM(D279:D282),0)</f>
        <v>0</v>
      </c>
      <c r="L282" s="64">
        <f>IF(B282="Winter",Variables!$B$8*H281,0)</f>
        <v>0</v>
      </c>
      <c r="M282" s="64">
        <f>IF(AND(B282="Spring",AND(NOT(H281=0),H281&lt;(Variables!$B$9*Variables!$E$50))),(Variables!$B$10*Variables!$E$50+Variables!$B$11*Variables!$E$50*SUM(E279:E282)+$G$1*SUM(D281:D282)*Variables!$E$50*Variables!$B$12),0)</f>
        <v>0</v>
      </c>
      <c r="N282" s="64">
        <f>IF(AND(B282="Spring",AND(SUM(D279:D282)&gt;Variables!$B$13,SUM(D275:D278)&gt;Variables!$B$13)),-Variables!$B$14*Variables!$E$50,0)</f>
        <v>0</v>
      </c>
      <c r="O282" s="64">
        <f>IF(AND(B282="Summer",SUM(C278:D282)&gt;Variables!$B$15),(Variables!$B$16*Variables!$E$50*SUM(C278:C282)+$G$1*Variables!$B$16*Variables!$E$50*SUM(D278:D282)+$G$1*Variables!$E$50*Variables!$B$17*F282),0)</f>
        <v>0</v>
      </c>
      <c r="P282" s="64">
        <f>IF(AND(AND(B282="Autumn",SUM(D281:E282)&gt;0),NOT(H281=0)),Variables!$B$18*Variables!$E$50+Variables!$B$19*Variables!$E$50*SUM(E281:E282)+$G$1*Variables!$B$19*Variables!$E$50*SUM(D281:D282),0)</f>
        <v>0</v>
      </c>
      <c r="Q282" s="64">
        <f>IF(AND(B282="Autumn",AND((E282+E281)&lt;Variables!$B$20,(D281+D282)=0)),-Variables!$B$21*Variables!$E$50,0)</f>
        <v>0</v>
      </c>
      <c r="R282" s="64">
        <f>IF(B282="Autumn",(SUM(F281:F282)*$G$1*Variables!$B$22*Variables!$E$50),0)</f>
        <v>0</v>
      </c>
      <c r="S282" s="64">
        <f>IF(B282="Spring",($G$1*Variables!$E$50*SUM('Guts (option 1)'!F281:F282)*Variables!$B$23),0)</f>
        <v>0</v>
      </c>
      <c r="T282" s="63">
        <f>IF((H281+SUM(J282:Q282))&lt;(Variables!$B$26*Variables!$E$50),$F$1*((Variables!$B$26*Variables!$E$50)-H281-SUM(J282:Q282)),0)</f>
        <v>0</v>
      </c>
      <c r="U282" s="64">
        <f>IF(AND(AND(B282="Autumn",SUM(D279:E282)&gt;Variables!$B$27),SUM(J282:Q282)&lt;Variables!$B$28*H281),$F$1*(Variables!$B$28*H281-SUM(J282:Q282)),0)</f>
        <v>0</v>
      </c>
      <c r="V282" s="96">
        <f>IF(AND((J282+K282)=0,(Q282+T282)=0),$H$1*H282*Variables!$I$23*0.25,0)</f>
        <v>106.62589725207209</v>
      </c>
      <c r="W282" s="97">
        <f>IF(AND((K282+J282)=0,(T282+Q282)=0),$I$1*H282*Variables!$Q$23*0.25,0)</f>
        <v>111.6091113456425</v>
      </c>
      <c r="X282" s="95">
        <f>IF(AND(NOT(K282=0),(H282-H281)&gt;0),(H282-H281)*(Variables!$M$5*$H$1+Variables!$U$5*$I$1),0)+IF(AND(NOT((J282+N282+Q282)=0),(H281-H282)&gt;0),(H281-H282)*(Variables!$M$4*$H$1+Variables!$U$4*$I$1),0)</f>
        <v>0</v>
      </c>
      <c r="Y282" s="95">
        <f>IF(SUM(T282,U281:U282)&gt;0,H282*Variables!$Y$11*0.25*(1-$J$1),0)</f>
        <v>0</v>
      </c>
      <c r="Z282" s="95">
        <f>IF(T282=0,H282*$J$1*Variables!$Y$5*0.25,0)</f>
        <v>35.965902296477637</v>
      </c>
      <c r="AA282" s="95">
        <f t="shared" si="9"/>
        <v>254.20091089419225</v>
      </c>
      <c r="AB282" s="91">
        <f>AA282/Variables!$E$49</f>
        <v>41.000146918418103</v>
      </c>
    </row>
    <row r="283" spans="1:28" x14ac:dyDescent="0.25">
      <c r="A283" s="61">
        <f>'Water runs'!C290</f>
        <v>27818</v>
      </c>
      <c r="B283" s="61" t="str">
        <f>'Water runs'!B290</f>
        <v>Summer</v>
      </c>
      <c r="C283" s="54">
        <f>'Water runs'!D290/100</f>
        <v>4.6390357142857104</v>
      </c>
      <c r="D283" s="108">
        <f>VLOOKUP(ROW(D283)+4,'Water runs'!$BS$3:$CF$423,MATCH($B$1,Scenarios,0)+1)</f>
        <v>0.14833617051599773</v>
      </c>
      <c r="E283" s="54">
        <f>IF(B283=Variables!$D$8,C283-Variables!$E$8,IF(B283=Variables!$D$9,C283-Variables!$E$9,IF(B283=Variables!$D$10,C283-Variables!$E$10,IF(B283=Variables!$D$11,C283-Variables!$E$11,"ELSE"))))</f>
        <v>3.3806655782312887</v>
      </c>
      <c r="F283" s="108">
        <f>VLOOKUP(ROW(F283)+4,'Water runs'!$CH$3:$CU$423,MATCH($B$1,Scenarios,0)+1)</f>
        <v>0.27465775659348057</v>
      </c>
      <c r="G283" s="65">
        <f>H283/Variables!$E$49</f>
        <v>1.416398598485515</v>
      </c>
      <c r="H283" s="62">
        <f>IF((H282+I283)&gt;(1.1*Variables!$E$50),(1.1*Variables!$E$50),IF((H282+I283)&gt;0,H282+I283,0))</f>
        <v>8.7816713106101929</v>
      </c>
      <c r="I283" s="64">
        <f t="shared" si="8"/>
        <v>3.2484555726905571</v>
      </c>
      <c r="J283" s="63">
        <f>IF(SUM(E279:E282)&lt;Variables!$B$3,-H282,0)</f>
        <v>0</v>
      </c>
      <c r="K283" s="64">
        <f>IF(AND(H282&lt;Variables!$B$6*Variables!$E$50,OR(SUM(D280:D283)&gt;Variables!$B$5,SUM(E280:E283)&gt;Variables!$B$4)),Variables!$B$6*Variables!$E$50+Variables!$B$7*$G$1*Variables!$E$50*SUM(D280:D283),0)</f>
        <v>0</v>
      </c>
      <c r="L283" s="64">
        <f>IF(B283="Winter",Variables!$B$8*H282,0)</f>
        <v>0</v>
      </c>
      <c r="M283" s="64">
        <f>IF(AND(B283="Spring",AND(NOT(H282=0),H282&lt;(Variables!$B$9*Variables!$E$50))),(Variables!$B$10*Variables!$E$50+Variables!$B$11*Variables!$E$50*SUM(E280:E283)+$G$1*SUM(D282:D283)*Variables!$E$50*Variables!$B$12),0)</f>
        <v>0</v>
      </c>
      <c r="N283" s="64">
        <f>IF(AND(B283="Spring",AND(SUM(D280:D283)&gt;Variables!$B$13,SUM(D276:D279)&gt;Variables!$B$13)),-Variables!$B$14*Variables!$E$50,0)</f>
        <v>0</v>
      </c>
      <c r="O283" s="64">
        <f>IF(AND(B283="Summer",SUM(C279:D283)&gt;Variables!$B$15),(Variables!$B$16*Variables!$E$50*SUM(C279:C283)+$G$1*Variables!$B$16*Variables!$E$50*SUM(D279:D283)+$G$1*Variables!$E$50*Variables!$B$17*F283),0)</f>
        <v>3.2484555726905571</v>
      </c>
      <c r="P283" s="64">
        <f>IF(AND(AND(B283="Autumn",SUM(D282:E283)&gt;0),NOT(H282=0)),Variables!$B$18*Variables!$E$50+Variables!$B$19*Variables!$E$50*SUM(E282:E283)+$G$1*Variables!$B$19*Variables!$E$50*SUM(D282:D283),0)</f>
        <v>0</v>
      </c>
      <c r="Q283" s="64">
        <f>IF(AND(B283="Autumn",AND((E283+E282)&lt;Variables!$B$20,(D282+D283)=0)),-Variables!$B$21*Variables!$E$50,0)</f>
        <v>0</v>
      </c>
      <c r="R283" s="64">
        <f>IF(B283="Autumn",(SUM(F282:F283)*$G$1*Variables!$B$22*Variables!$E$50),0)</f>
        <v>0</v>
      </c>
      <c r="S283" s="64">
        <f>IF(B283="Spring",($G$1*Variables!$E$50*SUM('Guts (option 1)'!F282:F283)*Variables!$B$23),0)</f>
        <v>0</v>
      </c>
      <c r="T283" s="63">
        <f>IF((H282+SUM(J283:Q283))&lt;(Variables!$B$26*Variables!$E$50),$F$1*((Variables!$B$26*Variables!$E$50)-H282-SUM(J283:Q283)),0)</f>
        <v>0</v>
      </c>
      <c r="U283" s="64">
        <f>IF(AND(AND(B283="Autumn",SUM(D280:E283)&gt;Variables!$B$27),SUM(J283:Q283)&lt;Variables!$B$28*H282),$F$1*(Variables!$B$28*H282-SUM(J283:Q283)),0)</f>
        <v>0</v>
      </c>
      <c r="V283" s="96">
        <f>IF(AND((J283+K283)=0,(Q283+T283)=0),$H$1*H283*Variables!$I$23*0.25,0)</f>
        <v>169.22412340615503</v>
      </c>
      <c r="W283" s="97">
        <f>IF(AND((K283+J283)=0,(T283+Q283)=0),$I$1*H283*Variables!$Q$23*0.25,0)</f>
        <v>177.13289658849052</v>
      </c>
      <c r="X283" s="95">
        <f>IF(AND(NOT(K283=0),(H283-H282)&gt;0),(H283-H282)*(Variables!$M$5*$H$1+Variables!$U$5*$I$1),0)+IF(AND(NOT((J283+N283+Q283)=0),(H282-H283)&gt;0),(H282-H283)*(Variables!$M$4*$H$1+Variables!$U$4*$I$1),0)</f>
        <v>0</v>
      </c>
      <c r="Y283" s="95">
        <f>IF(SUM(T283,U282:U283)&gt;0,H283*Variables!$Y$11*0.25*(1-$J$1),0)</f>
        <v>0</v>
      </c>
      <c r="Z283" s="95">
        <f>IF(T283=0,H283*$J$1*Variables!$Y$5*0.25,0)</f>
        <v>57.080863518966254</v>
      </c>
      <c r="AA283" s="95">
        <f t="shared" si="9"/>
        <v>403.43788351361184</v>
      </c>
      <c r="AB283" s="91">
        <f>AA283/Variables!$E$49</f>
        <v>65.070626373163194</v>
      </c>
    </row>
    <row r="284" spans="1:28" x14ac:dyDescent="0.25">
      <c r="A284" s="61">
        <f>'Water runs'!C291</f>
        <v>27911</v>
      </c>
      <c r="B284" s="61" t="str">
        <f>'Water runs'!B291</f>
        <v>Autumn</v>
      </c>
      <c r="C284" s="54">
        <f>'Water runs'!D291/100</f>
        <v>0.36112499999999997</v>
      </c>
      <c r="D284" s="108">
        <f>VLOOKUP(ROW(D284)+4,'Water runs'!$BS$3:$CF$423,MATCH($B$1,Scenarios,0)+1)</f>
        <v>0.15949880838328093</v>
      </c>
      <c r="E284" s="54">
        <f>IF(B284=Variables!$D$8,C284-Variables!$E$8,IF(B284=Variables!$D$9,C284-Variables!$E$9,IF(B284=Variables!$D$10,C284-Variables!$E$10,IF(B284=Variables!$D$11,C284-Variables!$E$11,"ELSE"))))</f>
        <v>-0.63351829931972792</v>
      </c>
      <c r="F284" s="108">
        <f>VLOOKUP(ROW(F284)+4,'Water runs'!$CH$3:$CU$423,MATCH($B$1,Scenarios,0)+1)</f>
        <v>0.13732887829674029</v>
      </c>
      <c r="G284" s="65">
        <f>H284/Variables!$E$49</f>
        <v>2.5300000000000002</v>
      </c>
      <c r="H284" s="62">
        <f>IF((H283+I284)&gt;(1.1*Variables!$E$50),(1.1*Variables!$E$50),IF((H283+I284)&gt;0,H283+I284,0))</f>
        <v>15.686000000000002</v>
      </c>
      <c r="I284" s="64">
        <f t="shared" si="8"/>
        <v>6.9275451549796951</v>
      </c>
      <c r="J284" s="63">
        <f>IF(SUM(E280:E283)&lt;Variables!$B$3,-H283,0)</f>
        <v>0</v>
      </c>
      <c r="K284" s="64">
        <f>IF(AND(H283&lt;Variables!$B$6*Variables!$E$50,OR(SUM(D281:D284)&gt;Variables!$B$5,SUM(E281:E284)&gt;Variables!$B$4)),Variables!$B$6*Variables!$E$50+Variables!$B$7*$G$1*Variables!$E$50*SUM(D281:D284),0)</f>
        <v>0</v>
      </c>
      <c r="L284" s="64">
        <f>IF(B284="Winter",Variables!$B$8*H283,0)</f>
        <v>0</v>
      </c>
      <c r="M284" s="64">
        <f>IF(AND(B284="Spring",AND(NOT(H283=0),H283&lt;(Variables!$B$9*Variables!$E$50))),(Variables!$B$10*Variables!$E$50+Variables!$B$11*Variables!$E$50*SUM(E281:E284)+$G$1*SUM(D283:D284)*Variables!$E$50*Variables!$B$12),0)</f>
        <v>0</v>
      </c>
      <c r="N284" s="64">
        <f>IF(AND(B284="Spring",AND(SUM(D281:D284)&gt;Variables!$B$13,SUM(D277:D280)&gt;Variables!$B$13)),-Variables!$B$14*Variables!$E$50,0)</f>
        <v>0</v>
      </c>
      <c r="O284" s="64">
        <f>IF(AND(B284="Summer",SUM(C280:D284)&gt;Variables!$B$15),(Variables!$B$16*Variables!$E$50*SUM(C280:C284)+$G$1*Variables!$B$16*Variables!$E$50*SUM(D280:D284)+$G$1*Variables!$E$50*Variables!$B$17*F284),0)</f>
        <v>0</v>
      </c>
      <c r="P284" s="64">
        <f>IF(AND(AND(B284="Autumn",SUM(D283:E284)&gt;0),NOT(H283=0)),Variables!$B$18*Variables!$E$50+Variables!$B$19*Variables!$E$50*SUM(E283:E284)+$G$1*Variables!$B$19*Variables!$E$50*SUM(D283:D284),0)</f>
        <v>6.8697525205724066</v>
      </c>
      <c r="Q284" s="64">
        <f>IF(AND(B284="Autumn",AND((E284+E283)&lt;Variables!$B$20,(D283+D284)=0)),-Variables!$B$21*Variables!$E$50,0)</f>
        <v>0</v>
      </c>
      <c r="R284" s="64">
        <f>IF(B284="Autumn",(SUM(F283:F284)*$G$1*Variables!$B$22*Variables!$E$50),0)</f>
        <v>5.7792634407288206E-2</v>
      </c>
      <c r="S284" s="64">
        <f>IF(B284="Spring",($G$1*Variables!$E$50*SUM('Guts (option 1)'!F283:F284)*Variables!$B$23),0)</f>
        <v>0</v>
      </c>
      <c r="T284" s="63">
        <f>IF((H283+SUM(J284:Q284))&lt;(Variables!$B$26*Variables!$E$50),$F$1*((Variables!$B$26*Variables!$E$50)-H283-SUM(J284:Q284)),0)</f>
        <v>0</v>
      </c>
      <c r="U284" s="64">
        <f>IF(AND(AND(B284="Autumn",SUM(D281:E284)&gt;Variables!$B$27),SUM(J284:Q284)&lt;Variables!$B$28*H283),$F$1*(Variables!$B$28*H283-SUM(J284:Q284)),0)</f>
        <v>0</v>
      </c>
      <c r="V284" s="96">
        <f>IF(AND((J284+K284)=0,(Q284+T284)=0),$H$1*H284*Variables!$I$23*0.25,0)</f>
        <v>302.27157290000002</v>
      </c>
      <c r="W284" s="97">
        <f>IF(AND((K284+J284)=0,(T284+Q284)=0),$I$1*H284*Variables!$Q$23*0.25,0)</f>
        <v>316.39838450000002</v>
      </c>
      <c r="X284" s="95">
        <f>IF(AND(NOT(K284=0),(H284-H283)&gt;0),(H284-H283)*(Variables!$M$5*$H$1+Variables!$U$5*$I$1),0)+IF(AND(NOT((J284+N284+Q284)=0),(H283-H284)&gt;0),(H283-H284)*(Variables!$M$4*$H$1+Variables!$U$4*$I$1),0)</f>
        <v>0</v>
      </c>
      <c r="Y284" s="95">
        <f>IF(SUM(T284,U283:U284)&gt;0,H284*Variables!$Y$11*0.25*(1-$J$1),0)</f>
        <v>0</v>
      </c>
      <c r="Z284" s="95">
        <f>IF(T284=0,H284*$J$1*Variables!$Y$5*0.25,0)</f>
        <v>101.95900000000002</v>
      </c>
      <c r="AA284" s="95">
        <f t="shared" si="9"/>
        <v>720.6289574000001</v>
      </c>
      <c r="AB284" s="91">
        <f>AA284/Variables!$E$49</f>
        <v>116.23047700000001</v>
      </c>
    </row>
    <row r="285" spans="1:28" x14ac:dyDescent="0.25">
      <c r="A285" s="61">
        <f>'Water runs'!C292</f>
        <v>28003</v>
      </c>
      <c r="B285" s="61" t="str">
        <f>'Water runs'!B292</f>
        <v>Winter</v>
      </c>
      <c r="C285" s="54">
        <f>'Water runs'!D292/100</f>
        <v>0.40362499999999996</v>
      </c>
      <c r="D285" s="108">
        <f>VLOOKUP(ROW(D285)+4,'Water runs'!$BS$3:$CF$423,MATCH($B$1,Scenarios,0)+1)</f>
        <v>0</v>
      </c>
      <c r="E285" s="54">
        <f>IF(B285=Variables!$D$8,C285-Variables!$E$8,IF(B285=Variables!$D$9,C285-Variables!$E$9,IF(B285=Variables!$D$10,C285-Variables!$E$10,IF(B285=Variables!$D$11,C285-Variables!$E$11,"ELSE"))))</f>
        <v>-0.16814262566137578</v>
      </c>
      <c r="F285" s="108">
        <f>VLOOKUP(ROW(F285)+4,'Water runs'!$CH$3:$CU$423,MATCH($B$1,Scenarios,0)+1)</f>
        <v>0</v>
      </c>
      <c r="G285" s="65">
        <f>H285/Variables!$E$49</f>
        <v>1.2701985267720333</v>
      </c>
      <c r="H285" s="62">
        <f>IF((H284+I285)&gt;(1.1*Variables!$E$50),(1.1*Variables!$E$50),IF((H284+I285)&gt;0,H284+I285,0))</f>
        <v>7.875230865986607</v>
      </c>
      <c r="I285" s="64">
        <f t="shared" si="8"/>
        <v>-7.8107691340133947</v>
      </c>
      <c r="J285" s="63">
        <f>IF(SUM(E281:E284)&lt;Variables!$B$3,-H284,0)</f>
        <v>0</v>
      </c>
      <c r="K285" s="64">
        <f>IF(AND(H284&lt;Variables!$B$6*Variables!$E$50,OR(SUM(D282:D285)&gt;Variables!$B$5,SUM(E282:E285)&gt;Variables!$B$4)),Variables!$B$6*Variables!$E$50+Variables!$B$7*$G$1*Variables!$E$50*SUM(D282:D285),0)</f>
        <v>0</v>
      </c>
      <c r="L285" s="64">
        <f>IF(B285="Winter",Variables!$B$8*H284,0)</f>
        <v>-7.8107691340133947</v>
      </c>
      <c r="M285" s="64">
        <f>IF(AND(B285="Spring",AND(NOT(H284=0),H284&lt;(Variables!$B$9*Variables!$E$50))),(Variables!$B$10*Variables!$E$50+Variables!$B$11*Variables!$E$50*SUM(E282:E285)+$G$1*SUM(D284:D285)*Variables!$E$50*Variables!$B$12),0)</f>
        <v>0</v>
      </c>
      <c r="N285" s="64">
        <f>IF(AND(B285="Spring",AND(SUM(D282:D285)&gt;Variables!$B$13,SUM(D278:D281)&gt;Variables!$B$13)),-Variables!$B$14*Variables!$E$50,0)</f>
        <v>0</v>
      </c>
      <c r="O285" s="64">
        <f>IF(AND(B285="Summer",SUM(C281:D285)&gt;Variables!$B$15),(Variables!$B$16*Variables!$E$50*SUM(C281:C285)+$G$1*Variables!$B$16*Variables!$E$50*SUM(D281:D285)+$G$1*Variables!$E$50*Variables!$B$17*F285),0)</f>
        <v>0</v>
      </c>
      <c r="P285" s="64">
        <f>IF(AND(AND(B285="Autumn",SUM(D284:E285)&gt;0),NOT(H284=0)),Variables!$B$18*Variables!$E$50+Variables!$B$19*Variables!$E$50*SUM(E284:E285)+$G$1*Variables!$B$19*Variables!$E$50*SUM(D284:D285),0)</f>
        <v>0</v>
      </c>
      <c r="Q285" s="64">
        <f>IF(AND(B285="Autumn",AND((E285+E284)&lt;Variables!$B$20,(D284+D285)=0)),-Variables!$B$21*Variables!$E$50,0)</f>
        <v>0</v>
      </c>
      <c r="R285" s="64">
        <f>IF(B285="Autumn",(SUM(F284:F285)*$G$1*Variables!$B$22*Variables!$E$50),0)</f>
        <v>0</v>
      </c>
      <c r="S285" s="64">
        <f>IF(B285="Spring",($G$1*Variables!$E$50*SUM('Guts (option 1)'!F284:F285)*Variables!$B$23),0)</f>
        <v>0</v>
      </c>
      <c r="T285" s="63">
        <f>IF((H284+SUM(J285:Q285))&lt;(Variables!$B$26*Variables!$E$50),$F$1*((Variables!$B$26*Variables!$E$50)-H284-SUM(J285:Q285)),0)</f>
        <v>0</v>
      </c>
      <c r="U285" s="64">
        <f>IF(AND(AND(B285="Autumn",SUM(D282:E285)&gt;Variables!$B$27),SUM(J285:Q285)&lt;Variables!$B$28*H284),$F$1*(Variables!$B$28*H284-SUM(J285:Q285)),0)</f>
        <v>0</v>
      </c>
      <c r="V285" s="96">
        <f>IF(AND((J285+K285)=0,(Q285+T285)=0),$H$1*H285*Variables!$I$23*0.25,0)</f>
        <v>151.75688007219182</v>
      </c>
      <c r="W285" s="97">
        <f>IF(AND((K285+J285)=0,(T285+Q285)=0),$I$1*H285*Variables!$Q$23*0.25,0)</f>
        <v>158.84931299009935</v>
      </c>
      <c r="X285" s="95">
        <f>IF(AND(NOT(K285=0),(H285-H284)&gt;0),(H285-H284)*(Variables!$M$5*$H$1+Variables!$U$5*$I$1),0)+IF(AND(NOT((J285+N285+Q285)=0),(H284-H285)&gt;0),(H284-H285)*(Variables!$M$4*$H$1+Variables!$U$4*$I$1),0)</f>
        <v>0</v>
      </c>
      <c r="Y285" s="95">
        <f>IF(SUM(T285,U284:U285)&gt;0,H285*Variables!$Y$11*0.25*(1-$J$1),0)</f>
        <v>0</v>
      </c>
      <c r="Z285" s="95">
        <f>IF(T285=0,H285*$J$1*Variables!$Y$5*0.25,0)</f>
        <v>51.189000628912943</v>
      </c>
      <c r="AA285" s="95">
        <f t="shared" si="9"/>
        <v>361.79519369120408</v>
      </c>
      <c r="AB285" s="91">
        <f>AA285/Variables!$E$49</f>
        <v>58.354063498581304</v>
      </c>
    </row>
    <row r="286" spans="1:28" x14ac:dyDescent="0.25">
      <c r="A286" s="61">
        <f>'Water runs'!C293</f>
        <v>28094</v>
      </c>
      <c r="B286" s="61" t="str">
        <f>'Water runs'!B293</f>
        <v>Spring</v>
      </c>
      <c r="C286" s="54">
        <f>'Water runs'!D293/100</f>
        <v>0.93560714285714297</v>
      </c>
      <c r="D286" s="108">
        <f>VLOOKUP(ROW(D286)+4,'Water runs'!$BS$3:$CF$423,MATCH($B$1,Scenarios,0)+1)</f>
        <v>0</v>
      </c>
      <c r="E286" s="54">
        <f>IF(B286=Variables!$D$8,C286-Variables!$E$8,IF(B286=Variables!$D$9,C286-Variables!$E$9,IF(B286=Variables!$D$10,C286-Variables!$E$10,IF(B286=Variables!$D$11,C286-Variables!$E$11,"ELSE"))))</f>
        <v>0.17162493386243383</v>
      </c>
      <c r="F286" s="108">
        <f>VLOOKUP(ROW(F286)+4,'Water runs'!$CH$3:$CU$423,MATCH($B$1,Scenarios,0)+1)</f>
        <v>0</v>
      </c>
      <c r="G286" s="65">
        <f>H286/Variables!$E$49</f>
        <v>1.2701985267720333</v>
      </c>
      <c r="H286" s="62">
        <f>IF((H285+I286)&gt;(1.1*Variables!$E$50),(1.1*Variables!$E$50),IF((H285+I286)&gt;0,H285+I286,0))</f>
        <v>7.875230865986607</v>
      </c>
      <c r="I286" s="64">
        <f t="shared" si="8"/>
        <v>0</v>
      </c>
      <c r="J286" s="63">
        <f>IF(SUM(E282:E285)&lt;Variables!$B$3,-H285,0)</f>
        <v>0</v>
      </c>
      <c r="K286" s="64">
        <f>IF(AND(H285&lt;Variables!$B$6*Variables!$E$50,OR(SUM(D283:D286)&gt;Variables!$B$5,SUM(E283:E286)&gt;Variables!$B$4)),Variables!$B$6*Variables!$E$50+Variables!$B$7*$G$1*Variables!$E$50*SUM(D283:D286),0)</f>
        <v>0</v>
      </c>
      <c r="L286" s="64">
        <f>IF(B286="Winter",Variables!$B$8*H285,0)</f>
        <v>0</v>
      </c>
      <c r="M286" s="64">
        <f>IF(AND(B286="Spring",AND(NOT(H285=0),H285&lt;(Variables!$B$9*Variables!$E$50))),(Variables!$B$10*Variables!$E$50+Variables!$B$11*Variables!$E$50*SUM(E283:E286)+$G$1*SUM(D285:D286)*Variables!$E$50*Variables!$B$12),0)</f>
        <v>0</v>
      </c>
      <c r="N286" s="64">
        <f>IF(AND(B286="Spring",AND(SUM(D283:D286)&gt;Variables!$B$13,SUM(D279:D282)&gt;Variables!$B$13)),-Variables!$B$14*Variables!$E$50,0)</f>
        <v>0</v>
      </c>
      <c r="O286" s="64">
        <f>IF(AND(B286="Summer",SUM(C282:D286)&gt;Variables!$B$15),(Variables!$B$16*Variables!$E$50*SUM(C282:C286)+$G$1*Variables!$B$16*Variables!$E$50*SUM(D282:D286)+$G$1*Variables!$E$50*Variables!$B$17*F286),0)</f>
        <v>0</v>
      </c>
      <c r="P286" s="64">
        <f>IF(AND(AND(B286="Autumn",SUM(D285:E286)&gt;0),NOT(H285=0)),Variables!$B$18*Variables!$E$50+Variables!$B$19*Variables!$E$50*SUM(E285:E286)+$G$1*Variables!$B$19*Variables!$E$50*SUM(D285:D286),0)</f>
        <v>0</v>
      </c>
      <c r="Q286" s="64">
        <f>IF(AND(B286="Autumn",AND((E286+E285)&lt;Variables!$B$20,(D285+D286)=0)),-Variables!$B$21*Variables!$E$50,0)</f>
        <v>0</v>
      </c>
      <c r="R286" s="64">
        <f>IF(B286="Autumn",(SUM(F285:F286)*$G$1*Variables!$B$22*Variables!$E$50),0)</f>
        <v>0</v>
      </c>
      <c r="S286" s="64">
        <f>IF(B286="Spring",($G$1*Variables!$E$50*SUM('Guts (option 1)'!F285:F286)*Variables!$B$23),0)</f>
        <v>0</v>
      </c>
      <c r="T286" s="63">
        <f>IF((H285+SUM(J286:Q286))&lt;(Variables!$B$26*Variables!$E$50),$F$1*((Variables!$B$26*Variables!$E$50)-H285-SUM(J286:Q286)),0)</f>
        <v>0</v>
      </c>
      <c r="U286" s="64">
        <f>IF(AND(AND(B286="Autumn",SUM(D283:E286)&gt;Variables!$B$27),SUM(J286:Q286)&lt;Variables!$B$28*H285),$F$1*(Variables!$B$28*H285-SUM(J286:Q286)),0)</f>
        <v>0</v>
      </c>
      <c r="V286" s="96">
        <f>IF(AND((J286+K286)=0,(Q286+T286)=0),$H$1*H286*Variables!$I$23*0.25,0)</f>
        <v>151.75688007219182</v>
      </c>
      <c r="W286" s="97">
        <f>IF(AND((K286+J286)=0,(T286+Q286)=0),$I$1*H286*Variables!$Q$23*0.25,0)</f>
        <v>158.84931299009935</v>
      </c>
      <c r="X286" s="95">
        <f>IF(AND(NOT(K286=0),(H286-H285)&gt;0),(H286-H285)*(Variables!$M$5*$H$1+Variables!$U$5*$I$1),0)+IF(AND(NOT((J286+N286+Q286)=0),(H285-H286)&gt;0),(H285-H286)*(Variables!$M$4*$H$1+Variables!$U$4*$I$1),0)</f>
        <v>0</v>
      </c>
      <c r="Y286" s="95">
        <f>IF(SUM(T286,U285:U286)&gt;0,H286*Variables!$Y$11*0.25*(1-$J$1),0)</f>
        <v>0</v>
      </c>
      <c r="Z286" s="95">
        <f>IF(T286=0,H286*$J$1*Variables!$Y$5*0.25,0)</f>
        <v>51.189000628912943</v>
      </c>
      <c r="AA286" s="95">
        <f t="shared" si="9"/>
        <v>361.79519369120408</v>
      </c>
      <c r="AB286" s="91">
        <f>AA286/Variables!$E$49</f>
        <v>58.354063498581304</v>
      </c>
    </row>
    <row r="287" spans="1:28" x14ac:dyDescent="0.25">
      <c r="A287" s="61">
        <f>'Water runs'!C294</f>
        <v>28184</v>
      </c>
      <c r="B287" s="61" t="str">
        <f>'Water runs'!B294</f>
        <v>Summer</v>
      </c>
      <c r="C287" s="54">
        <f>'Water runs'!D294/100</f>
        <v>2.2390892857142899</v>
      </c>
      <c r="D287" s="108">
        <f>VLOOKUP(ROW(D287)+4,'Water runs'!$BS$3:$CF$423,MATCH($B$1,Scenarios,0)+1)</f>
        <v>0</v>
      </c>
      <c r="E287" s="54">
        <f>IF(B287=Variables!$D$8,C287-Variables!$E$8,IF(B287=Variables!$D$9,C287-Variables!$E$9,IF(B287=Variables!$D$10,C287-Variables!$E$10,IF(B287=Variables!$D$11,C287-Variables!$E$11,"ELSE"))))</f>
        <v>0.98071914965986817</v>
      </c>
      <c r="F287" s="108">
        <f>VLOOKUP(ROW(F287)+4,'Water runs'!$CH$3:$CU$423,MATCH($B$1,Scenarios,0)+1)</f>
        <v>0</v>
      </c>
      <c r="G287" s="65">
        <f>H287/Variables!$E$49</f>
        <v>1.804819139747901</v>
      </c>
      <c r="H287" s="62">
        <f>IF((H286+I287)&gt;(1.1*Variables!$E$50),(1.1*Variables!$E$50),IF((H286+I287)&gt;0,H286+I287,0))</f>
        <v>11.189878666436986</v>
      </c>
      <c r="I287" s="64">
        <f t="shared" si="8"/>
        <v>3.3146478004503788</v>
      </c>
      <c r="J287" s="63">
        <f>IF(SUM(E283:E286)&lt;Variables!$B$3,-H286,0)</f>
        <v>0</v>
      </c>
      <c r="K287" s="64">
        <f>IF(AND(H286&lt;Variables!$B$6*Variables!$E$50,OR(SUM(D284:D287)&gt;Variables!$B$5,SUM(E284:E287)&gt;Variables!$B$4)),Variables!$B$6*Variables!$E$50+Variables!$B$7*$G$1*Variables!$E$50*SUM(D284:D287),0)</f>
        <v>0</v>
      </c>
      <c r="L287" s="64">
        <f>IF(B287="Winter",Variables!$B$8*H286,0)</f>
        <v>0</v>
      </c>
      <c r="M287" s="64">
        <f>IF(AND(B287="Spring",AND(NOT(H286=0),H286&lt;(Variables!$B$9*Variables!$E$50))),(Variables!$B$10*Variables!$E$50+Variables!$B$11*Variables!$E$50*SUM(E284:E287)+$G$1*SUM(D286:D287)*Variables!$E$50*Variables!$B$12),0)</f>
        <v>0</v>
      </c>
      <c r="N287" s="64">
        <f>IF(AND(B287="Spring",AND(SUM(D284:D287)&gt;Variables!$B$13,SUM(D280:D283)&gt;Variables!$B$13)),-Variables!$B$14*Variables!$E$50,0)</f>
        <v>0</v>
      </c>
      <c r="O287" s="64">
        <f>IF(AND(B287="Summer",SUM(C283:D287)&gt;Variables!$B$15),(Variables!$B$16*Variables!$E$50*SUM(C283:C287)+$G$1*Variables!$B$16*Variables!$E$50*SUM(D283:D287)+$G$1*Variables!$E$50*Variables!$B$17*F287),0)</f>
        <v>3.3146478004503788</v>
      </c>
      <c r="P287" s="64">
        <f>IF(AND(AND(B287="Autumn",SUM(D286:E287)&gt;0),NOT(H286=0)),Variables!$B$18*Variables!$E$50+Variables!$B$19*Variables!$E$50*SUM(E286:E287)+$G$1*Variables!$B$19*Variables!$E$50*SUM(D286:D287),0)</f>
        <v>0</v>
      </c>
      <c r="Q287" s="64">
        <f>IF(AND(B287="Autumn",AND((E287+E286)&lt;Variables!$B$20,(D286+D287)=0)),-Variables!$B$21*Variables!$E$50,0)</f>
        <v>0</v>
      </c>
      <c r="R287" s="64">
        <f>IF(B287="Autumn",(SUM(F286:F287)*$G$1*Variables!$B$22*Variables!$E$50),0)</f>
        <v>0</v>
      </c>
      <c r="S287" s="64">
        <f>IF(B287="Spring",($G$1*Variables!$E$50*SUM('Guts (option 1)'!F286:F287)*Variables!$B$23),0)</f>
        <v>0</v>
      </c>
      <c r="T287" s="63">
        <f>IF((H286+SUM(J287:Q287))&lt;(Variables!$B$26*Variables!$E$50),$F$1*((Variables!$B$26*Variables!$E$50)-H286-SUM(J287:Q287)),0)</f>
        <v>0</v>
      </c>
      <c r="U287" s="64">
        <f>IF(AND(AND(B287="Autumn",SUM(D284:E287)&gt;Variables!$B$27),SUM(J287:Q287)&lt;Variables!$B$28*H286),$F$1*(Variables!$B$28*H286-SUM(J287:Q287)),0)</f>
        <v>0</v>
      </c>
      <c r="V287" s="96">
        <f>IF(AND((J287+K287)=0,(Q287+T287)=0),$H$1*H287*Variables!$I$23*0.25,0)</f>
        <v>215.6306403840407</v>
      </c>
      <c r="W287" s="97">
        <f>IF(AND((K287+J287)=0,(T287+Q287)=0),$I$1*H287*Variables!$Q$23*0.25,0)</f>
        <v>225.70824511103382</v>
      </c>
      <c r="X287" s="95">
        <f>IF(AND(NOT(K287=0),(H287-H286)&gt;0),(H287-H286)*(Variables!$M$5*$H$1+Variables!$U$5*$I$1),0)+IF(AND(NOT((J287+N287+Q287)=0),(H286-H287)&gt;0),(H286-H287)*(Variables!$M$4*$H$1+Variables!$U$4*$I$1),0)</f>
        <v>0</v>
      </c>
      <c r="Y287" s="95">
        <f>IF(SUM(T287,U286:U287)&gt;0,H287*Variables!$Y$11*0.25*(1-$J$1),0)</f>
        <v>0</v>
      </c>
      <c r="Z287" s="95">
        <f>IF(T287=0,H287*$J$1*Variables!$Y$5*0.25,0)</f>
        <v>72.734211331840413</v>
      </c>
      <c r="AA287" s="95">
        <f t="shared" si="9"/>
        <v>514.07309682691493</v>
      </c>
      <c r="AB287" s="91">
        <f>AA287/Variables!$E$49</f>
        <v>82.915015617244336</v>
      </c>
    </row>
    <row r="288" spans="1:28" x14ac:dyDescent="0.25">
      <c r="A288" s="61">
        <f>'Water runs'!C295</f>
        <v>28276</v>
      </c>
      <c r="B288" s="61" t="str">
        <f>'Water runs'!B295</f>
        <v>Autumn</v>
      </c>
      <c r="C288" s="54">
        <f>'Water runs'!D295/100</f>
        <v>1.6626607142857099</v>
      </c>
      <c r="D288" s="108">
        <f>VLOOKUP(ROW(D288)+4,'Water runs'!$BS$3:$CF$423,MATCH($B$1,Scenarios,0)+1)</f>
        <v>0.14446931487976944</v>
      </c>
      <c r="E288" s="54">
        <f>IF(B288=Variables!$D$8,C288-Variables!$E$8,IF(B288=Variables!$D$9,C288-Variables!$E$9,IF(B288=Variables!$D$10,C288-Variables!$E$10,IF(B288=Variables!$D$11,C288-Variables!$E$11,"ELSE"))))</f>
        <v>0.6680174149659821</v>
      </c>
      <c r="F288" s="108">
        <f>VLOOKUP(ROW(F288)+4,'Water runs'!$CH$3:$CU$423,MATCH($B$1,Scenarios,0)+1)</f>
        <v>7.5039153120768962E-2</v>
      </c>
      <c r="G288" s="65">
        <f>H288/Variables!$E$49</f>
        <v>2.5300000000000002</v>
      </c>
      <c r="H288" s="62">
        <f>IF((H287+I288)&gt;(1.1*Variables!$E$50),(1.1*Variables!$E$50),IF((H287+I288)&gt;0,H287+I288,0))</f>
        <v>15.686000000000002</v>
      </c>
      <c r="I288" s="64">
        <f t="shared" si="8"/>
        <v>5.0459717373437236</v>
      </c>
      <c r="J288" s="63">
        <f>IF(SUM(E284:E287)&lt;Variables!$B$3,-H287,0)</f>
        <v>0</v>
      </c>
      <c r="K288" s="64">
        <f>IF(AND(H287&lt;Variables!$B$6*Variables!$E$50,OR(SUM(D285:D288)&gt;Variables!$B$5,SUM(E285:E288)&gt;Variables!$B$4)),Variables!$B$6*Variables!$E$50+Variables!$B$7*$G$1*Variables!$E$50*SUM(D285:D288),0)</f>
        <v>0</v>
      </c>
      <c r="L288" s="64">
        <f>IF(B288="Winter",Variables!$B$8*H287,0)</f>
        <v>0</v>
      </c>
      <c r="M288" s="64">
        <f>IF(AND(B288="Spring",AND(NOT(H287=0),H287&lt;(Variables!$B$9*Variables!$E$50))),(Variables!$B$10*Variables!$E$50+Variables!$B$11*Variables!$E$50*SUM(E285:E288)+$G$1*SUM(D287:D288)*Variables!$E$50*Variables!$B$12),0)</f>
        <v>0</v>
      </c>
      <c r="N288" s="64">
        <f>IF(AND(B288="Spring",AND(SUM(D285:D288)&gt;Variables!$B$13,SUM(D281:D284)&gt;Variables!$B$13)),-Variables!$B$14*Variables!$E$50,0)</f>
        <v>0</v>
      </c>
      <c r="O288" s="64">
        <f>IF(AND(B288="Summer",SUM(C284:D288)&gt;Variables!$B$15),(Variables!$B$16*Variables!$E$50*SUM(C284:C288)+$G$1*Variables!$B$16*Variables!$E$50*SUM(D284:D288)+$G$1*Variables!$E$50*Variables!$B$17*F288),0)</f>
        <v>0</v>
      </c>
      <c r="P288" s="64">
        <f>IF(AND(AND(B288="Autumn",SUM(D287:E288)&gt;0),NOT(H287=0)),Variables!$B$18*Variables!$E$50+Variables!$B$19*Variables!$E$50*SUM(E287:E288)+$G$1*Variables!$B$19*Variables!$E$50*SUM(D287:D288),0)</f>
        <v>4.2045619758037223</v>
      </c>
      <c r="Q288" s="64">
        <f>IF(AND(B288="Autumn",AND((E288+E287)&lt;Variables!$B$20,(D287+D288)=0)),-Variables!$B$21*Variables!$E$50,0)</f>
        <v>0</v>
      </c>
      <c r="R288" s="64">
        <f>IF(B288="Autumn",(SUM(F287:F288)*$G$1*Variables!$B$22*Variables!$E$50),0)</f>
        <v>1.0526337447079304E-2</v>
      </c>
      <c r="S288" s="64">
        <f>IF(B288="Spring",($G$1*Variables!$E$50*SUM('Guts (option 1)'!F287:F288)*Variables!$B$23),0)</f>
        <v>0</v>
      </c>
      <c r="T288" s="63">
        <f>IF((H287+SUM(J288:Q288))&lt;(Variables!$B$26*Variables!$E$50),$F$1*((Variables!$B$26*Variables!$E$50)-H287-SUM(J288:Q288)),0)</f>
        <v>0</v>
      </c>
      <c r="U288" s="64">
        <f>IF(AND(AND(B288="Autumn",SUM(D285:E288)&gt;Variables!$B$27),SUM(J288:Q288)&lt;Variables!$B$28*H287),$F$1*(Variables!$B$28*H287-SUM(J288:Q288)),0)</f>
        <v>0.83088342409292171</v>
      </c>
      <c r="V288" s="96">
        <f>IF(AND((J288+K288)=0,(Q288+T288)=0),$H$1*H288*Variables!$I$23*0.25,0)</f>
        <v>302.27157290000002</v>
      </c>
      <c r="W288" s="97">
        <f>IF(AND((K288+J288)=0,(T288+Q288)=0),$I$1*H288*Variables!$Q$23*0.25,0)</f>
        <v>316.39838450000002</v>
      </c>
      <c r="X288" s="95">
        <f>IF(AND(NOT(K288=0),(H288-H287)&gt;0),(H288-H287)*(Variables!$M$5*$H$1+Variables!$U$5*$I$1),0)+IF(AND(NOT((J288+N288+Q288)=0),(H287-H288)&gt;0),(H287-H288)*(Variables!$M$4*$H$1+Variables!$U$4*$I$1),0)</f>
        <v>0</v>
      </c>
      <c r="Y288" s="95">
        <f>IF(SUM(T288,U287:U288)&gt;0,H288*Variables!$Y$11*0.25*(1-$J$1),0)</f>
        <v>0</v>
      </c>
      <c r="Z288" s="95">
        <f>IF(T288=0,H288*$J$1*Variables!$Y$5*0.25,0)</f>
        <v>101.95900000000002</v>
      </c>
      <c r="AA288" s="95">
        <f t="shared" si="9"/>
        <v>720.6289574000001</v>
      </c>
      <c r="AB288" s="91">
        <f>AA288/Variables!$E$49</f>
        <v>116.23047700000001</v>
      </c>
    </row>
    <row r="289" spans="1:28" x14ac:dyDescent="0.25">
      <c r="A289" s="61">
        <f>'Water runs'!C296</f>
        <v>28368</v>
      </c>
      <c r="B289" s="61" t="str">
        <f>'Water runs'!B296</f>
        <v>Winter</v>
      </c>
      <c r="C289" s="54">
        <f>'Water runs'!D296/100</f>
        <v>0</v>
      </c>
      <c r="D289" s="108">
        <f>VLOOKUP(ROW(D289)+4,'Water runs'!$BS$3:$CF$423,MATCH($B$1,Scenarios,0)+1)</f>
        <v>5.3848407350810378E-4</v>
      </c>
      <c r="E289" s="54">
        <f>IF(B289=Variables!$D$8,C289-Variables!$E$8,IF(B289=Variables!$D$9,C289-Variables!$E$9,IF(B289=Variables!$D$10,C289-Variables!$E$10,IF(B289=Variables!$D$11,C289-Variables!$E$11,"ELSE"))))</f>
        <v>-0.57176762566137573</v>
      </c>
      <c r="F289" s="108">
        <f>VLOOKUP(ROW(F289)+4,'Water runs'!$CH$3:$CU$423,MATCH($B$1,Scenarios,0)+1)</f>
        <v>0</v>
      </c>
      <c r="G289" s="65">
        <f>H289/Variables!$E$49</f>
        <v>1.2701985267720333</v>
      </c>
      <c r="H289" s="62">
        <f>IF((H288+I289)&gt;(1.1*Variables!$E$50),(1.1*Variables!$E$50),IF((H288+I289)&gt;0,H288+I289,0))</f>
        <v>7.875230865986607</v>
      </c>
      <c r="I289" s="64">
        <f t="shared" si="8"/>
        <v>-7.8107691340133947</v>
      </c>
      <c r="J289" s="63">
        <f>IF(SUM(E285:E288)&lt;Variables!$B$3,-H288,0)</f>
        <v>0</v>
      </c>
      <c r="K289" s="64">
        <f>IF(AND(H288&lt;Variables!$B$6*Variables!$E$50,OR(SUM(D286:D289)&gt;Variables!$B$5,SUM(E286:E289)&gt;Variables!$B$4)),Variables!$B$6*Variables!$E$50+Variables!$B$7*$G$1*Variables!$E$50*SUM(D286:D289),0)</f>
        <v>0</v>
      </c>
      <c r="L289" s="64">
        <f>IF(B289="Winter",Variables!$B$8*H288,0)</f>
        <v>-7.8107691340133947</v>
      </c>
      <c r="M289" s="64">
        <f>IF(AND(B289="Spring",AND(NOT(H288=0),H288&lt;(Variables!$B$9*Variables!$E$50))),(Variables!$B$10*Variables!$E$50+Variables!$B$11*Variables!$E$50*SUM(E286:E289)+$G$1*SUM(D288:D289)*Variables!$E$50*Variables!$B$12),0)</f>
        <v>0</v>
      </c>
      <c r="N289" s="64">
        <f>IF(AND(B289="Spring",AND(SUM(D286:D289)&gt;Variables!$B$13,SUM(D282:D285)&gt;Variables!$B$13)),-Variables!$B$14*Variables!$E$50,0)</f>
        <v>0</v>
      </c>
      <c r="O289" s="64">
        <f>IF(AND(B289="Summer",SUM(C285:D289)&gt;Variables!$B$15),(Variables!$B$16*Variables!$E$50*SUM(C285:C289)+$G$1*Variables!$B$16*Variables!$E$50*SUM(D285:D289)+$G$1*Variables!$E$50*Variables!$B$17*F289),0)</f>
        <v>0</v>
      </c>
      <c r="P289" s="64">
        <f>IF(AND(AND(B289="Autumn",SUM(D288:E289)&gt;0),NOT(H288=0)),Variables!$B$18*Variables!$E$50+Variables!$B$19*Variables!$E$50*SUM(E288:E289)+$G$1*Variables!$B$19*Variables!$E$50*SUM(D288:D289),0)</f>
        <v>0</v>
      </c>
      <c r="Q289" s="64">
        <f>IF(AND(B289="Autumn",AND((E289+E288)&lt;Variables!$B$20,(D288+D289)=0)),-Variables!$B$21*Variables!$E$50,0)</f>
        <v>0</v>
      </c>
      <c r="R289" s="64">
        <f>IF(B289="Autumn",(SUM(F288:F289)*$G$1*Variables!$B$22*Variables!$E$50),0)</f>
        <v>0</v>
      </c>
      <c r="S289" s="64">
        <f>IF(B289="Spring",($G$1*Variables!$E$50*SUM('Guts (option 1)'!F288:F289)*Variables!$B$23),0)</f>
        <v>0</v>
      </c>
      <c r="T289" s="63">
        <f>IF((H288+SUM(J289:Q289))&lt;(Variables!$B$26*Variables!$E$50),$F$1*((Variables!$B$26*Variables!$E$50)-H288-SUM(J289:Q289)),0)</f>
        <v>0</v>
      </c>
      <c r="U289" s="64">
        <f>IF(AND(AND(B289="Autumn",SUM(D286:E289)&gt;Variables!$B$27),SUM(J289:Q289)&lt;Variables!$B$28*H288),$F$1*(Variables!$B$28*H288-SUM(J289:Q289)),0)</f>
        <v>0</v>
      </c>
      <c r="V289" s="96">
        <f>IF(AND((J289+K289)=0,(Q289+T289)=0),$H$1*H289*Variables!$I$23*0.25,0)</f>
        <v>151.75688007219182</v>
      </c>
      <c r="W289" s="97">
        <f>IF(AND((K289+J289)=0,(T289+Q289)=0),$I$1*H289*Variables!$Q$23*0.25,0)</f>
        <v>158.84931299009935</v>
      </c>
      <c r="X289" s="95">
        <f>IF(AND(NOT(K289=0),(H289-H288)&gt;0),(H289-H288)*(Variables!$M$5*$H$1+Variables!$U$5*$I$1),0)+IF(AND(NOT((J289+N289+Q289)=0),(H288-H289)&gt;0),(H288-H289)*(Variables!$M$4*$H$1+Variables!$U$4*$I$1),0)</f>
        <v>0</v>
      </c>
      <c r="Y289" s="95">
        <f>IF(SUM(T289,U288:U289)&gt;0,H289*Variables!$Y$11*0.25*(1-$J$1),0)</f>
        <v>0</v>
      </c>
      <c r="Z289" s="95">
        <f>IF(T289=0,H289*$J$1*Variables!$Y$5*0.25,0)</f>
        <v>51.189000628912943</v>
      </c>
      <c r="AA289" s="95">
        <f t="shared" si="9"/>
        <v>361.79519369120408</v>
      </c>
      <c r="AB289" s="91">
        <f>AA289/Variables!$E$49</f>
        <v>58.354063498581304</v>
      </c>
    </row>
    <row r="290" spans="1:28" x14ac:dyDescent="0.25">
      <c r="A290" s="61">
        <f>'Water runs'!C297</f>
        <v>28459</v>
      </c>
      <c r="B290" s="61" t="str">
        <f>'Water runs'!B297</f>
        <v>Spring</v>
      </c>
      <c r="C290" s="54">
        <f>'Water runs'!D297/100</f>
        <v>0</v>
      </c>
      <c r="D290" s="108">
        <f>VLOOKUP(ROW(D290)+4,'Water runs'!$BS$3:$CF$423,MATCH($B$1,Scenarios,0)+1)</f>
        <v>0</v>
      </c>
      <c r="E290" s="54">
        <f>IF(B290=Variables!$D$8,C290-Variables!$E$8,IF(B290=Variables!$D$9,C290-Variables!$E$9,IF(B290=Variables!$D$10,C290-Variables!$E$10,IF(B290=Variables!$D$11,C290-Variables!$E$11,"ELSE"))))</f>
        <v>-0.76398220899470914</v>
      </c>
      <c r="F290" s="108">
        <f>VLOOKUP(ROW(F290)+4,'Water runs'!$CH$3:$CU$423,MATCH($B$1,Scenarios,0)+1)</f>
        <v>0</v>
      </c>
      <c r="G290" s="65">
        <f>H290/Variables!$E$49</f>
        <v>1.2701985267720333</v>
      </c>
      <c r="H290" s="62">
        <f>IF((H289+I290)&gt;(1.1*Variables!$E$50),(1.1*Variables!$E$50),IF((H289+I290)&gt;0,H289+I290,0))</f>
        <v>7.875230865986607</v>
      </c>
      <c r="I290" s="64">
        <f t="shared" si="8"/>
        <v>0</v>
      </c>
      <c r="J290" s="63">
        <f>IF(SUM(E286:E289)&lt;Variables!$B$3,-H289,0)</f>
        <v>0</v>
      </c>
      <c r="K290" s="64">
        <f>IF(AND(H289&lt;Variables!$B$6*Variables!$E$50,OR(SUM(D287:D290)&gt;Variables!$B$5,SUM(E287:E290)&gt;Variables!$B$4)),Variables!$B$6*Variables!$E$50+Variables!$B$7*$G$1*Variables!$E$50*SUM(D287:D290),0)</f>
        <v>0</v>
      </c>
      <c r="L290" s="64">
        <f>IF(B290="Winter",Variables!$B$8*H289,0)</f>
        <v>0</v>
      </c>
      <c r="M290" s="64">
        <f>IF(AND(B290="Spring",AND(NOT(H289=0),H289&lt;(Variables!$B$9*Variables!$E$50))),(Variables!$B$10*Variables!$E$50+Variables!$B$11*Variables!$E$50*SUM(E287:E290)+$G$1*SUM(D289:D290)*Variables!$E$50*Variables!$B$12),0)</f>
        <v>0</v>
      </c>
      <c r="N290" s="64">
        <f>IF(AND(B290="Spring",AND(SUM(D287:D290)&gt;Variables!$B$13,SUM(D283:D286)&gt;Variables!$B$13)),-Variables!$B$14*Variables!$E$50,0)</f>
        <v>0</v>
      </c>
      <c r="O290" s="64">
        <f>IF(AND(B290="Summer",SUM(C286:D290)&gt;Variables!$B$15),(Variables!$B$16*Variables!$E$50*SUM(C286:C290)+$G$1*Variables!$B$16*Variables!$E$50*SUM(D286:D290)+$G$1*Variables!$E$50*Variables!$B$17*F290),0)</f>
        <v>0</v>
      </c>
      <c r="P290" s="64">
        <f>IF(AND(AND(B290="Autumn",SUM(D289:E290)&gt;0),NOT(H289=0)),Variables!$B$18*Variables!$E$50+Variables!$B$19*Variables!$E$50*SUM(E289:E290)+$G$1*Variables!$B$19*Variables!$E$50*SUM(D289:D290),0)</f>
        <v>0</v>
      </c>
      <c r="Q290" s="64">
        <f>IF(AND(B290="Autumn",AND((E290+E289)&lt;Variables!$B$20,(D289+D290)=0)),-Variables!$B$21*Variables!$E$50,0)</f>
        <v>0</v>
      </c>
      <c r="R290" s="64">
        <f>IF(B290="Autumn",(SUM(F289:F290)*$G$1*Variables!$B$22*Variables!$E$50),0)</f>
        <v>0</v>
      </c>
      <c r="S290" s="64">
        <f>IF(B290="Spring",($G$1*Variables!$E$50*SUM('Guts (option 1)'!F289:F290)*Variables!$B$23),0)</f>
        <v>0</v>
      </c>
      <c r="T290" s="63">
        <f>IF((H289+SUM(J290:Q290))&lt;(Variables!$B$26*Variables!$E$50),$F$1*((Variables!$B$26*Variables!$E$50)-H289-SUM(J290:Q290)),0)</f>
        <v>0</v>
      </c>
      <c r="U290" s="64">
        <f>IF(AND(AND(B290="Autumn",SUM(D287:E290)&gt;Variables!$B$27),SUM(J290:Q290)&lt;Variables!$B$28*H289),$F$1*(Variables!$B$28*H289-SUM(J290:Q290)),0)</f>
        <v>0</v>
      </c>
      <c r="V290" s="96">
        <f>IF(AND((J290+K290)=0,(Q290+T290)=0),$H$1*H290*Variables!$I$23*0.25,0)</f>
        <v>151.75688007219182</v>
      </c>
      <c r="W290" s="97">
        <f>IF(AND((K290+J290)=0,(T290+Q290)=0),$I$1*H290*Variables!$Q$23*0.25,0)</f>
        <v>158.84931299009935</v>
      </c>
      <c r="X290" s="95">
        <f>IF(AND(NOT(K290=0),(H290-H289)&gt;0),(H290-H289)*(Variables!$M$5*$H$1+Variables!$U$5*$I$1),0)+IF(AND(NOT((J290+N290+Q290)=0),(H289-H290)&gt;0),(H289-H290)*(Variables!$M$4*$H$1+Variables!$U$4*$I$1),0)</f>
        <v>0</v>
      </c>
      <c r="Y290" s="95">
        <f>IF(SUM(T290,U289:U290)&gt;0,H290*Variables!$Y$11*0.25*(1-$J$1),0)</f>
        <v>0</v>
      </c>
      <c r="Z290" s="95">
        <f>IF(T290=0,H290*$J$1*Variables!$Y$5*0.25,0)</f>
        <v>51.189000628912943</v>
      </c>
      <c r="AA290" s="95">
        <f t="shared" si="9"/>
        <v>361.79519369120408</v>
      </c>
      <c r="AB290" s="91">
        <f>AA290/Variables!$E$49</f>
        <v>58.354063498581304</v>
      </c>
    </row>
    <row r="291" spans="1:28" x14ac:dyDescent="0.25">
      <c r="A291" s="61">
        <f>'Water runs'!C298</f>
        <v>28549</v>
      </c>
      <c r="B291" s="61" t="str">
        <f>'Water runs'!B298</f>
        <v>Summer</v>
      </c>
      <c r="C291" s="54">
        <f>'Water runs'!D298/100</f>
        <v>1.0006964285714299</v>
      </c>
      <c r="D291" s="108">
        <f>VLOOKUP(ROW(D291)+4,'Water runs'!$BS$3:$CF$423,MATCH($B$1,Scenarios,0)+1)</f>
        <v>0</v>
      </c>
      <c r="E291" s="54">
        <f>IF(B291=Variables!$D$8,C291-Variables!$E$8,IF(B291=Variables!$D$9,C291-Variables!$E$9,IF(B291=Variables!$D$10,C291-Variables!$E$10,IF(B291=Variables!$D$11,C291-Variables!$E$11,"ELSE"))))</f>
        <v>-0.25767370748299179</v>
      </c>
      <c r="F291" s="108">
        <f>VLOOKUP(ROW(F291)+4,'Water runs'!$CH$3:$CU$423,MATCH($B$1,Scenarios,0)+1)</f>
        <v>0</v>
      </c>
      <c r="G291" s="65">
        <f>H291/Variables!$E$49</f>
        <v>1.2701985267720333</v>
      </c>
      <c r="H291" s="62">
        <f>IF((H290+I291)&gt;(1.1*Variables!$E$50),(1.1*Variables!$E$50),IF((H290+I291)&gt;0,H290+I291,0))</f>
        <v>7.875230865986607</v>
      </c>
      <c r="I291" s="64">
        <f t="shared" si="8"/>
        <v>0</v>
      </c>
      <c r="J291" s="63">
        <f>IF(SUM(E287:E290)&lt;Variables!$B$3,-H290,0)</f>
        <v>0</v>
      </c>
      <c r="K291" s="64">
        <f>IF(AND(H290&lt;Variables!$B$6*Variables!$E$50,OR(SUM(D288:D291)&gt;Variables!$B$5,SUM(E288:E291)&gt;Variables!$B$4)),Variables!$B$6*Variables!$E$50+Variables!$B$7*$G$1*Variables!$E$50*SUM(D288:D291),0)</f>
        <v>0</v>
      </c>
      <c r="L291" s="64">
        <f>IF(B291="Winter",Variables!$B$8*H290,0)</f>
        <v>0</v>
      </c>
      <c r="M291" s="64">
        <f>IF(AND(B291="Spring",AND(NOT(H290=0),H290&lt;(Variables!$B$9*Variables!$E$50))),(Variables!$B$10*Variables!$E$50+Variables!$B$11*Variables!$E$50*SUM(E288:E291)+$G$1*SUM(D290:D291)*Variables!$E$50*Variables!$B$12),0)</f>
        <v>0</v>
      </c>
      <c r="N291" s="64">
        <f>IF(AND(B291="Spring",AND(SUM(D288:D291)&gt;Variables!$B$13,SUM(D284:D287)&gt;Variables!$B$13)),-Variables!$B$14*Variables!$E$50,0)</f>
        <v>0</v>
      </c>
      <c r="O291" s="64">
        <f>IF(AND(B291="Summer",SUM(C287:D291)&gt;Variables!$B$15),(Variables!$B$16*Variables!$E$50*SUM(C287:C291)+$G$1*Variables!$B$16*Variables!$E$50*SUM(D287:D291)+$G$1*Variables!$E$50*Variables!$B$17*F291),0)</f>
        <v>0</v>
      </c>
      <c r="P291" s="64">
        <f>IF(AND(AND(B291="Autumn",SUM(D290:E291)&gt;0),NOT(H290=0)),Variables!$B$18*Variables!$E$50+Variables!$B$19*Variables!$E$50*SUM(E290:E291)+$G$1*Variables!$B$19*Variables!$E$50*SUM(D290:D291),0)</f>
        <v>0</v>
      </c>
      <c r="Q291" s="64">
        <f>IF(AND(B291="Autumn",AND((E291+E290)&lt;Variables!$B$20,(D290+D291)=0)),-Variables!$B$21*Variables!$E$50,0)</f>
        <v>0</v>
      </c>
      <c r="R291" s="64">
        <f>IF(B291="Autumn",(SUM(F290:F291)*$G$1*Variables!$B$22*Variables!$E$50),0)</f>
        <v>0</v>
      </c>
      <c r="S291" s="64">
        <f>IF(B291="Spring",($G$1*Variables!$E$50*SUM('Guts (option 1)'!F290:F291)*Variables!$B$23),0)</f>
        <v>0</v>
      </c>
      <c r="T291" s="63">
        <f>IF((H290+SUM(J291:Q291))&lt;(Variables!$B$26*Variables!$E$50),$F$1*((Variables!$B$26*Variables!$E$50)-H290-SUM(J291:Q291)),0)</f>
        <v>0</v>
      </c>
      <c r="U291" s="64">
        <f>IF(AND(AND(B291="Autumn",SUM(D288:E291)&gt;Variables!$B$27),SUM(J291:Q291)&lt;Variables!$B$28*H290),$F$1*(Variables!$B$28*H290-SUM(J291:Q291)),0)</f>
        <v>0</v>
      </c>
      <c r="V291" s="96">
        <f>IF(AND((J291+K291)=0,(Q291+T291)=0),$H$1*H291*Variables!$I$23*0.25,0)</f>
        <v>151.75688007219182</v>
      </c>
      <c r="W291" s="97">
        <f>IF(AND((K291+J291)=0,(T291+Q291)=0),$I$1*H291*Variables!$Q$23*0.25,0)</f>
        <v>158.84931299009935</v>
      </c>
      <c r="X291" s="95">
        <f>IF(AND(NOT(K291=0),(H291-H290)&gt;0),(H291-H290)*(Variables!$M$5*$H$1+Variables!$U$5*$I$1),0)+IF(AND(NOT((J291+N291+Q291)=0),(H290-H291)&gt;0),(H290-H291)*(Variables!$M$4*$H$1+Variables!$U$4*$I$1),0)</f>
        <v>0</v>
      </c>
      <c r="Y291" s="95">
        <f>IF(SUM(T291,U290:U291)&gt;0,H291*Variables!$Y$11*0.25*(1-$J$1),0)</f>
        <v>0</v>
      </c>
      <c r="Z291" s="95">
        <f>IF(T291=0,H291*$J$1*Variables!$Y$5*0.25,0)</f>
        <v>51.189000628912943</v>
      </c>
      <c r="AA291" s="95">
        <f t="shared" si="9"/>
        <v>361.79519369120408</v>
      </c>
      <c r="AB291" s="91">
        <f>AA291/Variables!$E$49</f>
        <v>58.354063498581304</v>
      </c>
    </row>
    <row r="292" spans="1:28" x14ac:dyDescent="0.25">
      <c r="A292" s="61">
        <f>'Water runs'!C299</f>
        <v>28641</v>
      </c>
      <c r="B292" s="61" t="str">
        <f>'Water runs'!B299</f>
        <v>Autumn</v>
      </c>
      <c r="C292" s="54">
        <f>'Water runs'!D299/100</f>
        <v>0.85289285714285701</v>
      </c>
      <c r="D292" s="108">
        <f>VLOOKUP(ROW(D292)+4,'Water runs'!$BS$3:$CF$423,MATCH($B$1,Scenarios,0)+1)</f>
        <v>0</v>
      </c>
      <c r="E292" s="54">
        <f>IF(B292=Variables!$D$8,C292-Variables!$E$8,IF(B292=Variables!$D$9,C292-Variables!$E$9,IF(B292=Variables!$D$10,C292-Variables!$E$10,IF(B292=Variables!$D$11,C292-Variables!$E$11,"ELSE"))))</f>
        <v>-0.14175044217687083</v>
      </c>
      <c r="F292" s="108">
        <f>VLOOKUP(ROW(F292)+4,'Water runs'!$CH$3:$CU$423,MATCH($B$1,Scenarios,0)+1)</f>
        <v>0</v>
      </c>
      <c r="G292" s="65">
        <f>H292/Variables!$E$49</f>
        <v>1.2701985267720333</v>
      </c>
      <c r="H292" s="62">
        <f>IF((H291+I292)&gt;(1.1*Variables!$E$50),(1.1*Variables!$E$50),IF((H291+I292)&gt;0,H291+I292,0))</f>
        <v>7.875230865986607</v>
      </c>
      <c r="I292" s="64">
        <f t="shared" si="8"/>
        <v>0</v>
      </c>
      <c r="J292" s="63">
        <f>IF(SUM(E288:E291)&lt;Variables!$B$3,-H291,0)</f>
        <v>0</v>
      </c>
      <c r="K292" s="64">
        <f>IF(AND(H291&lt;Variables!$B$6*Variables!$E$50,OR(SUM(D289:D292)&gt;Variables!$B$5,SUM(E289:E292)&gt;Variables!$B$4)),Variables!$B$6*Variables!$E$50+Variables!$B$7*$G$1*Variables!$E$50*SUM(D289:D292),0)</f>
        <v>0</v>
      </c>
      <c r="L292" s="64">
        <f>IF(B292="Winter",Variables!$B$8*H291,0)</f>
        <v>0</v>
      </c>
      <c r="M292" s="64">
        <f>IF(AND(B292="Spring",AND(NOT(H291=0),H291&lt;(Variables!$B$9*Variables!$E$50))),(Variables!$B$10*Variables!$E$50+Variables!$B$11*Variables!$E$50*SUM(E289:E292)+$G$1*SUM(D291:D292)*Variables!$E$50*Variables!$B$12),0)</f>
        <v>0</v>
      </c>
      <c r="N292" s="64">
        <f>IF(AND(B292="Spring",AND(SUM(D289:D292)&gt;Variables!$B$13,SUM(D285:D288)&gt;Variables!$B$13)),-Variables!$B$14*Variables!$E$50,0)</f>
        <v>0</v>
      </c>
      <c r="O292" s="64">
        <f>IF(AND(B292="Summer",SUM(C288:D292)&gt;Variables!$B$15),(Variables!$B$16*Variables!$E$50*SUM(C288:C292)+$G$1*Variables!$B$16*Variables!$E$50*SUM(D288:D292)+$G$1*Variables!$E$50*Variables!$B$17*F292),0)</f>
        <v>0</v>
      </c>
      <c r="P292" s="64">
        <f>IF(AND(AND(B292="Autumn",SUM(D291:E292)&gt;0),NOT(H291=0)),Variables!$B$18*Variables!$E$50+Variables!$B$19*Variables!$E$50*SUM(E291:E292)+$G$1*Variables!$B$19*Variables!$E$50*SUM(D291:D292),0)</f>
        <v>0</v>
      </c>
      <c r="Q292" s="64">
        <f>IF(AND(B292="Autumn",AND((E292+E291)&lt;Variables!$B$20,(D291+D292)=0)),-Variables!$B$21*Variables!$E$50,0)</f>
        <v>0</v>
      </c>
      <c r="R292" s="64">
        <f>IF(B292="Autumn",(SUM(F291:F292)*$G$1*Variables!$B$22*Variables!$E$50),0)</f>
        <v>0</v>
      </c>
      <c r="S292" s="64">
        <f>IF(B292="Spring",($G$1*Variables!$E$50*SUM('Guts (option 1)'!F291:F292)*Variables!$B$23),0)</f>
        <v>0</v>
      </c>
      <c r="T292" s="63">
        <f>IF((H291+SUM(J292:Q292))&lt;(Variables!$B$26*Variables!$E$50),$F$1*((Variables!$B$26*Variables!$E$50)-H291-SUM(J292:Q292)),0)</f>
        <v>0</v>
      </c>
      <c r="U292" s="64">
        <f>IF(AND(AND(B292="Autumn",SUM(D289:E292)&gt;Variables!$B$27),SUM(J292:Q292)&lt;Variables!$B$28*H291),$F$1*(Variables!$B$28*H291-SUM(J292:Q292)),0)</f>
        <v>0</v>
      </c>
      <c r="V292" s="96">
        <f>IF(AND((J292+K292)=0,(Q292+T292)=0),$H$1*H292*Variables!$I$23*0.25,0)</f>
        <v>151.75688007219182</v>
      </c>
      <c r="W292" s="97">
        <f>IF(AND((K292+J292)=0,(T292+Q292)=0),$I$1*H292*Variables!$Q$23*0.25,0)</f>
        <v>158.84931299009935</v>
      </c>
      <c r="X292" s="95">
        <f>IF(AND(NOT(K292=0),(H292-H291)&gt;0),(H292-H291)*(Variables!$M$5*$H$1+Variables!$U$5*$I$1),0)+IF(AND(NOT((J292+N292+Q292)=0),(H291-H292)&gt;0),(H291-H292)*(Variables!$M$4*$H$1+Variables!$U$4*$I$1),0)</f>
        <v>0</v>
      </c>
      <c r="Y292" s="95">
        <f>IF(SUM(T292,U291:U292)&gt;0,H292*Variables!$Y$11*0.25*(1-$J$1),0)</f>
        <v>0</v>
      </c>
      <c r="Z292" s="95">
        <f>IF(T292=0,H292*$J$1*Variables!$Y$5*0.25,0)</f>
        <v>51.189000628912943</v>
      </c>
      <c r="AA292" s="95">
        <f t="shared" si="9"/>
        <v>361.79519369120408</v>
      </c>
      <c r="AB292" s="91">
        <f>AA292/Variables!$E$49</f>
        <v>58.354063498581304</v>
      </c>
    </row>
    <row r="293" spans="1:28" x14ac:dyDescent="0.25">
      <c r="A293" s="61">
        <f>'Water runs'!C300</f>
        <v>28733</v>
      </c>
      <c r="B293" s="61" t="str">
        <f>'Water runs'!B300</f>
        <v>Winter</v>
      </c>
      <c r="C293" s="54">
        <f>'Water runs'!D300/100</f>
        <v>1.06841071428571</v>
      </c>
      <c r="D293" s="108">
        <f>VLOOKUP(ROW(D293)+4,'Water runs'!$BS$3:$CF$423,MATCH($B$1,Scenarios,0)+1)</f>
        <v>0</v>
      </c>
      <c r="E293" s="54">
        <f>IF(B293=Variables!$D$8,C293-Variables!$E$8,IF(B293=Variables!$D$9,C293-Variables!$E$9,IF(B293=Variables!$D$10,C293-Variables!$E$10,IF(B293=Variables!$D$11,C293-Variables!$E$11,"ELSE"))))</f>
        <v>0.49664308862433426</v>
      </c>
      <c r="F293" s="108">
        <f>VLOOKUP(ROW(F293)+4,'Water runs'!$CH$3:$CU$423,MATCH($B$1,Scenarios,0)+1)</f>
        <v>0</v>
      </c>
      <c r="G293" s="65">
        <f>H293/Variables!$E$49</f>
        <v>0.16099999999999995</v>
      </c>
      <c r="H293" s="62">
        <f>IF((H292+I293)&gt;(1.1*Variables!$E$50),(1.1*Variables!$E$50),IF((H292+I293)&gt;0,H292+I293,0))</f>
        <v>0.99819999999999975</v>
      </c>
      <c r="I293" s="64">
        <f t="shared" si="8"/>
        <v>-6.8770308659866073</v>
      </c>
      <c r="J293" s="63">
        <f>IF(SUM(E289:E292)&lt;Variables!$B$3,-H292,0)</f>
        <v>-7.875230865986607</v>
      </c>
      <c r="K293" s="64">
        <f>IF(AND(H292&lt;Variables!$B$6*Variables!$E$50,OR(SUM(D290:D293)&gt;Variables!$B$5,SUM(E290:E293)&gt;Variables!$B$4)),Variables!$B$6*Variables!$E$50+Variables!$B$7*$G$1*Variables!$E$50*SUM(D290:D293),0)</f>
        <v>0</v>
      </c>
      <c r="L293" s="64">
        <f>IF(B293="Winter",Variables!$B$8*H292,0)</f>
        <v>-3.9214337735099938</v>
      </c>
      <c r="M293" s="64">
        <f>IF(AND(B293="Spring",AND(NOT(H292=0),H292&lt;(Variables!$B$9*Variables!$E$50))),(Variables!$B$10*Variables!$E$50+Variables!$B$11*Variables!$E$50*SUM(E290:E293)+$G$1*SUM(D292:D293)*Variables!$E$50*Variables!$B$12),0)</f>
        <v>0</v>
      </c>
      <c r="N293" s="64">
        <f>IF(AND(B293="Spring",AND(SUM(D290:D293)&gt;Variables!$B$13,SUM(D286:D289)&gt;Variables!$B$13)),-Variables!$B$14*Variables!$E$50,0)</f>
        <v>0</v>
      </c>
      <c r="O293" s="64">
        <f>IF(AND(B293="Summer",SUM(C289:D293)&gt;Variables!$B$15),(Variables!$B$16*Variables!$E$50*SUM(C289:C293)+$G$1*Variables!$B$16*Variables!$E$50*SUM(D289:D293)+$G$1*Variables!$E$50*Variables!$B$17*F293),0)</f>
        <v>0</v>
      </c>
      <c r="P293" s="64">
        <f>IF(AND(AND(B293="Autumn",SUM(D292:E293)&gt;0),NOT(H292=0)),Variables!$B$18*Variables!$E$50+Variables!$B$19*Variables!$E$50*SUM(E292:E293)+$G$1*Variables!$B$19*Variables!$E$50*SUM(D292:D293),0)</f>
        <v>0</v>
      </c>
      <c r="Q293" s="64">
        <f>IF(AND(B293="Autumn",AND((E293+E292)&lt;Variables!$B$20,(D292+D293)=0)),-Variables!$B$21*Variables!$E$50,0)</f>
        <v>0</v>
      </c>
      <c r="R293" s="64">
        <f>IF(B293="Autumn",(SUM(F292:F293)*$G$1*Variables!$B$22*Variables!$E$50),0)</f>
        <v>0</v>
      </c>
      <c r="S293" s="64">
        <f>IF(B293="Spring",($G$1*Variables!$E$50*SUM('Guts (option 1)'!F292:F293)*Variables!$B$23),0)</f>
        <v>0</v>
      </c>
      <c r="T293" s="63">
        <f>IF((H292+SUM(J293:Q293))&lt;(Variables!$B$26*Variables!$E$50),$F$1*((Variables!$B$26*Variables!$E$50)-H292-SUM(J293:Q293)),0)</f>
        <v>4.919633773509994</v>
      </c>
      <c r="U293" s="64">
        <f>IF(AND(AND(B293="Autumn",SUM(D290:E293)&gt;Variables!$B$27),SUM(J293:Q293)&lt;Variables!$B$28*H292),$F$1*(Variables!$B$28*H292-SUM(J293:Q293)),0)</f>
        <v>0</v>
      </c>
      <c r="V293" s="96">
        <f>IF(AND((J293+K293)=0,(Q293+T293)=0),$H$1*H293*Variables!$I$23*0.25,0)</f>
        <v>0</v>
      </c>
      <c r="W293" s="97">
        <f>IF(AND((K293+J293)=0,(T293+Q293)=0),$I$1*H293*Variables!$Q$23*0.25,0)</f>
        <v>0</v>
      </c>
      <c r="X293" s="95">
        <f>IF(AND(NOT(K293=0),(H293-H292)&gt;0),(H293-H292)*(Variables!$M$5*$H$1+Variables!$U$5*$I$1),0)+IF(AND(NOT((J293+N293+Q293)=0),(H292-H293)&gt;0),(H292-H293)*(Variables!$M$4*$H$1+Variables!$U$4*$I$1),0)</f>
        <v>859.62885824832586</v>
      </c>
      <c r="Y293" s="95">
        <f>IF(SUM(T293,U292:U293)&gt;0,H293*Variables!$Y$11*0.25*(1-$J$1),0)</f>
        <v>0</v>
      </c>
      <c r="Z293" s="95">
        <f>IF(T293=0,H293*$J$1*Variables!$Y$5*0.25,0)</f>
        <v>0</v>
      </c>
      <c r="AA293" s="95">
        <f t="shared" si="9"/>
        <v>859.62885824832586</v>
      </c>
      <c r="AB293" s="91">
        <f>AA293/Variables!$E$49</f>
        <v>138.64981584650417</v>
      </c>
    </row>
    <row r="294" spans="1:28" x14ac:dyDescent="0.25">
      <c r="A294" s="61">
        <f>'Water runs'!C301</f>
        <v>28824</v>
      </c>
      <c r="B294" s="61" t="str">
        <f>'Water runs'!B301</f>
        <v>Spring</v>
      </c>
      <c r="C294" s="54">
        <f>'Water runs'!D301/100</f>
        <v>0.81544047619047599</v>
      </c>
      <c r="D294" s="108">
        <f>VLOOKUP(ROW(D294)+4,'Water runs'!$BS$3:$CF$423,MATCH($B$1,Scenarios,0)+1)</f>
        <v>0</v>
      </c>
      <c r="E294" s="54">
        <f>IF(B294=Variables!$D$8,C294-Variables!$E$8,IF(B294=Variables!$D$9,C294-Variables!$E$9,IF(B294=Variables!$D$10,C294-Variables!$E$10,IF(B294=Variables!$D$11,C294-Variables!$E$11,"ELSE"))))</f>
        <v>5.1458267195766849E-2</v>
      </c>
      <c r="F294" s="108">
        <f>VLOOKUP(ROW(F294)+4,'Water runs'!$CH$3:$CU$423,MATCH($B$1,Scenarios,0)+1)</f>
        <v>0</v>
      </c>
      <c r="G294" s="65">
        <f>H294/Variables!$E$49</f>
        <v>0.36133199172633201</v>
      </c>
      <c r="H294" s="62">
        <f>IF((H293+I294)&gt;(1.1*Variables!$E$50),(1.1*Variables!$E$50),IF((H293+I294)&gt;0,H293+I294,0))</f>
        <v>2.2402583487032586</v>
      </c>
      <c r="I294" s="64">
        <f t="shared" si="8"/>
        <v>1.2420583487032588</v>
      </c>
      <c r="J294" s="63">
        <f>IF(SUM(E290:E293)&lt;Variables!$B$3,-H293,0)</f>
        <v>0</v>
      </c>
      <c r="K294" s="64">
        <f>IF(AND(H293&lt;Variables!$B$6*Variables!$E$50,OR(SUM(D291:D294)&gt;Variables!$B$5,SUM(E291:E294)&gt;Variables!$B$4)),Variables!$B$6*Variables!$E$50+Variables!$B$7*$G$1*Variables!$E$50*SUM(D291:D294),0)</f>
        <v>1.1408</v>
      </c>
      <c r="L294" s="64">
        <f>IF(B294="Winter",Variables!$B$8*H293,0)</f>
        <v>0</v>
      </c>
      <c r="M294" s="64">
        <f>IF(AND(B294="Spring",AND(NOT(H293=0),H293&lt;(Variables!$B$9*Variables!$E$50))),(Variables!$B$10*Variables!$E$50+Variables!$B$11*Variables!$E$50*SUM(E291:E294)+$G$1*SUM(D293:D294)*Variables!$E$50*Variables!$B$12),0)</f>
        <v>0.10125834870325889</v>
      </c>
      <c r="N294" s="64">
        <f>IF(AND(B294="Spring",AND(SUM(D291:D294)&gt;Variables!$B$13,SUM(D287:D290)&gt;Variables!$B$13)),-Variables!$B$14*Variables!$E$50,0)</f>
        <v>0</v>
      </c>
      <c r="O294" s="64">
        <f>IF(AND(B294="Summer",SUM(C290:D294)&gt;Variables!$B$15),(Variables!$B$16*Variables!$E$50*SUM(C290:C294)+$G$1*Variables!$B$16*Variables!$E$50*SUM(D290:D294)+$G$1*Variables!$E$50*Variables!$B$17*F294),0)</f>
        <v>0</v>
      </c>
      <c r="P294" s="64">
        <f>IF(AND(AND(B294="Autumn",SUM(D293:E294)&gt;0),NOT(H293=0)),Variables!$B$18*Variables!$E$50+Variables!$B$19*Variables!$E$50*SUM(E293:E294)+$G$1*Variables!$B$19*Variables!$E$50*SUM(D293:D294),0)</f>
        <v>0</v>
      </c>
      <c r="Q294" s="64">
        <f>IF(AND(B294="Autumn",AND((E294+E293)&lt;Variables!$B$20,(D293+D294)=0)),-Variables!$B$21*Variables!$E$50,0)</f>
        <v>0</v>
      </c>
      <c r="R294" s="64">
        <f>IF(B294="Autumn",(SUM(F293:F294)*$G$1*Variables!$B$22*Variables!$E$50),0)</f>
        <v>0</v>
      </c>
      <c r="S294" s="64">
        <f>IF(B294="Spring",($G$1*Variables!$E$50*SUM('Guts (option 1)'!F293:F294)*Variables!$B$23),0)</f>
        <v>0</v>
      </c>
      <c r="T294" s="63">
        <f>IF((H293+SUM(J294:Q294))&lt;(Variables!$B$26*Variables!$E$50),$F$1*((Variables!$B$26*Variables!$E$50)-H293-SUM(J294:Q294)),0)</f>
        <v>0</v>
      </c>
      <c r="U294" s="64">
        <f>IF(AND(AND(B294="Autumn",SUM(D291:E294)&gt;Variables!$B$27),SUM(J294:Q294)&lt;Variables!$B$28*H293),$F$1*(Variables!$B$28*H293-SUM(J294:Q294)),0)</f>
        <v>0</v>
      </c>
      <c r="V294" s="96">
        <f>IF(AND((J294+K294)=0,(Q294+T294)=0),$H$1*H294*Variables!$I$23*0.25,0)</f>
        <v>0</v>
      </c>
      <c r="W294" s="97">
        <f>IF(AND((K294+J294)=0,(T294+Q294)=0),$I$1*H294*Variables!$Q$23*0.25,0)</f>
        <v>0</v>
      </c>
      <c r="X294" s="95">
        <f>IF(AND(NOT(K294=0),(H294-H293)&gt;0),(H294-H293)*(Variables!$M$5*$H$1+Variables!$U$5*$I$1),0)+IF(AND(NOT((J294+N294+Q294)=0),(H293-H294)&gt;0),(H293-H294)*(Variables!$M$4*$H$1+Variables!$U$4*$I$1),0)</f>
        <v>-310.51458717581471</v>
      </c>
      <c r="Y294" s="95">
        <f>IF(SUM(T294,U293:U294)&gt;0,H294*Variables!$Y$11*0.25*(1-$J$1),0)</f>
        <v>0</v>
      </c>
      <c r="Z294" s="95">
        <f>IF(T294=0,H294*$J$1*Variables!$Y$5*0.25,0)</f>
        <v>14.561679266571181</v>
      </c>
      <c r="AA294" s="95">
        <f t="shared" si="9"/>
        <v>-295.95290790924355</v>
      </c>
      <c r="AB294" s="91">
        <f>AA294/Variables!$E$49</f>
        <v>-47.734339985361864</v>
      </c>
    </row>
    <row r="295" spans="1:28" x14ac:dyDescent="0.25">
      <c r="A295" s="61">
        <f>'Water runs'!C302</f>
        <v>28914</v>
      </c>
      <c r="B295" s="61" t="str">
        <f>'Water runs'!B302</f>
        <v>Summer</v>
      </c>
      <c r="C295" s="54">
        <f>'Water runs'!D302/100</f>
        <v>0.93578571428571389</v>
      </c>
      <c r="D295" s="108">
        <f>VLOOKUP(ROW(D295)+4,'Water runs'!$BS$3:$CF$423,MATCH($B$1,Scenarios,0)+1)</f>
        <v>0</v>
      </c>
      <c r="E295" s="54">
        <f>IF(B295=Variables!$D$8,C295-Variables!$E$8,IF(B295=Variables!$D$9,C295-Variables!$E$9,IF(B295=Variables!$D$10,C295-Variables!$E$10,IF(B295=Variables!$D$11,C295-Variables!$E$11,"ELSE"))))</f>
        <v>-0.32258442176870783</v>
      </c>
      <c r="F295" s="108">
        <f>VLOOKUP(ROW(F295)+4,'Water runs'!$CH$3:$CU$423,MATCH($B$1,Scenarios,0)+1)</f>
        <v>0</v>
      </c>
      <c r="G295" s="65">
        <f>H295/Variables!$E$49</f>
        <v>0.36133199172633201</v>
      </c>
      <c r="H295" s="62">
        <f>IF((H294+I295)&gt;(1.1*Variables!$E$50),(1.1*Variables!$E$50),IF((H294+I295)&gt;0,H294+I295,0))</f>
        <v>2.2402583487032586</v>
      </c>
      <c r="I295" s="64">
        <f t="shared" si="8"/>
        <v>0</v>
      </c>
      <c r="J295" s="63">
        <f>IF(SUM(E291:E294)&lt;Variables!$B$3,-H294,0)</f>
        <v>0</v>
      </c>
      <c r="K295" s="64">
        <f>IF(AND(H294&lt;Variables!$B$6*Variables!$E$50,OR(SUM(D292:D295)&gt;Variables!$B$5,SUM(E292:E295)&gt;Variables!$B$4)),Variables!$B$6*Variables!$E$50+Variables!$B$7*$G$1*Variables!$E$50*SUM(D292:D295),0)</f>
        <v>0</v>
      </c>
      <c r="L295" s="64">
        <f>IF(B295="Winter",Variables!$B$8*H294,0)</f>
        <v>0</v>
      </c>
      <c r="M295" s="64">
        <f>IF(AND(B295="Spring",AND(NOT(H294=0),H294&lt;(Variables!$B$9*Variables!$E$50))),(Variables!$B$10*Variables!$E$50+Variables!$B$11*Variables!$E$50*SUM(E292:E295)+$G$1*SUM(D294:D295)*Variables!$E$50*Variables!$B$12),0)</f>
        <v>0</v>
      </c>
      <c r="N295" s="64">
        <f>IF(AND(B295="Spring",AND(SUM(D292:D295)&gt;Variables!$B$13,SUM(D288:D291)&gt;Variables!$B$13)),-Variables!$B$14*Variables!$E$50,0)</f>
        <v>0</v>
      </c>
      <c r="O295" s="64">
        <f>IF(AND(B295="Summer",SUM(C291:D295)&gt;Variables!$B$15),(Variables!$B$16*Variables!$E$50*SUM(C291:C295)+$G$1*Variables!$B$16*Variables!$E$50*SUM(D291:D295)+$G$1*Variables!$E$50*Variables!$B$17*F295),0)</f>
        <v>0</v>
      </c>
      <c r="P295" s="64">
        <f>IF(AND(AND(B295="Autumn",SUM(D294:E295)&gt;0),NOT(H294=0)),Variables!$B$18*Variables!$E$50+Variables!$B$19*Variables!$E$50*SUM(E294:E295)+$G$1*Variables!$B$19*Variables!$E$50*SUM(D294:D295),0)</f>
        <v>0</v>
      </c>
      <c r="Q295" s="64">
        <f>IF(AND(B295="Autumn",AND((E295+E294)&lt;Variables!$B$20,(D294+D295)=0)),-Variables!$B$21*Variables!$E$50,0)</f>
        <v>0</v>
      </c>
      <c r="R295" s="64">
        <f>IF(B295="Autumn",(SUM(F294:F295)*$G$1*Variables!$B$22*Variables!$E$50),0)</f>
        <v>0</v>
      </c>
      <c r="S295" s="64">
        <f>IF(B295="Spring",($G$1*Variables!$E$50*SUM('Guts (option 1)'!F294:F295)*Variables!$B$23),0)</f>
        <v>0</v>
      </c>
      <c r="T295" s="63">
        <f>IF((H294+SUM(J295:Q295))&lt;(Variables!$B$26*Variables!$E$50),$F$1*((Variables!$B$26*Variables!$E$50)-H294-SUM(J295:Q295)),0)</f>
        <v>0</v>
      </c>
      <c r="U295" s="64">
        <f>IF(AND(AND(B295="Autumn",SUM(D292:E295)&gt;Variables!$B$27),SUM(J295:Q295)&lt;Variables!$B$28*H294),$F$1*(Variables!$B$28*H294-SUM(J295:Q295)),0)</f>
        <v>0</v>
      </c>
      <c r="V295" s="96">
        <f>IF(AND((J295+K295)=0,(Q295+T295)=0),$H$1*H295*Variables!$I$23*0.25,0)</f>
        <v>43.170114418264099</v>
      </c>
      <c r="W295" s="97">
        <f>IF(AND((K295+J295)=0,(T295+Q295)=0),$I$1*H295*Variables!$Q$23*0.25,0)</f>
        <v>45.187691087106252</v>
      </c>
      <c r="X295" s="95">
        <f>IF(AND(NOT(K295=0),(H295-H294)&gt;0),(H295-H294)*(Variables!$M$5*$H$1+Variables!$U$5*$I$1),0)+IF(AND(NOT((J295+N295+Q295)=0),(H294-H295)&gt;0),(H294-H295)*(Variables!$M$4*$H$1+Variables!$U$4*$I$1),0)</f>
        <v>0</v>
      </c>
      <c r="Y295" s="95">
        <f>IF(SUM(T295,U294:U295)&gt;0,H295*Variables!$Y$11*0.25*(1-$J$1),0)</f>
        <v>0</v>
      </c>
      <c r="Z295" s="95">
        <f>IF(T295=0,H295*$J$1*Variables!$Y$5*0.25,0)</f>
        <v>14.561679266571181</v>
      </c>
      <c r="AA295" s="95">
        <f t="shared" si="9"/>
        <v>102.91948477194153</v>
      </c>
      <c r="AB295" s="91">
        <f>AA295/Variables!$E$49</f>
        <v>16.599916898700247</v>
      </c>
    </row>
    <row r="296" spans="1:28" x14ac:dyDescent="0.25">
      <c r="A296" s="61">
        <f>'Water runs'!C303</f>
        <v>29006</v>
      </c>
      <c r="B296" s="61" t="str">
        <f>'Water runs'!B303</f>
        <v>Autumn</v>
      </c>
      <c r="C296" s="54">
        <f>'Water runs'!D303/100</f>
        <v>0.74047619047618995</v>
      </c>
      <c r="D296" s="108">
        <f>VLOOKUP(ROW(D296)+4,'Water runs'!$BS$3:$CF$423,MATCH($B$1,Scenarios,0)+1)</f>
        <v>0</v>
      </c>
      <c r="E296" s="54">
        <f>IF(B296=Variables!$D$8,C296-Variables!$E$8,IF(B296=Variables!$D$9,C296-Variables!$E$9,IF(B296=Variables!$D$10,C296-Variables!$E$10,IF(B296=Variables!$D$11,C296-Variables!$E$11,"ELSE"))))</f>
        <v>-0.25416710884353788</v>
      </c>
      <c r="F296" s="108">
        <f>VLOOKUP(ROW(F296)+4,'Water runs'!$CH$3:$CU$423,MATCH($B$1,Scenarios,0)+1)</f>
        <v>0</v>
      </c>
      <c r="G296" s="65">
        <f>H296/Variables!$E$49</f>
        <v>0.36133199172633201</v>
      </c>
      <c r="H296" s="62">
        <f>IF((H295+I296)&gt;(1.1*Variables!$E$50),(1.1*Variables!$E$50),IF((H295+I296)&gt;0,H295+I296,0))</f>
        <v>2.2402583487032586</v>
      </c>
      <c r="I296" s="64">
        <f t="shared" si="8"/>
        <v>0</v>
      </c>
      <c r="J296" s="63">
        <f>IF(SUM(E292:E295)&lt;Variables!$B$3,-H295,0)</f>
        <v>0</v>
      </c>
      <c r="K296" s="64">
        <f>IF(AND(H295&lt;Variables!$B$6*Variables!$E$50,OR(SUM(D293:D296)&gt;Variables!$B$5,SUM(E293:E296)&gt;Variables!$B$4)),Variables!$B$6*Variables!$E$50+Variables!$B$7*$G$1*Variables!$E$50*SUM(D293:D296),0)</f>
        <v>0</v>
      </c>
      <c r="L296" s="64">
        <f>IF(B296="Winter",Variables!$B$8*H295,0)</f>
        <v>0</v>
      </c>
      <c r="M296" s="64">
        <f>IF(AND(B296="Spring",AND(NOT(H295=0),H295&lt;(Variables!$B$9*Variables!$E$50))),(Variables!$B$10*Variables!$E$50+Variables!$B$11*Variables!$E$50*SUM(E293:E296)+$G$1*SUM(D295:D296)*Variables!$E$50*Variables!$B$12),0)</f>
        <v>0</v>
      </c>
      <c r="N296" s="64">
        <f>IF(AND(B296="Spring",AND(SUM(D293:D296)&gt;Variables!$B$13,SUM(D289:D292)&gt;Variables!$B$13)),-Variables!$B$14*Variables!$E$50,0)</f>
        <v>0</v>
      </c>
      <c r="O296" s="64">
        <f>IF(AND(B296="Summer",SUM(C292:D296)&gt;Variables!$B$15),(Variables!$B$16*Variables!$E$50*SUM(C292:C296)+$G$1*Variables!$B$16*Variables!$E$50*SUM(D292:D296)+$G$1*Variables!$E$50*Variables!$B$17*F296),0)</f>
        <v>0</v>
      </c>
      <c r="P296" s="64">
        <f>IF(AND(AND(B296="Autumn",SUM(D295:E296)&gt;0),NOT(H295=0)),Variables!$B$18*Variables!$E$50+Variables!$B$19*Variables!$E$50*SUM(E295:E296)+$G$1*Variables!$B$19*Variables!$E$50*SUM(D295:D296),0)</f>
        <v>0</v>
      </c>
      <c r="Q296" s="64">
        <f>IF(AND(B296="Autumn",AND((E296+E295)&lt;Variables!$B$20,(D295+D296)=0)),-Variables!$B$21*Variables!$E$50,0)</f>
        <v>0</v>
      </c>
      <c r="R296" s="64">
        <f>IF(B296="Autumn",(SUM(F295:F296)*$G$1*Variables!$B$22*Variables!$E$50),0)</f>
        <v>0</v>
      </c>
      <c r="S296" s="64">
        <f>IF(B296="Spring",($G$1*Variables!$E$50*SUM('Guts (option 1)'!F295:F296)*Variables!$B$23),0)</f>
        <v>0</v>
      </c>
      <c r="T296" s="63">
        <f>IF((H295+SUM(J296:Q296))&lt;(Variables!$B$26*Variables!$E$50),$F$1*((Variables!$B$26*Variables!$E$50)-H295-SUM(J296:Q296)),0)</f>
        <v>0</v>
      </c>
      <c r="U296" s="64">
        <f>IF(AND(AND(B296="Autumn",SUM(D293:E296)&gt;Variables!$B$27),SUM(J296:Q296)&lt;Variables!$B$28*H295),$F$1*(Variables!$B$28*H295-SUM(J296:Q296)),0)</f>
        <v>0</v>
      </c>
      <c r="V296" s="96">
        <f>IF(AND((J296+K296)=0,(Q296+T296)=0),$H$1*H296*Variables!$I$23*0.25,0)</f>
        <v>43.170114418264099</v>
      </c>
      <c r="W296" s="97">
        <f>IF(AND((K296+J296)=0,(T296+Q296)=0),$I$1*H296*Variables!$Q$23*0.25,0)</f>
        <v>45.187691087106252</v>
      </c>
      <c r="X296" s="95">
        <f>IF(AND(NOT(K296=0),(H296-H295)&gt;0),(H296-H295)*(Variables!$M$5*$H$1+Variables!$U$5*$I$1),0)+IF(AND(NOT((J296+N296+Q296)=0),(H295-H296)&gt;0),(H295-H296)*(Variables!$M$4*$H$1+Variables!$U$4*$I$1),0)</f>
        <v>0</v>
      </c>
      <c r="Y296" s="95">
        <f>IF(SUM(T296,U295:U296)&gt;0,H296*Variables!$Y$11*0.25*(1-$J$1),0)</f>
        <v>0</v>
      </c>
      <c r="Z296" s="95">
        <f>IF(T296=0,H296*$J$1*Variables!$Y$5*0.25,0)</f>
        <v>14.561679266571181</v>
      </c>
      <c r="AA296" s="95">
        <f t="shared" si="9"/>
        <v>102.91948477194153</v>
      </c>
      <c r="AB296" s="91">
        <f>AA296/Variables!$E$49</f>
        <v>16.599916898700247</v>
      </c>
    </row>
    <row r="297" spans="1:28" x14ac:dyDescent="0.25">
      <c r="A297" s="61">
        <f>'Water runs'!C304</f>
        <v>29098</v>
      </c>
      <c r="B297" s="61" t="str">
        <f>'Water runs'!B304</f>
        <v>Winter</v>
      </c>
      <c r="C297" s="54">
        <f>'Water runs'!D304/100</f>
        <v>0.16571428571428601</v>
      </c>
      <c r="D297" s="108">
        <f>VLOOKUP(ROW(D297)+4,'Water runs'!$BS$3:$CF$423,MATCH($B$1,Scenarios,0)+1)</f>
        <v>0</v>
      </c>
      <c r="E297" s="54">
        <f>IF(B297=Variables!$D$8,C297-Variables!$E$8,IF(B297=Variables!$D$9,C297-Variables!$E$9,IF(B297=Variables!$D$10,C297-Variables!$E$10,IF(B297=Variables!$D$11,C297-Variables!$E$11,"ELSE"))))</f>
        <v>-0.4060533399470897</v>
      </c>
      <c r="F297" s="108">
        <f>VLOOKUP(ROW(F297)+4,'Water runs'!$CH$3:$CU$423,MATCH($B$1,Scenarios,0)+1)</f>
        <v>0</v>
      </c>
      <c r="G297" s="65">
        <f>H297/Variables!$E$49</f>
        <v>0.18140844409738793</v>
      </c>
      <c r="H297" s="62">
        <f>IF((H296+I297)&gt;(1.1*Variables!$E$50),(1.1*Variables!$E$50),IF((H296+I297)&gt;0,H296+I297,0))</f>
        <v>1.1247323534038052</v>
      </c>
      <c r="I297" s="64">
        <f t="shared" si="8"/>
        <v>-1.1155259952994534</v>
      </c>
      <c r="J297" s="63">
        <f>IF(SUM(E293:E296)&lt;Variables!$B$3,-H296,0)</f>
        <v>0</v>
      </c>
      <c r="K297" s="64">
        <f>IF(AND(H296&lt;Variables!$B$6*Variables!$E$50,OR(SUM(D294:D297)&gt;Variables!$B$5,SUM(E294:E297)&gt;Variables!$B$4)),Variables!$B$6*Variables!$E$50+Variables!$B$7*$G$1*Variables!$E$50*SUM(D294:D297),0)</f>
        <v>0</v>
      </c>
      <c r="L297" s="64">
        <f>IF(B297="Winter",Variables!$B$8*H296,0)</f>
        <v>-1.1155259952994534</v>
      </c>
      <c r="M297" s="64">
        <f>IF(AND(B297="Spring",AND(NOT(H296=0),H296&lt;(Variables!$B$9*Variables!$E$50))),(Variables!$B$10*Variables!$E$50+Variables!$B$11*Variables!$E$50*SUM(E294:E297)+$G$1*SUM(D296:D297)*Variables!$E$50*Variables!$B$12),0)</f>
        <v>0</v>
      </c>
      <c r="N297" s="64">
        <f>IF(AND(B297="Spring",AND(SUM(D294:D297)&gt;Variables!$B$13,SUM(D290:D293)&gt;Variables!$B$13)),-Variables!$B$14*Variables!$E$50,0)</f>
        <v>0</v>
      </c>
      <c r="O297" s="64">
        <f>IF(AND(B297="Summer",SUM(C293:D297)&gt;Variables!$B$15),(Variables!$B$16*Variables!$E$50*SUM(C293:C297)+$G$1*Variables!$B$16*Variables!$E$50*SUM(D293:D297)+$G$1*Variables!$E$50*Variables!$B$17*F297),0)</f>
        <v>0</v>
      </c>
      <c r="P297" s="64">
        <f>IF(AND(AND(B297="Autumn",SUM(D296:E297)&gt;0),NOT(H296=0)),Variables!$B$18*Variables!$E$50+Variables!$B$19*Variables!$E$50*SUM(E296:E297)+$G$1*Variables!$B$19*Variables!$E$50*SUM(D296:D297),0)</f>
        <v>0</v>
      </c>
      <c r="Q297" s="64">
        <f>IF(AND(B297="Autumn",AND((E297+E296)&lt;Variables!$B$20,(D296+D297)=0)),-Variables!$B$21*Variables!$E$50,0)</f>
        <v>0</v>
      </c>
      <c r="R297" s="64">
        <f>IF(B297="Autumn",(SUM(F296:F297)*$G$1*Variables!$B$22*Variables!$E$50),0)</f>
        <v>0</v>
      </c>
      <c r="S297" s="64">
        <f>IF(B297="Spring",($G$1*Variables!$E$50*SUM('Guts (option 1)'!F296:F297)*Variables!$B$23),0)</f>
        <v>0</v>
      </c>
      <c r="T297" s="63">
        <f>IF((H296+SUM(J297:Q297))&lt;(Variables!$B$26*Variables!$E$50),$F$1*((Variables!$B$26*Variables!$E$50)-H296-SUM(J297:Q297)),0)</f>
        <v>0</v>
      </c>
      <c r="U297" s="64">
        <f>IF(AND(AND(B297="Autumn",SUM(D294:E297)&gt;Variables!$B$27),SUM(J297:Q297)&lt;Variables!$B$28*H296),$F$1*(Variables!$B$28*H296-SUM(J297:Q297)),0)</f>
        <v>0</v>
      </c>
      <c r="V297" s="96">
        <f>IF(AND((J297+K297)=0,(Q297+T297)=0),$H$1*H297*Variables!$I$23*0.25,0)</f>
        <v>21.673761159944338</v>
      </c>
      <c r="W297" s="97">
        <f>IF(AND((K297+J297)=0,(T297+Q297)=0),$I$1*H297*Variables!$Q$23*0.25,0)</f>
        <v>22.686695117419802</v>
      </c>
      <c r="X297" s="95">
        <f>IF(AND(NOT(K297=0),(H297-H296)&gt;0),(H297-H296)*(Variables!$M$5*$H$1+Variables!$U$5*$I$1),0)+IF(AND(NOT((J297+N297+Q297)=0),(H296-H297)&gt;0),(H296-H297)*(Variables!$M$4*$H$1+Variables!$U$4*$I$1),0)</f>
        <v>0</v>
      </c>
      <c r="Y297" s="95">
        <f>IF(SUM(T297,U296:U297)&gt;0,H297*Variables!$Y$11*0.25*(1-$J$1),0)</f>
        <v>0</v>
      </c>
      <c r="Z297" s="95">
        <f>IF(T297=0,H297*$J$1*Variables!$Y$5*0.25,0)</f>
        <v>7.3107602971247339</v>
      </c>
      <c r="AA297" s="95">
        <f t="shared" si="9"/>
        <v>51.671216574488867</v>
      </c>
      <c r="AB297" s="91">
        <f>AA297/Variables!$E$49</f>
        <v>8.3340671894336875</v>
      </c>
    </row>
    <row r="298" spans="1:28" x14ac:dyDescent="0.25">
      <c r="A298" s="61">
        <f>'Water runs'!C305</f>
        <v>29189</v>
      </c>
      <c r="B298" s="61" t="str">
        <f>'Water runs'!B305</f>
        <v>Spring</v>
      </c>
      <c r="C298" s="54">
        <f>'Water runs'!D305/100</f>
        <v>0.801160714285714</v>
      </c>
      <c r="D298" s="108">
        <f>VLOOKUP(ROW(D298)+4,'Water runs'!$BS$3:$CF$423,MATCH($B$1,Scenarios,0)+1)</f>
        <v>0</v>
      </c>
      <c r="E298" s="54">
        <f>IF(B298=Variables!$D$8,C298-Variables!$E$8,IF(B298=Variables!$D$9,C298-Variables!$E$9,IF(B298=Variables!$D$10,C298-Variables!$E$10,IF(B298=Variables!$D$11,C298-Variables!$E$11,"ELSE"))))</f>
        <v>3.717850529100486E-2</v>
      </c>
      <c r="F298" s="108">
        <f>VLOOKUP(ROW(F298)+4,'Water runs'!$CH$3:$CU$423,MATCH($B$1,Scenarios,0)+1)</f>
        <v>0</v>
      </c>
      <c r="G298" s="65">
        <f>H298/Variables!$E$49</f>
        <v>0.161</v>
      </c>
      <c r="H298" s="62">
        <f>IF((H297+I298)&gt;(1.1*Variables!$E$50),(1.1*Variables!$E$50),IF((H297+I298)&gt;0,H297+I298,0))</f>
        <v>0.99820000000000009</v>
      </c>
      <c r="I298" s="64">
        <f t="shared" si="8"/>
        <v>-0.12653235340380509</v>
      </c>
      <c r="J298" s="63">
        <f>IF(SUM(E294:E297)&lt;Variables!$B$3,-H297,0)</f>
        <v>0</v>
      </c>
      <c r="K298" s="64">
        <f>IF(AND(H297&lt;Variables!$B$6*Variables!$E$50,OR(SUM(D295:D298)&gt;Variables!$B$5,SUM(E295:E298)&gt;Variables!$B$4)),Variables!$B$6*Variables!$E$50+Variables!$B$7*$G$1*Variables!$E$50*SUM(D295:D298),0)</f>
        <v>0</v>
      </c>
      <c r="L298" s="64">
        <f>IF(B298="Winter",Variables!$B$8*H297,0)</f>
        <v>0</v>
      </c>
      <c r="M298" s="64">
        <f>IF(AND(B298="Spring",AND(NOT(H297=0),H297&lt;(Variables!$B$9*Variables!$E$50))),(Variables!$B$10*Variables!$E$50+Variables!$B$11*Variables!$E$50*SUM(E295:E298)+$G$1*SUM(D297:D298)*Variables!$E$50*Variables!$B$12),0)</f>
        <v>-0.64402988669384531</v>
      </c>
      <c r="N298" s="64">
        <f>IF(AND(B298="Spring",AND(SUM(D295:D298)&gt;Variables!$B$13,SUM(D291:D294)&gt;Variables!$B$13)),-Variables!$B$14*Variables!$E$50,0)</f>
        <v>0</v>
      </c>
      <c r="O298" s="64">
        <f>IF(AND(B298="Summer",SUM(C294:D298)&gt;Variables!$B$15),(Variables!$B$16*Variables!$E$50*SUM(C294:C298)+$G$1*Variables!$B$16*Variables!$E$50*SUM(D294:D298)+$G$1*Variables!$E$50*Variables!$B$17*F298),0)</f>
        <v>0</v>
      </c>
      <c r="P298" s="64">
        <f>IF(AND(AND(B298="Autumn",SUM(D297:E298)&gt;0),NOT(H297=0)),Variables!$B$18*Variables!$E$50+Variables!$B$19*Variables!$E$50*SUM(E297:E298)+$G$1*Variables!$B$19*Variables!$E$50*SUM(D297:D298),0)</f>
        <v>0</v>
      </c>
      <c r="Q298" s="64">
        <f>IF(AND(B298="Autumn",AND((E298+E297)&lt;Variables!$B$20,(D297+D298)=0)),-Variables!$B$21*Variables!$E$50,0)</f>
        <v>0</v>
      </c>
      <c r="R298" s="64">
        <f>IF(B298="Autumn",(SUM(F297:F298)*$G$1*Variables!$B$22*Variables!$E$50),0)</f>
        <v>0</v>
      </c>
      <c r="S298" s="64">
        <f>IF(B298="Spring",($G$1*Variables!$E$50*SUM('Guts (option 1)'!F297:F298)*Variables!$B$23),0)</f>
        <v>0</v>
      </c>
      <c r="T298" s="63">
        <f>IF((H297+SUM(J298:Q298))&lt;(Variables!$B$26*Variables!$E$50),$F$1*((Variables!$B$26*Variables!$E$50)-H297-SUM(J298:Q298)),0)</f>
        <v>0.51749753329004022</v>
      </c>
      <c r="U298" s="64">
        <f>IF(AND(AND(B298="Autumn",SUM(D295:E298)&gt;Variables!$B$27),SUM(J298:Q298)&lt;Variables!$B$28*H297),$F$1*(Variables!$B$28*H297-SUM(J298:Q298)),0)</f>
        <v>0</v>
      </c>
      <c r="V298" s="96">
        <f>IF(AND((J298+K298)=0,(Q298+T298)=0),$H$1*H298*Variables!$I$23*0.25,0)</f>
        <v>0</v>
      </c>
      <c r="W298" s="97">
        <f>IF(AND((K298+J298)=0,(T298+Q298)=0),$I$1*H298*Variables!$Q$23*0.25,0)</f>
        <v>0</v>
      </c>
      <c r="X298" s="95">
        <f>IF(AND(NOT(K298=0),(H298-H297)&gt;0),(H298-H297)*(Variables!$M$5*$H$1+Variables!$U$5*$I$1),0)+IF(AND(NOT((J298+N298+Q298)=0),(H297-H298)&gt;0),(H297-H298)*(Variables!$M$4*$H$1+Variables!$U$4*$I$1),0)</f>
        <v>0</v>
      </c>
      <c r="Y298" s="95">
        <f>IF(SUM(T298,U297:U298)&gt;0,H298*Variables!$Y$11*0.25*(1-$J$1),0)</f>
        <v>0</v>
      </c>
      <c r="Z298" s="95">
        <f>IF(T298=0,H298*$J$1*Variables!$Y$5*0.25,0)</f>
        <v>0</v>
      </c>
      <c r="AA298" s="95">
        <f t="shared" si="9"/>
        <v>0</v>
      </c>
      <c r="AB298" s="91">
        <f>AA298/Variables!$E$49</f>
        <v>0</v>
      </c>
    </row>
    <row r="299" spans="1:28" x14ac:dyDescent="0.25">
      <c r="A299" s="61">
        <f>'Water runs'!C306</f>
        <v>29279</v>
      </c>
      <c r="B299" s="61" t="str">
        <f>'Water runs'!B306</f>
        <v>Summer</v>
      </c>
      <c r="C299" s="54">
        <f>'Water runs'!D306/100</f>
        <v>0.20782142857142902</v>
      </c>
      <c r="D299" s="108">
        <f>VLOOKUP(ROW(D299)+4,'Water runs'!$BS$3:$CF$423,MATCH($B$1,Scenarios,0)+1)</f>
        <v>0</v>
      </c>
      <c r="E299" s="54">
        <f>IF(B299=Variables!$D$8,C299-Variables!$E$8,IF(B299=Variables!$D$9,C299-Variables!$E$9,IF(B299=Variables!$D$10,C299-Variables!$E$10,IF(B299=Variables!$D$11,C299-Variables!$E$11,"ELSE"))))</f>
        <v>-1.0505487074829927</v>
      </c>
      <c r="F299" s="108">
        <f>VLOOKUP(ROW(F299)+4,'Water runs'!$CH$3:$CU$423,MATCH($B$1,Scenarios,0)+1)</f>
        <v>0</v>
      </c>
      <c r="G299" s="65">
        <f>H299/Variables!$E$49</f>
        <v>0.161</v>
      </c>
      <c r="H299" s="62">
        <f>IF((H298+I299)&gt;(1.1*Variables!$E$50),(1.1*Variables!$E$50),IF((H298+I299)&gt;0,H298+I299,0))</f>
        <v>0.99820000000000009</v>
      </c>
      <c r="I299" s="64">
        <f t="shared" si="8"/>
        <v>0</v>
      </c>
      <c r="J299" s="63">
        <f>IF(SUM(E295:E298)&lt;Variables!$B$3,-H298,0)</f>
        <v>0</v>
      </c>
      <c r="K299" s="64">
        <f>IF(AND(H298&lt;Variables!$B$6*Variables!$E$50,OR(SUM(D296:D299)&gt;Variables!$B$5,SUM(E296:E299)&gt;Variables!$B$4)),Variables!$B$6*Variables!$E$50+Variables!$B$7*$G$1*Variables!$E$50*SUM(D296:D299),0)</f>
        <v>0</v>
      </c>
      <c r="L299" s="64">
        <f>IF(B299="Winter",Variables!$B$8*H298,0)</f>
        <v>0</v>
      </c>
      <c r="M299" s="64">
        <f>IF(AND(B299="Spring",AND(NOT(H298=0),H298&lt;(Variables!$B$9*Variables!$E$50))),(Variables!$B$10*Variables!$E$50+Variables!$B$11*Variables!$E$50*SUM(E296:E299)+$G$1*SUM(D298:D299)*Variables!$E$50*Variables!$B$12),0)</f>
        <v>0</v>
      </c>
      <c r="N299" s="64">
        <f>IF(AND(B299="Spring",AND(SUM(D296:D299)&gt;Variables!$B$13,SUM(D292:D295)&gt;Variables!$B$13)),-Variables!$B$14*Variables!$E$50,0)</f>
        <v>0</v>
      </c>
      <c r="O299" s="64">
        <f>IF(AND(B299="Summer",SUM(C295:D299)&gt;Variables!$B$15),(Variables!$B$16*Variables!$E$50*SUM(C295:C299)+$G$1*Variables!$B$16*Variables!$E$50*SUM(D295:D299)+$G$1*Variables!$E$50*Variables!$B$17*F299),0)</f>
        <v>0</v>
      </c>
      <c r="P299" s="64">
        <f>IF(AND(AND(B299="Autumn",SUM(D298:E299)&gt;0),NOT(H298=0)),Variables!$B$18*Variables!$E$50+Variables!$B$19*Variables!$E$50*SUM(E298:E299)+$G$1*Variables!$B$19*Variables!$E$50*SUM(D298:D299),0)</f>
        <v>0</v>
      </c>
      <c r="Q299" s="64">
        <f>IF(AND(B299="Autumn",AND((E299+E298)&lt;Variables!$B$20,(D298+D299)=0)),-Variables!$B$21*Variables!$E$50,0)</f>
        <v>0</v>
      </c>
      <c r="R299" s="64">
        <f>IF(B299="Autumn",(SUM(F298:F299)*$G$1*Variables!$B$22*Variables!$E$50),0)</f>
        <v>0</v>
      </c>
      <c r="S299" s="64">
        <f>IF(B299="Spring",($G$1*Variables!$E$50*SUM('Guts (option 1)'!F298:F299)*Variables!$B$23),0)</f>
        <v>0</v>
      </c>
      <c r="T299" s="63">
        <f>IF((H298+SUM(J299:Q299))&lt;(Variables!$B$26*Variables!$E$50),$F$1*((Variables!$B$26*Variables!$E$50)-H298-SUM(J299:Q299)),0)</f>
        <v>0</v>
      </c>
      <c r="U299" s="64">
        <f>IF(AND(AND(B299="Autumn",SUM(D296:E299)&gt;Variables!$B$27),SUM(J299:Q299)&lt;Variables!$B$28*H298),$F$1*(Variables!$B$28*H298-SUM(J299:Q299)),0)</f>
        <v>0</v>
      </c>
      <c r="V299" s="96">
        <f>IF(AND((J299+K299)=0,(Q299+T299)=0),$H$1*H299*Variables!$I$23*0.25,0)</f>
        <v>19.235463730000003</v>
      </c>
      <c r="W299" s="97">
        <f>IF(AND((K299+J299)=0,(T299+Q299)=0),$I$1*H299*Variables!$Q$23*0.25,0)</f>
        <v>20.13444265</v>
      </c>
      <c r="X299" s="95">
        <f>IF(AND(NOT(K299=0),(H299-H298)&gt;0),(H299-H298)*(Variables!$M$5*$H$1+Variables!$U$5*$I$1),0)+IF(AND(NOT((J299+N299+Q299)=0),(H298-H299)&gt;0),(H298-H299)*(Variables!$M$4*$H$1+Variables!$U$4*$I$1),0)</f>
        <v>0</v>
      </c>
      <c r="Y299" s="95">
        <f>IF(SUM(T299,U298:U299)&gt;0,H299*Variables!$Y$11*0.25*(1-$J$1),0)</f>
        <v>0</v>
      </c>
      <c r="Z299" s="95">
        <f>IF(T299=0,H299*$J$1*Variables!$Y$5*0.25,0)</f>
        <v>6.4883000000000006</v>
      </c>
      <c r="AA299" s="95">
        <f t="shared" si="9"/>
        <v>45.858206380000006</v>
      </c>
      <c r="AB299" s="91">
        <f>AA299/Variables!$E$49</f>
        <v>7.3964849000000008</v>
      </c>
    </row>
    <row r="300" spans="1:28" x14ac:dyDescent="0.25">
      <c r="A300" s="61">
        <f>'Water runs'!C307</f>
        <v>29372</v>
      </c>
      <c r="B300" s="61" t="str">
        <f>'Water runs'!B307</f>
        <v>Autumn</v>
      </c>
      <c r="C300" s="54">
        <f>'Water runs'!D307/100</f>
        <v>0.25989285714285698</v>
      </c>
      <c r="D300" s="108">
        <f>VLOOKUP(ROW(D300)+4,'Water runs'!$BS$3:$CF$423,MATCH($B$1,Scenarios,0)+1)</f>
        <v>0</v>
      </c>
      <c r="E300" s="54">
        <f>IF(B300=Variables!$D$8,C300-Variables!$E$8,IF(B300=Variables!$D$9,C300-Variables!$E$9,IF(B300=Variables!$D$10,C300-Variables!$E$10,IF(B300=Variables!$D$11,C300-Variables!$E$11,"ELSE"))))</f>
        <v>-0.73475044217687091</v>
      </c>
      <c r="F300" s="108">
        <f>VLOOKUP(ROW(F300)+4,'Water runs'!$CH$3:$CU$423,MATCH($B$1,Scenarios,0)+1)</f>
        <v>0</v>
      </c>
      <c r="G300" s="65">
        <f>H300/Variables!$E$49</f>
        <v>0.161</v>
      </c>
      <c r="H300" s="62">
        <f>IF((H299+I300)&gt;(1.1*Variables!$E$50),(1.1*Variables!$E$50),IF((H299+I300)&gt;0,H299+I300,0))</f>
        <v>0.99820000000000009</v>
      </c>
      <c r="I300" s="64">
        <f t="shared" si="8"/>
        <v>0</v>
      </c>
      <c r="J300" s="63">
        <f>IF(SUM(E296:E299)&lt;Variables!$B$3,-H299,0)</f>
        <v>0</v>
      </c>
      <c r="K300" s="64">
        <f>IF(AND(H299&lt;Variables!$B$6*Variables!$E$50,OR(SUM(D297:D300)&gt;Variables!$B$5,SUM(E297:E300)&gt;Variables!$B$4)),Variables!$B$6*Variables!$E$50+Variables!$B$7*$G$1*Variables!$E$50*SUM(D297:D300),0)</f>
        <v>0</v>
      </c>
      <c r="L300" s="64">
        <f>IF(B300="Winter",Variables!$B$8*H299,0)</f>
        <v>0</v>
      </c>
      <c r="M300" s="64">
        <f>IF(AND(B300="Spring",AND(NOT(H299=0),H299&lt;(Variables!$B$9*Variables!$E$50))),(Variables!$B$10*Variables!$E$50+Variables!$B$11*Variables!$E$50*SUM(E297:E300)+$G$1*SUM(D299:D300)*Variables!$E$50*Variables!$B$12),0)</f>
        <v>0</v>
      </c>
      <c r="N300" s="64">
        <f>IF(AND(B300="Spring",AND(SUM(D297:D300)&gt;Variables!$B$13,SUM(D293:D296)&gt;Variables!$B$13)),-Variables!$B$14*Variables!$E$50,0)</f>
        <v>0</v>
      </c>
      <c r="O300" s="64">
        <f>IF(AND(B300="Summer",SUM(C296:D300)&gt;Variables!$B$15),(Variables!$B$16*Variables!$E$50*SUM(C296:C300)+$G$1*Variables!$B$16*Variables!$E$50*SUM(D296:D300)+$G$1*Variables!$E$50*Variables!$B$17*F300),0)</f>
        <v>0</v>
      </c>
      <c r="P300" s="64">
        <f>IF(AND(AND(B300="Autumn",SUM(D299:E300)&gt;0),NOT(H299=0)),Variables!$B$18*Variables!$E$50+Variables!$B$19*Variables!$E$50*SUM(E299:E300)+$G$1*Variables!$B$19*Variables!$E$50*SUM(D299:D300),0)</f>
        <v>0</v>
      </c>
      <c r="Q300" s="64">
        <f>IF(AND(B300="Autumn",AND((E300+E299)&lt;Variables!$B$20,(D299+D300)=0)),-Variables!$B$21*Variables!$E$50,0)</f>
        <v>-4.0327172013864514</v>
      </c>
      <c r="R300" s="64">
        <f>IF(B300="Autumn",(SUM(F299:F300)*$G$1*Variables!$B$22*Variables!$E$50),0)</f>
        <v>0</v>
      </c>
      <c r="S300" s="64">
        <f>IF(B300="Spring",($G$1*Variables!$E$50*SUM('Guts (option 1)'!F299:F300)*Variables!$B$23),0)</f>
        <v>0</v>
      </c>
      <c r="T300" s="63">
        <f>IF((H299+SUM(J300:Q300))&lt;(Variables!$B$26*Variables!$E$50),$F$1*((Variables!$B$26*Variables!$E$50)-H299-SUM(J300:Q300)),0)</f>
        <v>4.0327172013864514</v>
      </c>
      <c r="U300" s="64">
        <f>IF(AND(AND(B300="Autumn",SUM(D297:E300)&gt;Variables!$B$27),SUM(J300:Q300)&lt;Variables!$B$28*H299),$F$1*(Variables!$B$28*H299-SUM(J300:Q300)),0)</f>
        <v>0</v>
      </c>
      <c r="V300" s="96">
        <f>IF(AND((J300+K300)=0,(Q300+T300)=0),$H$1*H300*Variables!$I$23*0.25,0)</f>
        <v>19.235463730000003</v>
      </c>
      <c r="W300" s="97">
        <f>IF(AND((K300+J300)=0,(T300+Q300)=0),$I$1*H300*Variables!$Q$23*0.25,0)</f>
        <v>20.13444265</v>
      </c>
      <c r="X300" s="95">
        <f>IF(AND(NOT(K300=0),(H300-H299)&gt;0),(H300-H299)*(Variables!$M$5*$H$1+Variables!$U$5*$I$1),0)+IF(AND(NOT((J300+N300+Q300)=0),(H299-H300)&gt;0),(H299-H300)*(Variables!$M$4*$H$1+Variables!$U$4*$I$1),0)</f>
        <v>0</v>
      </c>
      <c r="Y300" s="95">
        <f>IF(SUM(T300,U299:U300)&gt;0,H300*Variables!$Y$11*0.25*(1-$J$1),0)</f>
        <v>0</v>
      </c>
      <c r="Z300" s="95">
        <f>IF(T300=0,H300*$J$1*Variables!$Y$5*0.25,0)</f>
        <v>0</v>
      </c>
      <c r="AA300" s="95">
        <f t="shared" si="9"/>
        <v>39.369906380000003</v>
      </c>
      <c r="AB300" s="91">
        <f>AA300/Variables!$E$49</f>
        <v>6.3499848999999999</v>
      </c>
    </row>
    <row r="301" spans="1:28" x14ac:dyDescent="0.25">
      <c r="A301" s="61">
        <f>'Water runs'!C308</f>
        <v>29464</v>
      </c>
      <c r="B301" s="61" t="str">
        <f>'Water runs'!B308</f>
        <v>Winter</v>
      </c>
      <c r="C301" s="54">
        <f>'Water runs'!D308/100</f>
        <v>9.7750000000000004E-2</v>
      </c>
      <c r="D301" s="108">
        <f>VLOOKUP(ROW(D301)+4,'Water runs'!$BS$3:$CF$423,MATCH($B$1,Scenarios,0)+1)</f>
        <v>0</v>
      </c>
      <c r="E301" s="54">
        <f>IF(B301=Variables!$D$8,C301-Variables!$E$8,IF(B301=Variables!$D$9,C301-Variables!$E$9,IF(B301=Variables!$D$10,C301-Variables!$E$10,IF(B301=Variables!$D$11,C301-Variables!$E$11,"ELSE"))))</f>
        <v>-0.47401762566137573</v>
      </c>
      <c r="F301" s="108">
        <f>VLOOKUP(ROW(F301)+4,'Water runs'!$CH$3:$CU$423,MATCH($B$1,Scenarios,0)+1)</f>
        <v>0</v>
      </c>
      <c r="G301" s="65">
        <f>H301/Variables!$E$49</f>
        <v>0.161</v>
      </c>
      <c r="H301" s="62">
        <f>IF((H300+I301)&gt;(1.1*Variables!$E$50),(1.1*Variables!$E$50),IF((H300+I301)&gt;0,H300+I301,0))</f>
        <v>0.99820000000000009</v>
      </c>
      <c r="I301" s="64">
        <f t="shared" si="8"/>
        <v>0</v>
      </c>
      <c r="J301" s="63">
        <f>IF(SUM(E297:E300)&lt;Variables!$B$3,-H300,0)</f>
        <v>-0.99820000000000009</v>
      </c>
      <c r="K301" s="64">
        <f>IF(AND(H300&lt;Variables!$B$6*Variables!$E$50,OR(SUM(D298:D301)&gt;Variables!$B$5,SUM(E298:E301)&gt;Variables!$B$4)),Variables!$B$6*Variables!$E$50+Variables!$B$7*$G$1*Variables!$E$50*SUM(D298:D301),0)</f>
        <v>0</v>
      </c>
      <c r="L301" s="64">
        <f>IF(B301="Winter",Variables!$B$8*H300,0)</f>
        <v>-0.49704894489176149</v>
      </c>
      <c r="M301" s="64">
        <f>IF(AND(B301="Spring",AND(NOT(H300=0),H300&lt;(Variables!$B$9*Variables!$E$50))),(Variables!$B$10*Variables!$E$50+Variables!$B$11*Variables!$E$50*SUM(E298:E301)+$G$1*SUM(D300:D301)*Variables!$E$50*Variables!$B$12),0)</f>
        <v>0</v>
      </c>
      <c r="N301" s="64">
        <f>IF(AND(B301="Spring",AND(SUM(D298:D301)&gt;Variables!$B$13,SUM(D294:D297)&gt;Variables!$B$13)),-Variables!$B$14*Variables!$E$50,0)</f>
        <v>0</v>
      </c>
      <c r="O301" s="64">
        <f>IF(AND(B301="Summer",SUM(C297:D301)&gt;Variables!$B$15),(Variables!$B$16*Variables!$E$50*SUM(C297:C301)+$G$1*Variables!$B$16*Variables!$E$50*SUM(D297:D301)+$G$1*Variables!$E$50*Variables!$B$17*F301),0)</f>
        <v>0</v>
      </c>
      <c r="P301" s="64">
        <f>IF(AND(AND(B301="Autumn",SUM(D300:E301)&gt;0),NOT(H300=0)),Variables!$B$18*Variables!$E$50+Variables!$B$19*Variables!$E$50*SUM(E300:E301)+$G$1*Variables!$B$19*Variables!$E$50*SUM(D300:D301),0)</f>
        <v>0</v>
      </c>
      <c r="Q301" s="64">
        <f>IF(AND(B301="Autumn",AND((E301+E300)&lt;Variables!$B$20,(D300+D301)=0)),-Variables!$B$21*Variables!$E$50,0)</f>
        <v>0</v>
      </c>
      <c r="R301" s="64">
        <f>IF(B301="Autumn",(SUM(F300:F301)*$G$1*Variables!$B$22*Variables!$E$50),0)</f>
        <v>0</v>
      </c>
      <c r="S301" s="64">
        <f>IF(B301="Spring",($G$1*Variables!$E$50*SUM('Guts (option 1)'!F300:F301)*Variables!$B$23),0)</f>
        <v>0</v>
      </c>
      <c r="T301" s="63">
        <f>IF((H300+SUM(J301:Q301))&lt;(Variables!$B$26*Variables!$E$50),$F$1*((Variables!$B$26*Variables!$E$50)-H300-SUM(J301:Q301)),0)</f>
        <v>1.4952489448917616</v>
      </c>
      <c r="U301" s="64">
        <f>IF(AND(AND(B301="Autumn",SUM(D298:E301)&gt;Variables!$B$27),SUM(J301:Q301)&lt;Variables!$B$28*H300),$F$1*(Variables!$B$28*H300-SUM(J301:Q301)),0)</f>
        <v>0</v>
      </c>
      <c r="V301" s="96">
        <f>IF(AND((J301+K301)=0,(Q301+T301)=0),$H$1*H301*Variables!$I$23*0.25,0)</f>
        <v>0</v>
      </c>
      <c r="W301" s="97">
        <f>IF(AND((K301+J301)=0,(T301+Q301)=0),$I$1*H301*Variables!$Q$23*0.25,0)</f>
        <v>0</v>
      </c>
      <c r="X301" s="95">
        <f>IF(AND(NOT(K301=0),(H301-H300)&gt;0),(H301-H300)*(Variables!$M$5*$H$1+Variables!$U$5*$I$1),0)+IF(AND(NOT((J301+N301+Q301)=0),(H300-H301)&gt;0),(H300-H301)*(Variables!$M$4*$H$1+Variables!$U$4*$I$1),0)</f>
        <v>0</v>
      </c>
      <c r="Y301" s="95">
        <f>IF(SUM(T301,U300:U301)&gt;0,H301*Variables!$Y$11*0.25*(1-$J$1),0)</f>
        <v>0</v>
      </c>
      <c r="Z301" s="95">
        <f>IF(T301=0,H301*$J$1*Variables!$Y$5*0.25,0)</f>
        <v>0</v>
      </c>
      <c r="AA301" s="95">
        <f t="shared" si="9"/>
        <v>0</v>
      </c>
      <c r="AB301" s="91">
        <f>AA301/Variables!$E$49</f>
        <v>0</v>
      </c>
    </row>
    <row r="302" spans="1:28" x14ac:dyDescent="0.25">
      <c r="A302" s="61">
        <f>'Water runs'!C309</f>
        <v>29555</v>
      </c>
      <c r="B302" s="61" t="str">
        <f>'Water runs'!B309</f>
        <v>Spring</v>
      </c>
      <c r="C302" s="54">
        <f>'Water runs'!D309/100</f>
        <v>0.14199999999999999</v>
      </c>
      <c r="D302" s="108">
        <f>VLOOKUP(ROW(D302)+4,'Water runs'!$BS$3:$CF$423,MATCH($B$1,Scenarios,0)+1)</f>
        <v>0</v>
      </c>
      <c r="E302" s="54">
        <f>IF(B302=Variables!$D$8,C302-Variables!$E$8,IF(B302=Variables!$D$9,C302-Variables!$E$9,IF(B302=Variables!$D$10,C302-Variables!$E$10,IF(B302=Variables!$D$11,C302-Variables!$E$11,"ELSE"))))</f>
        <v>-0.62198220899470913</v>
      </c>
      <c r="F302" s="108">
        <f>VLOOKUP(ROW(F302)+4,'Water runs'!$CH$3:$CU$423,MATCH($B$1,Scenarios,0)+1)</f>
        <v>0</v>
      </c>
      <c r="G302" s="65">
        <f>H302/Variables!$E$49</f>
        <v>0.161</v>
      </c>
      <c r="H302" s="62">
        <f>IF((H301+I302)&gt;(1.1*Variables!$E$50),(1.1*Variables!$E$50),IF((H301+I302)&gt;0,H301+I302,0))</f>
        <v>0.99820000000000009</v>
      </c>
      <c r="I302" s="64">
        <f t="shared" si="8"/>
        <v>0</v>
      </c>
      <c r="J302" s="63">
        <f>IF(SUM(E298:E301)&lt;Variables!$B$3,-H301,0)</f>
        <v>-0.99820000000000009</v>
      </c>
      <c r="K302" s="64">
        <f>IF(AND(H301&lt;Variables!$B$6*Variables!$E$50,OR(SUM(D299:D302)&gt;Variables!$B$5,SUM(E299:E302)&gt;Variables!$B$4)),Variables!$B$6*Variables!$E$50+Variables!$B$7*$G$1*Variables!$E$50*SUM(D299:D302),0)</f>
        <v>0</v>
      </c>
      <c r="L302" s="64">
        <f>IF(B302="Winter",Variables!$B$8*H301,0)</f>
        <v>0</v>
      </c>
      <c r="M302" s="64">
        <f>IF(AND(B302="Spring",AND(NOT(H301=0),H301&lt;(Variables!$B$9*Variables!$E$50))),(Variables!$B$10*Variables!$E$50+Variables!$B$11*Variables!$E$50*SUM(E299:E302)+$G$1*SUM(D301:D302)*Variables!$E$50*Variables!$B$12),0)</f>
        <v>-1.962342344244532</v>
      </c>
      <c r="N302" s="64">
        <f>IF(AND(B302="Spring",AND(SUM(D299:D302)&gt;Variables!$B$13,SUM(D295:D298)&gt;Variables!$B$13)),-Variables!$B$14*Variables!$E$50,0)</f>
        <v>0</v>
      </c>
      <c r="O302" s="64">
        <f>IF(AND(B302="Summer",SUM(C298:D302)&gt;Variables!$B$15),(Variables!$B$16*Variables!$E$50*SUM(C298:C302)+$G$1*Variables!$B$16*Variables!$E$50*SUM(D298:D302)+$G$1*Variables!$E$50*Variables!$B$17*F302),0)</f>
        <v>0</v>
      </c>
      <c r="P302" s="64">
        <f>IF(AND(AND(B302="Autumn",SUM(D301:E302)&gt;0),NOT(H301=0)),Variables!$B$18*Variables!$E$50+Variables!$B$19*Variables!$E$50*SUM(E301:E302)+$G$1*Variables!$B$19*Variables!$E$50*SUM(D301:D302),0)</f>
        <v>0</v>
      </c>
      <c r="Q302" s="64">
        <f>IF(AND(B302="Autumn",AND((E302+E301)&lt;Variables!$B$20,(D301+D302)=0)),-Variables!$B$21*Variables!$E$50,0)</f>
        <v>0</v>
      </c>
      <c r="R302" s="64">
        <f>IF(B302="Autumn",(SUM(F301:F302)*$G$1*Variables!$B$22*Variables!$E$50),0)</f>
        <v>0</v>
      </c>
      <c r="S302" s="64">
        <f>IF(B302="Spring",($G$1*Variables!$E$50*SUM('Guts (option 1)'!F301:F302)*Variables!$B$23),0)</f>
        <v>0</v>
      </c>
      <c r="T302" s="63">
        <f>IF((H301+SUM(J302:Q302))&lt;(Variables!$B$26*Variables!$E$50),$F$1*((Variables!$B$26*Variables!$E$50)-H301-SUM(J302:Q302)),0)</f>
        <v>2.9605423442445322</v>
      </c>
      <c r="U302" s="64">
        <f>IF(AND(AND(B302="Autumn",SUM(D299:E302)&gt;Variables!$B$27),SUM(J302:Q302)&lt;Variables!$B$28*H301),$F$1*(Variables!$B$28*H301-SUM(J302:Q302)),0)</f>
        <v>0</v>
      </c>
      <c r="V302" s="96">
        <f>IF(AND((J302+K302)=0,(Q302+T302)=0),$H$1*H302*Variables!$I$23*0.25,0)</f>
        <v>0</v>
      </c>
      <c r="W302" s="97">
        <f>IF(AND((K302+J302)=0,(T302+Q302)=0),$I$1*H302*Variables!$Q$23*0.25,0)</f>
        <v>0</v>
      </c>
      <c r="X302" s="95">
        <f>IF(AND(NOT(K302=0),(H302-H301)&gt;0),(H302-H301)*(Variables!$M$5*$H$1+Variables!$U$5*$I$1),0)+IF(AND(NOT((J302+N302+Q302)=0),(H301-H302)&gt;0),(H301-H302)*(Variables!$M$4*$H$1+Variables!$U$4*$I$1),0)</f>
        <v>0</v>
      </c>
      <c r="Y302" s="95">
        <f>IF(SUM(T302,U301:U302)&gt;0,H302*Variables!$Y$11*0.25*(1-$J$1),0)</f>
        <v>0</v>
      </c>
      <c r="Z302" s="95">
        <f>IF(T302=0,H302*$J$1*Variables!$Y$5*0.25,0)</f>
        <v>0</v>
      </c>
      <c r="AA302" s="95">
        <f t="shared" si="9"/>
        <v>0</v>
      </c>
      <c r="AB302" s="91">
        <f>AA302/Variables!$E$49</f>
        <v>0</v>
      </c>
    </row>
    <row r="303" spans="1:28" x14ac:dyDescent="0.25">
      <c r="A303" s="61">
        <f>'Water runs'!C310</f>
        <v>29645</v>
      </c>
      <c r="B303" s="61" t="str">
        <f>'Water runs'!B310</f>
        <v>Summer</v>
      </c>
      <c r="C303" s="54">
        <f>'Water runs'!D310/100</f>
        <v>0.90635714285714297</v>
      </c>
      <c r="D303" s="108">
        <f>VLOOKUP(ROW(D303)+4,'Water runs'!$BS$3:$CF$423,MATCH($B$1,Scenarios,0)+1)</f>
        <v>5.7314309693663447E-2</v>
      </c>
      <c r="E303" s="54">
        <f>IF(B303=Variables!$D$8,C303-Variables!$E$8,IF(B303=Variables!$D$9,C303-Variables!$E$9,IF(B303=Variables!$D$10,C303-Variables!$E$10,IF(B303=Variables!$D$11,C303-Variables!$E$11,"ELSE"))))</f>
        <v>-0.35201299319727875</v>
      </c>
      <c r="F303" s="108">
        <f>VLOOKUP(ROW(F303)+4,'Water runs'!$CH$3:$CU$423,MATCH($B$1,Scenarios,0)+1)</f>
        <v>0</v>
      </c>
      <c r="G303" s="65">
        <f>H303/Variables!$E$49</f>
        <v>0.161</v>
      </c>
      <c r="H303" s="62">
        <f>IF((H302+I303)&gt;(1.1*Variables!$E$50),(1.1*Variables!$E$50),IF((H302+I303)&gt;0,H302+I303,0))</f>
        <v>0.99820000000000009</v>
      </c>
      <c r="I303" s="64">
        <f t="shared" si="8"/>
        <v>0</v>
      </c>
      <c r="J303" s="63">
        <f>IF(SUM(E299:E302)&lt;Variables!$B$3,-H302,0)</f>
        <v>-0.99820000000000009</v>
      </c>
      <c r="K303" s="64">
        <f>IF(AND(H302&lt;Variables!$B$6*Variables!$E$50,OR(SUM(D300:D303)&gt;Variables!$B$5,SUM(E300:E303)&gt;Variables!$B$4)),Variables!$B$6*Variables!$E$50+Variables!$B$7*$G$1*Variables!$E$50*SUM(D300:D303),0)</f>
        <v>0</v>
      </c>
      <c r="L303" s="64">
        <f>IF(B303="Winter",Variables!$B$8*H302,0)</f>
        <v>0</v>
      </c>
      <c r="M303" s="64">
        <f>IF(AND(B303="Spring",AND(NOT(H302=0),H302&lt;(Variables!$B$9*Variables!$E$50))),(Variables!$B$10*Variables!$E$50+Variables!$B$11*Variables!$E$50*SUM(E300:E303)+$G$1*SUM(D302:D303)*Variables!$E$50*Variables!$B$12),0)</f>
        <v>0</v>
      </c>
      <c r="N303" s="64">
        <f>IF(AND(B303="Spring",AND(SUM(D300:D303)&gt;Variables!$B$13,SUM(D296:D299)&gt;Variables!$B$13)),-Variables!$B$14*Variables!$E$50,0)</f>
        <v>0</v>
      </c>
      <c r="O303" s="64">
        <f>IF(AND(B303="Summer",SUM(C299:D303)&gt;Variables!$B$15),(Variables!$B$16*Variables!$E$50*SUM(C299:C303)+$G$1*Variables!$B$16*Variables!$E$50*SUM(D299:D303)+$G$1*Variables!$E$50*Variables!$B$17*F303),0)</f>
        <v>0</v>
      </c>
      <c r="P303" s="64">
        <f>IF(AND(AND(B303="Autumn",SUM(D302:E303)&gt;0),NOT(H302=0)),Variables!$B$18*Variables!$E$50+Variables!$B$19*Variables!$E$50*SUM(E302:E303)+$G$1*Variables!$B$19*Variables!$E$50*SUM(D302:D303),0)</f>
        <v>0</v>
      </c>
      <c r="Q303" s="64">
        <f>IF(AND(B303="Autumn",AND((E303+E302)&lt;Variables!$B$20,(D302+D303)=0)),-Variables!$B$21*Variables!$E$50,0)</f>
        <v>0</v>
      </c>
      <c r="R303" s="64">
        <f>IF(B303="Autumn",(SUM(F302:F303)*$G$1*Variables!$B$22*Variables!$E$50),0)</f>
        <v>0</v>
      </c>
      <c r="S303" s="64">
        <f>IF(B303="Spring",($G$1*Variables!$E$50*SUM('Guts (option 1)'!F302:F303)*Variables!$B$23),0)</f>
        <v>0</v>
      </c>
      <c r="T303" s="63">
        <f>IF((H302+SUM(J303:Q303))&lt;(Variables!$B$26*Variables!$E$50),$F$1*((Variables!$B$26*Variables!$E$50)-H302-SUM(J303:Q303)),0)</f>
        <v>0.99820000000000009</v>
      </c>
      <c r="U303" s="64">
        <f>IF(AND(AND(B303="Autumn",SUM(D300:E303)&gt;Variables!$B$27),SUM(J303:Q303)&lt;Variables!$B$28*H302),$F$1*(Variables!$B$28*H302-SUM(J303:Q303)),0)</f>
        <v>0</v>
      </c>
      <c r="V303" s="96">
        <f>IF(AND((J303+K303)=0,(Q303+T303)=0),$H$1*H303*Variables!$I$23*0.25,0)</f>
        <v>0</v>
      </c>
      <c r="W303" s="97">
        <f>IF(AND((K303+J303)=0,(T303+Q303)=0),$I$1*H303*Variables!$Q$23*0.25,0)</f>
        <v>0</v>
      </c>
      <c r="X303" s="95">
        <f>IF(AND(NOT(K303=0),(H303-H302)&gt;0),(H303-H302)*(Variables!$M$5*$H$1+Variables!$U$5*$I$1),0)+IF(AND(NOT((J303+N303+Q303)=0),(H302-H303)&gt;0),(H302-H303)*(Variables!$M$4*$H$1+Variables!$U$4*$I$1),0)</f>
        <v>0</v>
      </c>
      <c r="Y303" s="95">
        <f>IF(SUM(T303,U302:U303)&gt;0,H303*Variables!$Y$11*0.25*(1-$J$1),0)</f>
        <v>0</v>
      </c>
      <c r="Z303" s="95">
        <f>IF(T303=0,H303*$J$1*Variables!$Y$5*0.25,0)</f>
        <v>0</v>
      </c>
      <c r="AA303" s="95">
        <f t="shared" si="9"/>
        <v>0</v>
      </c>
      <c r="AB303" s="91">
        <f>AA303/Variables!$E$49</f>
        <v>0</v>
      </c>
    </row>
    <row r="304" spans="1:28" x14ac:dyDescent="0.25">
      <c r="A304" s="61">
        <f>'Water runs'!C311</f>
        <v>29737</v>
      </c>
      <c r="B304" s="61" t="str">
        <f>'Water runs'!B311</f>
        <v>Autumn</v>
      </c>
      <c r="C304" s="54">
        <f>'Water runs'!D311/100</f>
        <v>1.3674464285714298</v>
      </c>
      <c r="D304" s="108">
        <f>VLOOKUP(ROW(D304)+4,'Water runs'!$BS$3:$CF$423,MATCH($B$1,Scenarios,0)+1)</f>
        <v>4.1080372766213506E-2</v>
      </c>
      <c r="E304" s="54">
        <f>IF(B304=Variables!$D$8,C304-Variables!$E$8,IF(B304=Variables!$D$9,C304-Variables!$E$9,IF(B304=Variables!$D$10,C304-Variables!$E$10,IF(B304=Variables!$D$11,C304-Variables!$E$11,"ELSE"))))</f>
        <v>0.372803129251702</v>
      </c>
      <c r="F304" s="108">
        <f>VLOOKUP(ROW(F304)+4,'Water runs'!$CH$3:$CU$423,MATCH($B$1,Scenarios,0)+1)</f>
        <v>0</v>
      </c>
      <c r="G304" s="65">
        <f>H304/Variables!$E$49</f>
        <v>0.161</v>
      </c>
      <c r="H304" s="62">
        <f>IF((H303+I304)&gt;(1.1*Variables!$E$50),(1.1*Variables!$E$50),IF((H303+I304)&gt;0,H303+I304,0))</f>
        <v>0.99820000000000009</v>
      </c>
      <c r="I304" s="64">
        <f t="shared" si="8"/>
        <v>0</v>
      </c>
      <c r="J304" s="63">
        <f>IF(SUM(E300:E303)&lt;Variables!$B$3,-H303,0)</f>
        <v>-0.99820000000000009</v>
      </c>
      <c r="K304" s="64">
        <f>IF(AND(H303&lt;Variables!$B$6*Variables!$E$50,OR(SUM(D301:D304)&gt;Variables!$B$5,SUM(E301:E304)&gt;Variables!$B$4)),Variables!$B$6*Variables!$E$50+Variables!$B$7*$G$1*Variables!$E$50*SUM(D301:D304),0)</f>
        <v>0</v>
      </c>
      <c r="L304" s="64">
        <f>IF(B304="Winter",Variables!$B$8*H303,0)</f>
        <v>0</v>
      </c>
      <c r="M304" s="64">
        <f>IF(AND(B304="Spring",AND(NOT(H303=0),H303&lt;(Variables!$B$9*Variables!$E$50))),(Variables!$B$10*Variables!$E$50+Variables!$B$11*Variables!$E$50*SUM(E301:E304)+$G$1*SUM(D303:D304)*Variables!$E$50*Variables!$B$12),0)</f>
        <v>0</v>
      </c>
      <c r="N304" s="64">
        <f>IF(AND(B304="Spring",AND(SUM(D301:D304)&gt;Variables!$B$13,SUM(D297:D300)&gt;Variables!$B$13)),-Variables!$B$14*Variables!$E$50,0)</f>
        <v>0</v>
      </c>
      <c r="O304" s="64">
        <f>IF(AND(B304="Summer",SUM(C300:D304)&gt;Variables!$B$15),(Variables!$B$16*Variables!$E$50*SUM(C300:C304)+$G$1*Variables!$B$16*Variables!$E$50*SUM(D300:D304)+$G$1*Variables!$E$50*Variables!$B$17*F304),0)</f>
        <v>0</v>
      </c>
      <c r="P304" s="64">
        <f>IF(AND(AND(B304="Autumn",SUM(D303:E304)&gt;0),NOT(H303=0)),Variables!$B$18*Variables!$E$50+Variables!$B$19*Variables!$E$50*SUM(E303:E304)+$G$1*Variables!$B$19*Variables!$E$50*SUM(D303:D304),0)</f>
        <v>0.57037021309488523</v>
      </c>
      <c r="Q304" s="64">
        <f>IF(AND(B304="Autumn",AND((E304+E303)&lt;Variables!$B$20,(D303+D304)=0)),-Variables!$B$21*Variables!$E$50,0)</f>
        <v>0</v>
      </c>
      <c r="R304" s="64">
        <f>IF(B304="Autumn",(SUM(F303:F304)*$G$1*Variables!$B$22*Variables!$E$50),0)</f>
        <v>0</v>
      </c>
      <c r="S304" s="64">
        <f>IF(B304="Spring",($G$1*Variables!$E$50*SUM('Guts (option 1)'!F303:F304)*Variables!$B$23),0)</f>
        <v>0</v>
      </c>
      <c r="T304" s="63">
        <f>IF((H303+SUM(J304:Q304))&lt;(Variables!$B$26*Variables!$E$50),$F$1*((Variables!$B$26*Variables!$E$50)-H303-SUM(J304:Q304)),0)</f>
        <v>0.42782978690511486</v>
      </c>
      <c r="U304" s="64">
        <f>IF(AND(AND(B304="Autumn",SUM(D301:E304)&gt;Variables!$B$27),SUM(J304:Q304)&lt;Variables!$B$28*H303),$F$1*(Variables!$B$28*H303-SUM(J304:Q304)),0)</f>
        <v>0</v>
      </c>
      <c r="V304" s="96">
        <f>IF(AND((J304+K304)=0,(Q304+T304)=0),$H$1*H304*Variables!$I$23*0.25,0)</f>
        <v>0</v>
      </c>
      <c r="W304" s="97">
        <f>IF(AND((K304+J304)=0,(T304+Q304)=0),$I$1*H304*Variables!$Q$23*0.25,0)</f>
        <v>0</v>
      </c>
      <c r="X304" s="95">
        <f>IF(AND(NOT(K304=0),(H304-H303)&gt;0),(H304-H303)*(Variables!$M$5*$H$1+Variables!$U$5*$I$1),0)+IF(AND(NOT((J304+N304+Q304)=0),(H303-H304)&gt;0),(H303-H304)*(Variables!$M$4*$H$1+Variables!$U$4*$I$1),0)</f>
        <v>0</v>
      </c>
      <c r="Y304" s="95">
        <f>IF(SUM(T304,U303:U304)&gt;0,H304*Variables!$Y$11*0.25*(1-$J$1),0)</f>
        <v>0</v>
      </c>
      <c r="Z304" s="95">
        <f>IF(T304=0,H304*$J$1*Variables!$Y$5*0.25,0)</f>
        <v>0</v>
      </c>
      <c r="AA304" s="95">
        <f t="shared" si="9"/>
        <v>0</v>
      </c>
      <c r="AB304" s="91">
        <f>AA304/Variables!$E$49</f>
        <v>0</v>
      </c>
    </row>
    <row r="305" spans="1:28" x14ac:dyDescent="0.25">
      <c r="A305" s="61">
        <f>'Water runs'!C312</f>
        <v>29829</v>
      </c>
      <c r="B305" s="61" t="str">
        <f>'Water runs'!B312</f>
        <v>Winter</v>
      </c>
      <c r="C305" s="54">
        <f>'Water runs'!D312/100</f>
        <v>0.86959523809523798</v>
      </c>
      <c r="D305" s="108">
        <f>VLOOKUP(ROW(D305)+4,'Water runs'!$BS$3:$CF$423,MATCH($B$1,Scenarios,0)+1)</f>
        <v>2.8102835335196634E-2</v>
      </c>
      <c r="E305" s="54">
        <f>IF(B305=Variables!$D$8,C305-Variables!$E$8,IF(B305=Variables!$D$9,C305-Variables!$E$9,IF(B305=Variables!$D$10,C305-Variables!$E$10,IF(B305=Variables!$D$11,C305-Variables!$E$11,"ELSE"))))</f>
        <v>0.29782761243386224</v>
      </c>
      <c r="F305" s="108">
        <f>VLOOKUP(ROW(F305)+4,'Water runs'!$CH$3:$CU$423,MATCH($B$1,Scenarios,0)+1)</f>
        <v>0</v>
      </c>
      <c r="G305" s="65">
        <f>H305/Variables!$E$49</f>
        <v>0.26590262272491522</v>
      </c>
      <c r="H305" s="62">
        <f>IF((H304+I305)&gt;(1.1*Variables!$E$50),(1.1*Variables!$E$50),IF((H304+I305)&gt;0,H304+I305,0))</f>
        <v>1.6485962608944744</v>
      </c>
      <c r="I305" s="64">
        <f t="shared" si="8"/>
        <v>0.65039626089447422</v>
      </c>
      <c r="J305" s="63">
        <f>IF(SUM(E301:E304)&lt;Variables!$B$3,-H304,0)</f>
        <v>0</v>
      </c>
      <c r="K305" s="64">
        <f>IF(AND(H304&lt;Variables!$B$6*Variables!$E$50,OR(SUM(D302:D305)&gt;Variables!$B$5,SUM(E302:E305)&gt;Variables!$B$4)),Variables!$B$6*Variables!$E$50+Variables!$B$7*$G$1*Variables!$E$50*SUM(D302:D305),0)</f>
        <v>1.1474452057862357</v>
      </c>
      <c r="L305" s="64">
        <f>IF(B305="Winter",Variables!$B$8*H304,0)</f>
        <v>-0.49704894489176149</v>
      </c>
      <c r="M305" s="64">
        <f>IF(AND(B305="Spring",AND(NOT(H304=0),H304&lt;(Variables!$B$9*Variables!$E$50))),(Variables!$B$10*Variables!$E$50+Variables!$B$11*Variables!$E$50*SUM(E302:E305)+$G$1*SUM(D304:D305)*Variables!$E$50*Variables!$B$12),0)</f>
        <v>0</v>
      </c>
      <c r="N305" s="64">
        <f>IF(AND(B305="Spring",AND(SUM(D302:D305)&gt;Variables!$B$13,SUM(D298:D301)&gt;Variables!$B$13)),-Variables!$B$14*Variables!$E$50,0)</f>
        <v>0</v>
      </c>
      <c r="O305" s="64">
        <f>IF(AND(B305="Summer",SUM(C301:D305)&gt;Variables!$B$15),(Variables!$B$16*Variables!$E$50*SUM(C301:C305)+$G$1*Variables!$B$16*Variables!$E$50*SUM(D301:D305)+$G$1*Variables!$E$50*Variables!$B$17*F305),0)</f>
        <v>0</v>
      </c>
      <c r="P305" s="64">
        <f>IF(AND(AND(B305="Autumn",SUM(D304:E305)&gt;0),NOT(H304=0)),Variables!$B$18*Variables!$E$50+Variables!$B$19*Variables!$E$50*SUM(E304:E305)+$G$1*Variables!$B$19*Variables!$E$50*SUM(D304:D305),0)</f>
        <v>0</v>
      </c>
      <c r="Q305" s="64">
        <f>IF(AND(B305="Autumn",AND((E305+E304)&lt;Variables!$B$20,(D304+D305)=0)),-Variables!$B$21*Variables!$E$50,0)</f>
        <v>0</v>
      </c>
      <c r="R305" s="64">
        <f>IF(B305="Autumn",(SUM(F304:F305)*$G$1*Variables!$B$22*Variables!$E$50),0)</f>
        <v>0</v>
      </c>
      <c r="S305" s="64">
        <f>IF(B305="Spring",($G$1*Variables!$E$50*SUM('Guts (option 1)'!F304:F305)*Variables!$B$23),0)</f>
        <v>0</v>
      </c>
      <c r="T305" s="63">
        <f>IF((H304+SUM(J305:Q305))&lt;(Variables!$B$26*Variables!$E$50),$F$1*((Variables!$B$26*Variables!$E$50)-H304-SUM(J305:Q305)),0)</f>
        <v>0</v>
      </c>
      <c r="U305" s="64">
        <f>IF(AND(AND(B305="Autumn",SUM(D302:E305)&gt;Variables!$B$27),SUM(J305:Q305)&lt;Variables!$B$28*H304),$F$1*(Variables!$B$28*H304-SUM(J305:Q305)),0)</f>
        <v>0</v>
      </c>
      <c r="V305" s="96">
        <f>IF(AND((J305+K305)=0,(Q305+T305)=0),$H$1*H305*Variables!$I$23*0.25,0)</f>
        <v>0</v>
      </c>
      <c r="W305" s="97">
        <f>IF(AND((K305+J305)=0,(T305+Q305)=0),$I$1*H305*Variables!$Q$23*0.25,0)</f>
        <v>0</v>
      </c>
      <c r="X305" s="95">
        <f>IF(AND(NOT(K305=0),(H305-H304)&gt;0),(H305-H304)*(Variables!$M$5*$H$1+Variables!$U$5*$I$1),0)+IF(AND(NOT((J305+N305+Q305)=0),(H304-H305)&gt;0),(H304-H305)*(Variables!$M$4*$H$1+Variables!$U$4*$I$1),0)</f>
        <v>-162.5990652236186</v>
      </c>
      <c r="Y305" s="95">
        <f>IF(SUM(T305,U304:U305)&gt;0,H305*Variables!$Y$11*0.25*(1-$J$1),0)</f>
        <v>0</v>
      </c>
      <c r="Z305" s="95">
        <f>IF(T305=0,H305*$J$1*Variables!$Y$5*0.25,0)</f>
        <v>10.715875695814084</v>
      </c>
      <c r="AA305" s="95">
        <f t="shared" si="9"/>
        <v>-151.88318952780452</v>
      </c>
      <c r="AB305" s="91">
        <f>AA305/Variables!$E$49</f>
        <v>-24.497288633516856</v>
      </c>
    </row>
    <row r="306" spans="1:28" x14ac:dyDescent="0.25">
      <c r="A306" s="61">
        <f>'Water runs'!C313</f>
        <v>29920</v>
      </c>
      <c r="B306" s="61" t="str">
        <f>'Water runs'!B313</f>
        <v>Spring</v>
      </c>
      <c r="C306" s="54">
        <f>'Water runs'!D313/100</f>
        <v>0.79955357142857097</v>
      </c>
      <c r="D306" s="108">
        <f>VLOOKUP(ROW(D306)+4,'Water runs'!$BS$3:$CF$423,MATCH($B$1,Scenarios,0)+1)</f>
        <v>0</v>
      </c>
      <c r="E306" s="54">
        <f>IF(B306=Variables!$D$8,C306-Variables!$E$8,IF(B306=Variables!$D$9,C306-Variables!$E$9,IF(B306=Variables!$D$10,C306-Variables!$E$10,IF(B306=Variables!$D$11,C306-Variables!$E$11,"ELSE"))))</f>
        <v>3.5571362433861831E-2</v>
      </c>
      <c r="F306" s="108">
        <f>VLOOKUP(ROW(F306)+4,'Water runs'!$CH$3:$CU$423,MATCH($B$1,Scenarios,0)+1)</f>
        <v>0</v>
      </c>
      <c r="G306" s="65">
        <f>H306/Variables!$E$49</f>
        <v>0.30648051863612424</v>
      </c>
      <c r="H306" s="62">
        <f>IF((H305+I306)&gt;(1.1*Variables!$E$50),(1.1*Variables!$E$50),IF((H305+I306)&gt;0,H305+I306,0))</f>
        <v>1.9001792155439705</v>
      </c>
      <c r="I306" s="64">
        <f t="shared" si="8"/>
        <v>0.25158295464949604</v>
      </c>
      <c r="J306" s="63">
        <f>IF(SUM(E302:E305)&lt;Variables!$B$3,-H305,0)</f>
        <v>0</v>
      </c>
      <c r="K306" s="64">
        <f>IF(AND(H305&lt;Variables!$B$6*Variables!$E$50,OR(SUM(D303:D306)&gt;Variables!$B$5,SUM(E303:E306)&gt;Variables!$B$4)),Variables!$B$6*Variables!$E$50+Variables!$B$7*$G$1*Variables!$E$50*SUM(D303:D306),0)</f>
        <v>0</v>
      </c>
      <c r="L306" s="64">
        <f>IF(B306="Winter",Variables!$B$8*H305,0)</f>
        <v>0</v>
      </c>
      <c r="M306" s="64">
        <f>IF(AND(B306="Spring",AND(NOT(H305=0),H305&lt;(Variables!$B$9*Variables!$E$50))),(Variables!$B$10*Variables!$E$50+Variables!$B$11*Variables!$E$50*SUM(E303:E306)+$G$1*SUM(D305:D306)*Variables!$E$50*Variables!$B$12),0)</f>
        <v>0.25158295464949604</v>
      </c>
      <c r="N306" s="64">
        <f>IF(AND(B306="Spring",AND(SUM(D303:D306)&gt;Variables!$B$13,SUM(D299:D302)&gt;Variables!$B$13)),-Variables!$B$14*Variables!$E$50,0)</f>
        <v>0</v>
      </c>
      <c r="O306" s="64">
        <f>IF(AND(B306="Summer",SUM(C302:D306)&gt;Variables!$B$15),(Variables!$B$16*Variables!$E$50*SUM(C302:C306)+$G$1*Variables!$B$16*Variables!$E$50*SUM(D302:D306)+$G$1*Variables!$E$50*Variables!$B$17*F306),0)</f>
        <v>0</v>
      </c>
      <c r="P306" s="64">
        <f>IF(AND(AND(B306="Autumn",SUM(D305:E306)&gt;0),NOT(H305=0)),Variables!$B$18*Variables!$E$50+Variables!$B$19*Variables!$E$50*SUM(E305:E306)+$G$1*Variables!$B$19*Variables!$E$50*SUM(D305:D306),0)</f>
        <v>0</v>
      </c>
      <c r="Q306" s="64">
        <f>IF(AND(B306="Autumn",AND((E306+E305)&lt;Variables!$B$20,(D305+D306)=0)),-Variables!$B$21*Variables!$E$50,0)</f>
        <v>0</v>
      </c>
      <c r="R306" s="64">
        <f>IF(B306="Autumn",(SUM(F305:F306)*$G$1*Variables!$B$22*Variables!$E$50),0)</f>
        <v>0</v>
      </c>
      <c r="S306" s="64">
        <f>IF(B306="Spring",($G$1*Variables!$E$50*SUM('Guts (option 1)'!F305:F306)*Variables!$B$23),0)</f>
        <v>0</v>
      </c>
      <c r="T306" s="63">
        <f>IF((H305+SUM(J306:Q306))&lt;(Variables!$B$26*Variables!$E$50),$F$1*((Variables!$B$26*Variables!$E$50)-H305-SUM(J306:Q306)),0)</f>
        <v>0</v>
      </c>
      <c r="U306" s="64">
        <f>IF(AND(AND(B306="Autumn",SUM(D303:E306)&gt;Variables!$B$27),SUM(J306:Q306)&lt;Variables!$B$28*H305),$F$1*(Variables!$B$28*H305-SUM(J306:Q306)),0)</f>
        <v>0</v>
      </c>
      <c r="V306" s="96">
        <f>IF(AND((J306+K306)=0,(Q306+T306)=0),$H$1*H306*Variables!$I$23*0.25,0)</f>
        <v>36.616738510414642</v>
      </c>
      <c r="W306" s="97">
        <f>IF(AND((K306+J306)=0,(T306+Q306)=0),$I$1*H306*Variables!$Q$23*0.25,0)</f>
        <v>38.328039911933537</v>
      </c>
      <c r="X306" s="95">
        <f>IF(AND(NOT(K306=0),(H306-H305)&gt;0),(H306-H305)*(Variables!$M$5*$H$1+Variables!$U$5*$I$1),0)+IF(AND(NOT((J306+N306+Q306)=0),(H305-H306)&gt;0),(H305-H306)*(Variables!$M$4*$H$1+Variables!$U$4*$I$1),0)</f>
        <v>0</v>
      </c>
      <c r="Y306" s="95">
        <f>IF(SUM(T306,U305:U306)&gt;0,H306*Variables!$Y$11*0.25*(1-$J$1),0)</f>
        <v>0</v>
      </c>
      <c r="Z306" s="95">
        <f>IF(T306=0,H306*$J$1*Variables!$Y$5*0.25,0)</f>
        <v>12.351164901035808</v>
      </c>
      <c r="AA306" s="95">
        <f t="shared" si="9"/>
        <v>87.295943323383995</v>
      </c>
      <c r="AB306" s="91">
        <f>AA306/Variables!$E$49</f>
        <v>14.079990858610321</v>
      </c>
    </row>
    <row r="307" spans="1:28" x14ac:dyDescent="0.25">
      <c r="A307" s="61">
        <f>'Water runs'!C314</f>
        <v>30010</v>
      </c>
      <c r="B307" s="61" t="str">
        <f>'Water runs'!B314</f>
        <v>Summer</v>
      </c>
      <c r="C307" s="54">
        <f>'Water runs'!D314/100</f>
        <v>0.59326785714285701</v>
      </c>
      <c r="D307" s="108">
        <f>VLOOKUP(ROW(D307)+4,'Water runs'!$BS$3:$CF$423,MATCH($B$1,Scenarios,0)+1)</f>
        <v>1.7442735096873295E-4</v>
      </c>
      <c r="E307" s="54">
        <f>IF(B307=Variables!$D$8,C307-Variables!$E$8,IF(B307=Variables!$D$9,C307-Variables!$E$9,IF(B307=Variables!$D$10,C307-Variables!$E$10,IF(B307=Variables!$D$11,C307-Variables!$E$11,"ELSE"))))</f>
        <v>-0.6651022789115647</v>
      </c>
      <c r="F307" s="108">
        <f>VLOOKUP(ROW(F307)+4,'Water runs'!$CH$3:$CU$423,MATCH($B$1,Scenarios,0)+1)</f>
        <v>0</v>
      </c>
      <c r="G307" s="65">
        <f>H307/Variables!$E$49</f>
        <v>0.30648051863612424</v>
      </c>
      <c r="H307" s="62">
        <f>IF((H306+I307)&gt;(1.1*Variables!$E$50),(1.1*Variables!$E$50),IF((H306+I307)&gt;0,H306+I307,0))</f>
        <v>1.9001792155439705</v>
      </c>
      <c r="I307" s="64">
        <f t="shared" si="8"/>
        <v>0</v>
      </c>
      <c r="J307" s="63">
        <f>IF(SUM(E303:E306)&lt;Variables!$B$3,-H306,0)</f>
        <v>0</v>
      </c>
      <c r="K307" s="64">
        <f>IF(AND(H306&lt;Variables!$B$6*Variables!$E$50,OR(SUM(D304:D307)&gt;Variables!$B$5,SUM(E304:E307)&gt;Variables!$B$4)),Variables!$B$6*Variables!$E$50+Variables!$B$7*$G$1*Variables!$E$50*SUM(D304:D307),0)</f>
        <v>0</v>
      </c>
      <c r="L307" s="64">
        <f>IF(B307="Winter",Variables!$B$8*H306,0)</f>
        <v>0</v>
      </c>
      <c r="M307" s="64">
        <f>IF(AND(B307="Spring",AND(NOT(H306=0),H306&lt;(Variables!$B$9*Variables!$E$50))),(Variables!$B$10*Variables!$E$50+Variables!$B$11*Variables!$E$50*SUM(E304:E307)+$G$1*SUM(D306:D307)*Variables!$E$50*Variables!$B$12),0)</f>
        <v>0</v>
      </c>
      <c r="N307" s="64">
        <f>IF(AND(B307="Spring",AND(SUM(D304:D307)&gt;Variables!$B$13,SUM(D300:D303)&gt;Variables!$B$13)),-Variables!$B$14*Variables!$E$50,0)</f>
        <v>0</v>
      </c>
      <c r="O307" s="64">
        <f>IF(AND(B307="Summer",SUM(C303:D307)&gt;Variables!$B$15),(Variables!$B$16*Variables!$E$50*SUM(C303:C307)+$G$1*Variables!$B$16*Variables!$E$50*SUM(D303:D307)+$G$1*Variables!$E$50*Variables!$B$17*F307),0)</f>
        <v>0</v>
      </c>
      <c r="P307" s="64">
        <f>IF(AND(AND(B307="Autumn",SUM(D306:E307)&gt;0),NOT(H306=0)),Variables!$B$18*Variables!$E$50+Variables!$B$19*Variables!$E$50*SUM(E306:E307)+$G$1*Variables!$B$19*Variables!$E$50*SUM(D306:D307),0)</f>
        <v>0</v>
      </c>
      <c r="Q307" s="64">
        <f>IF(AND(B307="Autumn",AND((E307+E306)&lt;Variables!$B$20,(D306+D307)=0)),-Variables!$B$21*Variables!$E$50,0)</f>
        <v>0</v>
      </c>
      <c r="R307" s="64">
        <f>IF(B307="Autumn",(SUM(F306:F307)*$G$1*Variables!$B$22*Variables!$E$50),0)</f>
        <v>0</v>
      </c>
      <c r="S307" s="64">
        <f>IF(B307="Spring",($G$1*Variables!$E$50*SUM('Guts (option 1)'!F306:F307)*Variables!$B$23),0)</f>
        <v>0</v>
      </c>
      <c r="T307" s="63">
        <f>IF((H306+SUM(J307:Q307))&lt;(Variables!$B$26*Variables!$E$50),$F$1*((Variables!$B$26*Variables!$E$50)-H306-SUM(J307:Q307)),0)</f>
        <v>0</v>
      </c>
      <c r="U307" s="64">
        <f>IF(AND(AND(B307="Autumn",SUM(D304:E307)&gt;Variables!$B$27),SUM(J307:Q307)&lt;Variables!$B$28*H306),$F$1*(Variables!$B$28*H306-SUM(J307:Q307)),0)</f>
        <v>0</v>
      </c>
      <c r="V307" s="96">
        <f>IF(AND((J307+K307)=0,(Q307+T307)=0),$H$1*H307*Variables!$I$23*0.25,0)</f>
        <v>36.616738510414642</v>
      </c>
      <c r="W307" s="97">
        <f>IF(AND((K307+J307)=0,(T307+Q307)=0),$I$1*H307*Variables!$Q$23*0.25,0)</f>
        <v>38.328039911933537</v>
      </c>
      <c r="X307" s="95">
        <f>IF(AND(NOT(K307=0),(H307-H306)&gt;0),(H307-H306)*(Variables!$M$5*$H$1+Variables!$U$5*$I$1),0)+IF(AND(NOT((J307+N307+Q307)=0),(H306-H307)&gt;0),(H306-H307)*(Variables!$M$4*$H$1+Variables!$U$4*$I$1),0)</f>
        <v>0</v>
      </c>
      <c r="Y307" s="95">
        <f>IF(SUM(T307,U306:U307)&gt;0,H307*Variables!$Y$11*0.25*(1-$J$1),0)</f>
        <v>0</v>
      </c>
      <c r="Z307" s="95">
        <f>IF(T307=0,H307*$J$1*Variables!$Y$5*0.25,0)</f>
        <v>12.351164901035808</v>
      </c>
      <c r="AA307" s="95">
        <f t="shared" si="9"/>
        <v>87.295943323383995</v>
      </c>
      <c r="AB307" s="91">
        <f>AA307/Variables!$E$49</f>
        <v>14.079990858610321</v>
      </c>
    </row>
    <row r="308" spans="1:28" x14ac:dyDescent="0.25">
      <c r="A308" s="61">
        <f>'Water runs'!C315</f>
        <v>30102</v>
      </c>
      <c r="B308" s="61" t="str">
        <f>'Water runs'!B315</f>
        <v>Autumn</v>
      </c>
      <c r="C308" s="54">
        <f>'Water runs'!D315/100</f>
        <v>0.85189285714285701</v>
      </c>
      <c r="D308" s="108">
        <f>VLOOKUP(ROW(D308)+4,'Water runs'!$BS$3:$CF$423,MATCH($B$1,Scenarios,0)+1)</f>
        <v>4.7394516187776625E-2</v>
      </c>
      <c r="E308" s="54">
        <f>IF(B308=Variables!$D$8,C308-Variables!$E$8,IF(B308=Variables!$D$9,C308-Variables!$E$9,IF(B308=Variables!$D$10,C308-Variables!$E$10,IF(B308=Variables!$D$11,C308-Variables!$E$11,"ELSE"))))</f>
        <v>-0.14275044217687083</v>
      </c>
      <c r="F308" s="108">
        <f>VLOOKUP(ROW(F308)+4,'Water runs'!$CH$3:$CU$423,MATCH($B$1,Scenarios,0)+1)</f>
        <v>0</v>
      </c>
      <c r="G308" s="65">
        <f>H308/Variables!$E$49</f>
        <v>0.30648051863612424</v>
      </c>
      <c r="H308" s="62">
        <f>IF((H307+I308)&gt;(1.1*Variables!$E$50),(1.1*Variables!$E$50),IF((H307+I308)&gt;0,H307+I308,0))</f>
        <v>1.9001792155439705</v>
      </c>
      <c r="I308" s="64">
        <f t="shared" si="8"/>
        <v>0</v>
      </c>
      <c r="J308" s="63">
        <f>IF(SUM(E304:E307)&lt;Variables!$B$3,-H307,0)</f>
        <v>0</v>
      </c>
      <c r="K308" s="64">
        <f>IF(AND(H307&lt;Variables!$B$6*Variables!$E$50,OR(SUM(D305:D308)&gt;Variables!$B$5,SUM(E305:E308)&gt;Variables!$B$4)),Variables!$B$6*Variables!$E$50+Variables!$B$7*$G$1*Variables!$E$50*SUM(D305:D308),0)</f>
        <v>0</v>
      </c>
      <c r="L308" s="64">
        <f>IF(B308="Winter",Variables!$B$8*H307,0)</f>
        <v>0</v>
      </c>
      <c r="M308" s="64">
        <f>IF(AND(B308="Spring",AND(NOT(H307=0),H307&lt;(Variables!$B$9*Variables!$E$50))),(Variables!$B$10*Variables!$E$50+Variables!$B$11*Variables!$E$50*SUM(E305:E308)+$G$1*SUM(D307:D308)*Variables!$E$50*Variables!$B$12),0)</f>
        <v>0</v>
      </c>
      <c r="N308" s="64">
        <f>IF(AND(B308="Spring",AND(SUM(D305:D308)&gt;Variables!$B$13,SUM(D301:D304)&gt;Variables!$B$13)),-Variables!$B$14*Variables!$E$50,0)</f>
        <v>0</v>
      </c>
      <c r="O308" s="64">
        <f>IF(AND(B308="Summer",SUM(C304:D308)&gt;Variables!$B$15),(Variables!$B$16*Variables!$E$50*SUM(C304:C308)+$G$1*Variables!$B$16*Variables!$E$50*SUM(D304:D308)+$G$1*Variables!$E$50*Variables!$B$17*F308),0)</f>
        <v>0</v>
      </c>
      <c r="P308" s="64">
        <f>IF(AND(AND(B308="Autumn",SUM(D307:E308)&gt;0),NOT(H307=0)),Variables!$B$18*Variables!$E$50+Variables!$B$19*Variables!$E$50*SUM(E307:E308)+$G$1*Variables!$B$19*Variables!$E$50*SUM(D307:D308),0)</f>
        <v>0</v>
      </c>
      <c r="Q308" s="64">
        <f>IF(AND(B308="Autumn",AND((E308+E307)&lt;Variables!$B$20,(D307+D308)=0)),-Variables!$B$21*Variables!$E$50,0)</f>
        <v>0</v>
      </c>
      <c r="R308" s="64">
        <f>IF(B308="Autumn",(SUM(F307:F308)*$G$1*Variables!$B$22*Variables!$E$50),0)</f>
        <v>0</v>
      </c>
      <c r="S308" s="64">
        <f>IF(B308="Spring",($G$1*Variables!$E$50*SUM('Guts (option 1)'!F307:F308)*Variables!$B$23),0)</f>
        <v>0</v>
      </c>
      <c r="T308" s="63">
        <f>IF((H307+SUM(J308:Q308))&lt;(Variables!$B$26*Variables!$E$50),$F$1*((Variables!$B$26*Variables!$E$50)-H307-SUM(J308:Q308)),0)</f>
        <v>0</v>
      </c>
      <c r="U308" s="64">
        <f>IF(AND(AND(B308="Autumn",SUM(D305:E308)&gt;Variables!$B$27),SUM(J308:Q308)&lt;Variables!$B$28*H307),$F$1*(Variables!$B$28*H307-SUM(J308:Q308)),0)</f>
        <v>0</v>
      </c>
      <c r="V308" s="96">
        <f>IF(AND((J308+K308)=0,(Q308+T308)=0),$H$1*H308*Variables!$I$23*0.25,0)</f>
        <v>36.616738510414642</v>
      </c>
      <c r="W308" s="97">
        <f>IF(AND((K308+J308)=0,(T308+Q308)=0),$I$1*H308*Variables!$Q$23*0.25,0)</f>
        <v>38.328039911933537</v>
      </c>
      <c r="X308" s="95">
        <f>IF(AND(NOT(K308=0),(H308-H307)&gt;0),(H308-H307)*(Variables!$M$5*$H$1+Variables!$U$5*$I$1),0)+IF(AND(NOT((J308+N308+Q308)=0),(H307-H308)&gt;0),(H307-H308)*(Variables!$M$4*$H$1+Variables!$U$4*$I$1),0)</f>
        <v>0</v>
      </c>
      <c r="Y308" s="95">
        <f>IF(SUM(T308,U307:U308)&gt;0,H308*Variables!$Y$11*0.25*(1-$J$1),0)</f>
        <v>0</v>
      </c>
      <c r="Z308" s="95">
        <f>IF(T308=0,H308*$J$1*Variables!$Y$5*0.25,0)</f>
        <v>12.351164901035808</v>
      </c>
      <c r="AA308" s="95">
        <f t="shared" si="9"/>
        <v>87.295943323383995</v>
      </c>
      <c r="AB308" s="91">
        <f>AA308/Variables!$E$49</f>
        <v>14.079990858610321</v>
      </c>
    </row>
    <row r="309" spans="1:28" x14ac:dyDescent="0.25">
      <c r="A309" s="61">
        <f>'Water runs'!C316</f>
        <v>30194</v>
      </c>
      <c r="B309" s="61" t="str">
        <f>'Water runs'!B316</f>
        <v>Winter</v>
      </c>
      <c r="C309" s="54">
        <f>'Water runs'!D316/100</f>
        <v>0</v>
      </c>
      <c r="D309" s="108">
        <f>VLOOKUP(ROW(D309)+4,'Water runs'!$BS$3:$CF$423,MATCH($B$1,Scenarios,0)+1)</f>
        <v>0</v>
      </c>
      <c r="E309" s="54">
        <f>IF(B309=Variables!$D$8,C309-Variables!$E$8,IF(B309=Variables!$D$9,C309-Variables!$E$9,IF(B309=Variables!$D$10,C309-Variables!$E$10,IF(B309=Variables!$D$11,C309-Variables!$E$11,"ELSE"))))</f>
        <v>-0.57176762566137573</v>
      </c>
      <c r="F309" s="108">
        <f>VLOOKUP(ROW(F309)+4,'Water runs'!$CH$3:$CU$423,MATCH($B$1,Scenarios,0)+1)</f>
        <v>0</v>
      </c>
      <c r="G309" s="65">
        <f>H309/Variables!$E$49</f>
        <v>0.161</v>
      </c>
      <c r="H309" s="62">
        <f>IF((H308+I309)&gt;(1.1*Variables!$E$50),(1.1*Variables!$E$50),IF((H308+I309)&gt;0,H308+I309,0))</f>
        <v>0.99820000000000009</v>
      </c>
      <c r="I309" s="64">
        <f t="shared" si="8"/>
        <v>-0.90197921554397043</v>
      </c>
      <c r="J309" s="63">
        <f>IF(SUM(E305:E308)&lt;Variables!$B$3,-H308,0)</f>
        <v>0</v>
      </c>
      <c r="K309" s="64">
        <f>IF(AND(H308&lt;Variables!$B$6*Variables!$E$50,OR(SUM(D306:D309)&gt;Variables!$B$5,SUM(E306:E309)&gt;Variables!$B$4)),Variables!$B$6*Variables!$E$50+Variables!$B$7*$G$1*Variables!$E$50*SUM(D306:D309),0)</f>
        <v>0</v>
      </c>
      <c r="L309" s="64">
        <f>IF(B309="Winter",Variables!$B$8*H308,0)</f>
        <v>-0.94618520756500246</v>
      </c>
      <c r="M309" s="64">
        <f>IF(AND(B309="Spring",AND(NOT(H308=0),H308&lt;(Variables!$B$9*Variables!$E$50))),(Variables!$B$10*Variables!$E$50+Variables!$B$11*Variables!$E$50*SUM(E306:E309)+$G$1*SUM(D308:D309)*Variables!$E$50*Variables!$B$12),0)</f>
        <v>0</v>
      </c>
      <c r="N309" s="64">
        <f>IF(AND(B309="Spring",AND(SUM(D306:D309)&gt;Variables!$B$13,SUM(D302:D305)&gt;Variables!$B$13)),-Variables!$B$14*Variables!$E$50,0)</f>
        <v>0</v>
      </c>
      <c r="O309" s="64">
        <f>IF(AND(B309="Summer",SUM(C305:D309)&gt;Variables!$B$15),(Variables!$B$16*Variables!$E$50*SUM(C305:C309)+$G$1*Variables!$B$16*Variables!$E$50*SUM(D305:D309)+$G$1*Variables!$E$50*Variables!$B$17*F309),0)</f>
        <v>0</v>
      </c>
      <c r="P309" s="64">
        <f>IF(AND(AND(B309="Autumn",SUM(D308:E309)&gt;0),NOT(H308=0)),Variables!$B$18*Variables!$E$50+Variables!$B$19*Variables!$E$50*SUM(E308:E309)+$G$1*Variables!$B$19*Variables!$E$50*SUM(D308:D309),0)</f>
        <v>0</v>
      </c>
      <c r="Q309" s="64">
        <f>IF(AND(B309="Autumn",AND((E309+E308)&lt;Variables!$B$20,(D308+D309)=0)),-Variables!$B$21*Variables!$E$50,0)</f>
        <v>0</v>
      </c>
      <c r="R309" s="64">
        <f>IF(B309="Autumn",(SUM(F308:F309)*$G$1*Variables!$B$22*Variables!$E$50),0)</f>
        <v>0</v>
      </c>
      <c r="S309" s="64">
        <f>IF(B309="Spring",($G$1*Variables!$E$50*SUM('Guts (option 1)'!F308:F309)*Variables!$B$23),0)</f>
        <v>0</v>
      </c>
      <c r="T309" s="63">
        <f>IF((H308+SUM(J309:Q309))&lt;(Variables!$B$26*Variables!$E$50),$F$1*((Variables!$B$26*Variables!$E$50)-H308-SUM(J309:Q309)),0)</f>
        <v>4.4205992021032037E-2</v>
      </c>
      <c r="U309" s="64">
        <f>IF(AND(AND(B309="Autumn",SUM(D306:E309)&gt;Variables!$B$27),SUM(J309:Q309)&lt;Variables!$B$28*H308),$F$1*(Variables!$B$28*H308-SUM(J309:Q309)),0)</f>
        <v>0</v>
      </c>
      <c r="V309" s="96">
        <f>IF(AND((J309+K309)=0,(Q309+T309)=0),$H$1*H309*Variables!$I$23*0.25,0)</f>
        <v>0</v>
      </c>
      <c r="W309" s="97">
        <f>IF(AND((K309+J309)=0,(T309+Q309)=0),$I$1*H309*Variables!$Q$23*0.25,0)</f>
        <v>0</v>
      </c>
      <c r="X309" s="95">
        <f>IF(AND(NOT(K309=0),(H309-H308)&gt;0),(H309-H308)*(Variables!$M$5*$H$1+Variables!$U$5*$I$1),0)+IF(AND(NOT((J309+N309+Q309)=0),(H308-H309)&gt;0),(H308-H309)*(Variables!$M$4*$H$1+Variables!$U$4*$I$1),0)</f>
        <v>0</v>
      </c>
      <c r="Y309" s="95">
        <f>IF(SUM(T309,U308:U309)&gt;0,H309*Variables!$Y$11*0.25*(1-$J$1),0)</f>
        <v>0</v>
      </c>
      <c r="Z309" s="95">
        <f>IF(T309=0,H309*$J$1*Variables!$Y$5*0.25,0)</f>
        <v>0</v>
      </c>
      <c r="AA309" s="95">
        <f t="shared" si="9"/>
        <v>0</v>
      </c>
      <c r="AB309" s="91">
        <f>AA309/Variables!$E$49</f>
        <v>0</v>
      </c>
    </row>
    <row r="310" spans="1:28" x14ac:dyDescent="0.25">
      <c r="A310" s="61">
        <f>'Water runs'!C317</f>
        <v>30285</v>
      </c>
      <c r="B310" s="61" t="str">
        <f>'Water runs'!B317</f>
        <v>Spring</v>
      </c>
      <c r="C310" s="54">
        <f>'Water runs'!D317/100</f>
        <v>0.24037500000000001</v>
      </c>
      <c r="D310" s="108">
        <f>VLOOKUP(ROW(D310)+4,'Water runs'!$BS$3:$CF$423,MATCH($B$1,Scenarios,0)+1)</f>
        <v>0</v>
      </c>
      <c r="E310" s="54">
        <f>IF(B310=Variables!$D$8,C310-Variables!$E$8,IF(B310=Variables!$D$9,C310-Variables!$E$9,IF(B310=Variables!$D$10,C310-Variables!$E$10,IF(B310=Variables!$D$11,C310-Variables!$E$11,"ELSE"))))</f>
        <v>-0.52360720899470914</v>
      </c>
      <c r="F310" s="108">
        <f>VLOOKUP(ROW(F310)+4,'Water runs'!$CH$3:$CU$423,MATCH($B$1,Scenarios,0)+1)</f>
        <v>0</v>
      </c>
      <c r="G310" s="65">
        <f>H310/Variables!$E$49</f>
        <v>0.161</v>
      </c>
      <c r="H310" s="62">
        <f>IF((H309+I310)&gt;(1.1*Variables!$E$50),(1.1*Variables!$E$50),IF((H309+I310)&gt;0,H309+I310,0))</f>
        <v>0.99820000000000009</v>
      </c>
      <c r="I310" s="64">
        <f t="shared" si="8"/>
        <v>0</v>
      </c>
      <c r="J310" s="63">
        <f>IF(SUM(E306:E309)&lt;Variables!$B$3,-H309,0)</f>
        <v>0</v>
      </c>
      <c r="K310" s="64">
        <f>IF(AND(H309&lt;Variables!$B$6*Variables!$E$50,OR(SUM(D307:D310)&gt;Variables!$B$5,SUM(E307:E310)&gt;Variables!$B$4)),Variables!$B$6*Variables!$E$50+Variables!$B$7*$G$1*Variables!$E$50*SUM(D307:D310),0)</f>
        <v>0</v>
      </c>
      <c r="L310" s="64">
        <f>IF(B310="Winter",Variables!$B$8*H309,0)</f>
        <v>0</v>
      </c>
      <c r="M310" s="64">
        <f>IF(AND(B310="Spring",AND(NOT(H309=0),H309&lt;(Variables!$B$9*Variables!$E$50))),(Variables!$B$10*Variables!$E$50+Variables!$B$11*Variables!$E$50*SUM(E307:E310)+$G$1*SUM(D309:D310)*Variables!$E$50*Variables!$B$12),0)</f>
        <v>-1.2962153680337936</v>
      </c>
      <c r="N310" s="64">
        <f>IF(AND(B310="Spring",AND(SUM(D307:D310)&gt;Variables!$B$13,SUM(D303:D306)&gt;Variables!$B$13)),-Variables!$B$14*Variables!$E$50,0)</f>
        <v>0</v>
      </c>
      <c r="O310" s="64">
        <f>IF(AND(B310="Summer",SUM(C306:D310)&gt;Variables!$B$15),(Variables!$B$16*Variables!$E$50*SUM(C306:C310)+$G$1*Variables!$B$16*Variables!$E$50*SUM(D306:D310)+$G$1*Variables!$E$50*Variables!$B$17*F310),0)</f>
        <v>0</v>
      </c>
      <c r="P310" s="64">
        <f>IF(AND(AND(B310="Autumn",SUM(D309:E310)&gt;0),NOT(H309=0)),Variables!$B$18*Variables!$E$50+Variables!$B$19*Variables!$E$50*SUM(E309:E310)+$G$1*Variables!$B$19*Variables!$E$50*SUM(D309:D310),0)</f>
        <v>0</v>
      </c>
      <c r="Q310" s="64">
        <f>IF(AND(B310="Autumn",AND((E310+E309)&lt;Variables!$B$20,(D309+D310)=0)),-Variables!$B$21*Variables!$E$50,0)</f>
        <v>0</v>
      </c>
      <c r="R310" s="64">
        <f>IF(B310="Autumn",(SUM(F309:F310)*$G$1*Variables!$B$22*Variables!$E$50),0)</f>
        <v>0</v>
      </c>
      <c r="S310" s="64">
        <f>IF(B310="Spring",($G$1*Variables!$E$50*SUM('Guts (option 1)'!F309:F310)*Variables!$B$23),0)</f>
        <v>0</v>
      </c>
      <c r="T310" s="63">
        <f>IF((H309+SUM(J310:Q310))&lt;(Variables!$B$26*Variables!$E$50),$F$1*((Variables!$B$26*Variables!$E$50)-H309-SUM(J310:Q310)),0)</f>
        <v>1.2962153680337936</v>
      </c>
      <c r="U310" s="64">
        <f>IF(AND(AND(B310="Autumn",SUM(D307:E310)&gt;Variables!$B$27),SUM(J310:Q310)&lt;Variables!$B$28*H309),$F$1*(Variables!$B$28*H309-SUM(J310:Q310)),0)</f>
        <v>0</v>
      </c>
      <c r="V310" s="96">
        <f>IF(AND((J310+K310)=0,(Q310+T310)=0),$H$1*H310*Variables!$I$23*0.25,0)</f>
        <v>0</v>
      </c>
      <c r="W310" s="97">
        <f>IF(AND((K310+J310)=0,(T310+Q310)=0),$I$1*H310*Variables!$Q$23*0.25,0)</f>
        <v>0</v>
      </c>
      <c r="X310" s="95">
        <f>IF(AND(NOT(K310=0),(H310-H309)&gt;0),(H310-H309)*(Variables!$M$5*$H$1+Variables!$U$5*$I$1),0)+IF(AND(NOT((J310+N310+Q310)=0),(H309-H310)&gt;0),(H309-H310)*(Variables!$M$4*$H$1+Variables!$U$4*$I$1),0)</f>
        <v>0</v>
      </c>
      <c r="Y310" s="95">
        <f>IF(SUM(T310,U309:U310)&gt;0,H310*Variables!$Y$11*0.25*(1-$J$1),0)</f>
        <v>0</v>
      </c>
      <c r="Z310" s="95">
        <f>IF(T310=0,H310*$J$1*Variables!$Y$5*0.25,0)</f>
        <v>0</v>
      </c>
      <c r="AA310" s="95">
        <f t="shared" si="9"/>
        <v>0</v>
      </c>
      <c r="AB310" s="91">
        <f>AA310/Variables!$E$49</f>
        <v>0</v>
      </c>
    </row>
    <row r="311" spans="1:28" x14ac:dyDescent="0.25">
      <c r="A311" s="61">
        <f>'Water runs'!C318</f>
        <v>30375</v>
      </c>
      <c r="B311" s="61" t="str">
        <f>'Water runs'!B318</f>
        <v>Summer</v>
      </c>
      <c r="C311" s="54">
        <f>'Water runs'!D318/100</f>
        <v>0.91708928571428605</v>
      </c>
      <c r="D311" s="108">
        <f>VLOOKUP(ROW(D311)+4,'Water runs'!$BS$3:$CF$423,MATCH($B$1,Scenarios,0)+1)</f>
        <v>0</v>
      </c>
      <c r="E311" s="54">
        <f>IF(B311=Variables!$D$8,C311-Variables!$E$8,IF(B311=Variables!$D$9,C311-Variables!$E$9,IF(B311=Variables!$D$10,C311-Variables!$E$10,IF(B311=Variables!$D$11,C311-Variables!$E$11,"ELSE"))))</f>
        <v>-0.34128085034013567</v>
      </c>
      <c r="F311" s="108">
        <f>VLOOKUP(ROW(F311)+4,'Water runs'!$CH$3:$CU$423,MATCH($B$1,Scenarios,0)+1)</f>
        <v>0</v>
      </c>
      <c r="G311" s="65">
        <f>H311/Variables!$E$49</f>
        <v>0.161</v>
      </c>
      <c r="H311" s="62">
        <f>IF((H310+I311)&gt;(1.1*Variables!$E$50),(1.1*Variables!$E$50),IF((H310+I311)&gt;0,H310+I311,0))</f>
        <v>0.99820000000000009</v>
      </c>
      <c r="I311" s="64">
        <f t="shared" si="8"/>
        <v>0</v>
      </c>
      <c r="J311" s="63">
        <f>IF(SUM(E307:E310)&lt;Variables!$B$3,-H310,0)</f>
        <v>-0.99820000000000009</v>
      </c>
      <c r="K311" s="64">
        <f>IF(AND(H310&lt;Variables!$B$6*Variables!$E$50,OR(SUM(D308:D311)&gt;Variables!$B$5,SUM(E308:E311)&gt;Variables!$B$4)),Variables!$B$6*Variables!$E$50+Variables!$B$7*$G$1*Variables!$E$50*SUM(D308:D311),0)</f>
        <v>0</v>
      </c>
      <c r="L311" s="64">
        <f>IF(B311="Winter",Variables!$B$8*H310,0)</f>
        <v>0</v>
      </c>
      <c r="M311" s="64">
        <f>IF(AND(B311="Spring",AND(NOT(H310=0),H310&lt;(Variables!$B$9*Variables!$E$50))),(Variables!$B$10*Variables!$E$50+Variables!$B$11*Variables!$E$50*SUM(E308:E311)+$G$1*SUM(D310:D311)*Variables!$E$50*Variables!$B$12),0)</f>
        <v>0</v>
      </c>
      <c r="N311" s="64">
        <f>IF(AND(B311="Spring",AND(SUM(D308:D311)&gt;Variables!$B$13,SUM(D304:D307)&gt;Variables!$B$13)),-Variables!$B$14*Variables!$E$50,0)</f>
        <v>0</v>
      </c>
      <c r="O311" s="64">
        <f>IF(AND(B311="Summer",SUM(C307:D311)&gt;Variables!$B$15),(Variables!$B$16*Variables!$E$50*SUM(C307:C311)+$G$1*Variables!$B$16*Variables!$E$50*SUM(D307:D311)+$G$1*Variables!$E$50*Variables!$B$17*F311),0)</f>
        <v>0</v>
      </c>
      <c r="P311" s="64">
        <f>IF(AND(AND(B311="Autumn",SUM(D310:E311)&gt;0),NOT(H310=0)),Variables!$B$18*Variables!$E$50+Variables!$B$19*Variables!$E$50*SUM(E310:E311)+$G$1*Variables!$B$19*Variables!$E$50*SUM(D310:D311),0)</f>
        <v>0</v>
      </c>
      <c r="Q311" s="64">
        <f>IF(AND(B311="Autumn",AND((E311+E310)&lt;Variables!$B$20,(D310+D311)=0)),-Variables!$B$21*Variables!$E$50,0)</f>
        <v>0</v>
      </c>
      <c r="R311" s="64">
        <f>IF(B311="Autumn",(SUM(F310:F311)*$G$1*Variables!$B$22*Variables!$E$50),0)</f>
        <v>0</v>
      </c>
      <c r="S311" s="64">
        <f>IF(B311="Spring",($G$1*Variables!$E$50*SUM('Guts (option 1)'!F310:F311)*Variables!$B$23),0)</f>
        <v>0</v>
      </c>
      <c r="T311" s="63">
        <f>IF((H310+SUM(J311:Q311))&lt;(Variables!$B$26*Variables!$E$50),$F$1*((Variables!$B$26*Variables!$E$50)-H310-SUM(J311:Q311)),0)</f>
        <v>0.99820000000000009</v>
      </c>
      <c r="U311" s="64">
        <f>IF(AND(AND(B311="Autumn",SUM(D308:E311)&gt;Variables!$B$27),SUM(J311:Q311)&lt;Variables!$B$28*H310),$F$1*(Variables!$B$28*H310-SUM(J311:Q311)),0)</f>
        <v>0</v>
      </c>
      <c r="V311" s="96">
        <f>IF(AND((J311+K311)=0,(Q311+T311)=0),$H$1*H311*Variables!$I$23*0.25,0)</f>
        <v>0</v>
      </c>
      <c r="W311" s="97">
        <f>IF(AND((K311+J311)=0,(T311+Q311)=0),$I$1*H311*Variables!$Q$23*0.25,0)</f>
        <v>0</v>
      </c>
      <c r="X311" s="95">
        <f>IF(AND(NOT(K311=0),(H311-H310)&gt;0),(H311-H310)*(Variables!$M$5*$H$1+Variables!$U$5*$I$1),0)+IF(AND(NOT((J311+N311+Q311)=0),(H310-H311)&gt;0),(H310-H311)*(Variables!$M$4*$H$1+Variables!$U$4*$I$1),0)</f>
        <v>0</v>
      </c>
      <c r="Y311" s="95">
        <f>IF(SUM(T311,U310:U311)&gt;0,H311*Variables!$Y$11*0.25*(1-$J$1),0)</f>
        <v>0</v>
      </c>
      <c r="Z311" s="95">
        <f>IF(T311=0,H311*$J$1*Variables!$Y$5*0.25,0)</f>
        <v>0</v>
      </c>
      <c r="AA311" s="95">
        <f t="shared" si="9"/>
        <v>0</v>
      </c>
      <c r="AB311" s="91">
        <f>AA311/Variables!$E$49</f>
        <v>0</v>
      </c>
    </row>
    <row r="312" spans="1:28" x14ac:dyDescent="0.25">
      <c r="A312" s="61">
        <f>'Water runs'!C319</f>
        <v>30467</v>
      </c>
      <c r="B312" s="61" t="str">
        <f>'Water runs'!B319</f>
        <v>Autumn</v>
      </c>
      <c r="C312" s="54">
        <f>'Water runs'!D319/100</f>
        <v>2.4256785714285702</v>
      </c>
      <c r="D312" s="108">
        <f>VLOOKUP(ROW(D312)+4,'Water runs'!$BS$3:$CF$423,MATCH($B$1,Scenarios,0)+1)</f>
        <v>0.60358569743228363</v>
      </c>
      <c r="E312" s="54">
        <f>IF(B312=Variables!$D$8,C312-Variables!$E$8,IF(B312=Variables!$D$9,C312-Variables!$E$9,IF(B312=Variables!$D$10,C312-Variables!$E$10,IF(B312=Variables!$D$11,C312-Variables!$E$11,"ELSE"))))</f>
        <v>1.4310352721088424</v>
      </c>
      <c r="F312" s="108">
        <f>VLOOKUP(ROW(F312)+4,'Water runs'!$CH$3:$CU$423,MATCH($B$1,Scenarios,0)+1)</f>
        <v>0</v>
      </c>
      <c r="G312" s="65">
        <f>H312/Variables!$E$49</f>
        <v>0.95042173780424954</v>
      </c>
      <c r="H312" s="62">
        <f>IF((H311+I312)&gt;(1.1*Variables!$E$50),(1.1*Variables!$E$50),IF((H311+I312)&gt;0,H311+I312,0))</f>
        <v>5.8926147743863471</v>
      </c>
      <c r="I312" s="64">
        <f t="shared" si="8"/>
        <v>4.8944147743863473</v>
      </c>
      <c r="J312" s="63">
        <f>IF(SUM(E308:E311)&lt;Variables!$B$3,-H311,0)</f>
        <v>0</v>
      </c>
      <c r="K312" s="64">
        <f>IF(AND(H311&lt;Variables!$B$6*Variables!$E$50,OR(SUM(D309:D312)&gt;Variables!$B$5,SUM(E309:E312)&gt;Variables!$B$4)),Variables!$B$6*Variables!$E$50+Variables!$B$7*$G$1*Variables!$E$50*SUM(D309:D312),0)</f>
        <v>1.1725077460410243</v>
      </c>
      <c r="L312" s="64">
        <f>IF(B312="Winter",Variables!$B$8*H311,0)</f>
        <v>0</v>
      </c>
      <c r="M312" s="64">
        <f>IF(AND(B312="Spring",AND(NOT(H311=0),H311&lt;(Variables!$B$9*Variables!$E$50))),(Variables!$B$10*Variables!$E$50+Variables!$B$11*Variables!$E$50*SUM(E309:E312)+$G$1*SUM(D311:D312)*Variables!$E$50*Variables!$B$12),0)</f>
        <v>0</v>
      </c>
      <c r="N312" s="64">
        <f>IF(AND(B312="Spring",AND(SUM(D309:D312)&gt;Variables!$B$13,SUM(D305:D308)&gt;Variables!$B$13)),-Variables!$B$14*Variables!$E$50,0)</f>
        <v>0</v>
      </c>
      <c r="O312" s="64">
        <f>IF(AND(B312="Summer",SUM(C308:D312)&gt;Variables!$B$15),(Variables!$B$16*Variables!$E$50*SUM(C308:C312)+$G$1*Variables!$B$16*Variables!$E$50*SUM(D308:D312)+$G$1*Variables!$E$50*Variables!$B$17*F312),0)</f>
        <v>0</v>
      </c>
      <c r="P312" s="64">
        <f>IF(AND(AND(B312="Autumn",SUM(D311:E312)&gt;0),NOT(H311=0)),Variables!$B$18*Variables!$E$50+Variables!$B$19*Variables!$E$50*SUM(E311:E312)+$G$1*Variables!$B$19*Variables!$E$50*SUM(D311:D312),0)</f>
        <v>3.7219070283453228</v>
      </c>
      <c r="Q312" s="64">
        <f>IF(AND(B312="Autumn",AND((E312+E311)&lt;Variables!$B$20,(D311+D312)=0)),-Variables!$B$21*Variables!$E$50,0)</f>
        <v>0</v>
      </c>
      <c r="R312" s="64">
        <f>IF(B312="Autumn",(SUM(F311:F312)*$G$1*Variables!$B$22*Variables!$E$50),0)</f>
        <v>0</v>
      </c>
      <c r="S312" s="64">
        <f>IF(B312="Spring",($G$1*Variables!$E$50*SUM('Guts (option 1)'!F311:F312)*Variables!$B$23),0)</f>
        <v>0</v>
      </c>
      <c r="T312" s="63">
        <f>IF((H311+SUM(J312:Q312))&lt;(Variables!$B$26*Variables!$E$50),$F$1*((Variables!$B$26*Variables!$E$50)-H311-SUM(J312:Q312)),0)</f>
        <v>0</v>
      </c>
      <c r="U312" s="64">
        <f>IF(AND(AND(B312="Autumn",SUM(D309:E312)&gt;Variables!$B$27),SUM(J312:Q312)&lt;Variables!$B$28*H311),$F$1*(Variables!$B$28*H311-SUM(J312:Q312)),0)</f>
        <v>0</v>
      </c>
      <c r="V312" s="96">
        <f>IF(AND((J312+K312)=0,(Q312+T312)=0),$H$1*H312*Variables!$I$23*0.25,0)</f>
        <v>0</v>
      </c>
      <c r="W312" s="97">
        <f>IF(AND((K312+J312)=0,(T312+Q312)=0),$I$1*H312*Variables!$Q$23*0.25,0)</f>
        <v>0</v>
      </c>
      <c r="X312" s="95">
        <f>IF(AND(NOT(K312=0),(H312-H311)&gt;0),(H312-H311)*(Variables!$M$5*$H$1+Variables!$U$5*$I$1),0)+IF(AND(NOT((J312+N312+Q312)=0),(H311-H312)&gt;0),(H311-H312)*(Variables!$M$4*$H$1+Variables!$U$4*$I$1),0)</f>
        <v>-1223.6036935965869</v>
      </c>
      <c r="Y312" s="95">
        <f>IF(SUM(T312,U311:U312)&gt;0,H312*Variables!$Y$11*0.25*(1-$J$1),0)</f>
        <v>0</v>
      </c>
      <c r="Z312" s="95">
        <f>IF(T312=0,H312*$J$1*Variables!$Y$5*0.25,0)</f>
        <v>38.301996033511259</v>
      </c>
      <c r="AA312" s="95">
        <f t="shared" si="9"/>
        <v>-1185.3016975630758</v>
      </c>
      <c r="AB312" s="91">
        <f>AA312/Variables!$E$49</f>
        <v>-191.17769315533479</v>
      </c>
    </row>
    <row r="313" spans="1:28" x14ac:dyDescent="0.25">
      <c r="A313" s="61">
        <f>'Water runs'!C320</f>
        <v>30559</v>
      </c>
      <c r="B313" s="61" t="str">
        <f>'Water runs'!B320</f>
        <v>Winter</v>
      </c>
      <c r="C313" s="54">
        <f>'Water runs'!D320/100</f>
        <v>0.84299999999999997</v>
      </c>
      <c r="D313" s="108">
        <f>VLOOKUP(ROW(D313)+4,'Water runs'!$BS$3:$CF$423,MATCH($B$1,Scenarios,0)+1)</f>
        <v>1.1379369591208164</v>
      </c>
      <c r="E313" s="54">
        <f>IF(B313=Variables!$D$8,C313-Variables!$E$8,IF(B313=Variables!$D$9,C313-Variables!$E$9,IF(B313=Variables!$D$10,C313-Variables!$E$10,IF(B313=Variables!$D$11,C313-Variables!$E$11,"ELSE"))))</f>
        <v>0.27123237433862424</v>
      </c>
      <c r="F313" s="108">
        <f>VLOOKUP(ROW(F313)+4,'Water runs'!$CH$3:$CU$423,MATCH($B$1,Scenarios,0)+1)</f>
        <v>2.6332519655737574</v>
      </c>
      <c r="G313" s="65">
        <f>H313/Variables!$E$49</f>
        <v>0.47716375145101714</v>
      </c>
      <c r="H313" s="62">
        <f>IF((H312+I313)&gt;(1.1*Variables!$E$50),(1.1*Variables!$E$50),IF((H312+I313)&gt;0,H312+I313,0))</f>
        <v>2.9584152589963062</v>
      </c>
      <c r="I313" s="64">
        <f t="shared" si="8"/>
        <v>-2.9341995153900409</v>
      </c>
      <c r="J313" s="63">
        <f>IF(SUM(E309:E312)&lt;Variables!$B$3,-H312,0)</f>
        <v>0</v>
      </c>
      <c r="K313" s="64">
        <f>IF(AND(H312&lt;Variables!$B$6*Variables!$E$50,OR(SUM(D310:D313)&gt;Variables!$B$5,SUM(E310:E313)&gt;Variables!$B$4)),Variables!$B$6*Variables!$E$50+Variables!$B$7*$G$1*Variables!$E$50*SUM(D310:D313),0)</f>
        <v>0</v>
      </c>
      <c r="L313" s="64">
        <f>IF(B313="Winter",Variables!$B$8*H312,0)</f>
        <v>-2.9341995153900409</v>
      </c>
      <c r="M313" s="64">
        <f>IF(AND(B313="Spring",AND(NOT(H312=0),H312&lt;(Variables!$B$9*Variables!$E$50))),(Variables!$B$10*Variables!$E$50+Variables!$B$11*Variables!$E$50*SUM(E310:E313)+$G$1*SUM(D312:D313)*Variables!$E$50*Variables!$B$12),0)</f>
        <v>0</v>
      </c>
      <c r="N313" s="64">
        <f>IF(AND(B313="Spring",AND(SUM(D310:D313)&gt;Variables!$B$13,SUM(D306:D309)&gt;Variables!$B$13)),-Variables!$B$14*Variables!$E$50,0)</f>
        <v>0</v>
      </c>
      <c r="O313" s="64">
        <f>IF(AND(B313="Summer",SUM(C309:D313)&gt;Variables!$B$15),(Variables!$B$16*Variables!$E$50*SUM(C309:C313)+$G$1*Variables!$B$16*Variables!$E$50*SUM(D309:D313)+$G$1*Variables!$E$50*Variables!$B$17*F313),0)</f>
        <v>0</v>
      </c>
      <c r="P313" s="64">
        <f>IF(AND(AND(B313="Autumn",SUM(D312:E313)&gt;0),NOT(H312=0)),Variables!$B$18*Variables!$E$50+Variables!$B$19*Variables!$E$50*SUM(E312:E313)+$G$1*Variables!$B$19*Variables!$E$50*SUM(D312:D313),0)</f>
        <v>0</v>
      </c>
      <c r="Q313" s="64">
        <f>IF(AND(B313="Autumn",AND((E313+E312)&lt;Variables!$B$20,(D312+D313)=0)),-Variables!$B$21*Variables!$E$50,0)</f>
        <v>0</v>
      </c>
      <c r="R313" s="64">
        <f>IF(B313="Autumn",(SUM(F312:F313)*$G$1*Variables!$B$22*Variables!$E$50),0)</f>
        <v>0</v>
      </c>
      <c r="S313" s="64">
        <f>IF(B313="Spring",($G$1*Variables!$E$50*SUM('Guts (option 1)'!F312:F313)*Variables!$B$23),0)</f>
        <v>0</v>
      </c>
      <c r="T313" s="63">
        <f>IF((H312+SUM(J313:Q313))&lt;(Variables!$B$26*Variables!$E$50),$F$1*((Variables!$B$26*Variables!$E$50)-H312-SUM(J313:Q313)),0)</f>
        <v>0</v>
      </c>
      <c r="U313" s="64">
        <f>IF(AND(AND(B313="Autumn",SUM(D310:E313)&gt;Variables!$B$27),SUM(J313:Q313)&lt;Variables!$B$28*H312),$F$1*(Variables!$B$28*H312-SUM(J313:Q313)),0)</f>
        <v>0</v>
      </c>
      <c r="V313" s="96">
        <f>IF(AND((J313+K313)=0,(Q313+T313)=0),$H$1*H313*Variables!$I$23*0.25,0)</f>
        <v>57.009105803147676</v>
      </c>
      <c r="W313" s="97">
        <f>IF(AND((K313+J313)=0,(T313+Q313)=0),$I$1*H313*Variables!$Q$23*0.25,0)</f>
        <v>59.673454585399739</v>
      </c>
      <c r="X313" s="95">
        <f>IF(AND(NOT(K313=0),(H313-H312)&gt;0),(H313-H312)*(Variables!$M$5*$H$1+Variables!$U$5*$I$1),0)+IF(AND(NOT((J313+N313+Q313)=0),(H312-H313)&gt;0),(H312-H313)*(Variables!$M$4*$H$1+Variables!$U$4*$I$1),0)</f>
        <v>0</v>
      </c>
      <c r="Y313" s="95">
        <f>IF(SUM(T313,U312:U313)&gt;0,H313*Variables!$Y$11*0.25*(1-$J$1),0)</f>
        <v>0</v>
      </c>
      <c r="Z313" s="95">
        <f>IF(T313=0,H313*$J$1*Variables!$Y$5*0.25,0)</f>
        <v>19.22969918347599</v>
      </c>
      <c r="AA313" s="95">
        <f t="shared" si="9"/>
        <v>135.9122595720234</v>
      </c>
      <c r="AB313" s="91">
        <f>AA313/Variables!$E$49</f>
        <v>21.921332189036033</v>
      </c>
    </row>
    <row r="314" spans="1:28" x14ac:dyDescent="0.25">
      <c r="A314" s="61">
        <f>'Water runs'!C321</f>
        <v>30650</v>
      </c>
      <c r="B314" s="61" t="str">
        <f>'Water runs'!B321</f>
        <v>Spring</v>
      </c>
      <c r="C314" s="54">
        <f>'Water runs'!D321/100</f>
        <v>1.35917857142857</v>
      </c>
      <c r="D314" s="108">
        <f>VLOOKUP(ROW(D314)+4,'Water runs'!$BS$3:$CF$423,MATCH($B$1,Scenarios,0)+1)</f>
        <v>0</v>
      </c>
      <c r="E314" s="54">
        <f>IF(B314=Variables!$D$8,C314-Variables!$E$8,IF(B314=Variables!$D$9,C314-Variables!$E$9,IF(B314=Variables!$D$10,C314-Variables!$E$10,IF(B314=Variables!$D$11,C314-Variables!$E$11,"ELSE"))))</f>
        <v>0.59519636243386087</v>
      </c>
      <c r="F314" s="108">
        <f>VLOOKUP(ROW(F314)+4,'Water runs'!$CH$3:$CU$423,MATCH($B$1,Scenarios,0)+1)</f>
        <v>0</v>
      </c>
      <c r="G314" s="65">
        <f>H314/Variables!$E$49</f>
        <v>0.53127465745538216</v>
      </c>
      <c r="H314" s="62">
        <f>IF((H313+I314)&gt;(1.1*Variables!$E$50),(1.1*Variables!$E$50),IF((H313+I314)&gt;0,H313+I314,0))</f>
        <v>3.2939028762233695</v>
      </c>
      <c r="I314" s="64">
        <f t="shared" si="8"/>
        <v>0.33548761722706344</v>
      </c>
      <c r="J314" s="63">
        <f>IF(SUM(E310:E313)&lt;Variables!$B$3,-H313,0)</f>
        <v>0</v>
      </c>
      <c r="K314" s="64">
        <f>IF(AND(H313&lt;Variables!$B$6*Variables!$E$50,OR(SUM(D311:D314)&gt;Variables!$B$5,SUM(E311:E314)&gt;Variables!$B$4)),Variables!$B$6*Variables!$E$50+Variables!$B$7*$G$1*Variables!$E$50*SUM(D311:D314),0)</f>
        <v>0</v>
      </c>
      <c r="L314" s="64">
        <f>IF(B314="Winter",Variables!$B$8*H313,0)</f>
        <v>0</v>
      </c>
      <c r="M314" s="64">
        <f>IF(AND(B314="Spring",AND(NOT(H313=0),H313&lt;(Variables!$B$9*Variables!$E$50))),(Variables!$B$10*Variables!$E$50+Variables!$B$11*Variables!$E$50*SUM(E311:E314)+$G$1*SUM(D313:D314)*Variables!$E$50*Variables!$B$12),0)</f>
        <v>0</v>
      </c>
      <c r="N314" s="64">
        <f>IF(AND(B314="Spring",AND(SUM(D311:D314)&gt;Variables!$B$13,SUM(D307:D310)&gt;Variables!$B$13)),-Variables!$B$14*Variables!$E$50,0)</f>
        <v>0</v>
      </c>
      <c r="O314" s="64">
        <f>IF(AND(B314="Summer",SUM(C310:D314)&gt;Variables!$B$15),(Variables!$B$16*Variables!$E$50*SUM(C310:C314)+$G$1*Variables!$B$16*Variables!$E$50*SUM(D310:D314)+$G$1*Variables!$E$50*Variables!$B$17*F314),0)</f>
        <v>0</v>
      </c>
      <c r="P314" s="64">
        <f>IF(AND(AND(B314="Autumn",SUM(D313:E314)&gt;0),NOT(H313=0)),Variables!$B$18*Variables!$E$50+Variables!$B$19*Variables!$E$50*SUM(E313:E314)+$G$1*Variables!$B$19*Variables!$E$50*SUM(D313:D314),0)</f>
        <v>0</v>
      </c>
      <c r="Q314" s="64">
        <f>IF(AND(B314="Autumn",AND((E314+E313)&lt;Variables!$B$20,(D313+D314)=0)),-Variables!$B$21*Variables!$E$50,0)</f>
        <v>0</v>
      </c>
      <c r="R314" s="64">
        <f>IF(B314="Autumn",(SUM(F313:F314)*$G$1*Variables!$B$22*Variables!$E$50),0)</f>
        <v>0</v>
      </c>
      <c r="S314" s="64">
        <f>IF(B314="Spring",($G$1*Variables!$E$50*SUM('Guts (option 1)'!F313:F314)*Variables!$B$23),0)</f>
        <v>0.33548761722706344</v>
      </c>
      <c r="T314" s="63">
        <f>IF((H313+SUM(J314:Q314))&lt;(Variables!$B$26*Variables!$E$50),$F$1*((Variables!$B$26*Variables!$E$50)-H313-SUM(J314:Q314)),0)</f>
        <v>0</v>
      </c>
      <c r="U314" s="64">
        <f>IF(AND(AND(B314="Autumn",SUM(D311:E314)&gt;Variables!$B$27),SUM(J314:Q314)&lt;Variables!$B$28*H313),$F$1*(Variables!$B$28*H313-SUM(J314:Q314)),0)</f>
        <v>0</v>
      </c>
      <c r="V314" s="96">
        <f>IF(AND((J314+K314)=0,(Q314+T314)=0),$H$1*H314*Variables!$I$23*0.25,0)</f>
        <v>63.474002510255765</v>
      </c>
      <c r="W314" s="97">
        <f>IF(AND((K314+J314)=0,(T314+Q314)=0),$I$1*H314*Variables!$Q$23*0.25,0)</f>
        <v>66.44049144058252</v>
      </c>
      <c r="X314" s="95">
        <f>IF(AND(NOT(K314=0),(H314-H313)&gt;0),(H314-H313)*(Variables!$M$5*$H$1+Variables!$U$5*$I$1),0)+IF(AND(NOT((J314+N314+Q314)=0),(H313-H314)&gt;0),(H313-H314)*(Variables!$M$4*$H$1+Variables!$U$4*$I$1),0)</f>
        <v>0</v>
      </c>
      <c r="Y314" s="95">
        <f>IF(SUM(T314,U313:U314)&gt;0,H314*Variables!$Y$11*0.25*(1-$J$1),0)</f>
        <v>0</v>
      </c>
      <c r="Z314" s="95">
        <f>IF(T314=0,H314*$J$1*Variables!$Y$5*0.25,0)</f>
        <v>21.410368695451901</v>
      </c>
      <c r="AA314" s="95">
        <f t="shared" si="9"/>
        <v>151.32486264629017</v>
      </c>
      <c r="AB314" s="91">
        <f>AA314/Variables!$E$49</f>
        <v>24.407235910691963</v>
      </c>
    </row>
    <row r="315" spans="1:28" x14ac:dyDescent="0.25">
      <c r="A315" s="61">
        <f>'Water runs'!C322</f>
        <v>30740</v>
      </c>
      <c r="B315" s="61" t="str">
        <f>'Water runs'!B322</f>
        <v>Summer</v>
      </c>
      <c r="C315" s="54">
        <f>'Water runs'!D322/100</f>
        <v>2.0966428571428599</v>
      </c>
      <c r="D315" s="108">
        <f>VLOOKUP(ROW(D315)+4,'Water runs'!$BS$3:$CF$423,MATCH($B$1,Scenarios,0)+1)</f>
        <v>0.31515324745247386</v>
      </c>
      <c r="E315" s="54">
        <f>IF(B315=Variables!$D$8,C315-Variables!$E$8,IF(B315=Variables!$D$9,C315-Variables!$E$9,IF(B315=Variables!$D$10,C315-Variables!$E$10,IF(B315=Variables!$D$11,C315-Variables!$E$11,"ELSE"))))</f>
        <v>0.8382727210884382</v>
      </c>
      <c r="F315" s="108">
        <f>VLOOKUP(ROW(F315)+4,'Water runs'!$CH$3:$CU$423,MATCH($B$1,Scenarios,0)+1)</f>
        <v>0.17211787108369819</v>
      </c>
      <c r="G315" s="65">
        <f>H315/Variables!$E$49</f>
        <v>1.1186414784243939</v>
      </c>
      <c r="H315" s="62">
        <f>IF((H314+I315)&gt;(1.1*Variables!$E$50),(1.1*Variables!$E$50),IF((H314+I315)&gt;0,H314+I315,0))</f>
        <v>6.9355771662312424</v>
      </c>
      <c r="I315" s="64">
        <f t="shared" si="8"/>
        <v>3.6416742900078729</v>
      </c>
      <c r="J315" s="63">
        <f>IF(SUM(E311:E314)&lt;Variables!$B$3,-H314,0)</f>
        <v>0</v>
      </c>
      <c r="K315" s="64">
        <f>IF(AND(H314&lt;Variables!$B$6*Variables!$E$50,OR(SUM(D312:D315)&gt;Variables!$B$5,SUM(E312:E315)&gt;Variables!$B$4)),Variables!$B$6*Variables!$E$50+Variables!$B$7*$G$1*Variables!$E$50*SUM(D312:D315),0)</f>
        <v>0</v>
      </c>
      <c r="L315" s="64">
        <f>IF(B315="Winter",Variables!$B$8*H314,0)</f>
        <v>0</v>
      </c>
      <c r="M315" s="64">
        <f>IF(AND(B315="Spring",AND(NOT(H314=0),H314&lt;(Variables!$B$9*Variables!$E$50))),(Variables!$B$10*Variables!$E$50+Variables!$B$11*Variables!$E$50*SUM(E312:E315)+$G$1*SUM(D314:D315)*Variables!$E$50*Variables!$B$12),0)</f>
        <v>0</v>
      </c>
      <c r="N315" s="64">
        <f>IF(AND(B315="Spring",AND(SUM(D312:D315)&gt;Variables!$B$13,SUM(D308:D311)&gt;Variables!$B$13)),-Variables!$B$14*Variables!$E$50,0)</f>
        <v>0</v>
      </c>
      <c r="O315" s="64">
        <f>IF(AND(B315="Summer",SUM(C311:D315)&gt;Variables!$B$15),(Variables!$B$16*Variables!$E$50*SUM(C311:C315)+$G$1*Variables!$B$16*Variables!$E$50*SUM(D311:D315)+$G$1*Variables!$E$50*Variables!$B$17*F315),0)</f>
        <v>3.6416742900078729</v>
      </c>
      <c r="P315" s="64">
        <f>IF(AND(AND(B315="Autumn",SUM(D314:E315)&gt;0),NOT(H314=0)),Variables!$B$18*Variables!$E$50+Variables!$B$19*Variables!$E$50*SUM(E314:E315)+$G$1*Variables!$B$19*Variables!$E$50*SUM(D314:D315),0)</f>
        <v>0</v>
      </c>
      <c r="Q315" s="64">
        <f>IF(AND(B315="Autumn",AND((E315+E314)&lt;Variables!$B$20,(D314+D315)=0)),-Variables!$B$21*Variables!$E$50,0)</f>
        <v>0</v>
      </c>
      <c r="R315" s="64">
        <f>IF(B315="Autumn",(SUM(F314:F315)*$G$1*Variables!$B$22*Variables!$E$50),0)</f>
        <v>0</v>
      </c>
      <c r="S315" s="64">
        <f>IF(B315="Spring",($G$1*Variables!$E$50*SUM('Guts (option 1)'!F314:F315)*Variables!$B$23),0)</f>
        <v>0</v>
      </c>
      <c r="T315" s="63">
        <f>IF((H314+SUM(J315:Q315))&lt;(Variables!$B$26*Variables!$E$50),$F$1*((Variables!$B$26*Variables!$E$50)-H314-SUM(J315:Q315)),0)</f>
        <v>0</v>
      </c>
      <c r="U315" s="64">
        <f>IF(AND(AND(B315="Autumn",SUM(D312:E315)&gt;Variables!$B$27),SUM(J315:Q315)&lt;Variables!$B$28*H314),$F$1*(Variables!$B$28*H314-SUM(J315:Q315)),0)</f>
        <v>0</v>
      </c>
      <c r="V315" s="96">
        <f>IF(AND((J315+K315)=0,(Q315+T315)=0),$H$1*H315*Variables!$I$23*0.25,0)</f>
        <v>133.64961232985098</v>
      </c>
      <c r="W315" s="97">
        <f>IF(AND((K315+J315)=0,(T315+Q315)=0),$I$1*H315*Variables!$Q$23*0.25,0)</f>
        <v>139.89579312575881</v>
      </c>
      <c r="X315" s="95">
        <f>IF(AND(NOT(K315=0),(H315-H314)&gt;0),(H315-H314)*(Variables!$M$5*$H$1+Variables!$U$5*$I$1),0)+IF(AND(NOT((J315+N315+Q315)=0),(H314-H315)&gt;0),(H314-H315)*(Variables!$M$4*$H$1+Variables!$U$4*$I$1),0)</f>
        <v>0</v>
      </c>
      <c r="Y315" s="95">
        <f>IF(SUM(T315,U314:U315)&gt;0,H315*Variables!$Y$11*0.25*(1-$J$1),0)</f>
        <v>0</v>
      </c>
      <c r="Z315" s="95">
        <f>IF(T315=0,H315*$J$1*Variables!$Y$5*0.25,0)</f>
        <v>45.081251580503078</v>
      </c>
      <c r="AA315" s="95">
        <f t="shared" si="9"/>
        <v>318.62665703611287</v>
      </c>
      <c r="AB315" s="91">
        <f>AA315/Variables!$E$49</f>
        <v>51.391396296147235</v>
      </c>
    </row>
    <row r="316" spans="1:28" x14ac:dyDescent="0.25">
      <c r="A316" s="61">
        <f>'Water runs'!C323</f>
        <v>30833</v>
      </c>
      <c r="B316" s="61" t="str">
        <f>'Water runs'!B323</f>
        <v>Autumn</v>
      </c>
      <c r="C316" s="54">
        <f>'Water runs'!D323/100</f>
        <v>0.64849999999999997</v>
      </c>
      <c r="D316" s="108">
        <f>VLOOKUP(ROW(D316)+4,'Water runs'!$BS$3:$CF$423,MATCH($B$1,Scenarios,0)+1)</f>
        <v>0</v>
      </c>
      <c r="E316" s="54">
        <f>IF(B316=Variables!$D$8,C316-Variables!$E$8,IF(B316=Variables!$D$9,C316-Variables!$E$9,IF(B316=Variables!$D$10,C316-Variables!$E$10,IF(B316=Variables!$D$11,C316-Variables!$E$11,"ELSE"))))</f>
        <v>-0.34614329931972787</v>
      </c>
      <c r="F316" s="108">
        <f>VLOOKUP(ROW(F316)+4,'Water runs'!$CH$3:$CU$423,MATCH($B$1,Scenarios,0)+1)</f>
        <v>0</v>
      </c>
      <c r="G316" s="65">
        <f>H316/Variables!$E$49</f>
        <v>1.6259243920281841</v>
      </c>
      <c r="H316" s="62">
        <f>IF((H315+I316)&gt;(1.1*Variables!$E$50),(1.1*Variables!$E$50),IF((H315+I316)&gt;0,H315+I316,0))</f>
        <v>10.080731230574742</v>
      </c>
      <c r="I316" s="64">
        <f t="shared" si="8"/>
        <v>3.1451540643434996</v>
      </c>
      <c r="J316" s="63">
        <f>IF(SUM(E312:E315)&lt;Variables!$B$3,-H315,0)</f>
        <v>0</v>
      </c>
      <c r="K316" s="64">
        <f>IF(AND(H315&lt;Variables!$B$6*Variables!$E$50,OR(SUM(D313:D316)&gt;Variables!$B$5,SUM(E313:E316)&gt;Variables!$B$4)),Variables!$B$6*Variables!$E$50+Variables!$B$7*$G$1*Variables!$E$50*SUM(D313:D316),0)</f>
        <v>0</v>
      </c>
      <c r="L316" s="64">
        <f>IF(B316="Winter",Variables!$B$8*H315,0)</f>
        <v>0</v>
      </c>
      <c r="M316" s="64">
        <f>IF(AND(B316="Spring",AND(NOT(H315=0),H315&lt;(Variables!$B$9*Variables!$E$50))),(Variables!$B$10*Variables!$E$50+Variables!$B$11*Variables!$E$50*SUM(E313:E316)+$G$1*SUM(D315:D316)*Variables!$E$50*Variables!$B$12),0)</f>
        <v>0</v>
      </c>
      <c r="N316" s="64">
        <f>IF(AND(B316="Spring",AND(SUM(D313:D316)&gt;Variables!$B$13,SUM(D309:D312)&gt;Variables!$B$13)),-Variables!$B$14*Variables!$E$50,0)</f>
        <v>0</v>
      </c>
      <c r="O316" s="64">
        <f>IF(AND(B316="Summer",SUM(C312:D316)&gt;Variables!$B$15),(Variables!$B$16*Variables!$E$50*SUM(C312:C316)+$G$1*Variables!$B$16*Variables!$E$50*SUM(D312:D316)+$G$1*Variables!$E$50*Variables!$B$17*F316),0)</f>
        <v>0</v>
      </c>
      <c r="P316" s="64">
        <f>IF(AND(AND(B316="Autumn",SUM(D315:E316)&gt;0),NOT(H315=0)),Variables!$B$18*Variables!$E$50+Variables!$B$19*Variables!$E$50*SUM(E315:E316)+$G$1*Variables!$B$19*Variables!$E$50*SUM(D315:D316),0)</f>
        <v>1.9503197605983176</v>
      </c>
      <c r="Q316" s="64">
        <f>IF(AND(B316="Autumn",AND((E316+E315)&lt;Variables!$B$20,(D315+D316)=0)),-Variables!$B$21*Variables!$E$50,0)</f>
        <v>0</v>
      </c>
      <c r="R316" s="64">
        <f>IF(B316="Autumn",(SUM(F315:F316)*$G$1*Variables!$B$22*Variables!$E$50),0)</f>
        <v>2.4144339539440347E-2</v>
      </c>
      <c r="S316" s="64">
        <f>IF(B316="Spring",($G$1*Variables!$E$50*SUM('Guts (option 1)'!F315:F316)*Variables!$B$23),0)</f>
        <v>0</v>
      </c>
      <c r="T316" s="63">
        <f>IF((H315+SUM(J316:Q316))&lt;(Variables!$B$26*Variables!$E$50),$F$1*((Variables!$B$26*Variables!$E$50)-H315-SUM(J316:Q316)),0)</f>
        <v>0</v>
      </c>
      <c r="U316" s="64">
        <f>IF(AND(AND(B316="Autumn",SUM(D313:E316)&gt;Variables!$B$27),SUM(J316:Q316)&lt;Variables!$B$28*H315),$F$1*(Variables!$B$28*H315-SUM(J316:Q316)),0)</f>
        <v>1.1706899642057418</v>
      </c>
      <c r="V316" s="96">
        <f>IF(AND((J316+K316)=0,(Q316+T316)=0),$H$1*H316*Variables!$I$23*0.25,0)</f>
        <v>194.25720292285988</v>
      </c>
      <c r="W316" s="97">
        <f>IF(AND((K316+J316)=0,(T316+Q316)=0),$I$1*H316*Variables!$Q$23*0.25,0)</f>
        <v>203.33590946911545</v>
      </c>
      <c r="X316" s="95">
        <f>IF(AND(NOT(K316=0),(H316-H315)&gt;0),(H316-H315)*(Variables!$M$5*$H$1+Variables!$U$5*$I$1),0)+IF(AND(NOT((J316+N316+Q316)=0),(H315-H316)&gt;0),(H315-H316)*(Variables!$M$4*$H$1+Variables!$U$4*$I$1),0)</f>
        <v>0</v>
      </c>
      <c r="Y316" s="95">
        <f>IF(SUM(T316,U315:U316)&gt;0,H316*Variables!$Y$11*0.25*(1-$J$1),0)</f>
        <v>0</v>
      </c>
      <c r="Z316" s="95">
        <f>IF(T316=0,H316*$J$1*Variables!$Y$5*0.25,0)</f>
        <v>65.524752998735821</v>
      </c>
      <c r="AA316" s="95">
        <f t="shared" si="9"/>
        <v>463.11786539071113</v>
      </c>
      <c r="AB316" s="91">
        <f>AA316/Variables!$E$49</f>
        <v>74.696429901727598</v>
      </c>
    </row>
    <row r="317" spans="1:28" x14ac:dyDescent="0.25">
      <c r="A317" s="61">
        <f>'Water runs'!C324</f>
        <v>30925</v>
      </c>
      <c r="B317" s="61" t="str">
        <f>'Water runs'!B324</f>
        <v>Winter</v>
      </c>
      <c r="C317" s="54">
        <f>'Water runs'!D324/100</f>
        <v>1.355375</v>
      </c>
      <c r="D317" s="108">
        <f>VLOOKUP(ROW(D317)+4,'Water runs'!$BS$3:$CF$423,MATCH($B$1,Scenarios,0)+1)</f>
        <v>0.36107578048915667</v>
      </c>
      <c r="E317" s="54">
        <f>IF(B317=Variables!$D$8,C317-Variables!$E$8,IF(B317=Variables!$D$9,C317-Variables!$E$9,IF(B317=Variables!$D$10,C317-Variables!$E$10,IF(B317=Variables!$D$11,C317-Variables!$E$11,"ELSE"))))</f>
        <v>0.78360737433862426</v>
      </c>
      <c r="F317" s="108">
        <f>VLOOKUP(ROW(F317)+4,'Water runs'!$CH$3:$CU$423,MATCH($B$1,Scenarios,0)+1)</f>
        <v>0.23449560170706021</v>
      </c>
      <c r="G317" s="65">
        <f>H317/Variables!$E$49</f>
        <v>0.81630307011735692</v>
      </c>
      <c r="H317" s="62">
        <f>IF((H316+I317)&gt;(1.1*Variables!$E$50),(1.1*Variables!$E$50),IF((H316+I317)&gt;0,H316+I317,0))</f>
        <v>5.0610790347276131</v>
      </c>
      <c r="I317" s="64">
        <f t="shared" ref="I317:I364" si="10">SUM(J317:U317)</f>
        <v>-5.0196521958471285</v>
      </c>
      <c r="J317" s="63">
        <f>IF(SUM(E313:E316)&lt;Variables!$B$3,-H316,0)</f>
        <v>0</v>
      </c>
      <c r="K317" s="64">
        <f>IF(AND(H316&lt;Variables!$B$6*Variables!$E$50,OR(SUM(D314:D317)&gt;Variables!$B$5,SUM(E314:E317)&gt;Variables!$B$4)),Variables!$B$6*Variables!$E$50+Variables!$B$7*$G$1*Variables!$E$50*SUM(D314:D317),0)</f>
        <v>0</v>
      </c>
      <c r="L317" s="64">
        <f>IF(B317="Winter",Variables!$B$8*H316,0)</f>
        <v>-5.0196521958471285</v>
      </c>
      <c r="M317" s="64">
        <f>IF(AND(B317="Spring",AND(NOT(H316=0),H316&lt;(Variables!$B$9*Variables!$E$50))),(Variables!$B$10*Variables!$E$50+Variables!$B$11*Variables!$E$50*SUM(E314:E317)+$G$1*SUM(D316:D317)*Variables!$E$50*Variables!$B$12),0)</f>
        <v>0</v>
      </c>
      <c r="N317" s="64">
        <f>IF(AND(B317="Spring",AND(SUM(D314:D317)&gt;Variables!$B$13,SUM(D310:D313)&gt;Variables!$B$13)),-Variables!$B$14*Variables!$E$50,0)</f>
        <v>0</v>
      </c>
      <c r="O317" s="64">
        <f>IF(AND(B317="Summer",SUM(C313:D317)&gt;Variables!$B$15),(Variables!$B$16*Variables!$E$50*SUM(C313:C317)+$G$1*Variables!$B$16*Variables!$E$50*SUM(D313:D317)+$G$1*Variables!$E$50*Variables!$B$17*F317),0)</f>
        <v>0</v>
      </c>
      <c r="P317" s="64">
        <f>IF(AND(AND(B317="Autumn",SUM(D316:E317)&gt;0),NOT(H316=0)),Variables!$B$18*Variables!$E$50+Variables!$B$19*Variables!$E$50*SUM(E316:E317)+$G$1*Variables!$B$19*Variables!$E$50*SUM(D316:D317),0)</f>
        <v>0</v>
      </c>
      <c r="Q317" s="64">
        <f>IF(AND(B317="Autumn",AND((E317+E316)&lt;Variables!$B$20,(D316+D317)=0)),-Variables!$B$21*Variables!$E$50,0)</f>
        <v>0</v>
      </c>
      <c r="R317" s="64">
        <f>IF(B317="Autumn",(SUM(F316:F317)*$G$1*Variables!$B$22*Variables!$E$50),0)</f>
        <v>0</v>
      </c>
      <c r="S317" s="64">
        <f>IF(B317="Spring",($G$1*Variables!$E$50*SUM('Guts (option 1)'!F316:F317)*Variables!$B$23),0)</f>
        <v>0</v>
      </c>
      <c r="T317" s="63">
        <f>IF((H316+SUM(J317:Q317))&lt;(Variables!$B$26*Variables!$E$50),$F$1*((Variables!$B$26*Variables!$E$50)-H316-SUM(J317:Q317)),0)</f>
        <v>0</v>
      </c>
      <c r="U317" s="64">
        <f>IF(AND(AND(B317="Autumn",SUM(D314:E317)&gt;Variables!$B$27),SUM(J317:Q317)&lt;Variables!$B$28*H316),$F$1*(Variables!$B$28*H316-SUM(J317:Q317)),0)</f>
        <v>0</v>
      </c>
      <c r="V317" s="96">
        <f>IF(AND((J317+K317)=0,(Q317+T317)=0),$H$1*H317*Variables!$I$23*0.25,0)</f>
        <v>97.527752161056313</v>
      </c>
      <c r="W317" s="97">
        <f>IF(AND((K317+J317)=0,(T317+Q317)=0),$I$1*H317*Variables!$Q$23*0.25,0)</f>
        <v>102.08575993973199</v>
      </c>
      <c r="X317" s="95">
        <f>IF(AND(NOT(K317=0),(H317-H316)&gt;0),(H317-H316)*(Variables!$M$5*$H$1+Variables!$U$5*$I$1),0)+IF(AND(NOT((J317+N317+Q317)=0),(H316-H317)&gt;0),(H316-H317)*(Variables!$M$4*$H$1+Variables!$U$4*$I$1),0)</f>
        <v>0</v>
      </c>
      <c r="Y317" s="95">
        <f>IF(SUM(T317,U316:U317)&gt;0,H317*Variables!$Y$11*0.25*(1-$J$1),0)</f>
        <v>0</v>
      </c>
      <c r="Z317" s="95">
        <f>IF(T317=0,H317*$J$1*Variables!$Y$5*0.25,0)</f>
        <v>32.897013725729487</v>
      </c>
      <c r="AA317" s="95">
        <f t="shared" si="9"/>
        <v>232.51052582651778</v>
      </c>
      <c r="AB317" s="91">
        <f>AA317/Variables!$E$49</f>
        <v>37.501697713954478</v>
      </c>
    </row>
    <row r="318" spans="1:28" x14ac:dyDescent="0.25">
      <c r="A318" s="61">
        <f>'Water runs'!C325</f>
        <v>31016</v>
      </c>
      <c r="B318" s="61" t="str">
        <f>'Water runs'!B325</f>
        <v>Spring</v>
      </c>
      <c r="C318" s="54">
        <f>'Water runs'!D325/100</f>
        <v>0.73162499999999997</v>
      </c>
      <c r="D318" s="108">
        <f>VLOOKUP(ROW(D318)+4,'Water runs'!$BS$3:$CF$423,MATCH($B$1,Scenarios,0)+1)</f>
        <v>0</v>
      </c>
      <c r="E318" s="54">
        <f>IF(B318=Variables!$D$8,C318-Variables!$E$8,IF(B318=Variables!$D$9,C318-Variables!$E$9,IF(B318=Variables!$D$10,C318-Variables!$E$10,IF(B318=Variables!$D$11,C318-Variables!$E$11,"ELSE"))))</f>
        <v>-3.2357208994709175E-2</v>
      </c>
      <c r="F318" s="108">
        <f>VLOOKUP(ROW(F318)+4,'Water runs'!$CH$3:$CU$423,MATCH($B$1,Scenarios,0)+1)</f>
        <v>0</v>
      </c>
      <c r="G318" s="65">
        <f>H318/Variables!$E$49</f>
        <v>0.82112173905914321</v>
      </c>
      <c r="H318" s="62">
        <f>IF((H317+I318)&gt;(1.1*Variables!$E$50),(1.1*Variables!$E$50),IF((H317+I318)&gt;0,H317+I318,0))</f>
        <v>5.0909547821666878</v>
      </c>
      <c r="I318" s="64">
        <f t="shared" si="10"/>
        <v>2.9875747439074528E-2</v>
      </c>
      <c r="J318" s="63">
        <f>IF(SUM(E314:E317)&lt;Variables!$B$3,-H317,0)</f>
        <v>0</v>
      </c>
      <c r="K318" s="64">
        <f>IF(AND(H317&lt;Variables!$B$6*Variables!$E$50,OR(SUM(D315:D318)&gt;Variables!$B$5,SUM(E315:E318)&gt;Variables!$B$4)),Variables!$B$6*Variables!$E$50+Variables!$B$7*$G$1*Variables!$E$50*SUM(D315:D318),0)</f>
        <v>0</v>
      </c>
      <c r="L318" s="64">
        <f>IF(B318="Winter",Variables!$B$8*H317,0)</f>
        <v>0</v>
      </c>
      <c r="M318" s="64">
        <f>IF(AND(B318="Spring",AND(NOT(H317=0),H317&lt;(Variables!$B$9*Variables!$E$50))),(Variables!$B$10*Variables!$E$50+Variables!$B$11*Variables!$E$50*SUM(E315:E318)+$G$1*SUM(D317:D318)*Variables!$E$50*Variables!$B$12),0)</f>
        <v>0</v>
      </c>
      <c r="N318" s="64">
        <f>IF(AND(B318="Spring",AND(SUM(D315:D318)&gt;Variables!$B$13,SUM(D311:D314)&gt;Variables!$B$13)),-Variables!$B$14*Variables!$E$50,0)</f>
        <v>0</v>
      </c>
      <c r="O318" s="64">
        <f>IF(AND(B318="Summer",SUM(C314:D318)&gt;Variables!$B$15),(Variables!$B$16*Variables!$E$50*SUM(C314:C318)+$G$1*Variables!$B$16*Variables!$E$50*SUM(D314:D318)+$G$1*Variables!$E$50*Variables!$B$17*F318),0)</f>
        <v>0</v>
      </c>
      <c r="P318" s="64">
        <f>IF(AND(AND(B318="Autumn",SUM(D317:E318)&gt;0),NOT(H317=0)),Variables!$B$18*Variables!$E$50+Variables!$B$19*Variables!$E$50*SUM(E317:E318)+$G$1*Variables!$B$19*Variables!$E$50*SUM(D317:D318),0)</f>
        <v>0</v>
      </c>
      <c r="Q318" s="64">
        <f>IF(AND(B318="Autumn",AND((E318+E317)&lt;Variables!$B$20,(D317+D318)=0)),-Variables!$B$21*Variables!$E$50,0)</f>
        <v>0</v>
      </c>
      <c r="R318" s="64">
        <f>IF(B318="Autumn",(SUM(F317:F318)*$G$1*Variables!$B$22*Variables!$E$50),0)</f>
        <v>0</v>
      </c>
      <c r="S318" s="64">
        <f>IF(B318="Spring",($G$1*Variables!$E$50*SUM('Guts (option 1)'!F317:F318)*Variables!$B$23),0)</f>
        <v>2.9875747439074528E-2</v>
      </c>
      <c r="T318" s="63">
        <f>IF((H317+SUM(J318:Q318))&lt;(Variables!$B$26*Variables!$E$50),$F$1*((Variables!$B$26*Variables!$E$50)-H317-SUM(J318:Q318)),0)</f>
        <v>0</v>
      </c>
      <c r="U318" s="64">
        <f>IF(AND(AND(B318="Autumn",SUM(D315:E318)&gt;Variables!$B$27),SUM(J318:Q318)&lt;Variables!$B$28*H317),$F$1*(Variables!$B$28*H317-SUM(J318:Q318)),0)</f>
        <v>0</v>
      </c>
      <c r="V318" s="96">
        <f>IF(AND((J318+K318)=0,(Q318+T318)=0),$H$1*H318*Variables!$I$23*0.25,0)</f>
        <v>98.1034622955694</v>
      </c>
      <c r="W318" s="97">
        <f>IF(AND((K318+J318)=0,(T318+Q318)=0),$I$1*H318*Variables!$Q$23*0.25,0)</f>
        <v>102.68837617238871</v>
      </c>
      <c r="X318" s="95">
        <f>IF(AND(NOT(K318=0),(H318-H317)&gt;0),(H318-H317)*(Variables!$M$5*$H$1+Variables!$U$5*$I$1),0)+IF(AND(NOT((J318+N318+Q318)=0),(H317-H318)&gt;0),(H317-H318)*(Variables!$M$4*$H$1+Variables!$U$4*$I$1),0)</f>
        <v>0</v>
      </c>
      <c r="Y318" s="95">
        <f>IF(SUM(T318,U317:U318)&gt;0,H318*Variables!$Y$11*0.25*(1-$J$1),0)</f>
        <v>0</v>
      </c>
      <c r="Z318" s="95">
        <f>IF(T318=0,H318*$J$1*Variables!$Y$5*0.25,0)</f>
        <v>33.091206084083474</v>
      </c>
      <c r="AA318" s="95">
        <f t="shared" si="9"/>
        <v>233.88304455204158</v>
      </c>
      <c r="AB318" s="91">
        <f>AA318/Variables!$E$49</f>
        <v>37.723071701942189</v>
      </c>
    </row>
    <row r="319" spans="1:28" x14ac:dyDescent="0.25">
      <c r="A319" s="61">
        <f>'Water runs'!C326</f>
        <v>31106</v>
      </c>
      <c r="B319" s="61" t="str">
        <f>'Water runs'!B326</f>
        <v>Summer</v>
      </c>
      <c r="C319" s="54">
        <f>'Water runs'!D326/100</f>
        <v>0.18725000000000003</v>
      </c>
      <c r="D319" s="108">
        <f>VLOOKUP(ROW(D319)+4,'Water runs'!$BS$3:$CF$423,MATCH($B$1,Scenarios,0)+1)</f>
        <v>0</v>
      </c>
      <c r="E319" s="54">
        <f>IF(B319=Variables!$D$8,C319-Variables!$E$8,IF(B319=Variables!$D$9,C319-Variables!$E$9,IF(B319=Variables!$D$10,C319-Variables!$E$10,IF(B319=Variables!$D$11,C319-Variables!$E$11,"ELSE"))))</f>
        <v>-1.0711201360544216</v>
      </c>
      <c r="F319" s="108">
        <f>VLOOKUP(ROW(F319)+4,'Water runs'!$CH$3:$CU$423,MATCH($B$1,Scenarios,0)+1)</f>
        <v>0</v>
      </c>
      <c r="G319" s="65">
        <f>H319/Variables!$E$49</f>
        <v>0.82112173905914321</v>
      </c>
      <c r="H319" s="62">
        <f>IF((H318+I319)&gt;(1.1*Variables!$E$50),(1.1*Variables!$E$50),IF((H318+I319)&gt;0,H318+I319,0))</f>
        <v>5.0909547821666878</v>
      </c>
      <c r="I319" s="64">
        <f t="shared" si="10"/>
        <v>0</v>
      </c>
      <c r="J319" s="63">
        <f>IF(SUM(E315:E318)&lt;Variables!$B$3,-H318,0)</f>
        <v>0</v>
      </c>
      <c r="K319" s="64">
        <f>IF(AND(H318&lt;Variables!$B$6*Variables!$E$50,OR(SUM(D316:D319)&gt;Variables!$B$5,SUM(E316:E319)&gt;Variables!$B$4)),Variables!$B$6*Variables!$E$50+Variables!$B$7*$G$1*Variables!$E$50*SUM(D316:D319),0)</f>
        <v>0</v>
      </c>
      <c r="L319" s="64">
        <f>IF(B319="Winter",Variables!$B$8*H318,0)</f>
        <v>0</v>
      </c>
      <c r="M319" s="64">
        <f>IF(AND(B319="Spring",AND(NOT(H318=0),H318&lt;(Variables!$B$9*Variables!$E$50))),(Variables!$B$10*Variables!$E$50+Variables!$B$11*Variables!$E$50*SUM(E316:E319)+$G$1*SUM(D318:D319)*Variables!$E$50*Variables!$B$12),0)</f>
        <v>0</v>
      </c>
      <c r="N319" s="64">
        <f>IF(AND(B319="Spring",AND(SUM(D316:D319)&gt;Variables!$B$13,SUM(D312:D315)&gt;Variables!$B$13)),-Variables!$B$14*Variables!$E$50,0)</f>
        <v>0</v>
      </c>
      <c r="O319" s="64">
        <f>IF(AND(B319="Summer",SUM(C315:D319)&gt;Variables!$B$15),(Variables!$B$16*Variables!$E$50*SUM(C315:C319)+$G$1*Variables!$B$16*Variables!$E$50*SUM(D315:D319)+$G$1*Variables!$E$50*Variables!$B$17*F319),0)</f>
        <v>0</v>
      </c>
      <c r="P319" s="64">
        <f>IF(AND(AND(B319="Autumn",SUM(D318:E319)&gt;0),NOT(H318=0)),Variables!$B$18*Variables!$E$50+Variables!$B$19*Variables!$E$50*SUM(E318:E319)+$G$1*Variables!$B$19*Variables!$E$50*SUM(D318:D319),0)</f>
        <v>0</v>
      </c>
      <c r="Q319" s="64">
        <f>IF(AND(B319="Autumn",AND((E319+E318)&lt;Variables!$B$20,(D318+D319)=0)),-Variables!$B$21*Variables!$E$50,0)</f>
        <v>0</v>
      </c>
      <c r="R319" s="64">
        <f>IF(B319="Autumn",(SUM(F318:F319)*$G$1*Variables!$B$22*Variables!$E$50),0)</f>
        <v>0</v>
      </c>
      <c r="S319" s="64">
        <f>IF(B319="Spring",($G$1*Variables!$E$50*SUM('Guts (option 1)'!F318:F319)*Variables!$B$23),0)</f>
        <v>0</v>
      </c>
      <c r="T319" s="63">
        <f>IF((H318+SUM(J319:Q319))&lt;(Variables!$B$26*Variables!$E$50),$F$1*((Variables!$B$26*Variables!$E$50)-H318-SUM(J319:Q319)),0)</f>
        <v>0</v>
      </c>
      <c r="U319" s="64">
        <f>IF(AND(AND(B319="Autumn",SUM(D316:E319)&gt;Variables!$B$27),SUM(J319:Q319)&lt;Variables!$B$28*H318),$F$1*(Variables!$B$28*H318-SUM(J319:Q319)),0)</f>
        <v>0</v>
      </c>
      <c r="V319" s="96">
        <f>IF(AND((J319+K319)=0,(Q319+T319)=0),$H$1*H319*Variables!$I$23*0.25,0)</f>
        <v>98.1034622955694</v>
      </c>
      <c r="W319" s="97">
        <f>IF(AND((K319+J319)=0,(T319+Q319)=0),$I$1*H319*Variables!$Q$23*0.25,0)</f>
        <v>102.68837617238871</v>
      </c>
      <c r="X319" s="95">
        <f>IF(AND(NOT(K319=0),(H319-H318)&gt;0),(H319-H318)*(Variables!$M$5*$H$1+Variables!$U$5*$I$1),0)+IF(AND(NOT((J319+N319+Q319)=0),(H318-H319)&gt;0),(H318-H319)*(Variables!$M$4*$H$1+Variables!$U$4*$I$1),0)</f>
        <v>0</v>
      </c>
      <c r="Y319" s="95">
        <f>IF(SUM(T319,U318:U319)&gt;0,H319*Variables!$Y$11*0.25*(1-$J$1),0)</f>
        <v>0</v>
      </c>
      <c r="Z319" s="95">
        <f>IF(T319=0,H319*$J$1*Variables!$Y$5*0.25,0)</f>
        <v>33.091206084083474</v>
      </c>
      <c r="AA319" s="95">
        <f t="shared" si="9"/>
        <v>233.88304455204158</v>
      </c>
      <c r="AB319" s="91">
        <f>AA319/Variables!$E$49</f>
        <v>37.723071701942189</v>
      </c>
    </row>
    <row r="320" spans="1:28" x14ac:dyDescent="0.25">
      <c r="A320" s="61">
        <f>'Water runs'!C327</f>
        <v>31198</v>
      </c>
      <c r="B320" s="61" t="str">
        <f>'Water runs'!B327</f>
        <v>Autumn</v>
      </c>
      <c r="C320" s="54">
        <f>'Water runs'!D327/100</f>
        <v>0.1925</v>
      </c>
      <c r="D320" s="108">
        <f>VLOOKUP(ROW(D320)+4,'Water runs'!$BS$3:$CF$423,MATCH($B$1,Scenarios,0)+1)</f>
        <v>0</v>
      </c>
      <c r="E320" s="54">
        <f>IF(B320=Variables!$D$8,C320-Variables!$E$8,IF(B320=Variables!$D$9,C320-Variables!$E$9,IF(B320=Variables!$D$10,C320-Variables!$E$10,IF(B320=Variables!$D$11,C320-Variables!$E$11,"ELSE"))))</f>
        <v>-0.80214329931972783</v>
      </c>
      <c r="F320" s="108">
        <f>VLOOKUP(ROW(F320)+4,'Water runs'!$CH$3:$CU$423,MATCH($B$1,Scenarios,0)+1)</f>
        <v>0</v>
      </c>
      <c r="G320" s="65">
        <f>H320/Variables!$E$49</f>
        <v>0.17068348077100587</v>
      </c>
      <c r="H320" s="62">
        <f>IF((H319+I320)&gt;(1.1*Variables!$E$50),(1.1*Variables!$E$50),IF((H319+I320)&gt;0,H319+I320,0))</f>
        <v>1.0582375807802364</v>
      </c>
      <c r="I320" s="64">
        <f t="shared" si="10"/>
        <v>-4.0327172013864514</v>
      </c>
      <c r="J320" s="63">
        <f>IF(SUM(E316:E319)&lt;Variables!$B$3,-H319,0)</f>
        <v>0</v>
      </c>
      <c r="K320" s="64">
        <f>IF(AND(H319&lt;Variables!$B$6*Variables!$E$50,OR(SUM(D317:D320)&gt;Variables!$B$5,SUM(E317:E320)&gt;Variables!$B$4)),Variables!$B$6*Variables!$E$50+Variables!$B$7*$G$1*Variables!$E$50*SUM(D317:D320),0)</f>
        <v>0</v>
      </c>
      <c r="L320" s="64">
        <f>IF(B320="Winter",Variables!$B$8*H319,0)</f>
        <v>0</v>
      </c>
      <c r="M320" s="64">
        <f>IF(AND(B320="Spring",AND(NOT(H319=0),H319&lt;(Variables!$B$9*Variables!$E$50))),(Variables!$B$10*Variables!$E$50+Variables!$B$11*Variables!$E$50*SUM(E317:E320)+$G$1*SUM(D319:D320)*Variables!$E$50*Variables!$B$12),0)</f>
        <v>0</v>
      </c>
      <c r="N320" s="64">
        <f>IF(AND(B320="Spring",AND(SUM(D317:D320)&gt;Variables!$B$13,SUM(D313:D316)&gt;Variables!$B$13)),-Variables!$B$14*Variables!$E$50,0)</f>
        <v>0</v>
      </c>
      <c r="O320" s="64">
        <f>IF(AND(B320="Summer",SUM(C316:D320)&gt;Variables!$B$15),(Variables!$B$16*Variables!$E$50*SUM(C316:C320)+$G$1*Variables!$B$16*Variables!$E$50*SUM(D316:D320)+$G$1*Variables!$E$50*Variables!$B$17*F320),0)</f>
        <v>0</v>
      </c>
      <c r="P320" s="64">
        <f>IF(AND(AND(B320="Autumn",SUM(D319:E320)&gt;0),NOT(H319=0)),Variables!$B$18*Variables!$E$50+Variables!$B$19*Variables!$E$50*SUM(E319:E320)+$G$1*Variables!$B$19*Variables!$E$50*SUM(D319:D320),0)</f>
        <v>0</v>
      </c>
      <c r="Q320" s="64">
        <f>IF(AND(B320="Autumn",AND((E320+E319)&lt;Variables!$B$20,(D319+D320)=0)),-Variables!$B$21*Variables!$E$50,0)</f>
        <v>-4.0327172013864514</v>
      </c>
      <c r="R320" s="64">
        <f>IF(B320="Autumn",(SUM(F319:F320)*$G$1*Variables!$B$22*Variables!$E$50),0)</f>
        <v>0</v>
      </c>
      <c r="S320" s="64">
        <f>IF(B320="Spring",($G$1*Variables!$E$50*SUM('Guts (option 1)'!F319:F320)*Variables!$B$23),0)</f>
        <v>0</v>
      </c>
      <c r="T320" s="63">
        <f>IF((H319+SUM(J320:Q320))&lt;(Variables!$B$26*Variables!$E$50),$F$1*((Variables!$B$26*Variables!$E$50)-H319-SUM(J320:Q320)),0)</f>
        <v>0</v>
      </c>
      <c r="U320" s="64">
        <f>IF(AND(AND(B320="Autumn",SUM(D317:E320)&gt;Variables!$B$27),SUM(J320:Q320)&lt;Variables!$B$28*H319),$F$1*(Variables!$B$28*H319-SUM(J320:Q320)),0)</f>
        <v>0</v>
      </c>
      <c r="V320" s="96">
        <f>IF(AND((J320+K320)=0,(Q320+T320)=0),$H$1*H320*Variables!$I$23*0.25,0)</f>
        <v>0</v>
      </c>
      <c r="W320" s="97">
        <f>IF(AND((K320+J320)=0,(T320+Q320)=0),$I$1*H320*Variables!$Q$23*0.25,0)</f>
        <v>0</v>
      </c>
      <c r="X320" s="95">
        <f>IF(AND(NOT(K320=0),(H320-H319)&gt;0),(H320-H319)*(Variables!$M$5*$H$1+Variables!$U$5*$I$1),0)+IF(AND(NOT((J320+N320+Q320)=0),(H319-H320)&gt;0),(H319-H320)*(Variables!$M$4*$H$1+Variables!$U$4*$I$1),0)</f>
        <v>504.08965017330644</v>
      </c>
      <c r="Y320" s="95">
        <f>IF(SUM(T320,U319:U320)&gt;0,H320*Variables!$Y$11*0.25*(1-$J$1),0)</f>
        <v>0</v>
      </c>
      <c r="Z320" s="95">
        <f>IF(T320=0,H320*$J$1*Variables!$Y$5*0.25,0)</f>
        <v>6.8785442750715369</v>
      </c>
      <c r="AA320" s="95">
        <f t="shared" si="9"/>
        <v>510.96819444837797</v>
      </c>
      <c r="AB320" s="91">
        <f>AA320/Variables!$E$49</f>
        <v>82.414224911028697</v>
      </c>
    </row>
    <row r="321" spans="1:28" x14ac:dyDescent="0.25">
      <c r="A321" s="61">
        <f>'Water runs'!C328</f>
        <v>31290</v>
      </c>
      <c r="B321" s="61" t="str">
        <f>'Water runs'!B328</f>
        <v>Winter</v>
      </c>
      <c r="C321" s="54">
        <f>'Water runs'!D328/100</f>
        <v>0.81957142857142895</v>
      </c>
      <c r="D321" s="108">
        <f>VLOOKUP(ROW(D321)+4,'Water runs'!$BS$3:$CF$423,MATCH($B$1,Scenarios,0)+1)</f>
        <v>0</v>
      </c>
      <c r="E321" s="54">
        <f>IF(B321=Variables!$D$8,C321-Variables!$E$8,IF(B321=Variables!$D$9,C321-Variables!$E$9,IF(B321=Variables!$D$10,C321-Variables!$E$10,IF(B321=Variables!$D$11,C321-Variables!$E$11,"ELSE"))))</f>
        <v>0.24780380291005322</v>
      </c>
      <c r="F321" s="108">
        <f>VLOOKUP(ROW(F321)+4,'Water runs'!$CH$3:$CU$423,MATCH($B$1,Scenarios,0)+1)</f>
        <v>0</v>
      </c>
      <c r="G321" s="65">
        <f>H321/Variables!$E$49</f>
        <v>0.161</v>
      </c>
      <c r="H321" s="62">
        <f>IF((H320+I321)&gt;(1.1*Variables!$E$50),(1.1*Variables!$E$50),IF((H320+I321)&gt;0,H320+I321,0))</f>
        <v>0.99820000000000009</v>
      </c>
      <c r="I321" s="64">
        <f t="shared" si="10"/>
        <v>-6.0037580780236355E-2</v>
      </c>
      <c r="J321" s="63">
        <f>IF(SUM(E317:E320)&lt;Variables!$B$3,-H320,0)</f>
        <v>0</v>
      </c>
      <c r="K321" s="64">
        <f>IF(AND(H320&lt;Variables!$B$6*Variables!$E$50,OR(SUM(D318:D321)&gt;Variables!$B$5,SUM(E318:E321)&gt;Variables!$B$4)),Variables!$B$6*Variables!$E$50+Variables!$B$7*$G$1*Variables!$E$50*SUM(D318:D321),0)</f>
        <v>0</v>
      </c>
      <c r="L321" s="64">
        <f>IF(B321="Winter",Variables!$B$8*H320,0)</f>
        <v>-0.52694437284274365</v>
      </c>
      <c r="M321" s="64">
        <f>IF(AND(B321="Spring",AND(NOT(H320=0),H320&lt;(Variables!$B$9*Variables!$E$50))),(Variables!$B$10*Variables!$E$50+Variables!$B$11*Variables!$E$50*SUM(E318:E321)+$G$1*SUM(D320:D321)*Variables!$E$50*Variables!$B$12),0)</f>
        <v>0</v>
      </c>
      <c r="N321" s="64">
        <f>IF(AND(B321="Spring",AND(SUM(D318:D321)&gt;Variables!$B$13,SUM(D314:D317)&gt;Variables!$B$13)),-Variables!$B$14*Variables!$E$50,0)</f>
        <v>0</v>
      </c>
      <c r="O321" s="64">
        <f>IF(AND(B321="Summer",SUM(C317:D321)&gt;Variables!$B$15),(Variables!$B$16*Variables!$E$50*SUM(C317:C321)+$G$1*Variables!$B$16*Variables!$E$50*SUM(D317:D321)+$G$1*Variables!$E$50*Variables!$B$17*F321),0)</f>
        <v>0</v>
      </c>
      <c r="P321" s="64">
        <f>IF(AND(AND(B321="Autumn",SUM(D320:E321)&gt;0),NOT(H320=0)),Variables!$B$18*Variables!$E$50+Variables!$B$19*Variables!$E$50*SUM(E320:E321)+$G$1*Variables!$B$19*Variables!$E$50*SUM(D320:D321),0)</f>
        <v>0</v>
      </c>
      <c r="Q321" s="64">
        <f>IF(AND(B321="Autumn",AND((E321+E320)&lt;Variables!$B$20,(D320+D321)=0)),-Variables!$B$21*Variables!$E$50,0)</f>
        <v>0</v>
      </c>
      <c r="R321" s="64">
        <f>IF(B321="Autumn",(SUM(F320:F321)*$G$1*Variables!$B$22*Variables!$E$50),0)</f>
        <v>0</v>
      </c>
      <c r="S321" s="64">
        <f>IF(B321="Spring",($G$1*Variables!$E$50*SUM('Guts (option 1)'!F320:F321)*Variables!$B$23),0)</f>
        <v>0</v>
      </c>
      <c r="T321" s="63">
        <f>IF((H320+SUM(J321:Q321))&lt;(Variables!$B$26*Variables!$E$50),$F$1*((Variables!$B$26*Variables!$E$50)-H320-SUM(J321:Q321)),0)</f>
        <v>0.46690679206250729</v>
      </c>
      <c r="U321" s="64">
        <f>IF(AND(AND(B321="Autumn",SUM(D318:E321)&gt;Variables!$B$27),SUM(J321:Q321)&lt;Variables!$B$28*H320),$F$1*(Variables!$B$28*H320-SUM(J321:Q321)),0)</f>
        <v>0</v>
      </c>
      <c r="V321" s="96">
        <f>IF(AND((J321+K321)=0,(Q321+T321)=0),$H$1*H321*Variables!$I$23*0.25,0)</f>
        <v>0</v>
      </c>
      <c r="W321" s="97">
        <f>IF(AND((K321+J321)=0,(T321+Q321)=0),$I$1*H321*Variables!$Q$23*0.25,0)</f>
        <v>0</v>
      </c>
      <c r="X321" s="95">
        <f>IF(AND(NOT(K321=0),(H321-H320)&gt;0),(H321-H320)*(Variables!$M$5*$H$1+Variables!$U$5*$I$1),0)+IF(AND(NOT((J321+N321+Q321)=0),(H320-H321)&gt;0),(H320-H321)*(Variables!$M$4*$H$1+Variables!$U$4*$I$1),0)</f>
        <v>0</v>
      </c>
      <c r="Y321" s="95">
        <f>IF(SUM(T321,U320:U321)&gt;0,H321*Variables!$Y$11*0.25*(1-$J$1),0)</f>
        <v>0</v>
      </c>
      <c r="Z321" s="95">
        <f>IF(T321=0,H321*$J$1*Variables!$Y$5*0.25,0)</f>
        <v>0</v>
      </c>
      <c r="AA321" s="95">
        <f t="shared" si="9"/>
        <v>0</v>
      </c>
      <c r="AB321" s="91">
        <f>AA321/Variables!$E$49</f>
        <v>0</v>
      </c>
    </row>
    <row r="322" spans="1:28" x14ac:dyDescent="0.25">
      <c r="A322" s="61">
        <f>'Water runs'!C329</f>
        <v>31381</v>
      </c>
      <c r="B322" s="61" t="str">
        <f>'Water runs'!B329</f>
        <v>Spring</v>
      </c>
      <c r="C322" s="54">
        <f>'Water runs'!D329/100</f>
        <v>1.2090892857142901</v>
      </c>
      <c r="D322" s="108">
        <f>VLOOKUP(ROW(D322)+4,'Water runs'!$BS$3:$CF$423,MATCH($B$1,Scenarios,0)+1)</f>
        <v>0</v>
      </c>
      <c r="E322" s="54">
        <f>IF(B322=Variables!$D$8,C322-Variables!$E$8,IF(B322=Variables!$D$9,C322-Variables!$E$9,IF(B322=Variables!$D$10,C322-Variables!$E$10,IF(B322=Variables!$D$11,C322-Variables!$E$11,"ELSE"))))</f>
        <v>0.44510707671958094</v>
      </c>
      <c r="F322" s="108">
        <f>VLOOKUP(ROW(F322)+4,'Water runs'!$CH$3:$CU$423,MATCH($B$1,Scenarios,0)+1)</f>
        <v>0</v>
      </c>
      <c r="G322" s="65">
        <f>H322/Variables!$E$49</f>
        <v>0.161</v>
      </c>
      <c r="H322" s="62">
        <f>IF((H321+I322)&gt;(1.1*Variables!$E$50),(1.1*Variables!$E$50),IF((H321+I322)&gt;0,H321+I322,0))</f>
        <v>0.99820000000000009</v>
      </c>
      <c r="I322" s="64">
        <f t="shared" si="10"/>
        <v>0</v>
      </c>
      <c r="J322" s="63">
        <f>IF(SUM(E318:E321)&lt;Variables!$B$3,-H321,0)</f>
        <v>0</v>
      </c>
      <c r="K322" s="64">
        <f>IF(AND(H321&lt;Variables!$B$6*Variables!$E$50,OR(SUM(D319:D322)&gt;Variables!$B$5,SUM(E319:E322)&gt;Variables!$B$4)),Variables!$B$6*Variables!$E$50+Variables!$B$7*$G$1*Variables!$E$50*SUM(D319:D322),0)</f>
        <v>0</v>
      </c>
      <c r="L322" s="64">
        <f>IF(B322="Winter",Variables!$B$8*H321,0)</f>
        <v>0</v>
      </c>
      <c r="M322" s="64">
        <f>IF(AND(B322="Spring",AND(NOT(H321=0),H321&lt;(Variables!$B$9*Variables!$E$50))),(Variables!$B$10*Variables!$E$50+Variables!$B$11*Variables!$E$50*SUM(E319:E322)+$G$1*SUM(D321:D322)*Variables!$E$50*Variables!$B$12),0)</f>
        <v>-0.80389290173738082</v>
      </c>
      <c r="N322" s="64">
        <f>IF(AND(B322="Spring",AND(SUM(D319:D322)&gt;Variables!$B$13,SUM(D315:D318)&gt;Variables!$B$13)),-Variables!$B$14*Variables!$E$50,0)</f>
        <v>0</v>
      </c>
      <c r="O322" s="64">
        <f>IF(AND(B322="Summer",SUM(C318:D322)&gt;Variables!$B$15),(Variables!$B$16*Variables!$E$50*SUM(C318:C322)+$G$1*Variables!$B$16*Variables!$E$50*SUM(D318:D322)+$G$1*Variables!$E$50*Variables!$B$17*F322),0)</f>
        <v>0</v>
      </c>
      <c r="P322" s="64">
        <f>IF(AND(AND(B322="Autumn",SUM(D321:E322)&gt;0),NOT(H321=0)),Variables!$B$18*Variables!$E$50+Variables!$B$19*Variables!$E$50*SUM(E321:E322)+$G$1*Variables!$B$19*Variables!$E$50*SUM(D321:D322),0)</f>
        <v>0</v>
      </c>
      <c r="Q322" s="64">
        <f>IF(AND(B322="Autumn",AND((E322+E321)&lt;Variables!$B$20,(D321+D322)=0)),-Variables!$B$21*Variables!$E$50,0)</f>
        <v>0</v>
      </c>
      <c r="R322" s="64">
        <f>IF(B322="Autumn",(SUM(F321:F322)*$G$1*Variables!$B$22*Variables!$E$50),0)</f>
        <v>0</v>
      </c>
      <c r="S322" s="64">
        <f>IF(B322="Spring",($G$1*Variables!$E$50*SUM('Guts (option 1)'!F321:F322)*Variables!$B$23),0)</f>
        <v>0</v>
      </c>
      <c r="T322" s="63">
        <f>IF((H321+SUM(J322:Q322))&lt;(Variables!$B$26*Variables!$E$50),$F$1*((Variables!$B$26*Variables!$E$50)-H321-SUM(J322:Q322)),0)</f>
        <v>0.80389290173738082</v>
      </c>
      <c r="U322" s="64">
        <f>IF(AND(AND(B322="Autumn",SUM(D319:E322)&gt;Variables!$B$27),SUM(J322:Q322)&lt;Variables!$B$28*H321),$F$1*(Variables!$B$28*H321-SUM(J322:Q322)),0)</f>
        <v>0</v>
      </c>
      <c r="V322" s="96">
        <f>IF(AND((J322+K322)=0,(Q322+T322)=0),$H$1*H322*Variables!$I$23*0.25,0)</f>
        <v>0</v>
      </c>
      <c r="W322" s="97">
        <f>IF(AND((K322+J322)=0,(T322+Q322)=0),$I$1*H322*Variables!$Q$23*0.25,0)</f>
        <v>0</v>
      </c>
      <c r="X322" s="95">
        <f>IF(AND(NOT(K322=0),(H322-H321)&gt;0),(H322-H321)*(Variables!$M$5*$H$1+Variables!$U$5*$I$1),0)+IF(AND(NOT((J322+N322+Q322)=0),(H321-H322)&gt;0),(H321-H322)*(Variables!$M$4*$H$1+Variables!$U$4*$I$1),0)</f>
        <v>0</v>
      </c>
      <c r="Y322" s="95">
        <f>IF(SUM(T322,U321:U322)&gt;0,H322*Variables!$Y$11*0.25*(1-$J$1),0)</f>
        <v>0</v>
      </c>
      <c r="Z322" s="95">
        <f>IF(T322=0,H322*$J$1*Variables!$Y$5*0.25,0)</f>
        <v>0</v>
      </c>
      <c r="AA322" s="95">
        <f t="shared" si="9"/>
        <v>0</v>
      </c>
      <c r="AB322" s="91">
        <f>AA322/Variables!$E$49</f>
        <v>0</v>
      </c>
    </row>
    <row r="323" spans="1:28" x14ac:dyDescent="0.25">
      <c r="A323" s="61">
        <f>'Water runs'!C330</f>
        <v>31471</v>
      </c>
      <c r="B323" s="61" t="str">
        <f>'Water runs'!B330</f>
        <v>Summer</v>
      </c>
      <c r="C323" s="54">
        <f>'Water runs'!D330/100</f>
        <v>0.65355357142857207</v>
      </c>
      <c r="D323" s="108">
        <f>VLOOKUP(ROW(D323)+4,'Water runs'!$BS$3:$CF$423,MATCH($B$1,Scenarios,0)+1)</f>
        <v>0</v>
      </c>
      <c r="E323" s="54">
        <f>IF(B323=Variables!$D$8,C323-Variables!$E$8,IF(B323=Variables!$D$9,C323-Variables!$E$9,IF(B323=Variables!$D$10,C323-Variables!$E$10,IF(B323=Variables!$D$11,C323-Variables!$E$11,"ELSE"))))</f>
        <v>-0.60481656462584965</v>
      </c>
      <c r="F323" s="108">
        <f>VLOOKUP(ROW(F323)+4,'Water runs'!$CH$3:$CU$423,MATCH($B$1,Scenarios,0)+1)</f>
        <v>0</v>
      </c>
      <c r="G323" s="65">
        <f>H323/Variables!$E$49</f>
        <v>0.161</v>
      </c>
      <c r="H323" s="62">
        <f>IF((H322+I323)&gt;(1.1*Variables!$E$50),(1.1*Variables!$E$50),IF((H322+I323)&gt;0,H322+I323,0))</f>
        <v>0.99820000000000009</v>
      </c>
      <c r="I323" s="64">
        <f t="shared" si="10"/>
        <v>0</v>
      </c>
      <c r="J323" s="63">
        <f>IF(SUM(E319:E322)&lt;Variables!$B$3,-H322,0)</f>
        <v>0</v>
      </c>
      <c r="K323" s="64">
        <f>IF(AND(H322&lt;Variables!$B$6*Variables!$E$50,OR(SUM(D320:D323)&gt;Variables!$B$5,SUM(E320:E323)&gt;Variables!$B$4)),Variables!$B$6*Variables!$E$50+Variables!$B$7*$G$1*Variables!$E$50*SUM(D320:D323),0)</f>
        <v>0</v>
      </c>
      <c r="L323" s="64">
        <f>IF(B323="Winter",Variables!$B$8*H322,0)</f>
        <v>0</v>
      </c>
      <c r="M323" s="64">
        <f>IF(AND(B323="Spring",AND(NOT(H322=0),H322&lt;(Variables!$B$9*Variables!$E$50))),(Variables!$B$10*Variables!$E$50+Variables!$B$11*Variables!$E$50*SUM(E320:E323)+$G$1*SUM(D322:D323)*Variables!$E$50*Variables!$B$12),0)</f>
        <v>0</v>
      </c>
      <c r="N323" s="64">
        <f>IF(AND(B323="Spring",AND(SUM(D320:D323)&gt;Variables!$B$13,SUM(D316:D319)&gt;Variables!$B$13)),-Variables!$B$14*Variables!$E$50,0)</f>
        <v>0</v>
      </c>
      <c r="O323" s="64">
        <f>IF(AND(B323="Summer",SUM(C319:D323)&gt;Variables!$B$15),(Variables!$B$16*Variables!$E$50*SUM(C319:C323)+$G$1*Variables!$B$16*Variables!$E$50*SUM(D319:D323)+$G$1*Variables!$E$50*Variables!$B$17*F323),0)</f>
        <v>0</v>
      </c>
      <c r="P323" s="64">
        <f>IF(AND(AND(B323="Autumn",SUM(D322:E323)&gt;0),NOT(H322=0)),Variables!$B$18*Variables!$E$50+Variables!$B$19*Variables!$E$50*SUM(E322:E323)+$G$1*Variables!$B$19*Variables!$E$50*SUM(D322:D323),0)</f>
        <v>0</v>
      </c>
      <c r="Q323" s="64">
        <f>IF(AND(B323="Autumn",AND((E323+E322)&lt;Variables!$B$20,(D322+D323)=0)),-Variables!$B$21*Variables!$E$50,0)</f>
        <v>0</v>
      </c>
      <c r="R323" s="64">
        <f>IF(B323="Autumn",(SUM(F322:F323)*$G$1*Variables!$B$22*Variables!$E$50),0)</f>
        <v>0</v>
      </c>
      <c r="S323" s="64">
        <f>IF(B323="Spring",($G$1*Variables!$E$50*SUM('Guts (option 1)'!F322:F323)*Variables!$B$23),0)</f>
        <v>0</v>
      </c>
      <c r="T323" s="63">
        <f>IF((H322+SUM(J323:Q323))&lt;(Variables!$B$26*Variables!$E$50),$F$1*((Variables!$B$26*Variables!$E$50)-H322-SUM(J323:Q323)),0)</f>
        <v>0</v>
      </c>
      <c r="U323" s="64">
        <f>IF(AND(AND(B323="Autumn",SUM(D320:E323)&gt;Variables!$B$27),SUM(J323:Q323)&lt;Variables!$B$28*H322),$F$1*(Variables!$B$28*H322-SUM(J323:Q323)),0)</f>
        <v>0</v>
      </c>
      <c r="V323" s="96">
        <f>IF(AND((J323+K323)=0,(Q323+T323)=0),$H$1*H323*Variables!$I$23*0.25,0)</f>
        <v>19.235463730000003</v>
      </c>
      <c r="W323" s="97">
        <f>IF(AND((K323+J323)=0,(T323+Q323)=0),$I$1*H323*Variables!$Q$23*0.25,0)</f>
        <v>20.13444265</v>
      </c>
      <c r="X323" s="95">
        <f>IF(AND(NOT(K323=0),(H323-H322)&gt;0),(H323-H322)*(Variables!$M$5*$H$1+Variables!$U$5*$I$1),0)+IF(AND(NOT((J323+N323+Q323)=0),(H322-H323)&gt;0),(H322-H323)*(Variables!$M$4*$H$1+Variables!$U$4*$I$1),0)</f>
        <v>0</v>
      </c>
      <c r="Y323" s="95">
        <f>IF(SUM(T323,U322:U323)&gt;0,H323*Variables!$Y$11*0.25*(1-$J$1),0)</f>
        <v>0</v>
      </c>
      <c r="Z323" s="95">
        <f>IF(T323=0,H323*$J$1*Variables!$Y$5*0.25,0)</f>
        <v>6.4883000000000006</v>
      </c>
      <c r="AA323" s="95">
        <f t="shared" si="9"/>
        <v>45.858206380000006</v>
      </c>
      <c r="AB323" s="91">
        <f>AA323/Variables!$E$49</f>
        <v>7.3964849000000008</v>
      </c>
    </row>
    <row r="324" spans="1:28" x14ac:dyDescent="0.25">
      <c r="A324" s="61">
        <f>'Water runs'!C331</f>
        <v>31563</v>
      </c>
      <c r="B324" s="61" t="str">
        <f>'Water runs'!B331</f>
        <v>Autumn</v>
      </c>
      <c r="C324" s="54">
        <f>'Water runs'!D331/100</f>
        <v>0.45250000000000001</v>
      </c>
      <c r="D324" s="108">
        <f>VLOOKUP(ROW(D324)+4,'Water runs'!$BS$3:$CF$423,MATCH($B$1,Scenarios,0)+1)</f>
        <v>0</v>
      </c>
      <c r="E324" s="54">
        <f>IF(B324=Variables!$D$8,C324-Variables!$E$8,IF(B324=Variables!$D$9,C324-Variables!$E$9,IF(B324=Variables!$D$10,C324-Variables!$E$10,IF(B324=Variables!$D$11,C324-Variables!$E$11,"ELSE"))))</f>
        <v>-0.54214329931972782</v>
      </c>
      <c r="F324" s="108">
        <f>VLOOKUP(ROW(F324)+4,'Water runs'!$CH$3:$CU$423,MATCH($B$1,Scenarios,0)+1)</f>
        <v>0</v>
      </c>
      <c r="G324" s="65">
        <f>H324/Variables!$E$49</f>
        <v>0.34500000000000003</v>
      </c>
      <c r="H324" s="62">
        <f>IF((H323+I324)&gt;(1.1*Variables!$E$50),(1.1*Variables!$E$50),IF((H323+I324)&gt;0,H323+I324,0))</f>
        <v>2.1390000000000002</v>
      </c>
      <c r="I324" s="64">
        <f t="shared" si="10"/>
        <v>1.1408</v>
      </c>
      <c r="J324" s="63">
        <f>IF(SUM(E320:E323)&lt;Variables!$B$3,-H323,0)</f>
        <v>0</v>
      </c>
      <c r="K324" s="64">
        <f>IF(AND(H323&lt;Variables!$B$6*Variables!$E$50,OR(SUM(D321:D324)&gt;Variables!$B$5,SUM(E321:E324)&gt;Variables!$B$4)),Variables!$B$6*Variables!$E$50+Variables!$B$7*$G$1*Variables!$E$50*SUM(D321:D324),0)</f>
        <v>1.1408</v>
      </c>
      <c r="L324" s="64">
        <f>IF(B324="Winter",Variables!$B$8*H323,0)</f>
        <v>0</v>
      </c>
      <c r="M324" s="64">
        <f>IF(AND(B324="Spring",AND(NOT(H323=0),H323&lt;(Variables!$B$9*Variables!$E$50))),(Variables!$B$10*Variables!$E$50+Variables!$B$11*Variables!$E$50*SUM(E321:E324)+$G$1*SUM(D323:D324)*Variables!$E$50*Variables!$B$12),0)</f>
        <v>0</v>
      </c>
      <c r="N324" s="64">
        <f>IF(AND(B324="Spring",AND(SUM(D321:D324)&gt;Variables!$B$13,SUM(D317:D320)&gt;Variables!$B$13)),-Variables!$B$14*Variables!$E$50,0)</f>
        <v>0</v>
      </c>
      <c r="O324" s="64">
        <f>IF(AND(B324="Summer",SUM(C320:D324)&gt;Variables!$B$15),(Variables!$B$16*Variables!$E$50*SUM(C320:C324)+$G$1*Variables!$B$16*Variables!$E$50*SUM(D320:D324)+$G$1*Variables!$E$50*Variables!$B$17*F324),0)</f>
        <v>0</v>
      </c>
      <c r="P324" s="64">
        <f>IF(AND(AND(B324="Autumn",SUM(D323:E324)&gt;0),NOT(H323=0)),Variables!$B$18*Variables!$E$50+Variables!$B$19*Variables!$E$50*SUM(E323:E324)+$G$1*Variables!$B$19*Variables!$E$50*SUM(D323:D324),0)</f>
        <v>0</v>
      </c>
      <c r="Q324" s="64">
        <f>IF(AND(B324="Autumn",AND((E324+E323)&lt;Variables!$B$20,(D323+D324)=0)),-Variables!$B$21*Variables!$E$50,0)</f>
        <v>0</v>
      </c>
      <c r="R324" s="64">
        <f>IF(B324="Autumn",(SUM(F323:F324)*$G$1*Variables!$B$22*Variables!$E$50),0)</f>
        <v>0</v>
      </c>
      <c r="S324" s="64">
        <f>IF(B324="Spring",($G$1*Variables!$E$50*SUM('Guts (option 1)'!F323:F324)*Variables!$B$23),0)</f>
        <v>0</v>
      </c>
      <c r="T324" s="63">
        <f>IF((H323+SUM(J324:Q324))&lt;(Variables!$B$26*Variables!$E$50),$F$1*((Variables!$B$26*Variables!$E$50)-H323-SUM(J324:Q324)),0)</f>
        <v>0</v>
      </c>
      <c r="U324" s="64">
        <f>IF(AND(AND(B324="Autumn",SUM(D321:E324)&gt;Variables!$B$27),SUM(J324:Q324)&lt;Variables!$B$28*H323),$F$1*(Variables!$B$28*H323-SUM(J324:Q324)),0)</f>
        <v>0</v>
      </c>
      <c r="V324" s="96">
        <f>IF(AND((J324+K324)=0,(Q324+T324)=0),$H$1*H324*Variables!$I$23*0.25,0)</f>
        <v>0</v>
      </c>
      <c r="W324" s="97">
        <f>IF(AND((K324+J324)=0,(T324+Q324)=0),$I$1*H324*Variables!$Q$23*0.25,0)</f>
        <v>0</v>
      </c>
      <c r="X324" s="95">
        <f>IF(AND(NOT(K324=0),(H324-H323)&gt;0),(H324-H323)*(Variables!$M$5*$H$1+Variables!$U$5*$I$1),0)+IF(AND(NOT((J324+N324+Q324)=0),(H323-H324)&gt;0),(H323-H324)*(Variables!$M$4*$H$1+Variables!$U$4*$I$1),0)</f>
        <v>-285.2</v>
      </c>
      <c r="Y324" s="95">
        <f>IF(SUM(T324,U323:U324)&gt;0,H324*Variables!$Y$11*0.25*(1-$J$1),0)</f>
        <v>0</v>
      </c>
      <c r="Z324" s="95">
        <f>IF(T324=0,H324*$J$1*Variables!$Y$5*0.25,0)</f>
        <v>13.903500000000001</v>
      </c>
      <c r="AA324" s="95">
        <f t="shared" si="9"/>
        <v>-271.29649999999998</v>
      </c>
      <c r="AB324" s="91">
        <f>AA324/Variables!$E$49</f>
        <v>-43.757499999999993</v>
      </c>
    </row>
    <row r="325" spans="1:28" x14ac:dyDescent="0.25">
      <c r="A325" s="61">
        <f>'Water runs'!C332</f>
        <v>31655</v>
      </c>
      <c r="B325" s="61" t="str">
        <f>'Water runs'!B332</f>
        <v>Winter</v>
      </c>
      <c r="C325" s="54">
        <f>'Water runs'!D332/100</f>
        <v>1.12221428571429</v>
      </c>
      <c r="D325" s="108">
        <f>VLOOKUP(ROW(D325)+4,'Water runs'!$BS$3:$CF$423,MATCH($B$1,Scenarios,0)+1)</f>
        <v>0</v>
      </c>
      <c r="E325" s="54">
        <f>IF(B325=Variables!$D$8,C325-Variables!$E$8,IF(B325=Variables!$D$9,C325-Variables!$E$9,IF(B325=Variables!$D$10,C325-Variables!$E$10,IF(B325=Variables!$D$11,C325-Variables!$E$11,"ELSE"))))</f>
        <v>0.55044666005291432</v>
      </c>
      <c r="F325" s="108">
        <f>VLOOKUP(ROW(F325)+4,'Water runs'!$CH$3:$CU$423,MATCH($B$1,Scenarios,0)+1)</f>
        <v>0</v>
      </c>
      <c r="G325" s="65">
        <f>H325/Variables!$E$49</f>
        <v>0.17320889001436818</v>
      </c>
      <c r="H325" s="62">
        <f>IF((H324+I325)&gt;(1.1*Variables!$E$50),(1.1*Variables!$E$50),IF((H324+I325)&gt;0,H324+I325,0))</f>
        <v>1.0738951180890828</v>
      </c>
      <c r="I325" s="64">
        <f t="shared" si="10"/>
        <v>-1.0651048819109175</v>
      </c>
      <c r="J325" s="63">
        <f>IF(SUM(E321:E324)&lt;Variables!$B$3,-H324,0)</f>
        <v>0</v>
      </c>
      <c r="K325" s="64">
        <f>IF(AND(H324&lt;Variables!$B$6*Variables!$E$50,OR(SUM(D322:D325)&gt;Variables!$B$5,SUM(E322:E325)&gt;Variables!$B$4)),Variables!$B$6*Variables!$E$50+Variables!$B$7*$G$1*Variables!$E$50*SUM(D322:D325),0)</f>
        <v>0</v>
      </c>
      <c r="L325" s="64">
        <f>IF(B325="Winter",Variables!$B$8*H324,0)</f>
        <v>-1.0651048819109175</v>
      </c>
      <c r="M325" s="64">
        <f>IF(AND(B325="Spring",AND(NOT(H324=0),H324&lt;(Variables!$B$9*Variables!$E$50))),(Variables!$B$10*Variables!$E$50+Variables!$B$11*Variables!$E$50*SUM(E322:E325)+$G$1*SUM(D324:D325)*Variables!$E$50*Variables!$B$12),0)</f>
        <v>0</v>
      </c>
      <c r="N325" s="64">
        <f>IF(AND(B325="Spring",AND(SUM(D322:D325)&gt;Variables!$B$13,SUM(D318:D321)&gt;Variables!$B$13)),-Variables!$B$14*Variables!$E$50,0)</f>
        <v>0</v>
      </c>
      <c r="O325" s="64">
        <f>IF(AND(B325="Summer",SUM(C321:D325)&gt;Variables!$B$15),(Variables!$B$16*Variables!$E$50*SUM(C321:C325)+$G$1*Variables!$B$16*Variables!$E$50*SUM(D321:D325)+$G$1*Variables!$E$50*Variables!$B$17*F325),0)</f>
        <v>0</v>
      </c>
      <c r="P325" s="64">
        <f>IF(AND(AND(B325="Autumn",SUM(D324:E325)&gt;0),NOT(H324=0)),Variables!$B$18*Variables!$E$50+Variables!$B$19*Variables!$E$50*SUM(E324:E325)+$G$1*Variables!$B$19*Variables!$E$50*SUM(D324:D325),0)</f>
        <v>0</v>
      </c>
      <c r="Q325" s="64">
        <f>IF(AND(B325="Autumn",AND((E325+E324)&lt;Variables!$B$20,(D324+D325)=0)),-Variables!$B$21*Variables!$E$50,0)</f>
        <v>0</v>
      </c>
      <c r="R325" s="64">
        <f>IF(B325="Autumn",(SUM(F324:F325)*$G$1*Variables!$B$22*Variables!$E$50),0)</f>
        <v>0</v>
      </c>
      <c r="S325" s="64">
        <f>IF(B325="Spring",($G$1*Variables!$E$50*SUM('Guts (option 1)'!F324:F325)*Variables!$B$23),0)</f>
        <v>0</v>
      </c>
      <c r="T325" s="63">
        <f>IF((H324+SUM(J325:Q325))&lt;(Variables!$B$26*Variables!$E$50),$F$1*((Variables!$B$26*Variables!$E$50)-H324-SUM(J325:Q325)),0)</f>
        <v>0</v>
      </c>
      <c r="U325" s="64">
        <f>IF(AND(AND(B325="Autumn",SUM(D322:E325)&gt;Variables!$B$27),SUM(J325:Q325)&lt;Variables!$B$28*H324),$F$1*(Variables!$B$28*H324-SUM(J325:Q325)),0)</f>
        <v>0</v>
      </c>
      <c r="V325" s="96">
        <f>IF(AND((J325+K325)=0,(Q325+T325)=0),$H$1*H325*Variables!$I$23*0.25,0)</f>
        <v>20.69412000984434</v>
      </c>
      <c r="W325" s="97">
        <f>IF(AND((K325+J325)=0,(T325+Q325)=0),$I$1*H325*Variables!$Q$23*0.25,0)</f>
        <v>21.661269953195365</v>
      </c>
      <c r="X325" s="95">
        <f>IF(AND(NOT(K325=0),(H325-H324)&gt;0),(H325-H324)*(Variables!$M$5*$H$1+Variables!$U$5*$I$1),0)+IF(AND(NOT((J325+N325+Q325)=0),(H324-H325)&gt;0),(H324-H325)*(Variables!$M$4*$H$1+Variables!$U$4*$I$1),0)</f>
        <v>0</v>
      </c>
      <c r="Y325" s="95">
        <f>IF(SUM(T325,U324:U325)&gt;0,H325*Variables!$Y$11*0.25*(1-$J$1),0)</f>
        <v>0</v>
      </c>
      <c r="Z325" s="95">
        <f>IF(T325=0,H325*$J$1*Variables!$Y$5*0.25,0)</f>
        <v>6.9803182675790385</v>
      </c>
      <c r="AA325" s="95">
        <f t="shared" si="9"/>
        <v>49.335708230618742</v>
      </c>
      <c r="AB325" s="91">
        <f>AA325/Variables!$E$49</f>
        <v>7.957372295261087</v>
      </c>
    </row>
    <row r="326" spans="1:28" x14ac:dyDescent="0.25">
      <c r="A326" s="61">
        <f>'Water runs'!C333</f>
        <v>31746</v>
      </c>
      <c r="B326" s="61" t="str">
        <f>'Water runs'!B333</f>
        <v>Spring</v>
      </c>
      <c r="C326" s="54">
        <f>'Water runs'!D333/100</f>
        <v>1.159125</v>
      </c>
      <c r="D326" s="108">
        <f>VLOOKUP(ROW(D326)+4,'Water runs'!$BS$3:$CF$423,MATCH($B$1,Scenarios,0)+1)</f>
        <v>0</v>
      </c>
      <c r="E326" s="54">
        <f>IF(B326=Variables!$D$8,C326-Variables!$E$8,IF(B326=Variables!$D$9,C326-Variables!$E$9,IF(B326=Variables!$D$10,C326-Variables!$E$10,IF(B326=Variables!$D$11,C326-Variables!$E$11,"ELSE"))))</f>
        <v>0.39514279100529082</v>
      </c>
      <c r="F326" s="108">
        <f>VLOOKUP(ROW(F326)+4,'Water runs'!$CH$3:$CU$423,MATCH($B$1,Scenarios,0)+1)</f>
        <v>0</v>
      </c>
      <c r="G326" s="65">
        <f>H326/Variables!$E$49</f>
        <v>0.33508862018860808</v>
      </c>
      <c r="H326" s="62">
        <f>IF((H325+I326)&gt;(1.1*Variables!$E$50),(1.1*Variables!$E$50),IF((H325+I326)&gt;0,H325+I326,0))</f>
        <v>2.0775494451693701</v>
      </c>
      <c r="I326" s="64">
        <f t="shared" si="10"/>
        <v>1.0036543270802873</v>
      </c>
      <c r="J326" s="63">
        <f>IF(SUM(E322:E325)&lt;Variables!$B$3,-H325,0)</f>
        <v>0</v>
      </c>
      <c r="K326" s="64">
        <f>IF(AND(H325&lt;Variables!$B$6*Variables!$E$50,OR(SUM(D323:D326)&gt;Variables!$B$5,SUM(E323:E326)&gt;Variables!$B$4)),Variables!$B$6*Variables!$E$50+Variables!$B$7*$G$1*Variables!$E$50*SUM(D323:D326),0)</f>
        <v>1.1408</v>
      </c>
      <c r="L326" s="64">
        <f>IF(B326="Winter",Variables!$B$8*H325,0)</f>
        <v>0</v>
      </c>
      <c r="M326" s="64">
        <f>IF(AND(B326="Spring",AND(NOT(H325=0),H325&lt;(Variables!$B$9*Variables!$E$50))),(Variables!$B$10*Variables!$E$50+Variables!$B$11*Variables!$E$50*SUM(E323:E326)+$G$1*SUM(D325:D326)*Variables!$E$50*Variables!$B$12),0)</f>
        <v>-0.1371456729197128</v>
      </c>
      <c r="N326" s="64">
        <f>IF(AND(B326="Spring",AND(SUM(D323:D326)&gt;Variables!$B$13,SUM(D319:D322)&gt;Variables!$B$13)),-Variables!$B$14*Variables!$E$50,0)</f>
        <v>0</v>
      </c>
      <c r="O326" s="64">
        <f>IF(AND(B326="Summer",SUM(C322:D326)&gt;Variables!$B$15),(Variables!$B$16*Variables!$E$50*SUM(C322:C326)+$G$1*Variables!$B$16*Variables!$E$50*SUM(D322:D326)+$G$1*Variables!$E$50*Variables!$B$17*F326),0)</f>
        <v>0</v>
      </c>
      <c r="P326" s="64">
        <f>IF(AND(AND(B326="Autumn",SUM(D325:E326)&gt;0),NOT(H325=0)),Variables!$B$18*Variables!$E$50+Variables!$B$19*Variables!$E$50*SUM(E325:E326)+$G$1*Variables!$B$19*Variables!$E$50*SUM(D325:D326),0)</f>
        <v>0</v>
      </c>
      <c r="Q326" s="64">
        <f>IF(AND(B326="Autumn",AND((E326+E325)&lt;Variables!$B$20,(D325+D326)=0)),-Variables!$B$21*Variables!$E$50,0)</f>
        <v>0</v>
      </c>
      <c r="R326" s="64">
        <f>IF(B326="Autumn",(SUM(F325:F326)*$G$1*Variables!$B$22*Variables!$E$50),0)</f>
        <v>0</v>
      </c>
      <c r="S326" s="64">
        <f>IF(B326="Spring",($G$1*Variables!$E$50*SUM('Guts (option 1)'!F325:F326)*Variables!$B$23),0)</f>
        <v>0</v>
      </c>
      <c r="T326" s="63">
        <f>IF((H325+SUM(J326:Q326))&lt;(Variables!$B$26*Variables!$E$50),$F$1*((Variables!$B$26*Variables!$E$50)-H325-SUM(J326:Q326)),0)</f>
        <v>0</v>
      </c>
      <c r="U326" s="64">
        <f>IF(AND(AND(B326="Autumn",SUM(D323:E326)&gt;Variables!$B$27),SUM(J326:Q326)&lt;Variables!$B$28*H325),$F$1*(Variables!$B$28*H325-SUM(J326:Q326)),0)</f>
        <v>0</v>
      </c>
      <c r="V326" s="96">
        <f>IF(AND((J326+K326)=0,(Q326+T326)=0),$H$1*H326*Variables!$I$23*0.25,0)</f>
        <v>0</v>
      </c>
      <c r="W326" s="97">
        <f>IF(AND((K326+J326)=0,(T326+Q326)=0),$I$1*H326*Variables!$Q$23*0.25,0)</f>
        <v>0</v>
      </c>
      <c r="X326" s="95">
        <f>IF(AND(NOT(K326=0),(H326-H325)&gt;0),(H326-H325)*(Variables!$M$5*$H$1+Variables!$U$5*$I$1),0)+IF(AND(NOT((J326+N326+Q326)=0),(H325-H326)&gt;0),(H325-H326)*(Variables!$M$4*$H$1+Variables!$U$4*$I$1),0)</f>
        <v>-250.91358177007183</v>
      </c>
      <c r="Y326" s="95">
        <f>IF(SUM(T326,U325:U326)&gt;0,H326*Variables!$Y$11*0.25*(1-$J$1),0)</f>
        <v>0</v>
      </c>
      <c r="Z326" s="95">
        <f>IF(T326=0,H326*$J$1*Variables!$Y$5*0.25,0)</f>
        <v>13.504071393600906</v>
      </c>
      <c r="AA326" s="95">
        <f t="shared" si="9"/>
        <v>-237.40951037647093</v>
      </c>
      <c r="AB326" s="91">
        <f>AA326/Variables!$E$49</f>
        <v>-38.291856512334022</v>
      </c>
    </row>
    <row r="327" spans="1:28" x14ac:dyDescent="0.25">
      <c r="A327" s="61">
        <f>'Water runs'!C334</f>
        <v>31836</v>
      </c>
      <c r="B327" s="61" t="str">
        <f>'Water runs'!B334</f>
        <v>Summer</v>
      </c>
      <c r="C327" s="54">
        <f>'Water runs'!D334/100</f>
        <v>0.55474999999999997</v>
      </c>
      <c r="D327" s="108">
        <f>VLOOKUP(ROW(D327)+4,'Water runs'!$BS$3:$CF$423,MATCH($B$1,Scenarios,0)+1)</f>
        <v>0</v>
      </c>
      <c r="E327" s="54">
        <f>IF(B327=Variables!$D$8,C327-Variables!$E$8,IF(B327=Variables!$D$9,C327-Variables!$E$9,IF(B327=Variables!$D$10,C327-Variables!$E$10,IF(B327=Variables!$D$11,C327-Variables!$E$11,"ELSE"))))</f>
        <v>-0.70362013605442175</v>
      </c>
      <c r="F327" s="108">
        <f>VLOOKUP(ROW(F327)+4,'Water runs'!$CH$3:$CU$423,MATCH($B$1,Scenarios,0)+1)</f>
        <v>0</v>
      </c>
      <c r="G327" s="65">
        <f>H327/Variables!$E$49</f>
        <v>0.33508862018860808</v>
      </c>
      <c r="H327" s="62">
        <f>IF((H326+I327)&gt;(1.1*Variables!$E$50),(1.1*Variables!$E$50),IF((H326+I327)&gt;0,H326+I327,0))</f>
        <v>2.0775494451693701</v>
      </c>
      <c r="I327" s="64">
        <f t="shared" si="10"/>
        <v>0</v>
      </c>
      <c r="J327" s="63">
        <f>IF(SUM(E323:E326)&lt;Variables!$B$3,-H326,0)</f>
        <v>0</v>
      </c>
      <c r="K327" s="64">
        <f>IF(AND(H326&lt;Variables!$B$6*Variables!$E$50,OR(SUM(D324:D327)&gt;Variables!$B$5,SUM(E324:E327)&gt;Variables!$B$4)),Variables!$B$6*Variables!$E$50+Variables!$B$7*$G$1*Variables!$E$50*SUM(D324:D327),0)</f>
        <v>0</v>
      </c>
      <c r="L327" s="64">
        <f>IF(B327="Winter",Variables!$B$8*H326,0)</f>
        <v>0</v>
      </c>
      <c r="M327" s="64">
        <f>IF(AND(B327="Spring",AND(NOT(H326=0),H326&lt;(Variables!$B$9*Variables!$E$50))),(Variables!$B$10*Variables!$E$50+Variables!$B$11*Variables!$E$50*SUM(E324:E327)+$G$1*SUM(D326:D327)*Variables!$E$50*Variables!$B$12),0)</f>
        <v>0</v>
      </c>
      <c r="N327" s="64">
        <f>IF(AND(B327="Spring",AND(SUM(D324:D327)&gt;Variables!$B$13,SUM(D320:D323)&gt;Variables!$B$13)),-Variables!$B$14*Variables!$E$50,0)</f>
        <v>0</v>
      </c>
      <c r="O327" s="64">
        <f>IF(AND(B327="Summer",SUM(C323:D327)&gt;Variables!$B$15),(Variables!$B$16*Variables!$E$50*SUM(C323:C327)+$G$1*Variables!$B$16*Variables!$E$50*SUM(D323:D327)+$G$1*Variables!$E$50*Variables!$B$17*F327),0)</f>
        <v>0</v>
      </c>
      <c r="P327" s="64">
        <f>IF(AND(AND(B327="Autumn",SUM(D326:E327)&gt;0),NOT(H326=0)),Variables!$B$18*Variables!$E$50+Variables!$B$19*Variables!$E$50*SUM(E326:E327)+$G$1*Variables!$B$19*Variables!$E$50*SUM(D326:D327),0)</f>
        <v>0</v>
      </c>
      <c r="Q327" s="64">
        <f>IF(AND(B327="Autumn",AND((E327+E326)&lt;Variables!$B$20,(D326+D327)=0)),-Variables!$B$21*Variables!$E$50,0)</f>
        <v>0</v>
      </c>
      <c r="R327" s="64">
        <f>IF(B327="Autumn",(SUM(F326:F327)*$G$1*Variables!$B$22*Variables!$E$50),0)</f>
        <v>0</v>
      </c>
      <c r="S327" s="64">
        <f>IF(B327="Spring",($G$1*Variables!$E$50*SUM('Guts (option 1)'!F326:F327)*Variables!$B$23),0)</f>
        <v>0</v>
      </c>
      <c r="T327" s="63">
        <f>IF((H326+SUM(J327:Q327))&lt;(Variables!$B$26*Variables!$E$50),$F$1*((Variables!$B$26*Variables!$E$50)-H326-SUM(J327:Q327)),0)</f>
        <v>0</v>
      </c>
      <c r="U327" s="64">
        <f>IF(AND(AND(B327="Autumn",SUM(D324:E327)&gt;Variables!$B$27),SUM(J327:Q327)&lt;Variables!$B$28*H326),$F$1*(Variables!$B$28*H326-SUM(J327:Q327)),0)</f>
        <v>0</v>
      </c>
      <c r="V327" s="96">
        <f>IF(AND((J327+K327)=0,(Q327+T327)=0),$H$1*H327*Variables!$I$23*0.25,0)</f>
        <v>40.03468944083054</v>
      </c>
      <c r="W327" s="97">
        <f>IF(AND((K327+J327)=0,(T327+Q327)=0),$I$1*H327*Variables!$Q$23*0.25,0)</f>
        <v>41.905730471150072</v>
      </c>
      <c r="X327" s="95">
        <f>IF(AND(NOT(K327=0),(H327-H326)&gt;0),(H327-H326)*(Variables!$M$5*$H$1+Variables!$U$5*$I$1),0)+IF(AND(NOT((J327+N327+Q327)=0),(H326-H327)&gt;0),(H326-H327)*(Variables!$M$4*$H$1+Variables!$U$4*$I$1),0)</f>
        <v>0</v>
      </c>
      <c r="Y327" s="95">
        <f>IF(SUM(T327,U326:U327)&gt;0,H327*Variables!$Y$11*0.25*(1-$J$1),0)</f>
        <v>0</v>
      </c>
      <c r="Z327" s="95">
        <f>IF(T327=0,H327*$J$1*Variables!$Y$5*0.25,0)</f>
        <v>13.504071393600906</v>
      </c>
      <c r="AA327" s="95">
        <f t="shared" si="9"/>
        <v>95.444491305581522</v>
      </c>
      <c r="AB327" s="91">
        <f>AA327/Variables!$E$49</f>
        <v>15.394272791222825</v>
      </c>
    </row>
    <row r="328" spans="1:28" x14ac:dyDescent="0.25">
      <c r="A328" s="61">
        <f>'Water runs'!C335</f>
        <v>31928</v>
      </c>
      <c r="B328" s="61" t="str">
        <f>'Water runs'!B335</f>
        <v>Autumn</v>
      </c>
      <c r="C328" s="54">
        <f>'Water runs'!D335/100</f>
        <v>0.82055357142857099</v>
      </c>
      <c r="D328" s="108">
        <f>VLOOKUP(ROW(D328)+4,'Water runs'!$BS$3:$CF$423,MATCH($B$1,Scenarios,0)+1)</f>
        <v>0</v>
      </c>
      <c r="E328" s="54">
        <f>IF(B328=Variables!$D$8,C328-Variables!$E$8,IF(B328=Variables!$D$9,C328-Variables!$E$9,IF(B328=Variables!$D$10,C328-Variables!$E$10,IF(B328=Variables!$D$11,C328-Variables!$E$11,"ELSE"))))</f>
        <v>-0.17408972789115684</v>
      </c>
      <c r="F328" s="108">
        <f>VLOOKUP(ROW(F328)+4,'Water runs'!$CH$3:$CU$423,MATCH($B$1,Scenarios,0)+1)</f>
        <v>0</v>
      </c>
      <c r="G328" s="65">
        <f>H328/Variables!$E$49</f>
        <v>0.33508862018860808</v>
      </c>
      <c r="H328" s="62">
        <f>IF((H327+I328)&gt;(1.1*Variables!$E$50),(1.1*Variables!$E$50),IF((H327+I328)&gt;0,H327+I328,0))</f>
        <v>2.0775494451693701</v>
      </c>
      <c r="I328" s="64">
        <f t="shared" si="10"/>
        <v>0</v>
      </c>
      <c r="J328" s="63">
        <f>IF(SUM(E324:E327)&lt;Variables!$B$3,-H327,0)</f>
        <v>0</v>
      </c>
      <c r="K328" s="64">
        <f>IF(AND(H327&lt;Variables!$B$6*Variables!$E$50,OR(SUM(D325:D328)&gt;Variables!$B$5,SUM(E325:E328)&gt;Variables!$B$4)),Variables!$B$6*Variables!$E$50+Variables!$B$7*$G$1*Variables!$E$50*SUM(D325:D328),0)</f>
        <v>0</v>
      </c>
      <c r="L328" s="64">
        <f>IF(B328="Winter",Variables!$B$8*H327,0)</f>
        <v>0</v>
      </c>
      <c r="M328" s="64">
        <f>IF(AND(B328="Spring",AND(NOT(H327=0),H327&lt;(Variables!$B$9*Variables!$E$50))),(Variables!$B$10*Variables!$E$50+Variables!$B$11*Variables!$E$50*SUM(E325:E328)+$G$1*SUM(D327:D328)*Variables!$E$50*Variables!$B$12),0)</f>
        <v>0</v>
      </c>
      <c r="N328" s="64">
        <f>IF(AND(B328="Spring",AND(SUM(D325:D328)&gt;Variables!$B$13,SUM(D321:D324)&gt;Variables!$B$13)),-Variables!$B$14*Variables!$E$50,0)</f>
        <v>0</v>
      </c>
      <c r="O328" s="64">
        <f>IF(AND(B328="Summer",SUM(C324:D328)&gt;Variables!$B$15),(Variables!$B$16*Variables!$E$50*SUM(C324:C328)+$G$1*Variables!$B$16*Variables!$E$50*SUM(D324:D328)+$G$1*Variables!$E$50*Variables!$B$17*F328),0)</f>
        <v>0</v>
      </c>
      <c r="P328" s="64">
        <f>IF(AND(AND(B328="Autumn",SUM(D327:E328)&gt;0),NOT(H327=0)),Variables!$B$18*Variables!$E$50+Variables!$B$19*Variables!$E$50*SUM(E327:E328)+$G$1*Variables!$B$19*Variables!$E$50*SUM(D327:D328),0)</f>
        <v>0</v>
      </c>
      <c r="Q328" s="64">
        <f>IF(AND(B328="Autumn",AND((E328+E327)&lt;Variables!$B$20,(D327+D328)=0)),-Variables!$B$21*Variables!$E$50,0)</f>
        <v>0</v>
      </c>
      <c r="R328" s="64">
        <f>IF(B328="Autumn",(SUM(F327:F328)*$G$1*Variables!$B$22*Variables!$E$50),0)</f>
        <v>0</v>
      </c>
      <c r="S328" s="64">
        <f>IF(B328="Spring",($G$1*Variables!$E$50*SUM('Guts (option 1)'!F327:F328)*Variables!$B$23),0)</f>
        <v>0</v>
      </c>
      <c r="T328" s="63">
        <f>IF((H327+SUM(J328:Q328))&lt;(Variables!$B$26*Variables!$E$50),$F$1*((Variables!$B$26*Variables!$E$50)-H327-SUM(J328:Q328)),0)</f>
        <v>0</v>
      </c>
      <c r="U328" s="64">
        <f>IF(AND(AND(B328="Autumn",SUM(D325:E328)&gt;Variables!$B$27),SUM(J328:Q328)&lt;Variables!$B$28*H327),$F$1*(Variables!$B$28*H327-SUM(J328:Q328)),0)</f>
        <v>0</v>
      </c>
      <c r="V328" s="96">
        <f>IF(AND((J328+K328)=0,(Q328+T328)=0),$H$1*H328*Variables!$I$23*0.25,0)</f>
        <v>40.03468944083054</v>
      </c>
      <c r="W328" s="97">
        <f>IF(AND((K328+J328)=0,(T328+Q328)=0),$I$1*H328*Variables!$Q$23*0.25,0)</f>
        <v>41.905730471150072</v>
      </c>
      <c r="X328" s="95">
        <f>IF(AND(NOT(K328=0),(H328-H327)&gt;0),(H328-H327)*(Variables!$M$5*$H$1+Variables!$U$5*$I$1),0)+IF(AND(NOT((J328+N328+Q328)=0),(H327-H328)&gt;0),(H327-H328)*(Variables!$M$4*$H$1+Variables!$U$4*$I$1),0)</f>
        <v>0</v>
      </c>
      <c r="Y328" s="95">
        <f>IF(SUM(T328,U327:U328)&gt;0,H328*Variables!$Y$11*0.25*(1-$J$1),0)</f>
        <v>0</v>
      </c>
      <c r="Z328" s="95">
        <f>IF(T328=0,H328*$J$1*Variables!$Y$5*0.25,0)</f>
        <v>13.504071393600906</v>
      </c>
      <c r="AA328" s="95">
        <f t="shared" si="9"/>
        <v>95.444491305581522</v>
      </c>
      <c r="AB328" s="91">
        <f>AA328/Variables!$E$49</f>
        <v>15.394272791222825</v>
      </c>
    </row>
    <row r="329" spans="1:28" x14ac:dyDescent="0.25">
      <c r="A329" s="61">
        <f>'Water runs'!C336</f>
        <v>32020</v>
      </c>
      <c r="B329" s="61" t="str">
        <f>'Water runs'!B336</f>
        <v>Winter</v>
      </c>
      <c r="C329" s="54">
        <f>'Water runs'!D336/100</f>
        <v>0.7453749999999999</v>
      </c>
      <c r="D329" s="108">
        <f>VLOOKUP(ROW(D329)+4,'Water runs'!$BS$3:$CF$423,MATCH($B$1,Scenarios,0)+1)</f>
        <v>0</v>
      </c>
      <c r="E329" s="54">
        <f>IF(B329=Variables!$D$8,C329-Variables!$E$8,IF(B329=Variables!$D$9,C329-Variables!$E$9,IF(B329=Variables!$D$10,C329-Variables!$E$10,IF(B329=Variables!$D$11,C329-Variables!$E$11,"ELSE"))))</f>
        <v>0.17360737433862417</v>
      </c>
      <c r="F329" s="108">
        <f>VLOOKUP(ROW(F329)+4,'Water runs'!$CH$3:$CU$423,MATCH($B$1,Scenarios,0)+1)</f>
        <v>0</v>
      </c>
      <c r="G329" s="65">
        <f>H329/Variables!$E$49</f>
        <v>0.1682328346646812</v>
      </c>
      <c r="H329" s="62">
        <f>IF((H328+I329)&gt;(1.1*Variables!$E$50),(1.1*Variables!$E$50),IF((H328+I329)&gt;0,H328+I329,0))</f>
        <v>1.0430435749210234</v>
      </c>
      <c r="I329" s="64">
        <f t="shared" si="10"/>
        <v>-1.0345058702483467</v>
      </c>
      <c r="J329" s="63">
        <f>IF(SUM(E325:E328)&lt;Variables!$B$3,-H328,0)</f>
        <v>0</v>
      </c>
      <c r="K329" s="64">
        <f>IF(AND(H328&lt;Variables!$B$6*Variables!$E$50,OR(SUM(D326:D329)&gt;Variables!$B$5,SUM(E326:E329)&gt;Variables!$B$4)),Variables!$B$6*Variables!$E$50+Variables!$B$7*$G$1*Variables!$E$50*SUM(D326:D329),0)</f>
        <v>0</v>
      </c>
      <c r="L329" s="64">
        <f>IF(B329="Winter",Variables!$B$8*H328,0)</f>
        <v>-1.0345058702483467</v>
      </c>
      <c r="M329" s="64">
        <f>IF(AND(B329="Spring",AND(NOT(H328=0),H328&lt;(Variables!$B$9*Variables!$E$50))),(Variables!$B$10*Variables!$E$50+Variables!$B$11*Variables!$E$50*SUM(E326:E329)+$G$1*SUM(D328:D329)*Variables!$E$50*Variables!$B$12),0)</f>
        <v>0</v>
      </c>
      <c r="N329" s="64">
        <f>IF(AND(B329="Spring",AND(SUM(D326:D329)&gt;Variables!$B$13,SUM(D322:D325)&gt;Variables!$B$13)),-Variables!$B$14*Variables!$E$50,0)</f>
        <v>0</v>
      </c>
      <c r="O329" s="64">
        <f>IF(AND(B329="Summer",SUM(C325:D329)&gt;Variables!$B$15),(Variables!$B$16*Variables!$E$50*SUM(C325:C329)+$G$1*Variables!$B$16*Variables!$E$50*SUM(D325:D329)+$G$1*Variables!$E$50*Variables!$B$17*F329),0)</f>
        <v>0</v>
      </c>
      <c r="P329" s="64">
        <f>IF(AND(AND(B329="Autumn",SUM(D328:E329)&gt;0),NOT(H328=0)),Variables!$B$18*Variables!$E$50+Variables!$B$19*Variables!$E$50*SUM(E328:E329)+$G$1*Variables!$B$19*Variables!$E$50*SUM(D328:D329),0)</f>
        <v>0</v>
      </c>
      <c r="Q329" s="64">
        <f>IF(AND(B329="Autumn",AND((E329+E328)&lt;Variables!$B$20,(D328+D329)=0)),-Variables!$B$21*Variables!$E$50,0)</f>
        <v>0</v>
      </c>
      <c r="R329" s="64">
        <f>IF(B329="Autumn",(SUM(F328:F329)*$G$1*Variables!$B$22*Variables!$E$50),0)</f>
        <v>0</v>
      </c>
      <c r="S329" s="64">
        <f>IF(B329="Spring",($G$1*Variables!$E$50*SUM('Guts (option 1)'!F328:F329)*Variables!$B$23),0)</f>
        <v>0</v>
      </c>
      <c r="T329" s="63">
        <f>IF((H328+SUM(J329:Q329))&lt;(Variables!$B$26*Variables!$E$50),$F$1*((Variables!$B$26*Variables!$E$50)-H328-SUM(J329:Q329)),0)</f>
        <v>0</v>
      </c>
      <c r="U329" s="64">
        <f>IF(AND(AND(B329="Autumn",SUM(D326:E329)&gt;Variables!$B$27),SUM(J329:Q329)&lt;Variables!$B$28*H328),$F$1*(Variables!$B$28*H328-SUM(J329:Q329)),0)</f>
        <v>0</v>
      </c>
      <c r="V329" s="96">
        <f>IF(AND((J329+K329)=0,(Q329+T329)=0),$H$1*H329*Variables!$I$23*0.25,0)</f>
        <v>20.09960614526436</v>
      </c>
      <c r="W329" s="97">
        <f>IF(AND((K329+J329)=0,(T329+Q329)=0),$I$1*H329*Variables!$Q$23*0.25,0)</f>
        <v>21.038971188838232</v>
      </c>
      <c r="X329" s="95">
        <f>IF(AND(NOT(K329=0),(H329-H328)&gt;0),(H329-H328)*(Variables!$M$5*$H$1+Variables!$U$5*$I$1),0)+IF(AND(NOT((J329+N329+Q329)=0),(H328-H329)&gt;0),(H328-H329)*(Variables!$M$4*$H$1+Variables!$U$4*$I$1),0)</f>
        <v>0</v>
      </c>
      <c r="Y329" s="95">
        <f>IF(SUM(T329,U328:U329)&gt;0,H329*Variables!$Y$11*0.25*(1-$J$1),0)</f>
        <v>0</v>
      </c>
      <c r="Z329" s="95">
        <f>IF(T329=0,H329*$J$1*Variables!$Y$5*0.25,0)</f>
        <v>6.7797832369866518</v>
      </c>
      <c r="AA329" s="95">
        <f t="shared" si="9"/>
        <v>47.918360571089245</v>
      </c>
      <c r="AB329" s="91">
        <f>AA329/Variables!$E$49</f>
        <v>7.7287678340466526</v>
      </c>
    </row>
    <row r="330" spans="1:28" x14ac:dyDescent="0.25">
      <c r="A330" s="61">
        <f>'Water runs'!C337</f>
        <v>32111</v>
      </c>
      <c r="B330" s="61" t="str">
        <f>'Water runs'!B337</f>
        <v>Spring</v>
      </c>
      <c r="C330" s="54">
        <f>'Water runs'!D337/100</f>
        <v>0.37174999999999997</v>
      </c>
      <c r="D330" s="108">
        <f>VLOOKUP(ROW(D330)+4,'Water runs'!$BS$3:$CF$423,MATCH($B$1,Scenarios,0)+1)</f>
        <v>0</v>
      </c>
      <c r="E330" s="54">
        <f>IF(B330=Variables!$D$8,C330-Variables!$E$8,IF(B330=Variables!$D$9,C330-Variables!$E$9,IF(B330=Variables!$D$10,C330-Variables!$E$10,IF(B330=Variables!$D$11,C330-Variables!$E$11,"ELSE"))))</f>
        <v>-0.39223220899470917</v>
      </c>
      <c r="F330" s="108">
        <f>VLOOKUP(ROW(F330)+4,'Water runs'!$CH$3:$CU$423,MATCH($B$1,Scenarios,0)+1)</f>
        <v>0</v>
      </c>
      <c r="G330" s="65">
        <f>H330/Variables!$E$49</f>
        <v>0.161</v>
      </c>
      <c r="H330" s="62">
        <f>IF((H329+I330)&gt;(1.1*Variables!$E$50),(1.1*Variables!$E$50),IF((H329+I330)&gt;0,H329+I330,0))</f>
        <v>0.99820000000000009</v>
      </c>
      <c r="I330" s="64">
        <f t="shared" si="10"/>
        <v>-4.484357492102331E-2</v>
      </c>
      <c r="J330" s="63">
        <f>IF(SUM(E326:E329)&lt;Variables!$B$3,-H329,0)</f>
        <v>0</v>
      </c>
      <c r="K330" s="64">
        <f>IF(AND(H329&lt;Variables!$B$6*Variables!$E$50,OR(SUM(D327:D330)&gt;Variables!$B$5,SUM(E327:E330)&gt;Variables!$B$4)),Variables!$B$6*Variables!$E$50+Variables!$B$7*$G$1*Variables!$E$50*SUM(D327:D330),0)</f>
        <v>0</v>
      </c>
      <c r="L330" s="64">
        <f>IF(B330="Winter",Variables!$B$8*H329,0)</f>
        <v>0</v>
      </c>
      <c r="M330" s="64">
        <f>IF(AND(B330="Spring",AND(NOT(H329=0),H329&lt;(Variables!$B$9*Variables!$E$50))),(Variables!$B$10*Variables!$E$50+Variables!$B$11*Variables!$E$50*SUM(E327:E330)+$G$1*SUM(D329:D330)*Variables!$E$50*Variables!$B$12),0)</f>
        <v>-0.74667155829417431</v>
      </c>
      <c r="N330" s="64">
        <f>IF(AND(B330="Spring",AND(SUM(D327:D330)&gt;Variables!$B$13,SUM(D323:D326)&gt;Variables!$B$13)),-Variables!$B$14*Variables!$E$50,0)</f>
        <v>0</v>
      </c>
      <c r="O330" s="64">
        <f>IF(AND(B330="Summer",SUM(C326:D330)&gt;Variables!$B$15),(Variables!$B$16*Variables!$E$50*SUM(C326:C330)+$G$1*Variables!$B$16*Variables!$E$50*SUM(D326:D330)+$G$1*Variables!$E$50*Variables!$B$17*F330),0)</f>
        <v>0</v>
      </c>
      <c r="P330" s="64">
        <f>IF(AND(AND(B330="Autumn",SUM(D329:E330)&gt;0),NOT(H329=0)),Variables!$B$18*Variables!$E$50+Variables!$B$19*Variables!$E$50*SUM(E329:E330)+$G$1*Variables!$B$19*Variables!$E$50*SUM(D329:D330),0)</f>
        <v>0</v>
      </c>
      <c r="Q330" s="64">
        <f>IF(AND(B330="Autumn",AND((E330+E329)&lt;Variables!$B$20,(D329+D330)=0)),-Variables!$B$21*Variables!$E$50,0)</f>
        <v>0</v>
      </c>
      <c r="R330" s="64">
        <f>IF(B330="Autumn",(SUM(F329:F330)*$G$1*Variables!$B$22*Variables!$E$50),0)</f>
        <v>0</v>
      </c>
      <c r="S330" s="64">
        <f>IF(B330="Spring",($G$1*Variables!$E$50*SUM('Guts (option 1)'!F329:F330)*Variables!$B$23),0)</f>
        <v>0</v>
      </c>
      <c r="T330" s="63">
        <f>IF((H329+SUM(J330:Q330))&lt;(Variables!$B$26*Variables!$E$50),$F$1*((Variables!$B$26*Variables!$E$50)-H329-SUM(J330:Q330)),0)</f>
        <v>0.701827983373151</v>
      </c>
      <c r="U330" s="64">
        <f>IF(AND(AND(B330="Autumn",SUM(D327:E330)&gt;Variables!$B$27),SUM(J330:Q330)&lt;Variables!$B$28*H329),$F$1*(Variables!$B$28*H329-SUM(J330:Q330)),0)</f>
        <v>0</v>
      </c>
      <c r="V330" s="96">
        <f>IF(AND((J330+K330)=0,(Q330+T330)=0),$H$1*H330*Variables!$I$23*0.25,0)</f>
        <v>0</v>
      </c>
      <c r="W330" s="97">
        <f>IF(AND((K330+J330)=0,(T330+Q330)=0),$I$1*H330*Variables!$Q$23*0.25,0)</f>
        <v>0</v>
      </c>
      <c r="X330" s="95">
        <f>IF(AND(NOT(K330=0),(H330-H329)&gt;0),(H330-H329)*(Variables!$M$5*$H$1+Variables!$U$5*$I$1),0)+IF(AND(NOT((J330+N330+Q330)=0),(H329-H330)&gt;0),(H329-H330)*(Variables!$M$4*$H$1+Variables!$U$4*$I$1),0)</f>
        <v>0</v>
      </c>
      <c r="Y330" s="95">
        <f>IF(SUM(T330,U329:U330)&gt;0,H330*Variables!$Y$11*0.25*(1-$J$1),0)</f>
        <v>0</v>
      </c>
      <c r="Z330" s="95">
        <f>IF(T330=0,H330*$J$1*Variables!$Y$5*0.25,0)</f>
        <v>0</v>
      </c>
      <c r="AA330" s="95">
        <f t="shared" si="9"/>
        <v>0</v>
      </c>
      <c r="AB330" s="91">
        <f>AA330/Variables!$E$49</f>
        <v>0</v>
      </c>
    </row>
    <row r="331" spans="1:28" x14ac:dyDescent="0.25">
      <c r="A331" s="61">
        <f>'Water runs'!C338</f>
        <v>32201</v>
      </c>
      <c r="B331" s="61" t="str">
        <f>'Water runs'!B338</f>
        <v>Summer</v>
      </c>
      <c r="C331" s="54">
        <f>'Water runs'!D338/100</f>
        <v>1.1296250000000001</v>
      </c>
      <c r="D331" s="108">
        <f>VLOOKUP(ROW(D331)+4,'Water runs'!$BS$3:$CF$423,MATCH($B$1,Scenarios,0)+1)</f>
        <v>0</v>
      </c>
      <c r="E331" s="54">
        <f>IF(B331=Variables!$D$8,C331-Variables!$E$8,IF(B331=Variables!$D$9,C331-Variables!$E$9,IF(B331=Variables!$D$10,C331-Variables!$E$10,IF(B331=Variables!$D$11,C331-Variables!$E$11,"ELSE"))))</f>
        <v>-0.12874513605442162</v>
      </c>
      <c r="F331" s="108">
        <f>VLOOKUP(ROW(F331)+4,'Water runs'!$CH$3:$CU$423,MATCH($B$1,Scenarios,0)+1)</f>
        <v>0</v>
      </c>
      <c r="G331" s="65">
        <f>H331/Variables!$E$49</f>
        <v>0.161</v>
      </c>
      <c r="H331" s="62">
        <f>IF((H330+I331)&gt;(1.1*Variables!$E$50),(1.1*Variables!$E$50),IF((H330+I331)&gt;0,H330+I331,0))</f>
        <v>0.99820000000000009</v>
      </c>
      <c r="I331" s="64">
        <f t="shared" si="10"/>
        <v>0</v>
      </c>
      <c r="J331" s="63">
        <f>IF(SUM(E327:E330)&lt;Variables!$B$3,-H330,0)</f>
        <v>0</v>
      </c>
      <c r="K331" s="64">
        <f>IF(AND(H330&lt;Variables!$B$6*Variables!$E$50,OR(SUM(D328:D331)&gt;Variables!$B$5,SUM(E328:E331)&gt;Variables!$B$4)),Variables!$B$6*Variables!$E$50+Variables!$B$7*$G$1*Variables!$E$50*SUM(D328:D331),0)</f>
        <v>0</v>
      </c>
      <c r="L331" s="64">
        <f>IF(B331="Winter",Variables!$B$8*H330,0)</f>
        <v>0</v>
      </c>
      <c r="M331" s="64">
        <f>IF(AND(B331="Spring",AND(NOT(H330=0),H330&lt;(Variables!$B$9*Variables!$E$50))),(Variables!$B$10*Variables!$E$50+Variables!$B$11*Variables!$E$50*SUM(E328:E331)+$G$1*SUM(D330:D331)*Variables!$E$50*Variables!$B$12),0)</f>
        <v>0</v>
      </c>
      <c r="N331" s="64">
        <f>IF(AND(B331="Spring",AND(SUM(D328:D331)&gt;Variables!$B$13,SUM(D324:D327)&gt;Variables!$B$13)),-Variables!$B$14*Variables!$E$50,0)</f>
        <v>0</v>
      </c>
      <c r="O331" s="64">
        <f>IF(AND(B331="Summer",SUM(C327:D331)&gt;Variables!$B$15),(Variables!$B$16*Variables!$E$50*SUM(C327:C331)+$G$1*Variables!$B$16*Variables!$E$50*SUM(D327:D331)+$G$1*Variables!$E$50*Variables!$B$17*F331),0)</f>
        <v>0</v>
      </c>
      <c r="P331" s="64">
        <f>IF(AND(AND(B331="Autumn",SUM(D330:E331)&gt;0),NOT(H330=0)),Variables!$B$18*Variables!$E$50+Variables!$B$19*Variables!$E$50*SUM(E330:E331)+$G$1*Variables!$B$19*Variables!$E$50*SUM(D330:D331),0)</f>
        <v>0</v>
      </c>
      <c r="Q331" s="64">
        <f>IF(AND(B331="Autumn",AND((E331+E330)&lt;Variables!$B$20,(D330+D331)=0)),-Variables!$B$21*Variables!$E$50,0)</f>
        <v>0</v>
      </c>
      <c r="R331" s="64">
        <f>IF(B331="Autumn",(SUM(F330:F331)*$G$1*Variables!$B$22*Variables!$E$50),0)</f>
        <v>0</v>
      </c>
      <c r="S331" s="64">
        <f>IF(B331="Spring",($G$1*Variables!$E$50*SUM('Guts (option 1)'!F330:F331)*Variables!$B$23),0)</f>
        <v>0</v>
      </c>
      <c r="T331" s="63">
        <f>IF((H330+SUM(J331:Q331))&lt;(Variables!$B$26*Variables!$E$50),$F$1*((Variables!$B$26*Variables!$E$50)-H330-SUM(J331:Q331)),0)</f>
        <v>0</v>
      </c>
      <c r="U331" s="64">
        <f>IF(AND(AND(B331="Autumn",SUM(D328:E331)&gt;Variables!$B$27),SUM(J331:Q331)&lt;Variables!$B$28*H330),$F$1*(Variables!$B$28*H330-SUM(J331:Q331)),0)</f>
        <v>0</v>
      </c>
      <c r="V331" s="96">
        <f>IF(AND((J331+K331)=0,(Q331+T331)=0),$H$1*H331*Variables!$I$23*0.25,0)</f>
        <v>19.235463730000003</v>
      </c>
      <c r="W331" s="97">
        <f>IF(AND((K331+J331)=0,(T331+Q331)=0),$I$1*H331*Variables!$Q$23*0.25,0)</f>
        <v>20.13444265</v>
      </c>
      <c r="X331" s="95">
        <f>IF(AND(NOT(K331=0),(H331-H330)&gt;0),(H331-H330)*(Variables!$M$5*$H$1+Variables!$U$5*$I$1),0)+IF(AND(NOT((J331+N331+Q331)=0),(H330-H331)&gt;0),(H330-H331)*(Variables!$M$4*$H$1+Variables!$U$4*$I$1),0)</f>
        <v>0</v>
      </c>
      <c r="Y331" s="95">
        <f>IF(SUM(T331,U330:U331)&gt;0,H331*Variables!$Y$11*0.25*(1-$J$1),0)</f>
        <v>0</v>
      </c>
      <c r="Z331" s="95">
        <f>IF(T331=0,H331*$J$1*Variables!$Y$5*0.25,0)</f>
        <v>6.4883000000000006</v>
      </c>
      <c r="AA331" s="95">
        <f t="shared" si="9"/>
        <v>45.858206380000006</v>
      </c>
      <c r="AB331" s="91">
        <f>AA331/Variables!$E$49</f>
        <v>7.3964849000000008</v>
      </c>
    </row>
    <row r="332" spans="1:28" x14ac:dyDescent="0.25">
      <c r="A332" s="61">
        <f>'Water runs'!C339</f>
        <v>32294</v>
      </c>
      <c r="B332" s="61" t="str">
        <f>'Water runs'!B339</f>
        <v>Autumn</v>
      </c>
      <c r="C332" s="54">
        <f>'Water runs'!D339/100</f>
        <v>2.2637857142857101</v>
      </c>
      <c r="D332" s="108">
        <f>VLOOKUP(ROW(D332)+4,'Water runs'!$BS$3:$CF$423,MATCH($B$1,Scenarios,0)+1)</f>
        <v>0.58904876523171201</v>
      </c>
      <c r="E332" s="54">
        <f>IF(B332=Variables!$D$8,C332-Variables!$E$8,IF(B332=Variables!$D$9,C332-Variables!$E$9,IF(B332=Variables!$D$10,C332-Variables!$E$10,IF(B332=Variables!$D$11,C332-Variables!$E$11,"ELSE"))))</f>
        <v>1.2691424149659822</v>
      </c>
      <c r="F332" s="108">
        <f>VLOOKUP(ROW(F332)+4,'Water runs'!$CH$3:$CU$423,MATCH($B$1,Scenarios,0)+1)</f>
        <v>0.34531199771969689</v>
      </c>
      <c r="G332" s="65">
        <f>H332/Variables!$E$49</f>
        <v>0.97219580315956022</v>
      </c>
      <c r="H332" s="62">
        <f>IF((H331+I332)&gt;(1.1*Variables!$E$50),(1.1*Variables!$E$50),IF((H331+I332)&gt;0,H331+I332,0))</f>
        <v>6.0276139795892734</v>
      </c>
      <c r="I332" s="64">
        <f t="shared" si="10"/>
        <v>5.0294139795892736</v>
      </c>
      <c r="J332" s="63">
        <f>IF(SUM(E328:E331)&lt;Variables!$B$3,-H331,0)</f>
        <v>0</v>
      </c>
      <c r="K332" s="64">
        <f>IF(AND(H331&lt;Variables!$B$6*Variables!$E$50,OR(SUM(D329:D332)&gt;Variables!$B$5,SUM(E329:E332)&gt;Variables!$B$4)),Variables!$B$6*Variables!$E$50+Variables!$B$7*$G$1*Variables!$E$50*SUM(D329:D332),0)</f>
        <v>1.1717440875309035</v>
      </c>
      <c r="L332" s="64">
        <f>IF(B332="Winter",Variables!$B$8*H331,0)</f>
        <v>0</v>
      </c>
      <c r="M332" s="64">
        <f>IF(AND(B332="Spring",AND(NOT(H331=0),H331&lt;(Variables!$B$9*Variables!$E$50))),(Variables!$B$10*Variables!$E$50+Variables!$B$11*Variables!$E$50*SUM(E329:E332)+$G$1*SUM(D331:D332)*Variables!$E$50*Variables!$B$12),0)</f>
        <v>0</v>
      </c>
      <c r="N332" s="64">
        <f>IF(AND(B332="Spring",AND(SUM(D329:D332)&gt;Variables!$B$13,SUM(D325:D328)&gt;Variables!$B$13)),-Variables!$B$14*Variables!$E$50,0)</f>
        <v>0</v>
      </c>
      <c r="O332" s="64">
        <f>IF(AND(B332="Summer",SUM(C328:D332)&gt;Variables!$B$15),(Variables!$B$16*Variables!$E$50*SUM(C328:C332)+$G$1*Variables!$B$16*Variables!$E$50*SUM(D328:D332)+$G$1*Variables!$E$50*Variables!$B$17*F332),0)</f>
        <v>0</v>
      </c>
      <c r="P332" s="64">
        <f>IF(AND(AND(B332="Autumn",SUM(D331:E332)&gt;0),NOT(H331=0)),Variables!$B$18*Variables!$E$50+Variables!$B$19*Variables!$E$50*SUM(E331:E332)+$G$1*Variables!$B$19*Variables!$E$50*SUM(D331:D332),0)</f>
        <v>3.8092302380730358</v>
      </c>
      <c r="Q332" s="64">
        <f>IF(AND(B332="Autumn",AND((E332+E331)&lt;Variables!$B$20,(D331+D332)=0)),-Variables!$B$21*Variables!$E$50,0)</f>
        <v>0</v>
      </c>
      <c r="R332" s="64">
        <f>IF(B332="Autumn",(SUM(F331:F332)*$G$1*Variables!$B$22*Variables!$E$50),0)</f>
        <v>4.8439653985334855E-2</v>
      </c>
      <c r="S332" s="64">
        <f>IF(B332="Spring",($G$1*Variables!$E$50*SUM('Guts (option 1)'!F331:F332)*Variables!$B$23),0)</f>
        <v>0</v>
      </c>
      <c r="T332" s="63">
        <f>IF((H331+SUM(J332:Q332))&lt;(Variables!$B$26*Variables!$E$50),$F$1*((Variables!$B$26*Variables!$E$50)-H331-SUM(J332:Q332)),0)</f>
        <v>0</v>
      </c>
      <c r="U332" s="64">
        <f>IF(AND(AND(B332="Autumn",SUM(D329:E332)&gt;Variables!$B$27),SUM(J332:Q332)&lt;Variables!$B$28*H331),$F$1*(Variables!$B$28*H331-SUM(J332:Q332)),0)</f>
        <v>0</v>
      </c>
      <c r="V332" s="96">
        <f>IF(AND((J332+K332)=0,(Q332+T332)=0),$H$1*H332*Variables!$I$23*0.25,0)</f>
        <v>0</v>
      </c>
      <c r="W332" s="97">
        <f>IF(AND((K332+J332)=0,(T332+Q332)=0),$I$1*H332*Variables!$Q$23*0.25,0)</f>
        <v>0</v>
      </c>
      <c r="X332" s="95">
        <f>IF(AND(NOT(K332=0),(H332-H331)&gt;0),(H332-H331)*(Variables!$M$5*$H$1+Variables!$U$5*$I$1),0)+IF(AND(NOT((J332+N332+Q332)=0),(H331-H332)&gt;0),(H331-H332)*(Variables!$M$4*$H$1+Variables!$U$4*$I$1),0)</f>
        <v>-1257.3534948973183</v>
      </c>
      <c r="Y332" s="95">
        <f>IF(SUM(T332,U331:U332)&gt;0,H332*Variables!$Y$11*0.25*(1-$J$1),0)</f>
        <v>0</v>
      </c>
      <c r="Z332" s="95">
        <f>IF(T332=0,H332*$J$1*Variables!$Y$5*0.25,0)</f>
        <v>39.17949086733028</v>
      </c>
      <c r="AA332" s="95">
        <f t="shared" si="9"/>
        <v>-1218.1740040299881</v>
      </c>
      <c r="AB332" s="91">
        <f>AA332/Variables!$E$49</f>
        <v>-196.4796780693529</v>
      </c>
    </row>
    <row r="333" spans="1:28" x14ac:dyDescent="0.25">
      <c r="A333" s="61">
        <f>'Water runs'!C340</f>
        <v>32386</v>
      </c>
      <c r="B333" s="61" t="str">
        <f>'Water runs'!B340</f>
        <v>Winter</v>
      </c>
      <c r="C333" s="54">
        <f>'Water runs'!D340/100</f>
        <v>1.00467857142857</v>
      </c>
      <c r="D333" s="108">
        <f>VLOOKUP(ROW(D333)+4,'Water runs'!$BS$3:$CF$423,MATCH($B$1,Scenarios,0)+1)</f>
        <v>5.5448578373542149E-3</v>
      </c>
      <c r="E333" s="54">
        <f>IF(B333=Variables!$D$8,C333-Variables!$E$8,IF(B333=Variables!$D$9,C333-Variables!$E$9,IF(B333=Variables!$D$10,C333-Variables!$E$10,IF(B333=Variables!$D$11,C333-Variables!$E$11,"ELSE"))))</f>
        <v>0.43291094576719424</v>
      </c>
      <c r="F333" s="108">
        <f>VLOOKUP(ROW(F333)+4,'Water runs'!$CH$3:$CU$423,MATCH($B$1,Scenarios,0)+1)</f>
        <v>0</v>
      </c>
      <c r="G333" s="65">
        <f>H333/Variables!$E$49</f>
        <v>0.48809552446925969</v>
      </c>
      <c r="H333" s="62">
        <f>IF((H332+I333)&gt;(1.1*Variables!$E$50),(1.1*Variables!$E$50),IF((H332+I333)&gt;0,H332+I333,0))</f>
        <v>3.0261922517094102</v>
      </c>
      <c r="I333" s="64">
        <f t="shared" si="10"/>
        <v>-3.0014217278798632</v>
      </c>
      <c r="J333" s="63">
        <f>IF(SUM(E329:E332)&lt;Variables!$B$3,-H332,0)</f>
        <v>0</v>
      </c>
      <c r="K333" s="64">
        <f>IF(AND(H332&lt;Variables!$B$6*Variables!$E$50,OR(SUM(D330:D333)&gt;Variables!$B$5,SUM(E330:E333)&gt;Variables!$B$4)),Variables!$B$6*Variables!$E$50+Variables!$B$7*$G$1*Variables!$E$50*SUM(D330:D333),0)</f>
        <v>0</v>
      </c>
      <c r="L333" s="64">
        <f>IF(B333="Winter",Variables!$B$8*H332,0)</f>
        <v>-3.0014217278798632</v>
      </c>
      <c r="M333" s="64">
        <f>IF(AND(B333="Spring",AND(NOT(H332=0),H332&lt;(Variables!$B$9*Variables!$E$50))),(Variables!$B$10*Variables!$E$50+Variables!$B$11*Variables!$E$50*SUM(E330:E333)+$G$1*SUM(D332:D333)*Variables!$E$50*Variables!$B$12),0)</f>
        <v>0</v>
      </c>
      <c r="N333" s="64">
        <f>IF(AND(B333="Spring",AND(SUM(D330:D333)&gt;Variables!$B$13,SUM(D326:D329)&gt;Variables!$B$13)),-Variables!$B$14*Variables!$E$50,0)</f>
        <v>0</v>
      </c>
      <c r="O333" s="64">
        <f>IF(AND(B333="Summer",SUM(C329:D333)&gt;Variables!$B$15),(Variables!$B$16*Variables!$E$50*SUM(C329:C333)+$G$1*Variables!$B$16*Variables!$E$50*SUM(D329:D333)+$G$1*Variables!$E$50*Variables!$B$17*F333),0)</f>
        <v>0</v>
      </c>
      <c r="P333" s="64">
        <f>IF(AND(AND(B333="Autumn",SUM(D332:E333)&gt;0),NOT(H332=0)),Variables!$B$18*Variables!$E$50+Variables!$B$19*Variables!$E$50*SUM(E332:E333)+$G$1*Variables!$B$19*Variables!$E$50*SUM(D332:D333),0)</f>
        <v>0</v>
      </c>
      <c r="Q333" s="64">
        <f>IF(AND(B333="Autumn",AND((E333+E332)&lt;Variables!$B$20,(D332+D333)=0)),-Variables!$B$21*Variables!$E$50,0)</f>
        <v>0</v>
      </c>
      <c r="R333" s="64">
        <f>IF(B333="Autumn",(SUM(F332:F333)*$G$1*Variables!$B$22*Variables!$E$50),0)</f>
        <v>0</v>
      </c>
      <c r="S333" s="64">
        <f>IF(B333="Spring",($G$1*Variables!$E$50*SUM('Guts (option 1)'!F332:F333)*Variables!$B$23),0)</f>
        <v>0</v>
      </c>
      <c r="T333" s="63">
        <f>IF((H332+SUM(J333:Q333))&lt;(Variables!$B$26*Variables!$E$50),$F$1*((Variables!$B$26*Variables!$E$50)-H332-SUM(J333:Q333)),0)</f>
        <v>0</v>
      </c>
      <c r="U333" s="64">
        <f>IF(AND(AND(B333="Autumn",SUM(D330:E333)&gt;Variables!$B$27),SUM(J333:Q333)&lt;Variables!$B$28*H332),$F$1*(Variables!$B$28*H332-SUM(J333:Q333)),0)</f>
        <v>0</v>
      </c>
      <c r="V333" s="96">
        <f>IF(AND((J333+K333)=0,(Q333+T333)=0),$H$1*H333*Variables!$I$23*0.25,0)</f>
        <v>58.315178619278093</v>
      </c>
      <c r="W333" s="97">
        <f>IF(AND((K333+J333)=0,(T333+Q333)=0),$I$1*H333*Variables!$Q$23*0.25,0)</f>
        <v>61.040567361167582</v>
      </c>
      <c r="X333" s="95">
        <f>IF(AND(NOT(K333=0),(H333-H332)&gt;0),(H333-H332)*(Variables!$M$5*$H$1+Variables!$U$5*$I$1),0)+IF(AND(NOT((J333+N333+Q333)=0),(H332-H333)&gt;0),(H332-H333)*(Variables!$M$4*$H$1+Variables!$U$4*$I$1),0)</f>
        <v>0</v>
      </c>
      <c r="Y333" s="95">
        <f>IF(SUM(T333,U332:U333)&gt;0,H333*Variables!$Y$11*0.25*(1-$J$1),0)</f>
        <v>0</v>
      </c>
      <c r="Z333" s="95">
        <f>IF(T333=0,H333*$J$1*Variables!$Y$5*0.25,0)</f>
        <v>19.670249636111166</v>
      </c>
      <c r="AA333" s="95">
        <f t="shared" si="9"/>
        <v>139.02599561655683</v>
      </c>
      <c r="AB333" s="91">
        <f>AA333/Variables!$E$49</f>
        <v>22.423547680089811</v>
      </c>
    </row>
    <row r="334" spans="1:28" x14ac:dyDescent="0.25">
      <c r="A334" s="61">
        <f>'Water runs'!C341</f>
        <v>32477</v>
      </c>
      <c r="B334" s="61" t="str">
        <f>'Water runs'!B341</f>
        <v>Spring</v>
      </c>
      <c r="C334" s="54">
        <f>'Water runs'!D341/100</f>
        <v>0.52187499999999998</v>
      </c>
      <c r="D334" s="108">
        <f>VLOOKUP(ROW(D334)+4,'Water runs'!$BS$3:$CF$423,MATCH($B$1,Scenarios,0)+1)</f>
        <v>0</v>
      </c>
      <c r="E334" s="54">
        <f>IF(B334=Variables!$D$8,C334-Variables!$E$8,IF(B334=Variables!$D$9,C334-Variables!$E$9,IF(B334=Variables!$D$10,C334-Variables!$E$10,IF(B334=Variables!$D$11,C334-Variables!$E$11,"ELSE"))))</f>
        <v>-0.24210720899470917</v>
      </c>
      <c r="F334" s="108">
        <f>VLOOKUP(ROW(F334)+4,'Water runs'!$CH$3:$CU$423,MATCH($B$1,Scenarios,0)+1)</f>
        <v>0</v>
      </c>
      <c r="G334" s="65">
        <f>H334/Variables!$E$49</f>
        <v>0.48809552446925969</v>
      </c>
      <c r="H334" s="62">
        <f>IF((H333+I334)&gt;(1.1*Variables!$E$50),(1.1*Variables!$E$50),IF((H333+I334)&gt;0,H333+I334,0))</f>
        <v>3.0261922517094102</v>
      </c>
      <c r="I334" s="64">
        <f t="shared" si="10"/>
        <v>0</v>
      </c>
      <c r="J334" s="63">
        <f>IF(SUM(E330:E333)&lt;Variables!$B$3,-H333,0)</f>
        <v>0</v>
      </c>
      <c r="K334" s="64">
        <f>IF(AND(H333&lt;Variables!$B$6*Variables!$E$50,OR(SUM(D331:D334)&gt;Variables!$B$5,SUM(E331:E334)&gt;Variables!$B$4)),Variables!$B$6*Variables!$E$50+Variables!$B$7*$G$1*Variables!$E$50*SUM(D331:D334),0)</f>
        <v>0</v>
      </c>
      <c r="L334" s="64">
        <f>IF(B334="Winter",Variables!$B$8*H333,0)</f>
        <v>0</v>
      </c>
      <c r="M334" s="64">
        <f>IF(AND(B334="Spring",AND(NOT(H333=0),H333&lt;(Variables!$B$9*Variables!$E$50))),(Variables!$B$10*Variables!$E$50+Variables!$B$11*Variables!$E$50*SUM(E331:E334)+$G$1*SUM(D333:D334)*Variables!$E$50*Variables!$B$12),0)</f>
        <v>0</v>
      </c>
      <c r="N334" s="64">
        <f>IF(AND(B334="Spring",AND(SUM(D331:D334)&gt;Variables!$B$13,SUM(D327:D330)&gt;Variables!$B$13)),-Variables!$B$14*Variables!$E$50,0)</f>
        <v>0</v>
      </c>
      <c r="O334" s="64">
        <f>IF(AND(B334="Summer",SUM(C330:D334)&gt;Variables!$B$15),(Variables!$B$16*Variables!$E$50*SUM(C330:C334)+$G$1*Variables!$B$16*Variables!$E$50*SUM(D330:D334)+$G$1*Variables!$E$50*Variables!$B$17*F334),0)</f>
        <v>0</v>
      </c>
      <c r="P334" s="64">
        <f>IF(AND(AND(B334="Autumn",SUM(D333:E334)&gt;0),NOT(H333=0)),Variables!$B$18*Variables!$E$50+Variables!$B$19*Variables!$E$50*SUM(E333:E334)+$G$1*Variables!$B$19*Variables!$E$50*SUM(D333:D334),0)</f>
        <v>0</v>
      </c>
      <c r="Q334" s="64">
        <f>IF(AND(B334="Autumn",AND((E334+E333)&lt;Variables!$B$20,(D333+D334)=0)),-Variables!$B$21*Variables!$E$50,0)</f>
        <v>0</v>
      </c>
      <c r="R334" s="64">
        <f>IF(B334="Autumn",(SUM(F333:F334)*$G$1*Variables!$B$22*Variables!$E$50),0)</f>
        <v>0</v>
      </c>
      <c r="S334" s="64">
        <f>IF(B334="Spring",($G$1*Variables!$E$50*SUM('Guts (option 1)'!F333:F334)*Variables!$B$23),0)</f>
        <v>0</v>
      </c>
      <c r="T334" s="63">
        <f>IF((H333+SUM(J334:Q334))&lt;(Variables!$B$26*Variables!$E$50),$F$1*((Variables!$B$26*Variables!$E$50)-H333-SUM(J334:Q334)),0)</f>
        <v>0</v>
      </c>
      <c r="U334" s="64">
        <f>IF(AND(AND(B334="Autumn",SUM(D331:E334)&gt;Variables!$B$27),SUM(J334:Q334)&lt;Variables!$B$28*H333),$F$1*(Variables!$B$28*H333-SUM(J334:Q334)),0)</f>
        <v>0</v>
      </c>
      <c r="V334" s="96">
        <f>IF(AND((J334+K334)=0,(Q334+T334)=0),$H$1*H334*Variables!$I$23*0.25,0)</f>
        <v>58.315178619278093</v>
      </c>
      <c r="W334" s="97">
        <f>IF(AND((K334+J334)=0,(T334+Q334)=0),$I$1*H334*Variables!$Q$23*0.25,0)</f>
        <v>61.040567361167582</v>
      </c>
      <c r="X334" s="95">
        <f>IF(AND(NOT(K334=0),(H334-H333)&gt;0),(H334-H333)*(Variables!$M$5*$H$1+Variables!$U$5*$I$1),0)+IF(AND(NOT((J334+N334+Q334)=0),(H333-H334)&gt;0),(H333-H334)*(Variables!$M$4*$H$1+Variables!$U$4*$I$1),0)</f>
        <v>0</v>
      </c>
      <c r="Y334" s="95">
        <f>IF(SUM(T334,U333:U334)&gt;0,H334*Variables!$Y$11*0.25*(1-$J$1),0)</f>
        <v>0</v>
      </c>
      <c r="Z334" s="95">
        <f>IF(T334=0,H334*$J$1*Variables!$Y$5*0.25,0)</f>
        <v>19.670249636111166</v>
      </c>
      <c r="AA334" s="95">
        <f t="shared" si="9"/>
        <v>139.02599561655683</v>
      </c>
      <c r="AB334" s="91">
        <f>AA334/Variables!$E$49</f>
        <v>22.423547680089811</v>
      </c>
    </row>
    <row r="335" spans="1:28" x14ac:dyDescent="0.25">
      <c r="A335" s="61">
        <f>'Water runs'!C342</f>
        <v>32567</v>
      </c>
      <c r="B335" s="61" t="str">
        <f>'Water runs'!B342</f>
        <v>Summer</v>
      </c>
      <c r="C335" s="54">
        <f>'Water runs'!D342/100</f>
        <v>0.71280357142857198</v>
      </c>
      <c r="D335" s="108">
        <f>VLOOKUP(ROW(D335)+4,'Water runs'!$BS$3:$CF$423,MATCH($B$1,Scenarios,0)+1)</f>
        <v>0</v>
      </c>
      <c r="E335" s="54">
        <f>IF(B335=Variables!$D$8,C335-Variables!$E$8,IF(B335=Variables!$D$9,C335-Variables!$E$9,IF(B335=Variables!$D$10,C335-Variables!$E$10,IF(B335=Variables!$D$11,C335-Variables!$E$11,"ELSE"))))</f>
        <v>-0.54556656462584974</v>
      </c>
      <c r="F335" s="108">
        <f>VLOOKUP(ROW(F335)+4,'Water runs'!$CH$3:$CU$423,MATCH($B$1,Scenarios,0)+1)</f>
        <v>0</v>
      </c>
      <c r="G335" s="65">
        <f>H335/Variables!$E$49</f>
        <v>0.48809552446925969</v>
      </c>
      <c r="H335" s="62">
        <f>IF((H334+I335)&gt;(1.1*Variables!$E$50),(1.1*Variables!$E$50),IF((H334+I335)&gt;0,H334+I335,0))</f>
        <v>3.0261922517094102</v>
      </c>
      <c r="I335" s="64">
        <f t="shared" si="10"/>
        <v>0</v>
      </c>
      <c r="J335" s="63">
        <f>IF(SUM(E331:E334)&lt;Variables!$B$3,-H334,0)</f>
        <v>0</v>
      </c>
      <c r="K335" s="64">
        <f>IF(AND(H334&lt;Variables!$B$6*Variables!$E$50,OR(SUM(D332:D335)&gt;Variables!$B$5,SUM(E332:E335)&gt;Variables!$B$4)),Variables!$B$6*Variables!$E$50+Variables!$B$7*$G$1*Variables!$E$50*SUM(D332:D335),0)</f>
        <v>0</v>
      </c>
      <c r="L335" s="64">
        <f>IF(B335="Winter",Variables!$B$8*H334,0)</f>
        <v>0</v>
      </c>
      <c r="M335" s="64">
        <f>IF(AND(B335="Spring",AND(NOT(H334=0),H334&lt;(Variables!$B$9*Variables!$E$50))),(Variables!$B$10*Variables!$E$50+Variables!$B$11*Variables!$E$50*SUM(E332:E335)+$G$1*SUM(D334:D335)*Variables!$E$50*Variables!$B$12),0)</f>
        <v>0</v>
      </c>
      <c r="N335" s="64">
        <f>IF(AND(B335="Spring",AND(SUM(D332:D335)&gt;Variables!$B$13,SUM(D328:D331)&gt;Variables!$B$13)),-Variables!$B$14*Variables!$E$50,0)</f>
        <v>0</v>
      </c>
      <c r="O335" s="64">
        <f>IF(AND(B335="Summer",SUM(C331:D335)&gt;Variables!$B$15),(Variables!$B$16*Variables!$E$50*SUM(C331:C335)+$G$1*Variables!$B$16*Variables!$E$50*SUM(D331:D335)+$G$1*Variables!$E$50*Variables!$B$17*F335),0)</f>
        <v>0</v>
      </c>
      <c r="P335" s="64">
        <f>IF(AND(AND(B335="Autumn",SUM(D334:E335)&gt;0),NOT(H334=0)),Variables!$B$18*Variables!$E$50+Variables!$B$19*Variables!$E$50*SUM(E334:E335)+$G$1*Variables!$B$19*Variables!$E$50*SUM(D334:D335),0)</f>
        <v>0</v>
      </c>
      <c r="Q335" s="64">
        <f>IF(AND(B335="Autumn",AND((E335+E334)&lt;Variables!$B$20,(D334+D335)=0)),-Variables!$B$21*Variables!$E$50,0)</f>
        <v>0</v>
      </c>
      <c r="R335" s="64">
        <f>IF(B335="Autumn",(SUM(F334:F335)*$G$1*Variables!$B$22*Variables!$E$50),0)</f>
        <v>0</v>
      </c>
      <c r="S335" s="64">
        <f>IF(B335="Spring",($G$1*Variables!$E$50*SUM('Guts (option 1)'!F334:F335)*Variables!$B$23),0)</f>
        <v>0</v>
      </c>
      <c r="T335" s="63">
        <f>IF((H334+SUM(J335:Q335))&lt;(Variables!$B$26*Variables!$E$50),$F$1*((Variables!$B$26*Variables!$E$50)-H334-SUM(J335:Q335)),0)</f>
        <v>0</v>
      </c>
      <c r="U335" s="64">
        <f>IF(AND(AND(B335="Autumn",SUM(D332:E335)&gt;Variables!$B$27),SUM(J335:Q335)&lt;Variables!$B$28*H334),$F$1*(Variables!$B$28*H334-SUM(J335:Q335)),0)</f>
        <v>0</v>
      </c>
      <c r="V335" s="96">
        <f>IF(AND((J335+K335)=0,(Q335+T335)=0),$H$1*H335*Variables!$I$23*0.25,0)</f>
        <v>58.315178619278093</v>
      </c>
      <c r="W335" s="97">
        <f>IF(AND((K335+J335)=0,(T335+Q335)=0),$I$1*H335*Variables!$Q$23*0.25,0)</f>
        <v>61.040567361167582</v>
      </c>
      <c r="X335" s="95">
        <f>IF(AND(NOT(K335=0),(H335-H334)&gt;0),(H335-H334)*(Variables!$M$5*$H$1+Variables!$U$5*$I$1),0)+IF(AND(NOT((J335+N335+Q335)=0),(H334-H335)&gt;0),(H334-H335)*(Variables!$M$4*$H$1+Variables!$U$4*$I$1),0)</f>
        <v>0</v>
      </c>
      <c r="Y335" s="95">
        <f>IF(SUM(T335,U334:U335)&gt;0,H335*Variables!$Y$11*0.25*(1-$J$1),0)</f>
        <v>0</v>
      </c>
      <c r="Z335" s="95">
        <f>IF(T335=0,H335*$J$1*Variables!$Y$5*0.25,0)</f>
        <v>19.670249636111166</v>
      </c>
      <c r="AA335" s="95">
        <f t="shared" si="9"/>
        <v>139.02599561655683</v>
      </c>
      <c r="AB335" s="91">
        <f>AA335/Variables!$E$49</f>
        <v>22.423547680089811</v>
      </c>
    </row>
    <row r="336" spans="1:28" x14ac:dyDescent="0.25">
      <c r="A336" s="61">
        <f>'Water runs'!C343</f>
        <v>32659</v>
      </c>
      <c r="B336" s="61" t="str">
        <f>'Water runs'!B343</f>
        <v>Autumn</v>
      </c>
      <c r="C336" s="54">
        <f>'Water runs'!D343/100</f>
        <v>2.22266071428571</v>
      </c>
      <c r="D336" s="108">
        <f>VLOOKUP(ROW(D336)+4,'Water runs'!$BS$3:$CF$423,MATCH($B$1,Scenarios,0)+1)</f>
        <v>2.4490217658097058E-2</v>
      </c>
      <c r="E336" s="54">
        <f>IF(B336=Variables!$D$8,C336-Variables!$E$8,IF(B336=Variables!$D$9,C336-Variables!$E$9,IF(B336=Variables!$D$10,C336-Variables!$E$10,IF(B336=Variables!$D$11,C336-Variables!$E$11,"ELSE"))))</f>
        <v>1.2280174149659822</v>
      </c>
      <c r="F336" s="108">
        <f>VLOOKUP(ROW(F336)+4,'Water runs'!$CH$3:$CU$423,MATCH($B$1,Scenarios,0)+1)</f>
        <v>0</v>
      </c>
      <c r="G336" s="65">
        <f>H336/Variables!$E$49</f>
        <v>0.79425724514330887</v>
      </c>
      <c r="H336" s="62">
        <f>IF((H335+I336)&gt;(1.1*Variables!$E$50),(1.1*Variables!$E$50),IF((H335+I336)&gt;0,H335+I336,0))</f>
        <v>4.9243949198885151</v>
      </c>
      <c r="I336" s="64">
        <f t="shared" si="10"/>
        <v>1.8982026681791044</v>
      </c>
      <c r="J336" s="63">
        <f>IF(SUM(E332:E335)&lt;Variables!$B$3,-H335,0)</f>
        <v>0</v>
      </c>
      <c r="K336" s="64">
        <f>IF(AND(H335&lt;Variables!$B$6*Variables!$E$50,OR(SUM(D333:D336)&gt;Variables!$B$5,SUM(E333:E336)&gt;Variables!$B$4)),Variables!$B$6*Variables!$E$50+Variables!$B$7*$G$1*Variables!$E$50*SUM(D333:D336),0)</f>
        <v>0</v>
      </c>
      <c r="L336" s="64">
        <f>IF(B336="Winter",Variables!$B$8*H335,0)</f>
        <v>0</v>
      </c>
      <c r="M336" s="64">
        <f>IF(AND(B336="Spring",AND(NOT(H335=0),H335&lt;(Variables!$B$9*Variables!$E$50))),(Variables!$B$10*Variables!$E$50+Variables!$B$11*Variables!$E$50*SUM(E333:E336)+$G$1*SUM(D335:D336)*Variables!$E$50*Variables!$B$12),0)</f>
        <v>0</v>
      </c>
      <c r="N336" s="64">
        <f>IF(AND(B336="Spring",AND(SUM(D333:D336)&gt;Variables!$B$13,SUM(D329:D332)&gt;Variables!$B$13)),-Variables!$B$14*Variables!$E$50,0)</f>
        <v>0</v>
      </c>
      <c r="O336" s="64">
        <f>IF(AND(B336="Summer",SUM(C332:D336)&gt;Variables!$B$15),(Variables!$B$16*Variables!$E$50*SUM(C332:C336)+$G$1*Variables!$B$16*Variables!$E$50*SUM(D332:D336)+$G$1*Variables!$E$50*Variables!$B$17*F336),0)</f>
        <v>0</v>
      </c>
      <c r="P336" s="64">
        <f>IF(AND(AND(B336="Autumn",SUM(D335:E336)&gt;0),NOT(H335=0)),Variables!$B$18*Variables!$E$50+Variables!$B$19*Variables!$E$50*SUM(E335:E336)+$G$1*Variables!$B$19*Variables!$E$50*SUM(D335:D336),0)</f>
        <v>1.8982026681791044</v>
      </c>
      <c r="Q336" s="64">
        <f>IF(AND(B336="Autumn",AND((E336+E335)&lt;Variables!$B$20,(D335+D336)=0)),-Variables!$B$21*Variables!$E$50,0)</f>
        <v>0</v>
      </c>
      <c r="R336" s="64">
        <f>IF(B336="Autumn",(SUM(F335:F336)*$G$1*Variables!$B$22*Variables!$E$50),0)</f>
        <v>0</v>
      </c>
      <c r="S336" s="64">
        <f>IF(B336="Spring",($G$1*Variables!$E$50*SUM('Guts (option 1)'!F335:F336)*Variables!$B$23),0)</f>
        <v>0</v>
      </c>
      <c r="T336" s="63">
        <f>IF((H335+SUM(J336:Q336))&lt;(Variables!$B$26*Variables!$E$50),$F$1*((Variables!$B$26*Variables!$E$50)-H335-SUM(J336:Q336)),0)</f>
        <v>0</v>
      </c>
      <c r="U336" s="64">
        <f>IF(AND(AND(B336="Autumn",SUM(D333:E336)&gt;Variables!$B$27),SUM(J336:Q336)&lt;Variables!$B$28*H335),$F$1*(Variables!$B$28*H335-SUM(J336:Q336)),0)</f>
        <v>0</v>
      </c>
      <c r="V336" s="96">
        <f>IF(AND((J336+K336)=0,(Q336+T336)=0),$H$1*H336*Variables!$I$23*0.25,0)</f>
        <v>94.893828765489673</v>
      </c>
      <c r="W336" s="97">
        <f>IF(AND((K336+J336)=0,(T336+Q336)=0),$I$1*H336*Variables!$Q$23*0.25,0)</f>
        <v>99.328738830341251</v>
      </c>
      <c r="X336" s="95">
        <f>IF(AND(NOT(K336=0),(H336-H335)&gt;0),(H336-H335)*(Variables!$M$5*$H$1+Variables!$U$5*$I$1),0)+IF(AND(NOT((J336+N336+Q336)=0),(H335-H336)&gt;0),(H335-H336)*(Variables!$M$4*$H$1+Variables!$U$4*$I$1),0)</f>
        <v>0</v>
      </c>
      <c r="Y336" s="95">
        <f>IF(SUM(T336,U335:U336)&gt;0,H336*Variables!$Y$11*0.25*(1-$J$1),0)</f>
        <v>0</v>
      </c>
      <c r="Z336" s="95">
        <f>IF(T336=0,H336*$J$1*Variables!$Y$5*0.25,0)</f>
        <v>32.008566979275351</v>
      </c>
      <c r="AA336" s="95">
        <f t="shared" ref="AA336:AA399" si="11">SUM(V336:Z336)</f>
        <v>226.23113457510627</v>
      </c>
      <c r="AB336" s="91">
        <f>AA336/Variables!$E$49</f>
        <v>36.488892673404237</v>
      </c>
    </row>
    <row r="337" spans="1:28" x14ac:dyDescent="0.25">
      <c r="A337" s="61">
        <f>'Water runs'!C344</f>
        <v>32751</v>
      </c>
      <c r="B337" s="61" t="str">
        <f>'Water runs'!B344</f>
        <v>Winter</v>
      </c>
      <c r="C337" s="54">
        <f>'Water runs'!D344/100</f>
        <v>0.33007142857142902</v>
      </c>
      <c r="D337" s="108">
        <f>VLOOKUP(ROW(D337)+4,'Water runs'!$BS$3:$CF$423,MATCH($B$1,Scenarios,0)+1)</f>
        <v>2.1108639023270175E-3</v>
      </c>
      <c r="E337" s="54">
        <f>IF(B337=Variables!$D$8,C337-Variables!$E$8,IF(B337=Variables!$D$9,C337-Variables!$E$9,IF(B337=Variables!$D$10,C337-Variables!$E$10,IF(B337=Variables!$D$11,C337-Variables!$E$11,"ELSE"))))</f>
        <v>-0.24169619708994672</v>
      </c>
      <c r="F337" s="108">
        <f>VLOOKUP(ROW(F337)+4,'Water runs'!$CH$3:$CU$423,MATCH($B$1,Scenarios,0)+1)</f>
        <v>0</v>
      </c>
      <c r="G337" s="65">
        <f>H337/Variables!$E$49</f>
        <v>0.39876062555693464</v>
      </c>
      <c r="H337" s="62">
        <f>IF((H336+I337)&gt;(1.1*Variables!$E$50),(1.1*Variables!$E$50),IF((H336+I337)&gt;0,H336+I337,0))</f>
        <v>2.4723158784529948</v>
      </c>
      <c r="I337" s="64">
        <f t="shared" si="10"/>
        <v>-2.4520790414355202</v>
      </c>
      <c r="J337" s="63">
        <f>IF(SUM(E333:E336)&lt;Variables!$B$3,-H336,0)</f>
        <v>0</v>
      </c>
      <c r="K337" s="64">
        <f>IF(AND(H336&lt;Variables!$B$6*Variables!$E$50,OR(SUM(D334:D337)&gt;Variables!$B$5,SUM(E334:E337)&gt;Variables!$B$4)),Variables!$B$6*Variables!$E$50+Variables!$B$7*$G$1*Variables!$E$50*SUM(D334:D337),0)</f>
        <v>0</v>
      </c>
      <c r="L337" s="64">
        <f>IF(B337="Winter",Variables!$B$8*H336,0)</f>
        <v>-2.4520790414355202</v>
      </c>
      <c r="M337" s="64">
        <f>IF(AND(B337="Spring",AND(NOT(H336=0),H336&lt;(Variables!$B$9*Variables!$E$50))),(Variables!$B$10*Variables!$E$50+Variables!$B$11*Variables!$E$50*SUM(E334:E337)+$G$1*SUM(D336:D337)*Variables!$E$50*Variables!$B$12),0)</f>
        <v>0</v>
      </c>
      <c r="N337" s="64">
        <f>IF(AND(B337="Spring",AND(SUM(D334:D337)&gt;Variables!$B$13,SUM(D330:D333)&gt;Variables!$B$13)),-Variables!$B$14*Variables!$E$50,0)</f>
        <v>0</v>
      </c>
      <c r="O337" s="64">
        <f>IF(AND(B337="Summer",SUM(C333:D337)&gt;Variables!$B$15),(Variables!$B$16*Variables!$E$50*SUM(C333:C337)+$G$1*Variables!$B$16*Variables!$E$50*SUM(D333:D337)+$G$1*Variables!$E$50*Variables!$B$17*F337),0)</f>
        <v>0</v>
      </c>
      <c r="P337" s="64">
        <f>IF(AND(AND(B337="Autumn",SUM(D336:E337)&gt;0),NOT(H336=0)),Variables!$B$18*Variables!$E$50+Variables!$B$19*Variables!$E$50*SUM(E336:E337)+$G$1*Variables!$B$19*Variables!$E$50*SUM(D336:D337),0)</f>
        <v>0</v>
      </c>
      <c r="Q337" s="64">
        <f>IF(AND(B337="Autumn",AND((E337+E336)&lt;Variables!$B$20,(D336+D337)=0)),-Variables!$B$21*Variables!$E$50,0)</f>
        <v>0</v>
      </c>
      <c r="R337" s="64">
        <f>IF(B337="Autumn",(SUM(F336:F337)*$G$1*Variables!$B$22*Variables!$E$50),0)</f>
        <v>0</v>
      </c>
      <c r="S337" s="64">
        <f>IF(B337="Spring",($G$1*Variables!$E$50*SUM('Guts (option 1)'!F336:F337)*Variables!$B$23),0)</f>
        <v>0</v>
      </c>
      <c r="T337" s="63">
        <f>IF((H336+SUM(J337:Q337))&lt;(Variables!$B$26*Variables!$E$50),$F$1*((Variables!$B$26*Variables!$E$50)-H336-SUM(J337:Q337)),0)</f>
        <v>0</v>
      </c>
      <c r="U337" s="64">
        <f>IF(AND(AND(B337="Autumn",SUM(D334:E337)&gt;Variables!$B$27),SUM(J337:Q337)&lt;Variables!$B$28*H336),$F$1*(Variables!$B$28*H336-SUM(J337:Q337)),0)</f>
        <v>0</v>
      </c>
      <c r="V337" s="96">
        <f>IF(AND((J337+K337)=0,(Q337+T337)=0),$H$1*H337*Variables!$I$23*0.25,0)</f>
        <v>47.641897825170979</v>
      </c>
      <c r="W337" s="97">
        <f>IF(AND((K337+J337)=0,(T337+Q337)=0),$I$1*H337*Variables!$Q$23*0.25,0)</f>
        <v>49.868465505305743</v>
      </c>
      <c r="X337" s="95">
        <f>IF(AND(NOT(K337=0),(H337-H336)&gt;0),(H337-H336)*(Variables!$M$5*$H$1+Variables!$U$5*$I$1),0)+IF(AND(NOT((J337+N337+Q337)=0),(H336-H337)&gt;0),(H336-H337)*(Variables!$M$4*$H$1+Variables!$U$4*$I$1),0)</f>
        <v>0</v>
      </c>
      <c r="Y337" s="95">
        <f>IF(SUM(T337,U336:U337)&gt;0,H337*Variables!$Y$11*0.25*(1-$J$1),0)</f>
        <v>0</v>
      </c>
      <c r="Z337" s="95">
        <f>IF(T337=0,H337*$J$1*Variables!$Y$5*0.25,0)</f>
        <v>16.070053209944465</v>
      </c>
      <c r="AA337" s="95">
        <f t="shared" si="11"/>
        <v>113.58041654042118</v>
      </c>
      <c r="AB337" s="91">
        <f>AA337/Variables!$E$49</f>
        <v>18.319422022648578</v>
      </c>
    </row>
    <row r="338" spans="1:28" x14ac:dyDescent="0.25">
      <c r="A338" s="61">
        <f>'Water runs'!C345</f>
        <v>32842</v>
      </c>
      <c r="B338" s="61" t="str">
        <f>'Water runs'!B345</f>
        <v>Spring</v>
      </c>
      <c r="C338" s="54">
        <f>'Water runs'!D345/100</f>
        <v>0.28312500000000002</v>
      </c>
      <c r="D338" s="108">
        <f>VLOOKUP(ROW(D338)+4,'Water runs'!$BS$3:$CF$423,MATCH($B$1,Scenarios,0)+1)</f>
        <v>7.5123318474413893E-3</v>
      </c>
      <c r="E338" s="54">
        <f>IF(B338=Variables!$D$8,C338-Variables!$E$8,IF(B338=Variables!$D$9,C338-Variables!$E$9,IF(B338=Variables!$D$10,C338-Variables!$E$10,IF(B338=Variables!$D$11,C338-Variables!$E$11,"ELSE"))))</f>
        <v>-0.48085720899470913</v>
      </c>
      <c r="F338" s="108">
        <f>VLOOKUP(ROW(F338)+4,'Water runs'!$CH$3:$CU$423,MATCH($B$1,Scenarios,0)+1)</f>
        <v>0</v>
      </c>
      <c r="G338" s="65">
        <f>H338/Variables!$E$49</f>
        <v>0.39876062555693464</v>
      </c>
      <c r="H338" s="62">
        <f>IF((H337+I338)&gt;(1.1*Variables!$E$50),(1.1*Variables!$E$50),IF((H337+I338)&gt;0,H337+I338,0))</f>
        <v>2.4723158784529948</v>
      </c>
      <c r="I338" s="64">
        <f t="shared" si="10"/>
        <v>0</v>
      </c>
      <c r="J338" s="63">
        <f>IF(SUM(E334:E337)&lt;Variables!$B$3,-H337,0)</f>
        <v>0</v>
      </c>
      <c r="K338" s="64">
        <f>IF(AND(H337&lt;Variables!$B$6*Variables!$E$50,OR(SUM(D335:D338)&gt;Variables!$B$5,SUM(E335:E338)&gt;Variables!$B$4)),Variables!$B$6*Variables!$E$50+Variables!$B$7*$G$1*Variables!$E$50*SUM(D335:D338),0)</f>
        <v>0</v>
      </c>
      <c r="L338" s="64">
        <f>IF(B338="Winter",Variables!$B$8*H337,0)</f>
        <v>0</v>
      </c>
      <c r="M338" s="64">
        <f>IF(AND(B338="Spring",AND(NOT(H337=0),H337&lt;(Variables!$B$9*Variables!$E$50))),(Variables!$B$10*Variables!$E$50+Variables!$B$11*Variables!$E$50*SUM(E335:E338)+$G$1*SUM(D337:D338)*Variables!$E$50*Variables!$B$12),0)</f>
        <v>0</v>
      </c>
      <c r="N338" s="64">
        <f>IF(AND(B338="Spring",AND(SUM(D335:D338)&gt;Variables!$B$13,SUM(D331:D334)&gt;Variables!$B$13)),-Variables!$B$14*Variables!$E$50,0)</f>
        <v>0</v>
      </c>
      <c r="O338" s="64">
        <f>IF(AND(B338="Summer",SUM(C334:D338)&gt;Variables!$B$15),(Variables!$B$16*Variables!$E$50*SUM(C334:C338)+$G$1*Variables!$B$16*Variables!$E$50*SUM(D334:D338)+$G$1*Variables!$E$50*Variables!$B$17*F338),0)</f>
        <v>0</v>
      </c>
      <c r="P338" s="64">
        <f>IF(AND(AND(B338="Autumn",SUM(D337:E338)&gt;0),NOT(H337=0)),Variables!$B$18*Variables!$E$50+Variables!$B$19*Variables!$E$50*SUM(E337:E338)+$G$1*Variables!$B$19*Variables!$E$50*SUM(D337:D338),0)</f>
        <v>0</v>
      </c>
      <c r="Q338" s="64">
        <f>IF(AND(B338="Autumn",AND((E338+E337)&lt;Variables!$B$20,(D337+D338)=0)),-Variables!$B$21*Variables!$E$50,0)</f>
        <v>0</v>
      </c>
      <c r="R338" s="64">
        <f>IF(B338="Autumn",(SUM(F337:F338)*$G$1*Variables!$B$22*Variables!$E$50),0)</f>
        <v>0</v>
      </c>
      <c r="S338" s="64">
        <f>IF(B338="Spring",($G$1*Variables!$E$50*SUM('Guts (option 1)'!F337:F338)*Variables!$B$23),0)</f>
        <v>0</v>
      </c>
      <c r="T338" s="63">
        <f>IF((H337+SUM(J338:Q338))&lt;(Variables!$B$26*Variables!$E$50),$F$1*((Variables!$B$26*Variables!$E$50)-H337-SUM(J338:Q338)),0)</f>
        <v>0</v>
      </c>
      <c r="U338" s="64">
        <f>IF(AND(AND(B338="Autumn",SUM(D335:E338)&gt;Variables!$B$27),SUM(J338:Q338)&lt;Variables!$B$28*H337),$F$1*(Variables!$B$28*H337-SUM(J338:Q338)),0)</f>
        <v>0</v>
      </c>
      <c r="V338" s="96">
        <f>IF(AND((J338+K338)=0,(Q338+T338)=0),$H$1*H338*Variables!$I$23*0.25,0)</f>
        <v>47.641897825170979</v>
      </c>
      <c r="W338" s="97">
        <f>IF(AND((K338+J338)=0,(T338+Q338)=0),$I$1*H338*Variables!$Q$23*0.25,0)</f>
        <v>49.868465505305743</v>
      </c>
      <c r="X338" s="95">
        <f>IF(AND(NOT(K338=0),(H338-H337)&gt;0),(H338-H337)*(Variables!$M$5*$H$1+Variables!$U$5*$I$1),0)+IF(AND(NOT((J338+N338+Q338)=0),(H337-H338)&gt;0),(H337-H338)*(Variables!$M$4*$H$1+Variables!$U$4*$I$1),0)</f>
        <v>0</v>
      </c>
      <c r="Y338" s="95">
        <f>IF(SUM(T338,U337:U338)&gt;0,H338*Variables!$Y$11*0.25*(1-$J$1),0)</f>
        <v>0</v>
      </c>
      <c r="Z338" s="95">
        <f>IF(T338=0,H338*$J$1*Variables!$Y$5*0.25,0)</f>
        <v>16.070053209944465</v>
      </c>
      <c r="AA338" s="95">
        <f t="shared" si="11"/>
        <v>113.58041654042118</v>
      </c>
      <c r="AB338" s="91">
        <f>AA338/Variables!$E$49</f>
        <v>18.319422022648578</v>
      </c>
    </row>
    <row r="339" spans="1:28" x14ac:dyDescent="0.25">
      <c r="A339" s="61">
        <f>'Water runs'!C346</f>
        <v>32932</v>
      </c>
      <c r="B339" s="61" t="str">
        <f>'Water runs'!B346</f>
        <v>Summer</v>
      </c>
      <c r="C339" s="54">
        <f>'Water runs'!D346/100</f>
        <v>0.75937500000000002</v>
      </c>
      <c r="D339" s="108">
        <f>VLOOKUP(ROW(D339)+4,'Water runs'!$BS$3:$CF$423,MATCH($B$1,Scenarios,0)+1)</f>
        <v>0</v>
      </c>
      <c r="E339" s="54">
        <f>IF(B339=Variables!$D$8,C339-Variables!$E$8,IF(B339=Variables!$D$9,C339-Variables!$E$9,IF(B339=Variables!$D$10,C339-Variables!$E$10,IF(B339=Variables!$D$11,C339-Variables!$E$11,"ELSE"))))</f>
        <v>-0.4989951360544217</v>
      </c>
      <c r="F339" s="108">
        <f>VLOOKUP(ROW(F339)+4,'Water runs'!$CH$3:$CU$423,MATCH($B$1,Scenarios,0)+1)</f>
        <v>0</v>
      </c>
      <c r="G339" s="65">
        <f>H339/Variables!$E$49</f>
        <v>0.39876062555693464</v>
      </c>
      <c r="H339" s="62">
        <f>IF((H338+I339)&gt;(1.1*Variables!$E$50),(1.1*Variables!$E$50),IF((H338+I339)&gt;0,H338+I339,0))</f>
        <v>2.4723158784529948</v>
      </c>
      <c r="I339" s="64">
        <f t="shared" si="10"/>
        <v>0</v>
      </c>
      <c r="J339" s="63">
        <f>IF(SUM(E335:E338)&lt;Variables!$B$3,-H338,0)</f>
        <v>0</v>
      </c>
      <c r="K339" s="64">
        <f>IF(AND(H338&lt;Variables!$B$6*Variables!$E$50,OR(SUM(D336:D339)&gt;Variables!$B$5,SUM(E336:E339)&gt;Variables!$B$4)),Variables!$B$6*Variables!$E$50+Variables!$B$7*$G$1*Variables!$E$50*SUM(D336:D339),0)</f>
        <v>0</v>
      </c>
      <c r="L339" s="64">
        <f>IF(B339="Winter",Variables!$B$8*H338,0)</f>
        <v>0</v>
      </c>
      <c r="M339" s="64">
        <f>IF(AND(B339="Spring",AND(NOT(H338=0),H338&lt;(Variables!$B$9*Variables!$E$50))),(Variables!$B$10*Variables!$E$50+Variables!$B$11*Variables!$E$50*SUM(E336:E339)+$G$1*SUM(D338:D339)*Variables!$E$50*Variables!$B$12),0)</f>
        <v>0</v>
      </c>
      <c r="N339" s="64">
        <f>IF(AND(B339="Spring",AND(SUM(D336:D339)&gt;Variables!$B$13,SUM(D332:D335)&gt;Variables!$B$13)),-Variables!$B$14*Variables!$E$50,0)</f>
        <v>0</v>
      </c>
      <c r="O339" s="64">
        <f>IF(AND(B339="Summer",SUM(C335:D339)&gt;Variables!$B$15),(Variables!$B$16*Variables!$E$50*SUM(C335:C339)+$G$1*Variables!$B$16*Variables!$E$50*SUM(D335:D339)+$G$1*Variables!$E$50*Variables!$B$17*F339),0)</f>
        <v>0</v>
      </c>
      <c r="P339" s="64">
        <f>IF(AND(AND(B339="Autumn",SUM(D338:E339)&gt;0),NOT(H338=0)),Variables!$B$18*Variables!$E$50+Variables!$B$19*Variables!$E$50*SUM(E338:E339)+$G$1*Variables!$B$19*Variables!$E$50*SUM(D338:D339),0)</f>
        <v>0</v>
      </c>
      <c r="Q339" s="64">
        <f>IF(AND(B339="Autumn",AND((E339+E338)&lt;Variables!$B$20,(D338+D339)=0)),-Variables!$B$21*Variables!$E$50,0)</f>
        <v>0</v>
      </c>
      <c r="R339" s="64">
        <f>IF(B339="Autumn",(SUM(F338:F339)*$G$1*Variables!$B$22*Variables!$E$50),0)</f>
        <v>0</v>
      </c>
      <c r="S339" s="64">
        <f>IF(B339="Spring",($G$1*Variables!$E$50*SUM('Guts (option 1)'!F338:F339)*Variables!$B$23),0)</f>
        <v>0</v>
      </c>
      <c r="T339" s="63">
        <f>IF((H338+SUM(J339:Q339))&lt;(Variables!$B$26*Variables!$E$50),$F$1*((Variables!$B$26*Variables!$E$50)-H338-SUM(J339:Q339)),0)</f>
        <v>0</v>
      </c>
      <c r="U339" s="64">
        <f>IF(AND(AND(B339="Autumn",SUM(D336:E339)&gt;Variables!$B$27),SUM(J339:Q339)&lt;Variables!$B$28*H338),$F$1*(Variables!$B$28*H338-SUM(J339:Q339)),0)</f>
        <v>0</v>
      </c>
      <c r="V339" s="96">
        <f>IF(AND((J339+K339)=0,(Q339+T339)=0),$H$1*H339*Variables!$I$23*0.25,0)</f>
        <v>47.641897825170979</v>
      </c>
      <c r="W339" s="97">
        <f>IF(AND((K339+J339)=0,(T339+Q339)=0),$I$1*H339*Variables!$Q$23*0.25,0)</f>
        <v>49.868465505305743</v>
      </c>
      <c r="X339" s="95">
        <f>IF(AND(NOT(K339=0),(H339-H338)&gt;0),(H339-H338)*(Variables!$M$5*$H$1+Variables!$U$5*$I$1),0)+IF(AND(NOT((J339+N339+Q339)=0),(H338-H339)&gt;0),(H338-H339)*(Variables!$M$4*$H$1+Variables!$U$4*$I$1),0)</f>
        <v>0</v>
      </c>
      <c r="Y339" s="95">
        <f>IF(SUM(T339,U338:U339)&gt;0,H339*Variables!$Y$11*0.25*(1-$J$1),0)</f>
        <v>0</v>
      </c>
      <c r="Z339" s="95">
        <f>IF(T339=0,H339*$J$1*Variables!$Y$5*0.25,0)</f>
        <v>16.070053209944465</v>
      </c>
      <c r="AA339" s="95">
        <f t="shared" si="11"/>
        <v>113.58041654042118</v>
      </c>
      <c r="AB339" s="91">
        <f>AA339/Variables!$E$49</f>
        <v>18.319422022648578</v>
      </c>
    </row>
    <row r="340" spans="1:28" x14ac:dyDescent="0.25">
      <c r="A340" s="61">
        <f>'Water runs'!C347</f>
        <v>33024</v>
      </c>
      <c r="B340" s="61" t="str">
        <f>'Water runs'!B347</f>
        <v>Autumn</v>
      </c>
      <c r="C340" s="54">
        <f>'Water runs'!D347/100</f>
        <v>3.0741250000000004</v>
      </c>
      <c r="D340" s="108">
        <f>VLOOKUP(ROW(D340)+4,'Water runs'!$BS$3:$CF$423,MATCH($B$1,Scenarios,0)+1)</f>
        <v>0.39313589181228675</v>
      </c>
      <c r="E340" s="54">
        <f>IF(B340=Variables!$D$8,C340-Variables!$E$8,IF(B340=Variables!$D$9,C340-Variables!$E$9,IF(B340=Variables!$D$10,C340-Variables!$E$10,IF(B340=Variables!$D$11,C340-Variables!$E$11,"ELSE"))))</f>
        <v>2.0794817006802724</v>
      </c>
      <c r="F340" s="108">
        <f>VLOOKUP(ROW(F340)+4,'Water runs'!$CH$3:$CU$423,MATCH($B$1,Scenarios,0)+1)</f>
        <v>0.25425664494572403</v>
      </c>
      <c r="G340" s="65">
        <f>H340/Variables!$E$49</f>
        <v>1.1232163241262372</v>
      </c>
      <c r="H340" s="62">
        <f>IF((H339+I340)&gt;(1.1*Variables!$E$50),(1.1*Variables!$E$50),IF((H339+I340)&gt;0,H339+I340,0))</f>
        <v>6.9639412095826705</v>
      </c>
      <c r="I340" s="64">
        <f t="shared" si="10"/>
        <v>4.4916253311296757</v>
      </c>
      <c r="J340" s="63">
        <f>IF(SUM(E336:E339)&lt;Variables!$B$3,-H339,0)</f>
        <v>0</v>
      </c>
      <c r="K340" s="64">
        <f>IF(AND(H339&lt;Variables!$B$6*Variables!$E$50,OR(SUM(D337:D340)&gt;Variables!$B$5,SUM(E337:E340)&gt;Variables!$B$4)),Variables!$B$6*Variables!$E$50+Variables!$B$7*$G$1*Variables!$E$50*SUM(D337:D340),0)</f>
        <v>0</v>
      </c>
      <c r="L340" s="64">
        <f>IF(B340="Winter",Variables!$B$8*H339,0)</f>
        <v>0</v>
      </c>
      <c r="M340" s="64">
        <f>IF(AND(B340="Spring",AND(NOT(H339=0),H339&lt;(Variables!$B$9*Variables!$E$50))),(Variables!$B$10*Variables!$E$50+Variables!$B$11*Variables!$E$50*SUM(E337:E340)+$G$1*SUM(D339:D340)*Variables!$E$50*Variables!$B$12),0)</f>
        <v>0</v>
      </c>
      <c r="N340" s="64">
        <f>IF(AND(B340="Spring",AND(SUM(D337:D340)&gt;Variables!$B$13,SUM(D333:D336)&gt;Variables!$B$13)),-Variables!$B$14*Variables!$E$50,0)</f>
        <v>0</v>
      </c>
      <c r="O340" s="64">
        <f>IF(AND(B340="Summer",SUM(C336:D340)&gt;Variables!$B$15),(Variables!$B$16*Variables!$E$50*SUM(C336:C340)+$G$1*Variables!$B$16*Variables!$E$50*SUM(D336:D340)+$G$1*Variables!$E$50*Variables!$B$17*F340),0)</f>
        <v>0</v>
      </c>
      <c r="P340" s="64">
        <f>IF(AND(AND(B340="Autumn",SUM(D339:E340)&gt;0),NOT(H339=0)),Variables!$B$18*Variables!$E$50+Variables!$B$19*Variables!$E$50*SUM(E339:E340)+$G$1*Variables!$B$19*Variables!$E$50*SUM(D339:D340),0)</f>
        <v>4.455958734005991</v>
      </c>
      <c r="Q340" s="64">
        <f>IF(AND(B340="Autumn",AND((E340+E339)&lt;Variables!$B$20,(D339+D340)=0)),-Variables!$B$21*Variables!$E$50,0)</f>
        <v>0</v>
      </c>
      <c r="R340" s="64">
        <f>IF(B340="Autumn",(SUM(F339:F340)*$G$1*Variables!$B$22*Variables!$E$50),0)</f>
        <v>3.5666597123684272E-2</v>
      </c>
      <c r="S340" s="64">
        <f>IF(B340="Spring",($G$1*Variables!$E$50*SUM('Guts (option 1)'!F339:F340)*Variables!$B$23),0)</f>
        <v>0</v>
      </c>
      <c r="T340" s="63">
        <f>IF((H339+SUM(J340:Q340))&lt;(Variables!$B$26*Variables!$E$50),$F$1*((Variables!$B$26*Variables!$E$50)-H339-SUM(J340:Q340)),0)</f>
        <v>0</v>
      </c>
      <c r="U340" s="64">
        <f>IF(AND(AND(B340="Autumn",SUM(D337:E340)&gt;Variables!$B$27),SUM(J340:Q340)&lt;Variables!$B$28*H339),$F$1*(Variables!$B$28*H339-SUM(J340:Q340)),0)</f>
        <v>0</v>
      </c>
      <c r="V340" s="96">
        <f>IF(AND((J340+K340)=0,(Q340+T340)=0),$H$1*H340*Variables!$I$23*0.25,0)</f>
        <v>134.19619169983952</v>
      </c>
      <c r="W340" s="97">
        <f>IF(AND((K340+J340)=0,(T340+Q340)=0),$I$1*H340*Variables!$Q$23*0.25,0)</f>
        <v>140.46791715318963</v>
      </c>
      <c r="X340" s="95">
        <f>IF(AND(NOT(K340=0),(H340-H339)&gt;0),(H340-H339)*(Variables!$M$5*$H$1+Variables!$U$5*$I$1),0)+IF(AND(NOT((J340+N340+Q340)=0),(H339-H340)&gt;0),(H339-H340)*(Variables!$M$4*$H$1+Variables!$U$4*$I$1),0)</f>
        <v>0</v>
      </c>
      <c r="Y340" s="95">
        <f>IF(SUM(T340,U339:U340)&gt;0,H340*Variables!$Y$11*0.25*(1-$J$1),0)</f>
        <v>0</v>
      </c>
      <c r="Z340" s="95">
        <f>IF(T340=0,H340*$J$1*Variables!$Y$5*0.25,0)</f>
        <v>45.265617862287357</v>
      </c>
      <c r="AA340" s="95">
        <f t="shared" si="11"/>
        <v>319.92972671531646</v>
      </c>
      <c r="AB340" s="91">
        <f>AA340/Variables!$E$49</f>
        <v>51.601568825051039</v>
      </c>
    </row>
    <row r="341" spans="1:28" x14ac:dyDescent="0.25">
      <c r="A341" s="61">
        <f>'Water runs'!C348</f>
        <v>33116</v>
      </c>
      <c r="B341" s="61" t="str">
        <f>'Water runs'!B348</f>
        <v>Winter</v>
      </c>
      <c r="C341" s="54">
        <f>'Water runs'!D348/100</f>
        <v>0.38075000000000003</v>
      </c>
      <c r="D341" s="108">
        <f>VLOOKUP(ROW(D341)+4,'Water runs'!$BS$3:$CF$423,MATCH($B$1,Scenarios,0)+1)</f>
        <v>1.3664399559774821E-2</v>
      </c>
      <c r="E341" s="54">
        <f>IF(B341=Variables!$D$8,C341-Variables!$E$8,IF(B341=Variables!$D$9,C341-Variables!$E$9,IF(B341=Variables!$D$10,C341-Variables!$E$10,IF(B341=Variables!$D$11,C341-Variables!$E$11,"ELSE"))))</f>
        <v>-0.1910176256613757</v>
      </c>
      <c r="F341" s="108">
        <f>VLOOKUP(ROW(F341)+4,'Water runs'!$CH$3:$CU$423,MATCH($B$1,Scenarios,0)+1)</f>
        <v>0</v>
      </c>
      <c r="G341" s="65">
        <f>H341/Variables!$E$49</f>
        <v>0.56391609492151973</v>
      </c>
      <c r="H341" s="62">
        <f>IF((H340+I341)&gt;(1.1*Variables!$E$50),(1.1*Variables!$E$50),IF((H340+I341)&gt;0,H340+I341,0))</f>
        <v>3.4962797885134225</v>
      </c>
      <c r="I341" s="64">
        <f t="shared" si="10"/>
        <v>-3.467661421069248</v>
      </c>
      <c r="J341" s="63">
        <f>IF(SUM(E337:E340)&lt;Variables!$B$3,-H340,0)</f>
        <v>0</v>
      </c>
      <c r="K341" s="64">
        <f>IF(AND(H340&lt;Variables!$B$6*Variables!$E$50,OR(SUM(D338:D341)&gt;Variables!$B$5,SUM(E338:E341)&gt;Variables!$B$4)),Variables!$B$6*Variables!$E$50+Variables!$B$7*$G$1*Variables!$E$50*SUM(D338:D341),0)</f>
        <v>0</v>
      </c>
      <c r="L341" s="64">
        <f>IF(B341="Winter",Variables!$B$8*H340,0)</f>
        <v>-3.467661421069248</v>
      </c>
      <c r="M341" s="64">
        <f>IF(AND(B341="Spring",AND(NOT(H340=0),H340&lt;(Variables!$B$9*Variables!$E$50))),(Variables!$B$10*Variables!$E$50+Variables!$B$11*Variables!$E$50*SUM(E338:E341)+$G$1*SUM(D340:D341)*Variables!$E$50*Variables!$B$12),0)</f>
        <v>0</v>
      </c>
      <c r="N341" s="64">
        <f>IF(AND(B341="Spring",AND(SUM(D338:D341)&gt;Variables!$B$13,SUM(D334:D337)&gt;Variables!$B$13)),-Variables!$B$14*Variables!$E$50,0)</f>
        <v>0</v>
      </c>
      <c r="O341" s="64">
        <f>IF(AND(B341="Summer",SUM(C337:D341)&gt;Variables!$B$15),(Variables!$B$16*Variables!$E$50*SUM(C337:C341)+$G$1*Variables!$B$16*Variables!$E$50*SUM(D337:D341)+$G$1*Variables!$E$50*Variables!$B$17*F341),0)</f>
        <v>0</v>
      </c>
      <c r="P341" s="64">
        <f>IF(AND(AND(B341="Autumn",SUM(D340:E341)&gt;0),NOT(H340=0)),Variables!$B$18*Variables!$E$50+Variables!$B$19*Variables!$E$50*SUM(E340:E341)+$G$1*Variables!$B$19*Variables!$E$50*SUM(D340:D341),0)</f>
        <v>0</v>
      </c>
      <c r="Q341" s="64">
        <f>IF(AND(B341="Autumn",AND((E341+E340)&lt;Variables!$B$20,(D340+D341)=0)),-Variables!$B$21*Variables!$E$50,0)</f>
        <v>0</v>
      </c>
      <c r="R341" s="64">
        <f>IF(B341="Autumn",(SUM(F340:F341)*$G$1*Variables!$B$22*Variables!$E$50),0)</f>
        <v>0</v>
      </c>
      <c r="S341" s="64">
        <f>IF(B341="Spring",($G$1*Variables!$E$50*SUM('Guts (option 1)'!F340:F341)*Variables!$B$23),0)</f>
        <v>0</v>
      </c>
      <c r="T341" s="63">
        <f>IF((H340+SUM(J341:Q341))&lt;(Variables!$B$26*Variables!$E$50),$F$1*((Variables!$B$26*Variables!$E$50)-H340-SUM(J341:Q341)),0)</f>
        <v>0</v>
      </c>
      <c r="U341" s="64">
        <f>IF(AND(AND(B341="Autumn",SUM(D338:E341)&gt;Variables!$B$27),SUM(J341:Q341)&lt;Variables!$B$28*H340),$F$1*(Variables!$B$28*H340-SUM(J341:Q341)),0)</f>
        <v>0</v>
      </c>
      <c r="V341" s="96">
        <f>IF(AND((J341+K341)=0,(Q341+T341)=0),$H$1*H341*Variables!$I$23*0.25,0)</f>
        <v>67.373835966621925</v>
      </c>
      <c r="W341" s="97">
        <f>IF(AND((K341+J341)=0,(T341+Q341)=0),$I$1*H341*Variables!$Q$23*0.25,0)</f>
        <v>70.52258554415711</v>
      </c>
      <c r="X341" s="95">
        <f>IF(AND(NOT(K341=0),(H341-H340)&gt;0),(H341-H340)*(Variables!$M$5*$H$1+Variables!$U$5*$I$1),0)+IF(AND(NOT((J341+N341+Q341)=0),(H340-H341)&gt;0),(H340-H341)*(Variables!$M$4*$H$1+Variables!$U$4*$I$1),0)</f>
        <v>0</v>
      </c>
      <c r="Y341" s="95">
        <f>IF(SUM(T341,U340:U341)&gt;0,H341*Variables!$Y$11*0.25*(1-$J$1),0)</f>
        <v>0</v>
      </c>
      <c r="Z341" s="95">
        <f>IF(T341=0,H341*$J$1*Variables!$Y$5*0.25,0)</f>
        <v>22.725818625337247</v>
      </c>
      <c r="AA341" s="95">
        <f t="shared" si="11"/>
        <v>160.62224013611626</v>
      </c>
      <c r="AB341" s="91">
        <f>AA341/Variables!$E$49</f>
        <v>25.906812925180041</v>
      </c>
    </row>
    <row r="342" spans="1:28" x14ac:dyDescent="0.25">
      <c r="A342" s="61">
        <f>'Water runs'!C349</f>
        <v>33207</v>
      </c>
      <c r="B342" s="61" t="str">
        <f>'Water runs'!B349</f>
        <v>Spring</v>
      </c>
      <c r="C342" s="54">
        <f>'Water runs'!D349/100</f>
        <v>0</v>
      </c>
      <c r="D342" s="108">
        <f>VLOOKUP(ROW(D342)+4,'Water runs'!$BS$3:$CF$423,MATCH($B$1,Scenarios,0)+1)</f>
        <v>0</v>
      </c>
      <c r="E342" s="54">
        <f>IF(B342=Variables!$D$8,C342-Variables!$E$8,IF(B342=Variables!$D$9,C342-Variables!$E$9,IF(B342=Variables!$D$10,C342-Variables!$E$10,IF(B342=Variables!$D$11,C342-Variables!$E$11,"ELSE"))))</f>
        <v>-0.76398220899470914</v>
      </c>
      <c r="F342" s="108">
        <f>VLOOKUP(ROW(F342)+4,'Water runs'!$CH$3:$CU$423,MATCH($B$1,Scenarios,0)+1)</f>
        <v>0</v>
      </c>
      <c r="G342" s="65">
        <f>H342/Variables!$E$49</f>
        <v>0.56391609492151973</v>
      </c>
      <c r="H342" s="62">
        <f>IF((H341+I342)&gt;(1.1*Variables!$E$50),(1.1*Variables!$E$50),IF((H341+I342)&gt;0,H341+I342,0))</f>
        <v>3.4962797885134225</v>
      </c>
      <c r="I342" s="64">
        <f t="shared" si="10"/>
        <v>0</v>
      </c>
      <c r="J342" s="63">
        <f>IF(SUM(E338:E341)&lt;Variables!$B$3,-H341,0)</f>
        <v>0</v>
      </c>
      <c r="K342" s="64">
        <f>IF(AND(H341&lt;Variables!$B$6*Variables!$E$50,OR(SUM(D339:D342)&gt;Variables!$B$5,SUM(E339:E342)&gt;Variables!$B$4)),Variables!$B$6*Variables!$E$50+Variables!$B$7*$G$1*Variables!$E$50*SUM(D339:D342),0)</f>
        <v>0</v>
      </c>
      <c r="L342" s="64">
        <f>IF(B342="Winter",Variables!$B$8*H341,0)</f>
        <v>0</v>
      </c>
      <c r="M342" s="64">
        <f>IF(AND(B342="Spring",AND(NOT(H341=0),H341&lt;(Variables!$B$9*Variables!$E$50))),(Variables!$B$10*Variables!$E$50+Variables!$B$11*Variables!$E$50*SUM(E339:E342)+$G$1*SUM(D341:D342)*Variables!$E$50*Variables!$B$12),0)</f>
        <v>0</v>
      </c>
      <c r="N342" s="64">
        <f>IF(AND(B342="Spring",AND(SUM(D339:D342)&gt;Variables!$B$13,SUM(D335:D338)&gt;Variables!$B$13)),-Variables!$B$14*Variables!$E$50,0)</f>
        <v>0</v>
      </c>
      <c r="O342" s="64">
        <f>IF(AND(B342="Summer",SUM(C338:D342)&gt;Variables!$B$15),(Variables!$B$16*Variables!$E$50*SUM(C338:C342)+$G$1*Variables!$B$16*Variables!$E$50*SUM(D338:D342)+$G$1*Variables!$E$50*Variables!$B$17*F342),0)</f>
        <v>0</v>
      </c>
      <c r="P342" s="64">
        <f>IF(AND(AND(B342="Autumn",SUM(D341:E342)&gt;0),NOT(H341=0)),Variables!$B$18*Variables!$E$50+Variables!$B$19*Variables!$E$50*SUM(E341:E342)+$G$1*Variables!$B$19*Variables!$E$50*SUM(D341:D342),0)</f>
        <v>0</v>
      </c>
      <c r="Q342" s="64">
        <f>IF(AND(B342="Autumn",AND((E342+E341)&lt;Variables!$B$20,(D341+D342)=0)),-Variables!$B$21*Variables!$E$50,0)</f>
        <v>0</v>
      </c>
      <c r="R342" s="64">
        <f>IF(B342="Autumn",(SUM(F341:F342)*$G$1*Variables!$B$22*Variables!$E$50),0)</f>
        <v>0</v>
      </c>
      <c r="S342" s="64">
        <f>IF(B342="Spring",($G$1*Variables!$E$50*SUM('Guts (option 1)'!F341:F342)*Variables!$B$23),0)</f>
        <v>0</v>
      </c>
      <c r="T342" s="63">
        <f>IF((H341+SUM(J342:Q342))&lt;(Variables!$B$26*Variables!$E$50),$F$1*((Variables!$B$26*Variables!$E$50)-H341-SUM(J342:Q342)),0)</f>
        <v>0</v>
      </c>
      <c r="U342" s="64">
        <f>IF(AND(AND(B342="Autumn",SUM(D339:E342)&gt;Variables!$B$27),SUM(J342:Q342)&lt;Variables!$B$28*H341),$F$1*(Variables!$B$28*H341-SUM(J342:Q342)),0)</f>
        <v>0</v>
      </c>
      <c r="V342" s="96">
        <f>IF(AND((J342+K342)=0,(Q342+T342)=0),$H$1*H342*Variables!$I$23*0.25,0)</f>
        <v>67.373835966621925</v>
      </c>
      <c r="W342" s="97">
        <f>IF(AND((K342+J342)=0,(T342+Q342)=0),$I$1*H342*Variables!$Q$23*0.25,0)</f>
        <v>70.52258554415711</v>
      </c>
      <c r="X342" s="95">
        <f>IF(AND(NOT(K342=0),(H342-H341)&gt;0),(H342-H341)*(Variables!$M$5*$H$1+Variables!$U$5*$I$1),0)+IF(AND(NOT((J342+N342+Q342)=0),(H341-H342)&gt;0),(H341-H342)*(Variables!$M$4*$H$1+Variables!$U$4*$I$1),0)</f>
        <v>0</v>
      </c>
      <c r="Y342" s="95">
        <f>IF(SUM(T342,U341:U342)&gt;0,H342*Variables!$Y$11*0.25*(1-$J$1),0)</f>
        <v>0</v>
      </c>
      <c r="Z342" s="95">
        <f>IF(T342=0,H342*$J$1*Variables!$Y$5*0.25,0)</f>
        <v>22.725818625337247</v>
      </c>
      <c r="AA342" s="95">
        <f t="shared" si="11"/>
        <v>160.62224013611626</v>
      </c>
      <c r="AB342" s="91">
        <f>AA342/Variables!$E$49</f>
        <v>25.906812925180041</v>
      </c>
    </row>
    <row r="343" spans="1:28" x14ac:dyDescent="0.25">
      <c r="A343" s="61">
        <f>'Water runs'!C350</f>
        <v>33297</v>
      </c>
      <c r="B343" s="61" t="str">
        <f>'Water runs'!B350</f>
        <v>Summer</v>
      </c>
      <c r="C343" s="54">
        <f>'Water runs'!D350/100</f>
        <v>1.4981249999999999</v>
      </c>
      <c r="D343" s="108">
        <f>VLOOKUP(ROW(D343)+4,'Water runs'!$BS$3:$CF$423,MATCH($B$1,Scenarios,0)+1)</f>
        <v>5.1306819531429542E-5</v>
      </c>
      <c r="E343" s="54">
        <f>IF(B343=Variables!$D$8,C343-Variables!$E$8,IF(B343=Variables!$D$9,C343-Variables!$E$9,IF(B343=Variables!$D$10,C343-Variables!$E$10,IF(B343=Variables!$D$11,C343-Variables!$E$11,"ELSE"))))</f>
        <v>0.23975486394557821</v>
      </c>
      <c r="F343" s="108">
        <f>VLOOKUP(ROW(F343)+4,'Water runs'!$CH$3:$CU$423,MATCH($B$1,Scenarios,0)+1)</f>
        <v>0</v>
      </c>
      <c r="G343" s="65">
        <f>H343/Variables!$E$49</f>
        <v>0.56391609492151973</v>
      </c>
      <c r="H343" s="62">
        <f>IF((H342+I343)&gt;(1.1*Variables!$E$50),(1.1*Variables!$E$50),IF((H342+I343)&gt;0,H342+I343,0))</f>
        <v>3.4962797885134225</v>
      </c>
      <c r="I343" s="64">
        <f t="shared" si="10"/>
        <v>0</v>
      </c>
      <c r="J343" s="63">
        <f>IF(SUM(E339:E342)&lt;Variables!$B$3,-H342,0)</f>
        <v>0</v>
      </c>
      <c r="K343" s="64">
        <f>IF(AND(H342&lt;Variables!$B$6*Variables!$E$50,OR(SUM(D340:D343)&gt;Variables!$B$5,SUM(E340:E343)&gt;Variables!$B$4)),Variables!$B$6*Variables!$E$50+Variables!$B$7*$G$1*Variables!$E$50*SUM(D340:D343),0)</f>
        <v>0</v>
      </c>
      <c r="L343" s="64">
        <f>IF(B343="Winter",Variables!$B$8*H342,0)</f>
        <v>0</v>
      </c>
      <c r="M343" s="64">
        <f>IF(AND(B343="Spring",AND(NOT(H342=0),H342&lt;(Variables!$B$9*Variables!$E$50))),(Variables!$B$10*Variables!$E$50+Variables!$B$11*Variables!$E$50*SUM(E340:E343)+$G$1*SUM(D342:D343)*Variables!$E$50*Variables!$B$12),0)</f>
        <v>0</v>
      </c>
      <c r="N343" s="64">
        <f>IF(AND(B343="Spring",AND(SUM(D340:D343)&gt;Variables!$B$13,SUM(D336:D339)&gt;Variables!$B$13)),-Variables!$B$14*Variables!$E$50,0)</f>
        <v>0</v>
      </c>
      <c r="O343" s="64">
        <f>IF(AND(B343="Summer",SUM(C339:D343)&gt;Variables!$B$15),(Variables!$B$16*Variables!$E$50*SUM(C339:C343)+$G$1*Variables!$B$16*Variables!$E$50*SUM(D339:D343)+$G$1*Variables!$E$50*Variables!$B$17*F343),0)</f>
        <v>0</v>
      </c>
      <c r="P343" s="64">
        <f>IF(AND(AND(B343="Autumn",SUM(D342:E343)&gt;0),NOT(H342=0)),Variables!$B$18*Variables!$E$50+Variables!$B$19*Variables!$E$50*SUM(E342:E343)+$G$1*Variables!$B$19*Variables!$E$50*SUM(D342:D343),0)</f>
        <v>0</v>
      </c>
      <c r="Q343" s="64">
        <f>IF(AND(B343="Autumn",AND((E343+E342)&lt;Variables!$B$20,(D342+D343)=0)),-Variables!$B$21*Variables!$E$50,0)</f>
        <v>0</v>
      </c>
      <c r="R343" s="64">
        <f>IF(B343="Autumn",(SUM(F342:F343)*$G$1*Variables!$B$22*Variables!$E$50),0)</f>
        <v>0</v>
      </c>
      <c r="S343" s="64">
        <f>IF(B343="Spring",($G$1*Variables!$E$50*SUM('Guts (option 1)'!F342:F343)*Variables!$B$23),0)</f>
        <v>0</v>
      </c>
      <c r="T343" s="63">
        <f>IF((H342+SUM(J343:Q343))&lt;(Variables!$B$26*Variables!$E$50),$F$1*((Variables!$B$26*Variables!$E$50)-H342-SUM(J343:Q343)),0)</f>
        <v>0</v>
      </c>
      <c r="U343" s="64">
        <f>IF(AND(AND(B343="Autumn",SUM(D340:E343)&gt;Variables!$B$27),SUM(J343:Q343)&lt;Variables!$B$28*H342),$F$1*(Variables!$B$28*H342-SUM(J343:Q343)),0)</f>
        <v>0</v>
      </c>
      <c r="V343" s="96">
        <f>IF(AND((J343+K343)=0,(Q343+T343)=0),$H$1*H343*Variables!$I$23*0.25,0)</f>
        <v>67.373835966621925</v>
      </c>
      <c r="W343" s="97">
        <f>IF(AND((K343+J343)=0,(T343+Q343)=0),$I$1*H343*Variables!$Q$23*0.25,0)</f>
        <v>70.52258554415711</v>
      </c>
      <c r="X343" s="95">
        <f>IF(AND(NOT(K343=0),(H343-H342)&gt;0),(H343-H342)*(Variables!$M$5*$H$1+Variables!$U$5*$I$1),0)+IF(AND(NOT((J343+N343+Q343)=0),(H342-H343)&gt;0),(H342-H343)*(Variables!$M$4*$H$1+Variables!$U$4*$I$1),0)</f>
        <v>0</v>
      </c>
      <c r="Y343" s="95">
        <f>IF(SUM(T343,U342:U343)&gt;0,H343*Variables!$Y$11*0.25*(1-$J$1),0)</f>
        <v>0</v>
      </c>
      <c r="Z343" s="95">
        <f>IF(T343=0,H343*$J$1*Variables!$Y$5*0.25,0)</f>
        <v>22.725818625337247</v>
      </c>
      <c r="AA343" s="95">
        <f t="shared" si="11"/>
        <v>160.62224013611626</v>
      </c>
      <c r="AB343" s="91">
        <f>AA343/Variables!$E$49</f>
        <v>25.906812925180041</v>
      </c>
    </row>
    <row r="344" spans="1:28" x14ac:dyDescent="0.25">
      <c r="A344" s="61">
        <f>'Water runs'!C351</f>
        <v>33389</v>
      </c>
      <c r="B344" s="61" t="str">
        <f>'Water runs'!B351</f>
        <v>Autumn</v>
      </c>
      <c r="C344" s="54">
        <f>'Water runs'!D351/100</f>
        <v>0.25524999999999998</v>
      </c>
      <c r="D344" s="108">
        <f>VLOOKUP(ROW(D344)+4,'Water runs'!$BS$3:$CF$423,MATCH($B$1,Scenarios,0)+1)</f>
        <v>1.628833165741613E-3</v>
      </c>
      <c r="E344" s="54">
        <f>IF(B344=Variables!$D$8,C344-Variables!$E$8,IF(B344=Variables!$D$9,C344-Variables!$E$9,IF(B344=Variables!$D$10,C344-Variables!$E$10,IF(B344=Variables!$D$11,C344-Variables!$E$11,"ELSE"))))</f>
        <v>-0.73939329931972786</v>
      </c>
      <c r="F344" s="108">
        <f>VLOOKUP(ROW(F344)+4,'Water runs'!$CH$3:$CU$423,MATCH($B$1,Scenarios,0)+1)</f>
        <v>0</v>
      </c>
      <c r="G344" s="65">
        <f>H344/Variables!$E$49</f>
        <v>0.56391609492151973</v>
      </c>
      <c r="H344" s="62">
        <f>IF((H343+I344)&gt;(1.1*Variables!$E$50),(1.1*Variables!$E$50),IF((H343+I344)&gt;0,H343+I344,0))</f>
        <v>3.4962797885134225</v>
      </c>
      <c r="I344" s="64">
        <f t="shared" si="10"/>
        <v>0</v>
      </c>
      <c r="J344" s="63">
        <f>IF(SUM(E340:E343)&lt;Variables!$B$3,-H343,0)</f>
        <v>0</v>
      </c>
      <c r="K344" s="64">
        <f>IF(AND(H343&lt;Variables!$B$6*Variables!$E$50,OR(SUM(D341:D344)&gt;Variables!$B$5,SUM(E341:E344)&gt;Variables!$B$4)),Variables!$B$6*Variables!$E$50+Variables!$B$7*$G$1*Variables!$E$50*SUM(D341:D344),0)</f>
        <v>0</v>
      </c>
      <c r="L344" s="64">
        <f>IF(B344="Winter",Variables!$B$8*H343,0)</f>
        <v>0</v>
      </c>
      <c r="M344" s="64">
        <f>IF(AND(B344="Spring",AND(NOT(H343=0),H343&lt;(Variables!$B$9*Variables!$E$50))),(Variables!$B$10*Variables!$E$50+Variables!$B$11*Variables!$E$50*SUM(E341:E344)+$G$1*SUM(D343:D344)*Variables!$E$50*Variables!$B$12),0)</f>
        <v>0</v>
      </c>
      <c r="N344" s="64">
        <f>IF(AND(B344="Spring",AND(SUM(D341:D344)&gt;Variables!$B$13,SUM(D337:D340)&gt;Variables!$B$13)),-Variables!$B$14*Variables!$E$50,0)</f>
        <v>0</v>
      </c>
      <c r="O344" s="64">
        <f>IF(AND(B344="Summer",SUM(C340:D344)&gt;Variables!$B$15),(Variables!$B$16*Variables!$E$50*SUM(C340:C344)+$G$1*Variables!$B$16*Variables!$E$50*SUM(D340:D344)+$G$1*Variables!$E$50*Variables!$B$17*F344),0)</f>
        <v>0</v>
      </c>
      <c r="P344" s="64">
        <f>IF(AND(AND(B344="Autumn",SUM(D343:E344)&gt;0),NOT(H343=0)),Variables!$B$18*Variables!$E$50+Variables!$B$19*Variables!$E$50*SUM(E343:E344)+$G$1*Variables!$B$19*Variables!$E$50*SUM(D343:D344),0)</f>
        <v>0</v>
      </c>
      <c r="Q344" s="64">
        <f>IF(AND(B344="Autumn",AND((E344+E343)&lt;Variables!$B$20,(D343+D344)=0)),-Variables!$B$21*Variables!$E$50,0)</f>
        <v>0</v>
      </c>
      <c r="R344" s="64">
        <f>IF(B344="Autumn",(SUM(F343:F344)*$G$1*Variables!$B$22*Variables!$E$50),0)</f>
        <v>0</v>
      </c>
      <c r="S344" s="64">
        <f>IF(B344="Spring",($G$1*Variables!$E$50*SUM('Guts (option 1)'!F343:F344)*Variables!$B$23),0)</f>
        <v>0</v>
      </c>
      <c r="T344" s="63">
        <f>IF((H343+SUM(J344:Q344))&lt;(Variables!$B$26*Variables!$E$50),$F$1*((Variables!$B$26*Variables!$E$50)-H343-SUM(J344:Q344)),0)</f>
        <v>0</v>
      </c>
      <c r="U344" s="64">
        <f>IF(AND(AND(B344="Autumn",SUM(D341:E344)&gt;Variables!$B$27),SUM(J344:Q344)&lt;Variables!$B$28*H343),$F$1*(Variables!$B$28*H343-SUM(J344:Q344)),0)</f>
        <v>0</v>
      </c>
      <c r="V344" s="96">
        <f>IF(AND((J344+K344)=0,(Q344+T344)=0),$H$1*H344*Variables!$I$23*0.25,0)</f>
        <v>67.373835966621925</v>
      </c>
      <c r="W344" s="97">
        <f>IF(AND((K344+J344)=0,(T344+Q344)=0),$I$1*H344*Variables!$Q$23*0.25,0)</f>
        <v>70.52258554415711</v>
      </c>
      <c r="X344" s="95">
        <f>IF(AND(NOT(K344=0),(H344-H343)&gt;0),(H344-H343)*(Variables!$M$5*$H$1+Variables!$U$5*$I$1),0)+IF(AND(NOT((J344+N344+Q344)=0),(H343-H344)&gt;0),(H343-H344)*(Variables!$M$4*$H$1+Variables!$U$4*$I$1),0)</f>
        <v>0</v>
      </c>
      <c r="Y344" s="95">
        <f>IF(SUM(T344,U343:U344)&gt;0,H344*Variables!$Y$11*0.25*(1-$J$1),0)</f>
        <v>0</v>
      </c>
      <c r="Z344" s="95">
        <f>IF(T344=0,H344*$J$1*Variables!$Y$5*0.25,0)</f>
        <v>22.725818625337247</v>
      </c>
      <c r="AA344" s="95">
        <f t="shared" si="11"/>
        <v>160.62224013611626</v>
      </c>
      <c r="AB344" s="91">
        <f>AA344/Variables!$E$49</f>
        <v>25.906812925180041</v>
      </c>
    </row>
    <row r="345" spans="1:28" x14ac:dyDescent="0.25">
      <c r="A345" s="61">
        <f>'Water runs'!C352</f>
        <v>33481</v>
      </c>
      <c r="B345" s="61" t="str">
        <f>'Water runs'!B352</f>
        <v>Winter</v>
      </c>
      <c r="C345" s="54">
        <f>'Water runs'!D352/100</f>
        <v>0.16675000000000001</v>
      </c>
      <c r="D345" s="108">
        <f>VLOOKUP(ROW(D345)+4,'Water runs'!$BS$3:$CF$423,MATCH($B$1,Scenarios,0)+1)</f>
        <v>0</v>
      </c>
      <c r="E345" s="54">
        <f>IF(B345=Variables!$D$8,C345-Variables!$E$8,IF(B345=Variables!$D$9,C345-Variables!$E$9,IF(B345=Variables!$D$10,C345-Variables!$E$10,IF(B345=Variables!$D$11,C345-Variables!$E$11,"ELSE"))))</f>
        <v>-0.40501762566137572</v>
      </c>
      <c r="F345" s="108">
        <f>VLOOKUP(ROW(F345)+4,'Water runs'!$CH$3:$CU$423,MATCH($B$1,Scenarios,0)+1)</f>
        <v>0</v>
      </c>
      <c r="G345" s="65">
        <f>H345/Variables!$E$49</f>
        <v>0.28311675612345943</v>
      </c>
      <c r="H345" s="62">
        <f>IF((H344+I345)&gt;(1.1*Variables!$E$50),(1.1*Variables!$E$50),IF((H344+I345)&gt;0,H344+I345,0))</f>
        <v>1.7553238879654487</v>
      </c>
      <c r="I345" s="64">
        <f t="shared" si="10"/>
        <v>-1.7409559005479738</v>
      </c>
      <c r="J345" s="63">
        <f>IF(SUM(E341:E344)&lt;Variables!$B$3,-H344,0)</f>
        <v>0</v>
      </c>
      <c r="K345" s="64">
        <f>IF(AND(H344&lt;Variables!$B$6*Variables!$E$50,OR(SUM(D342:D345)&gt;Variables!$B$5,SUM(E342:E345)&gt;Variables!$B$4)),Variables!$B$6*Variables!$E$50+Variables!$B$7*$G$1*Variables!$E$50*SUM(D342:D345),0)</f>
        <v>0</v>
      </c>
      <c r="L345" s="64">
        <f>IF(B345="Winter",Variables!$B$8*H344,0)</f>
        <v>-1.7409559005479738</v>
      </c>
      <c r="M345" s="64">
        <f>IF(AND(B345="Spring",AND(NOT(H344=0),H344&lt;(Variables!$B$9*Variables!$E$50))),(Variables!$B$10*Variables!$E$50+Variables!$B$11*Variables!$E$50*SUM(E342:E345)+$G$1*SUM(D344:D345)*Variables!$E$50*Variables!$B$12),0)</f>
        <v>0</v>
      </c>
      <c r="N345" s="64">
        <f>IF(AND(B345="Spring",AND(SUM(D342:D345)&gt;Variables!$B$13,SUM(D338:D341)&gt;Variables!$B$13)),-Variables!$B$14*Variables!$E$50,0)</f>
        <v>0</v>
      </c>
      <c r="O345" s="64">
        <f>IF(AND(B345="Summer",SUM(C341:D345)&gt;Variables!$B$15),(Variables!$B$16*Variables!$E$50*SUM(C341:C345)+$G$1*Variables!$B$16*Variables!$E$50*SUM(D341:D345)+$G$1*Variables!$E$50*Variables!$B$17*F345),0)</f>
        <v>0</v>
      </c>
      <c r="P345" s="64">
        <f>IF(AND(AND(B345="Autumn",SUM(D344:E345)&gt;0),NOT(H344=0)),Variables!$B$18*Variables!$E$50+Variables!$B$19*Variables!$E$50*SUM(E344:E345)+$G$1*Variables!$B$19*Variables!$E$50*SUM(D344:D345),0)</f>
        <v>0</v>
      </c>
      <c r="Q345" s="64">
        <f>IF(AND(B345="Autumn",AND((E345+E344)&lt;Variables!$B$20,(D344+D345)=0)),-Variables!$B$21*Variables!$E$50,0)</f>
        <v>0</v>
      </c>
      <c r="R345" s="64">
        <f>IF(B345="Autumn",(SUM(F344:F345)*$G$1*Variables!$B$22*Variables!$E$50),0)</f>
        <v>0</v>
      </c>
      <c r="S345" s="64">
        <f>IF(B345="Spring",($G$1*Variables!$E$50*SUM('Guts (option 1)'!F344:F345)*Variables!$B$23),0)</f>
        <v>0</v>
      </c>
      <c r="T345" s="63">
        <f>IF((H344+SUM(J345:Q345))&lt;(Variables!$B$26*Variables!$E$50),$F$1*((Variables!$B$26*Variables!$E$50)-H344-SUM(J345:Q345)),0)</f>
        <v>0</v>
      </c>
      <c r="U345" s="64">
        <f>IF(AND(AND(B345="Autumn",SUM(D342:E345)&gt;Variables!$B$27),SUM(J345:Q345)&lt;Variables!$B$28*H344),$F$1*(Variables!$B$28*H344-SUM(J345:Q345)),0)</f>
        <v>0</v>
      </c>
      <c r="V345" s="96">
        <f>IF(AND((J345+K345)=0,(Q345+T345)=0),$H$1*H345*Variables!$I$23*0.25,0)</f>
        <v>33.825354619677391</v>
      </c>
      <c r="W345" s="97">
        <f>IF(AND((K345+J345)=0,(T345+Q345)=0),$I$1*H345*Variables!$Q$23*0.25,0)</f>
        <v>35.406199313179073</v>
      </c>
      <c r="X345" s="95">
        <f>IF(AND(NOT(K345=0),(H345-H344)&gt;0),(H345-H344)*(Variables!$M$5*$H$1+Variables!$U$5*$I$1),0)+IF(AND(NOT((J345+N345+Q345)=0),(H344-H345)&gt;0),(H344-H345)*(Variables!$M$4*$H$1+Variables!$U$4*$I$1),0)</f>
        <v>0</v>
      </c>
      <c r="Y345" s="95">
        <f>IF(SUM(T345,U344:U345)&gt;0,H345*Variables!$Y$11*0.25*(1-$J$1),0)</f>
        <v>0</v>
      </c>
      <c r="Z345" s="95">
        <f>IF(T345=0,H345*$J$1*Variables!$Y$5*0.25,0)</f>
        <v>11.409605271775417</v>
      </c>
      <c r="AA345" s="95">
        <f t="shared" si="11"/>
        <v>80.641159204631876</v>
      </c>
      <c r="AB345" s="91">
        <f>AA345/Variables!$E$49</f>
        <v>13.006638581392238</v>
      </c>
    </row>
    <row r="346" spans="1:28" x14ac:dyDescent="0.25">
      <c r="A346" s="61">
        <f>'Water runs'!C353</f>
        <v>33572</v>
      </c>
      <c r="B346" s="61" t="str">
        <f>'Water runs'!B353</f>
        <v>Spring</v>
      </c>
      <c r="C346" s="54">
        <f>'Water runs'!D353/100</f>
        <v>0.24887499999999999</v>
      </c>
      <c r="D346" s="108">
        <f>VLOOKUP(ROW(D346)+4,'Water runs'!$BS$3:$CF$423,MATCH($B$1,Scenarios,0)+1)</f>
        <v>0</v>
      </c>
      <c r="E346" s="54">
        <f>IF(B346=Variables!$D$8,C346-Variables!$E$8,IF(B346=Variables!$D$9,C346-Variables!$E$9,IF(B346=Variables!$D$10,C346-Variables!$E$10,IF(B346=Variables!$D$11,C346-Variables!$E$11,"ELSE"))))</f>
        <v>-0.51510720899470919</v>
      </c>
      <c r="F346" s="108">
        <f>VLOOKUP(ROW(F346)+4,'Water runs'!$CH$3:$CU$423,MATCH($B$1,Scenarios,0)+1)</f>
        <v>0</v>
      </c>
      <c r="G346" s="65">
        <f>H346/Variables!$E$49</f>
        <v>0.161</v>
      </c>
      <c r="H346" s="62">
        <f>IF((H345+I346)&gt;(1.1*Variables!$E$50),(1.1*Variables!$E$50),IF((H345+I346)&gt;0,H345+I346,0))</f>
        <v>0.99820000000000009</v>
      </c>
      <c r="I346" s="64">
        <f t="shared" si="10"/>
        <v>-0.75712388796544861</v>
      </c>
      <c r="J346" s="63">
        <f>IF(SUM(E342:E345)&lt;Variables!$B$3,-H345,0)</f>
        <v>0</v>
      </c>
      <c r="K346" s="64">
        <f>IF(AND(H345&lt;Variables!$B$6*Variables!$E$50,OR(SUM(D343:D346)&gt;Variables!$B$5,SUM(E343:E346)&gt;Variables!$B$4)),Variables!$B$6*Variables!$E$50+Variables!$B$7*$G$1*Variables!$E$50*SUM(D343:D346),0)</f>
        <v>0</v>
      </c>
      <c r="L346" s="64">
        <f>IF(B346="Winter",Variables!$B$8*H345,0)</f>
        <v>0</v>
      </c>
      <c r="M346" s="64">
        <f>IF(AND(B346="Spring",AND(NOT(H345=0),H345&lt;(Variables!$B$9*Variables!$E$50))),(Variables!$B$10*Variables!$E$50+Variables!$B$11*Variables!$E$50*SUM(E343:E346)+$G$1*SUM(D345:D346)*Variables!$E$50*Variables!$B$12),0)</f>
        <v>-0.9669463664649347</v>
      </c>
      <c r="N346" s="64">
        <f>IF(AND(B346="Spring",AND(SUM(D343:D346)&gt;Variables!$B$13,SUM(D339:D342)&gt;Variables!$B$13)),-Variables!$B$14*Variables!$E$50,0)</f>
        <v>0</v>
      </c>
      <c r="O346" s="64">
        <f>IF(AND(B346="Summer",SUM(C342:D346)&gt;Variables!$B$15),(Variables!$B$16*Variables!$E$50*SUM(C342:C346)+$G$1*Variables!$B$16*Variables!$E$50*SUM(D342:D346)+$G$1*Variables!$E$50*Variables!$B$17*F346),0)</f>
        <v>0</v>
      </c>
      <c r="P346" s="64">
        <f>IF(AND(AND(B346="Autumn",SUM(D345:E346)&gt;0),NOT(H345=0)),Variables!$B$18*Variables!$E$50+Variables!$B$19*Variables!$E$50*SUM(E345:E346)+$G$1*Variables!$B$19*Variables!$E$50*SUM(D345:D346),0)</f>
        <v>0</v>
      </c>
      <c r="Q346" s="64">
        <f>IF(AND(B346="Autumn",AND((E346+E345)&lt;Variables!$B$20,(D345+D346)=0)),-Variables!$B$21*Variables!$E$50,0)</f>
        <v>0</v>
      </c>
      <c r="R346" s="64">
        <f>IF(B346="Autumn",(SUM(F345:F346)*$G$1*Variables!$B$22*Variables!$E$50),0)</f>
        <v>0</v>
      </c>
      <c r="S346" s="64">
        <f>IF(B346="Spring",($G$1*Variables!$E$50*SUM('Guts (option 1)'!F345:F346)*Variables!$B$23),0)</f>
        <v>0</v>
      </c>
      <c r="T346" s="63">
        <f>IF((H345+SUM(J346:Q346))&lt;(Variables!$B$26*Variables!$E$50),$F$1*((Variables!$B$26*Variables!$E$50)-H345-SUM(J346:Q346)),0)</f>
        <v>0.2098224784994861</v>
      </c>
      <c r="U346" s="64">
        <f>IF(AND(AND(B346="Autumn",SUM(D343:E346)&gt;Variables!$B$27),SUM(J346:Q346)&lt;Variables!$B$28*H345),$F$1*(Variables!$B$28*H345-SUM(J346:Q346)),0)</f>
        <v>0</v>
      </c>
      <c r="V346" s="96">
        <f>IF(AND((J346+K346)=0,(Q346+T346)=0),$H$1*H346*Variables!$I$23*0.25,0)</f>
        <v>0</v>
      </c>
      <c r="W346" s="97">
        <f>IF(AND((K346+J346)=0,(T346+Q346)=0),$I$1*H346*Variables!$Q$23*0.25,0)</f>
        <v>0</v>
      </c>
      <c r="X346" s="95">
        <f>IF(AND(NOT(K346=0),(H346-H345)&gt;0),(H346-H345)*(Variables!$M$5*$H$1+Variables!$U$5*$I$1),0)+IF(AND(NOT((J346+N346+Q346)=0),(H345-H346)&gt;0),(H345-H346)*(Variables!$M$4*$H$1+Variables!$U$4*$I$1),0)</f>
        <v>0</v>
      </c>
      <c r="Y346" s="95">
        <f>IF(SUM(T346,U345:U346)&gt;0,H346*Variables!$Y$11*0.25*(1-$J$1),0)</f>
        <v>0</v>
      </c>
      <c r="Z346" s="95">
        <f>IF(T346=0,H346*$J$1*Variables!$Y$5*0.25,0)</f>
        <v>0</v>
      </c>
      <c r="AA346" s="95">
        <f t="shared" si="11"/>
        <v>0</v>
      </c>
      <c r="AB346" s="91">
        <f>AA346/Variables!$E$49</f>
        <v>0</v>
      </c>
    </row>
    <row r="347" spans="1:28" x14ac:dyDescent="0.25">
      <c r="A347" s="61">
        <f>'Water runs'!C354</f>
        <v>33662</v>
      </c>
      <c r="B347" s="61" t="str">
        <f>'Water runs'!B354</f>
        <v>Summer</v>
      </c>
      <c r="C347" s="54">
        <f>'Water runs'!D354/100</f>
        <v>1.2470000000000001</v>
      </c>
      <c r="D347" s="108">
        <f>VLOOKUP(ROW(D347)+4,'Water runs'!$BS$3:$CF$423,MATCH($B$1,Scenarios,0)+1)</f>
        <v>0</v>
      </c>
      <c r="E347" s="54">
        <f>IF(B347=Variables!$D$8,C347-Variables!$E$8,IF(B347=Variables!$D$9,C347-Variables!$E$9,IF(B347=Variables!$D$10,C347-Variables!$E$10,IF(B347=Variables!$D$11,C347-Variables!$E$11,"ELSE"))))</f>
        <v>-1.1370136054421609E-2</v>
      </c>
      <c r="F347" s="108">
        <f>VLOOKUP(ROW(F347)+4,'Water runs'!$CH$3:$CU$423,MATCH($B$1,Scenarios,0)+1)</f>
        <v>0</v>
      </c>
      <c r="G347" s="65">
        <f>H347/Variables!$E$49</f>
        <v>0.161</v>
      </c>
      <c r="H347" s="62">
        <f>IF((H346+I347)&gt;(1.1*Variables!$E$50),(1.1*Variables!$E$50),IF((H346+I347)&gt;0,H346+I347,0))</f>
        <v>0.99820000000000009</v>
      </c>
      <c r="I347" s="64">
        <f t="shared" si="10"/>
        <v>0</v>
      </c>
      <c r="J347" s="63">
        <f>IF(SUM(E343:E346)&lt;Variables!$B$3,-H346,0)</f>
        <v>0</v>
      </c>
      <c r="K347" s="64">
        <f>IF(AND(H346&lt;Variables!$B$6*Variables!$E$50,OR(SUM(D344:D347)&gt;Variables!$B$5,SUM(E344:E347)&gt;Variables!$B$4)),Variables!$B$6*Variables!$E$50+Variables!$B$7*$G$1*Variables!$E$50*SUM(D344:D347),0)</f>
        <v>0</v>
      </c>
      <c r="L347" s="64">
        <f>IF(B347="Winter",Variables!$B$8*H346,0)</f>
        <v>0</v>
      </c>
      <c r="M347" s="64">
        <f>IF(AND(B347="Spring",AND(NOT(H346=0),H346&lt;(Variables!$B$9*Variables!$E$50))),(Variables!$B$10*Variables!$E$50+Variables!$B$11*Variables!$E$50*SUM(E344:E347)+$G$1*SUM(D346:D347)*Variables!$E$50*Variables!$B$12),0)</f>
        <v>0</v>
      </c>
      <c r="N347" s="64">
        <f>IF(AND(B347="Spring",AND(SUM(D344:D347)&gt;Variables!$B$13,SUM(D340:D343)&gt;Variables!$B$13)),-Variables!$B$14*Variables!$E$50,0)</f>
        <v>0</v>
      </c>
      <c r="O347" s="64">
        <f>IF(AND(B347="Summer",SUM(C343:D347)&gt;Variables!$B$15),(Variables!$B$16*Variables!$E$50*SUM(C343:C347)+$G$1*Variables!$B$16*Variables!$E$50*SUM(D343:D347)+$G$1*Variables!$E$50*Variables!$B$17*F347),0)</f>
        <v>0</v>
      </c>
      <c r="P347" s="64">
        <f>IF(AND(AND(B347="Autumn",SUM(D346:E347)&gt;0),NOT(H346=0)),Variables!$B$18*Variables!$E$50+Variables!$B$19*Variables!$E$50*SUM(E346:E347)+$G$1*Variables!$B$19*Variables!$E$50*SUM(D346:D347),0)</f>
        <v>0</v>
      </c>
      <c r="Q347" s="64">
        <f>IF(AND(B347="Autumn",AND((E347+E346)&lt;Variables!$B$20,(D346+D347)=0)),-Variables!$B$21*Variables!$E$50,0)</f>
        <v>0</v>
      </c>
      <c r="R347" s="64">
        <f>IF(B347="Autumn",(SUM(F346:F347)*$G$1*Variables!$B$22*Variables!$E$50),0)</f>
        <v>0</v>
      </c>
      <c r="S347" s="64">
        <f>IF(B347="Spring",($G$1*Variables!$E$50*SUM('Guts (option 1)'!F346:F347)*Variables!$B$23),0)</f>
        <v>0</v>
      </c>
      <c r="T347" s="63">
        <f>IF((H346+SUM(J347:Q347))&lt;(Variables!$B$26*Variables!$E$50),$F$1*((Variables!$B$26*Variables!$E$50)-H346-SUM(J347:Q347)),0)</f>
        <v>0</v>
      </c>
      <c r="U347" s="64">
        <f>IF(AND(AND(B347="Autumn",SUM(D344:E347)&gt;Variables!$B$27),SUM(J347:Q347)&lt;Variables!$B$28*H346),$F$1*(Variables!$B$28*H346-SUM(J347:Q347)),0)</f>
        <v>0</v>
      </c>
      <c r="V347" s="96">
        <f>IF(AND((J347+K347)=0,(Q347+T347)=0),$H$1*H347*Variables!$I$23*0.25,0)</f>
        <v>19.235463730000003</v>
      </c>
      <c r="W347" s="97">
        <f>IF(AND((K347+J347)=0,(T347+Q347)=0),$I$1*H347*Variables!$Q$23*0.25,0)</f>
        <v>20.13444265</v>
      </c>
      <c r="X347" s="95">
        <f>IF(AND(NOT(K347=0),(H347-H346)&gt;0),(H347-H346)*(Variables!$M$5*$H$1+Variables!$U$5*$I$1),0)+IF(AND(NOT((J347+N347+Q347)=0),(H346-H347)&gt;0),(H346-H347)*(Variables!$M$4*$H$1+Variables!$U$4*$I$1),0)</f>
        <v>0</v>
      </c>
      <c r="Y347" s="95">
        <f>IF(SUM(T347,U346:U347)&gt;0,H347*Variables!$Y$11*0.25*(1-$J$1),0)</f>
        <v>0</v>
      </c>
      <c r="Z347" s="95">
        <f>IF(T347=0,H347*$J$1*Variables!$Y$5*0.25,0)</f>
        <v>6.4883000000000006</v>
      </c>
      <c r="AA347" s="95">
        <f t="shared" si="11"/>
        <v>45.858206380000006</v>
      </c>
      <c r="AB347" s="91">
        <f>AA347/Variables!$E$49</f>
        <v>7.3964849000000008</v>
      </c>
    </row>
    <row r="348" spans="1:28" x14ac:dyDescent="0.25">
      <c r="A348" s="61">
        <f>'Water runs'!C355</f>
        <v>33755</v>
      </c>
      <c r="B348" s="61" t="str">
        <f>'Water runs'!B355</f>
        <v>Autumn</v>
      </c>
      <c r="C348" s="54">
        <f>'Water runs'!D355/100</f>
        <v>0.29575000000000001</v>
      </c>
      <c r="D348" s="108">
        <f>VLOOKUP(ROW(D348)+4,'Water runs'!$BS$3:$CF$423,MATCH($B$1,Scenarios,0)+1)</f>
        <v>0</v>
      </c>
      <c r="E348" s="54">
        <f>IF(B348=Variables!$D$8,C348-Variables!$E$8,IF(B348=Variables!$D$9,C348-Variables!$E$9,IF(B348=Variables!$D$10,C348-Variables!$E$10,IF(B348=Variables!$D$11,C348-Variables!$E$11,"ELSE"))))</f>
        <v>-0.69889329931972788</v>
      </c>
      <c r="F348" s="108">
        <f>VLOOKUP(ROW(F348)+4,'Water runs'!$CH$3:$CU$423,MATCH($B$1,Scenarios,0)+1)</f>
        <v>0</v>
      </c>
      <c r="G348" s="65">
        <f>H348/Variables!$E$49</f>
        <v>0.161</v>
      </c>
      <c r="H348" s="62">
        <f>IF((H347+I348)&gt;(1.1*Variables!$E$50),(1.1*Variables!$E$50),IF((H347+I348)&gt;0,H347+I348,0))</f>
        <v>0.99820000000000009</v>
      </c>
      <c r="I348" s="64">
        <f t="shared" si="10"/>
        <v>0</v>
      </c>
      <c r="J348" s="63">
        <f>IF(SUM(E344:E347)&lt;Variables!$B$3,-H347,0)</f>
        <v>0</v>
      </c>
      <c r="K348" s="64">
        <f>IF(AND(H347&lt;Variables!$B$6*Variables!$E$50,OR(SUM(D345:D348)&gt;Variables!$B$5,SUM(E345:E348)&gt;Variables!$B$4)),Variables!$B$6*Variables!$E$50+Variables!$B$7*$G$1*Variables!$E$50*SUM(D345:D348),0)</f>
        <v>0</v>
      </c>
      <c r="L348" s="64">
        <f>IF(B348="Winter",Variables!$B$8*H347,0)</f>
        <v>0</v>
      </c>
      <c r="M348" s="64">
        <f>IF(AND(B348="Spring",AND(NOT(H347=0),H347&lt;(Variables!$B$9*Variables!$E$50))),(Variables!$B$10*Variables!$E$50+Variables!$B$11*Variables!$E$50*SUM(E345:E348)+$G$1*SUM(D347:D348)*Variables!$E$50*Variables!$B$12),0)</f>
        <v>0</v>
      </c>
      <c r="N348" s="64">
        <f>IF(AND(B348="Spring",AND(SUM(D345:D348)&gt;Variables!$B$13,SUM(D341:D344)&gt;Variables!$B$13)),-Variables!$B$14*Variables!$E$50,0)</f>
        <v>0</v>
      </c>
      <c r="O348" s="64">
        <f>IF(AND(B348="Summer",SUM(C344:D348)&gt;Variables!$B$15),(Variables!$B$16*Variables!$E$50*SUM(C344:C348)+$G$1*Variables!$B$16*Variables!$E$50*SUM(D344:D348)+$G$1*Variables!$E$50*Variables!$B$17*F348),0)</f>
        <v>0</v>
      </c>
      <c r="P348" s="64">
        <f>IF(AND(AND(B348="Autumn",SUM(D347:E348)&gt;0),NOT(H347=0)),Variables!$B$18*Variables!$E$50+Variables!$B$19*Variables!$E$50*SUM(E347:E348)+$G$1*Variables!$B$19*Variables!$E$50*SUM(D347:D348),0)</f>
        <v>0</v>
      </c>
      <c r="Q348" s="64">
        <f>IF(AND(B348="Autumn",AND((E348+E347)&lt;Variables!$B$20,(D347+D348)=0)),-Variables!$B$21*Variables!$E$50,0)</f>
        <v>0</v>
      </c>
      <c r="R348" s="64">
        <f>IF(B348="Autumn",(SUM(F347:F348)*$G$1*Variables!$B$22*Variables!$E$50),0)</f>
        <v>0</v>
      </c>
      <c r="S348" s="64">
        <f>IF(B348="Spring",($G$1*Variables!$E$50*SUM('Guts (option 1)'!F347:F348)*Variables!$B$23),0)</f>
        <v>0</v>
      </c>
      <c r="T348" s="63">
        <f>IF((H347+SUM(J348:Q348))&lt;(Variables!$B$26*Variables!$E$50),$F$1*((Variables!$B$26*Variables!$E$50)-H347-SUM(J348:Q348)),0)</f>
        <v>0</v>
      </c>
      <c r="U348" s="64">
        <f>IF(AND(AND(B348="Autumn",SUM(D345:E348)&gt;Variables!$B$27),SUM(J348:Q348)&lt;Variables!$B$28*H347),$F$1*(Variables!$B$28*H347-SUM(J348:Q348)),0)</f>
        <v>0</v>
      </c>
      <c r="V348" s="96">
        <f>IF(AND((J348+K348)=0,(Q348+T348)=0),$H$1*H348*Variables!$I$23*0.25,0)</f>
        <v>19.235463730000003</v>
      </c>
      <c r="W348" s="97">
        <f>IF(AND((K348+J348)=0,(T348+Q348)=0),$I$1*H348*Variables!$Q$23*0.25,0)</f>
        <v>20.13444265</v>
      </c>
      <c r="X348" s="95">
        <f>IF(AND(NOT(K348=0),(H348-H347)&gt;0),(H348-H347)*(Variables!$M$5*$H$1+Variables!$U$5*$I$1),0)+IF(AND(NOT((J348+N348+Q348)=0),(H347-H348)&gt;0),(H347-H348)*(Variables!$M$4*$H$1+Variables!$U$4*$I$1),0)</f>
        <v>0</v>
      </c>
      <c r="Y348" s="95">
        <f>IF(SUM(T348,U347:U348)&gt;0,H348*Variables!$Y$11*0.25*(1-$J$1),0)</f>
        <v>0</v>
      </c>
      <c r="Z348" s="95">
        <f>IF(T348=0,H348*$J$1*Variables!$Y$5*0.25,0)</f>
        <v>6.4883000000000006</v>
      </c>
      <c r="AA348" s="95">
        <f t="shared" si="11"/>
        <v>45.858206380000006</v>
      </c>
      <c r="AB348" s="91">
        <f>AA348/Variables!$E$49</f>
        <v>7.3964849000000008</v>
      </c>
    </row>
    <row r="349" spans="1:28" x14ac:dyDescent="0.25">
      <c r="A349" s="61">
        <f>'Water runs'!C356</f>
        <v>33847</v>
      </c>
      <c r="B349" s="61" t="str">
        <f>'Water runs'!B356</f>
        <v>Winter</v>
      </c>
      <c r="C349" s="54">
        <f>'Water runs'!D356/100</f>
        <v>0.51787499999999997</v>
      </c>
      <c r="D349" s="108">
        <f>VLOOKUP(ROW(D349)+4,'Water runs'!$BS$3:$CF$423,MATCH($B$1,Scenarios,0)+1)</f>
        <v>0</v>
      </c>
      <c r="E349" s="54">
        <f>IF(B349=Variables!$D$8,C349-Variables!$E$8,IF(B349=Variables!$D$9,C349-Variables!$E$9,IF(B349=Variables!$D$10,C349-Variables!$E$10,IF(B349=Variables!$D$11,C349-Variables!$E$11,"ELSE"))))</f>
        <v>-5.3892625661375759E-2</v>
      </c>
      <c r="F349" s="108">
        <f>VLOOKUP(ROW(F349)+4,'Water runs'!$CH$3:$CU$423,MATCH($B$1,Scenarios,0)+1)</f>
        <v>0</v>
      </c>
      <c r="G349" s="65">
        <f>H349/Variables!$E$49</f>
        <v>0.161</v>
      </c>
      <c r="H349" s="62">
        <f>IF((H348+I349)&gt;(1.1*Variables!$E$50),(1.1*Variables!$E$50),IF((H348+I349)&gt;0,H348+I349,0))</f>
        <v>0.99820000000000009</v>
      </c>
      <c r="I349" s="64">
        <f t="shared" si="10"/>
        <v>0</v>
      </c>
      <c r="J349" s="63">
        <f>IF(SUM(E345:E348)&lt;Variables!$B$3,-H348,0)</f>
        <v>0</v>
      </c>
      <c r="K349" s="64">
        <f>IF(AND(H348&lt;Variables!$B$6*Variables!$E$50,OR(SUM(D346:D349)&gt;Variables!$B$5,SUM(E346:E349)&gt;Variables!$B$4)),Variables!$B$6*Variables!$E$50+Variables!$B$7*$G$1*Variables!$E$50*SUM(D346:D349),0)</f>
        <v>0</v>
      </c>
      <c r="L349" s="64">
        <f>IF(B349="Winter",Variables!$B$8*H348,0)</f>
        <v>-0.49704894489176149</v>
      </c>
      <c r="M349" s="64">
        <f>IF(AND(B349="Spring",AND(NOT(H348=0),H348&lt;(Variables!$B$9*Variables!$E$50))),(Variables!$B$10*Variables!$E$50+Variables!$B$11*Variables!$E$50*SUM(E346:E349)+$G$1*SUM(D348:D349)*Variables!$E$50*Variables!$B$12),0)</f>
        <v>0</v>
      </c>
      <c r="N349" s="64">
        <f>IF(AND(B349="Spring",AND(SUM(D346:D349)&gt;Variables!$B$13,SUM(D342:D345)&gt;Variables!$B$13)),-Variables!$B$14*Variables!$E$50,0)</f>
        <v>0</v>
      </c>
      <c r="O349" s="64">
        <f>IF(AND(B349="Summer",SUM(C345:D349)&gt;Variables!$B$15),(Variables!$B$16*Variables!$E$50*SUM(C345:C349)+$G$1*Variables!$B$16*Variables!$E$50*SUM(D345:D349)+$G$1*Variables!$E$50*Variables!$B$17*F349),0)</f>
        <v>0</v>
      </c>
      <c r="P349" s="64">
        <f>IF(AND(AND(B349="Autumn",SUM(D348:E349)&gt;0),NOT(H348=0)),Variables!$B$18*Variables!$E$50+Variables!$B$19*Variables!$E$50*SUM(E348:E349)+$G$1*Variables!$B$19*Variables!$E$50*SUM(D348:D349),0)</f>
        <v>0</v>
      </c>
      <c r="Q349" s="64">
        <f>IF(AND(B349="Autumn",AND((E349+E348)&lt;Variables!$B$20,(D348+D349)=0)),-Variables!$B$21*Variables!$E$50,0)</f>
        <v>0</v>
      </c>
      <c r="R349" s="64">
        <f>IF(B349="Autumn",(SUM(F348:F349)*$G$1*Variables!$B$22*Variables!$E$50),0)</f>
        <v>0</v>
      </c>
      <c r="S349" s="64">
        <f>IF(B349="Spring",($G$1*Variables!$E$50*SUM('Guts (option 1)'!F348:F349)*Variables!$B$23),0)</f>
        <v>0</v>
      </c>
      <c r="T349" s="63">
        <f>IF((H348+SUM(J349:Q349))&lt;(Variables!$B$26*Variables!$E$50),$F$1*((Variables!$B$26*Variables!$E$50)-H348-SUM(J349:Q349)),0)</f>
        <v>0.49704894489176149</v>
      </c>
      <c r="U349" s="64">
        <f>IF(AND(AND(B349="Autumn",SUM(D346:E349)&gt;Variables!$B$27),SUM(J349:Q349)&lt;Variables!$B$28*H348),$F$1*(Variables!$B$28*H348-SUM(J349:Q349)),0)</f>
        <v>0</v>
      </c>
      <c r="V349" s="96">
        <f>IF(AND((J349+K349)=0,(Q349+T349)=0),$H$1*H349*Variables!$I$23*0.25,0)</f>
        <v>0</v>
      </c>
      <c r="W349" s="97">
        <f>IF(AND((K349+J349)=0,(T349+Q349)=0),$I$1*H349*Variables!$Q$23*0.25,0)</f>
        <v>0</v>
      </c>
      <c r="X349" s="95">
        <f>IF(AND(NOT(K349=0),(H349-H348)&gt;0),(H349-H348)*(Variables!$M$5*$H$1+Variables!$U$5*$I$1),0)+IF(AND(NOT((J349+N349+Q349)=0),(H348-H349)&gt;0),(H348-H349)*(Variables!$M$4*$H$1+Variables!$U$4*$I$1),0)</f>
        <v>0</v>
      </c>
      <c r="Y349" s="95">
        <f>IF(SUM(T349,U348:U349)&gt;0,H349*Variables!$Y$11*0.25*(1-$J$1),0)</f>
        <v>0</v>
      </c>
      <c r="Z349" s="95">
        <f>IF(T349=0,H349*$J$1*Variables!$Y$5*0.25,0)</f>
        <v>0</v>
      </c>
      <c r="AA349" s="95">
        <f t="shared" si="11"/>
        <v>0</v>
      </c>
      <c r="AB349" s="91">
        <f>AA349/Variables!$E$49</f>
        <v>0</v>
      </c>
    </row>
    <row r="350" spans="1:28" x14ac:dyDescent="0.25">
      <c r="A350" s="61">
        <f>'Water runs'!C357</f>
        <v>33938</v>
      </c>
      <c r="B350" s="61" t="str">
        <f>'Water runs'!B357</f>
        <v>Spring</v>
      </c>
      <c r="C350" s="54">
        <f>'Water runs'!D357/100</f>
        <v>0.68575000000000008</v>
      </c>
      <c r="D350" s="108">
        <f>VLOOKUP(ROW(D350)+4,'Water runs'!$BS$3:$CF$423,MATCH($B$1,Scenarios,0)+1)</f>
        <v>0</v>
      </c>
      <c r="E350" s="54">
        <f>IF(B350=Variables!$D$8,C350-Variables!$E$8,IF(B350=Variables!$D$9,C350-Variables!$E$9,IF(B350=Variables!$D$10,C350-Variables!$E$10,IF(B350=Variables!$D$11,C350-Variables!$E$11,"ELSE"))))</f>
        <v>-7.8232208994709063E-2</v>
      </c>
      <c r="F350" s="108">
        <f>VLOOKUP(ROW(F350)+4,'Water runs'!$CH$3:$CU$423,MATCH($B$1,Scenarios,0)+1)</f>
        <v>0</v>
      </c>
      <c r="G350" s="65">
        <f>H350/Variables!$E$49</f>
        <v>0.161</v>
      </c>
      <c r="H350" s="62">
        <f>IF((H349+I350)&gt;(1.1*Variables!$E$50),(1.1*Variables!$E$50),IF((H349+I350)&gt;0,H349+I350,0))</f>
        <v>0.99820000000000009</v>
      </c>
      <c r="I350" s="64">
        <f t="shared" si="10"/>
        <v>0</v>
      </c>
      <c r="J350" s="63">
        <f>IF(SUM(E346:E349)&lt;Variables!$B$3,-H349,0)</f>
        <v>0</v>
      </c>
      <c r="K350" s="64">
        <f>IF(AND(H349&lt;Variables!$B$6*Variables!$E$50,OR(SUM(D347:D350)&gt;Variables!$B$5,SUM(E347:E350)&gt;Variables!$B$4)),Variables!$B$6*Variables!$E$50+Variables!$B$7*$G$1*Variables!$E$50*SUM(D347:D350),0)</f>
        <v>0</v>
      </c>
      <c r="L350" s="64">
        <f>IF(B350="Winter",Variables!$B$8*H349,0)</f>
        <v>0</v>
      </c>
      <c r="M350" s="64">
        <f>IF(AND(B350="Spring",AND(NOT(H349=0),H349&lt;(Variables!$B$9*Variables!$E$50))),(Variables!$B$10*Variables!$E$50+Variables!$B$11*Variables!$E$50*SUM(E347:E350)+$G$1*SUM(D349:D350)*Variables!$E$50*Variables!$B$12),0)</f>
        <v>-0.57371837548739457</v>
      </c>
      <c r="N350" s="64">
        <f>IF(AND(B350="Spring",AND(SUM(D347:D350)&gt;Variables!$B$13,SUM(D343:D346)&gt;Variables!$B$13)),-Variables!$B$14*Variables!$E$50,0)</f>
        <v>0</v>
      </c>
      <c r="O350" s="64">
        <f>IF(AND(B350="Summer",SUM(C346:D350)&gt;Variables!$B$15),(Variables!$B$16*Variables!$E$50*SUM(C346:C350)+$G$1*Variables!$B$16*Variables!$E$50*SUM(D346:D350)+$G$1*Variables!$E$50*Variables!$B$17*F350),0)</f>
        <v>0</v>
      </c>
      <c r="P350" s="64">
        <f>IF(AND(AND(B350="Autumn",SUM(D349:E350)&gt;0),NOT(H349=0)),Variables!$B$18*Variables!$E$50+Variables!$B$19*Variables!$E$50*SUM(E349:E350)+$G$1*Variables!$B$19*Variables!$E$50*SUM(D349:D350),0)</f>
        <v>0</v>
      </c>
      <c r="Q350" s="64">
        <f>IF(AND(B350="Autumn",AND((E350+E349)&lt;Variables!$B$20,(D349+D350)=0)),-Variables!$B$21*Variables!$E$50,0)</f>
        <v>0</v>
      </c>
      <c r="R350" s="64">
        <f>IF(B350="Autumn",(SUM(F349:F350)*$G$1*Variables!$B$22*Variables!$E$50),0)</f>
        <v>0</v>
      </c>
      <c r="S350" s="64">
        <f>IF(B350="Spring",($G$1*Variables!$E$50*SUM('Guts (option 1)'!F349:F350)*Variables!$B$23),0)</f>
        <v>0</v>
      </c>
      <c r="T350" s="63">
        <f>IF((H349+SUM(J350:Q350))&lt;(Variables!$B$26*Variables!$E$50),$F$1*((Variables!$B$26*Variables!$E$50)-H349-SUM(J350:Q350)),0)</f>
        <v>0.57371837548739457</v>
      </c>
      <c r="U350" s="64">
        <f>IF(AND(AND(B350="Autumn",SUM(D347:E350)&gt;Variables!$B$27),SUM(J350:Q350)&lt;Variables!$B$28*H349),$F$1*(Variables!$B$28*H349-SUM(J350:Q350)),0)</f>
        <v>0</v>
      </c>
      <c r="V350" s="96">
        <f>IF(AND((J350+K350)=0,(Q350+T350)=0),$H$1*H350*Variables!$I$23*0.25,0)</f>
        <v>0</v>
      </c>
      <c r="W350" s="97">
        <f>IF(AND((K350+J350)=0,(T350+Q350)=0),$I$1*H350*Variables!$Q$23*0.25,0)</f>
        <v>0</v>
      </c>
      <c r="X350" s="95">
        <f>IF(AND(NOT(K350=0),(H350-H349)&gt;0),(H350-H349)*(Variables!$M$5*$H$1+Variables!$U$5*$I$1),0)+IF(AND(NOT((J350+N350+Q350)=0),(H349-H350)&gt;0),(H349-H350)*(Variables!$M$4*$H$1+Variables!$U$4*$I$1),0)</f>
        <v>0</v>
      </c>
      <c r="Y350" s="95">
        <f>IF(SUM(T350,U349:U350)&gt;0,H350*Variables!$Y$11*0.25*(1-$J$1),0)</f>
        <v>0</v>
      </c>
      <c r="Z350" s="95">
        <f>IF(T350=0,H350*$J$1*Variables!$Y$5*0.25,0)</f>
        <v>0</v>
      </c>
      <c r="AA350" s="95">
        <f t="shared" si="11"/>
        <v>0</v>
      </c>
      <c r="AB350" s="91">
        <f>AA350/Variables!$E$49</f>
        <v>0</v>
      </c>
    </row>
    <row r="351" spans="1:28" x14ac:dyDescent="0.25">
      <c r="A351" s="61">
        <f>'Water runs'!C358</f>
        <v>34028</v>
      </c>
      <c r="B351" s="61" t="str">
        <f>'Water runs'!B358</f>
        <v>Summer</v>
      </c>
      <c r="C351" s="54">
        <f>'Water runs'!D358/100</f>
        <v>1.4908928571428601</v>
      </c>
      <c r="D351" s="108">
        <f>VLOOKUP(ROW(D351)+4,'Water runs'!$BS$3:$CF$423,MATCH($B$1,Scenarios,0)+1)</f>
        <v>0</v>
      </c>
      <c r="E351" s="54">
        <f>IF(B351=Variables!$D$8,C351-Variables!$E$8,IF(B351=Variables!$D$9,C351-Variables!$E$9,IF(B351=Variables!$D$10,C351-Variables!$E$10,IF(B351=Variables!$D$11,C351-Variables!$E$11,"ELSE"))))</f>
        <v>0.23252272108843841</v>
      </c>
      <c r="F351" s="108">
        <f>VLOOKUP(ROW(F351)+4,'Water runs'!$CH$3:$CU$423,MATCH($B$1,Scenarios,0)+1)</f>
        <v>0</v>
      </c>
      <c r="G351" s="65">
        <f>H351/Variables!$E$49</f>
        <v>0.161</v>
      </c>
      <c r="H351" s="62">
        <f>IF((H350+I351)&gt;(1.1*Variables!$E$50),(1.1*Variables!$E$50),IF((H350+I351)&gt;0,H350+I351,0))</f>
        <v>0.99820000000000009</v>
      </c>
      <c r="I351" s="64">
        <f t="shared" si="10"/>
        <v>0</v>
      </c>
      <c r="J351" s="63">
        <f>IF(SUM(E347:E350)&lt;Variables!$B$3,-H350,0)</f>
        <v>0</v>
      </c>
      <c r="K351" s="64">
        <f>IF(AND(H350&lt;Variables!$B$6*Variables!$E$50,OR(SUM(D348:D351)&gt;Variables!$B$5,SUM(E348:E351)&gt;Variables!$B$4)),Variables!$B$6*Variables!$E$50+Variables!$B$7*$G$1*Variables!$E$50*SUM(D348:D351),0)</f>
        <v>0</v>
      </c>
      <c r="L351" s="64">
        <f>IF(B351="Winter",Variables!$B$8*H350,0)</f>
        <v>0</v>
      </c>
      <c r="M351" s="64">
        <f>IF(AND(B351="Spring",AND(NOT(H350=0),H350&lt;(Variables!$B$9*Variables!$E$50))),(Variables!$B$10*Variables!$E$50+Variables!$B$11*Variables!$E$50*SUM(E348:E351)+$G$1*SUM(D350:D351)*Variables!$E$50*Variables!$B$12),0)</f>
        <v>0</v>
      </c>
      <c r="N351" s="64">
        <f>IF(AND(B351="Spring",AND(SUM(D348:D351)&gt;Variables!$B$13,SUM(D344:D347)&gt;Variables!$B$13)),-Variables!$B$14*Variables!$E$50,0)</f>
        <v>0</v>
      </c>
      <c r="O351" s="64">
        <f>IF(AND(B351="Summer",SUM(C347:D351)&gt;Variables!$B$15),(Variables!$B$16*Variables!$E$50*SUM(C347:C351)+$G$1*Variables!$B$16*Variables!$E$50*SUM(D347:D351)+$G$1*Variables!$E$50*Variables!$B$17*F351),0)</f>
        <v>0</v>
      </c>
      <c r="P351" s="64">
        <f>IF(AND(AND(B351="Autumn",SUM(D350:E351)&gt;0),NOT(H350=0)),Variables!$B$18*Variables!$E$50+Variables!$B$19*Variables!$E$50*SUM(E350:E351)+$G$1*Variables!$B$19*Variables!$E$50*SUM(D350:D351),0)</f>
        <v>0</v>
      </c>
      <c r="Q351" s="64">
        <f>IF(AND(B351="Autumn",AND((E351+E350)&lt;Variables!$B$20,(D350+D351)=0)),-Variables!$B$21*Variables!$E$50,0)</f>
        <v>0</v>
      </c>
      <c r="R351" s="64">
        <f>IF(B351="Autumn",(SUM(F350:F351)*$G$1*Variables!$B$22*Variables!$E$50),0)</f>
        <v>0</v>
      </c>
      <c r="S351" s="64">
        <f>IF(B351="Spring",($G$1*Variables!$E$50*SUM('Guts (option 1)'!F350:F351)*Variables!$B$23),0)</f>
        <v>0</v>
      </c>
      <c r="T351" s="63">
        <f>IF((H350+SUM(J351:Q351))&lt;(Variables!$B$26*Variables!$E$50),$F$1*((Variables!$B$26*Variables!$E$50)-H350-SUM(J351:Q351)),0)</f>
        <v>0</v>
      </c>
      <c r="U351" s="64">
        <f>IF(AND(AND(B351="Autumn",SUM(D348:E351)&gt;Variables!$B$27),SUM(J351:Q351)&lt;Variables!$B$28*H350),$F$1*(Variables!$B$28*H350-SUM(J351:Q351)),0)</f>
        <v>0</v>
      </c>
      <c r="V351" s="96">
        <f>IF(AND((J351+K351)=0,(Q351+T351)=0),$H$1*H351*Variables!$I$23*0.25,0)</f>
        <v>19.235463730000003</v>
      </c>
      <c r="W351" s="97">
        <f>IF(AND((K351+J351)=0,(T351+Q351)=0),$I$1*H351*Variables!$Q$23*0.25,0)</f>
        <v>20.13444265</v>
      </c>
      <c r="X351" s="95">
        <f>IF(AND(NOT(K351=0),(H351-H350)&gt;0),(H351-H350)*(Variables!$M$5*$H$1+Variables!$U$5*$I$1),0)+IF(AND(NOT((J351+N351+Q351)=0),(H350-H351)&gt;0),(H350-H351)*(Variables!$M$4*$H$1+Variables!$U$4*$I$1),0)</f>
        <v>0</v>
      </c>
      <c r="Y351" s="95">
        <f>IF(SUM(T351,U350:U351)&gt;0,H351*Variables!$Y$11*0.25*(1-$J$1),0)</f>
        <v>0</v>
      </c>
      <c r="Z351" s="95">
        <f>IF(T351=0,H351*$J$1*Variables!$Y$5*0.25,0)</f>
        <v>6.4883000000000006</v>
      </c>
      <c r="AA351" s="95">
        <f t="shared" si="11"/>
        <v>45.858206380000006</v>
      </c>
      <c r="AB351" s="91">
        <f>AA351/Variables!$E$49</f>
        <v>7.3964849000000008</v>
      </c>
    </row>
    <row r="352" spans="1:28" x14ac:dyDescent="0.25">
      <c r="A352" s="61">
        <f>'Water runs'!C359</f>
        <v>34120</v>
      </c>
      <c r="B352" s="61" t="str">
        <f>'Water runs'!B359</f>
        <v>Autumn</v>
      </c>
      <c r="C352" s="54">
        <f>'Water runs'!D359/100</f>
        <v>0.47412500000000002</v>
      </c>
      <c r="D352" s="108">
        <f>VLOOKUP(ROW(D352)+4,'Water runs'!$BS$3:$CF$423,MATCH($B$1,Scenarios,0)+1)</f>
        <v>0</v>
      </c>
      <c r="E352" s="54">
        <f>IF(B352=Variables!$D$8,C352-Variables!$E$8,IF(B352=Variables!$D$9,C352-Variables!$E$9,IF(B352=Variables!$D$10,C352-Variables!$E$10,IF(B352=Variables!$D$11,C352-Variables!$E$11,"ELSE"))))</f>
        <v>-0.52051829931972782</v>
      </c>
      <c r="F352" s="108">
        <f>VLOOKUP(ROW(F352)+4,'Water runs'!$CH$3:$CU$423,MATCH($B$1,Scenarios,0)+1)</f>
        <v>0</v>
      </c>
      <c r="G352" s="65">
        <f>H352/Variables!$E$49</f>
        <v>0.34500000000000003</v>
      </c>
      <c r="H352" s="62">
        <f>IF((H351+I352)&gt;(1.1*Variables!$E$50),(1.1*Variables!$E$50),IF((H351+I352)&gt;0,H351+I352,0))</f>
        <v>2.1390000000000002</v>
      </c>
      <c r="I352" s="64">
        <f t="shared" si="10"/>
        <v>1.1408</v>
      </c>
      <c r="J352" s="63">
        <f>IF(SUM(E348:E351)&lt;Variables!$B$3,-H351,0)</f>
        <v>0</v>
      </c>
      <c r="K352" s="64">
        <f>IF(AND(H351&lt;Variables!$B$6*Variables!$E$50,OR(SUM(D349:D352)&gt;Variables!$B$5,SUM(E349:E352)&gt;Variables!$B$4)),Variables!$B$6*Variables!$E$50+Variables!$B$7*$G$1*Variables!$E$50*SUM(D349:D352),0)</f>
        <v>1.1408</v>
      </c>
      <c r="L352" s="64">
        <f>IF(B352="Winter",Variables!$B$8*H351,0)</f>
        <v>0</v>
      </c>
      <c r="M352" s="64">
        <f>IF(AND(B352="Spring",AND(NOT(H351=0),H351&lt;(Variables!$B$9*Variables!$E$50))),(Variables!$B$10*Variables!$E$50+Variables!$B$11*Variables!$E$50*SUM(E349:E352)+$G$1*SUM(D351:D352)*Variables!$E$50*Variables!$B$12),0)</f>
        <v>0</v>
      </c>
      <c r="N352" s="64">
        <f>IF(AND(B352="Spring",AND(SUM(D349:D352)&gt;Variables!$B$13,SUM(D345:D348)&gt;Variables!$B$13)),-Variables!$B$14*Variables!$E$50,0)</f>
        <v>0</v>
      </c>
      <c r="O352" s="64">
        <f>IF(AND(B352="Summer",SUM(C348:D352)&gt;Variables!$B$15),(Variables!$B$16*Variables!$E$50*SUM(C348:C352)+$G$1*Variables!$B$16*Variables!$E$50*SUM(D348:D352)+$G$1*Variables!$E$50*Variables!$B$17*F352),0)</f>
        <v>0</v>
      </c>
      <c r="P352" s="64">
        <f>IF(AND(AND(B352="Autumn",SUM(D351:E352)&gt;0),NOT(H351=0)),Variables!$B$18*Variables!$E$50+Variables!$B$19*Variables!$E$50*SUM(E351:E352)+$G$1*Variables!$B$19*Variables!$E$50*SUM(D351:D352),0)</f>
        <v>0</v>
      </c>
      <c r="Q352" s="64">
        <f>IF(AND(B352="Autumn",AND((E352+E351)&lt;Variables!$B$20,(D351+D352)=0)),-Variables!$B$21*Variables!$E$50,0)</f>
        <v>0</v>
      </c>
      <c r="R352" s="64">
        <f>IF(B352="Autumn",(SUM(F351:F352)*$G$1*Variables!$B$22*Variables!$E$50),0)</f>
        <v>0</v>
      </c>
      <c r="S352" s="64">
        <f>IF(B352="Spring",($G$1*Variables!$E$50*SUM('Guts (option 1)'!F351:F352)*Variables!$B$23),0)</f>
        <v>0</v>
      </c>
      <c r="T352" s="63">
        <f>IF((H351+SUM(J352:Q352))&lt;(Variables!$B$26*Variables!$E$50),$F$1*((Variables!$B$26*Variables!$E$50)-H351-SUM(J352:Q352)),0)</f>
        <v>0</v>
      </c>
      <c r="U352" s="64">
        <f>IF(AND(AND(B352="Autumn",SUM(D349:E352)&gt;Variables!$B$27),SUM(J352:Q352)&lt;Variables!$B$28*H351),$F$1*(Variables!$B$28*H351-SUM(J352:Q352)),0)</f>
        <v>0</v>
      </c>
      <c r="V352" s="96">
        <f>IF(AND((J352+K352)=0,(Q352+T352)=0),$H$1*H352*Variables!$I$23*0.25,0)</f>
        <v>0</v>
      </c>
      <c r="W352" s="97">
        <f>IF(AND((K352+J352)=0,(T352+Q352)=0),$I$1*H352*Variables!$Q$23*0.25,0)</f>
        <v>0</v>
      </c>
      <c r="X352" s="95">
        <f>IF(AND(NOT(K352=0),(H352-H351)&gt;0),(H352-H351)*(Variables!$M$5*$H$1+Variables!$U$5*$I$1),0)+IF(AND(NOT((J352+N352+Q352)=0),(H351-H352)&gt;0),(H351-H352)*(Variables!$M$4*$H$1+Variables!$U$4*$I$1),0)</f>
        <v>-285.2</v>
      </c>
      <c r="Y352" s="95">
        <f>IF(SUM(T352,U351:U352)&gt;0,H352*Variables!$Y$11*0.25*(1-$J$1),0)</f>
        <v>0</v>
      </c>
      <c r="Z352" s="95">
        <f>IF(T352=0,H352*$J$1*Variables!$Y$5*0.25,0)</f>
        <v>13.903500000000001</v>
      </c>
      <c r="AA352" s="95">
        <f t="shared" si="11"/>
        <v>-271.29649999999998</v>
      </c>
      <c r="AB352" s="91">
        <f>AA352/Variables!$E$49</f>
        <v>-43.757499999999993</v>
      </c>
    </row>
    <row r="353" spans="1:28" x14ac:dyDescent="0.25">
      <c r="A353" s="61">
        <f>'Water runs'!C360</f>
        <v>34212</v>
      </c>
      <c r="B353" s="61" t="str">
        <f>'Water runs'!B360</f>
        <v>Winter</v>
      </c>
      <c r="C353" s="54">
        <f>'Water runs'!D360/100</f>
        <v>0.828125</v>
      </c>
      <c r="D353" s="108">
        <f>VLOOKUP(ROW(D353)+4,'Water runs'!$BS$3:$CF$423,MATCH($B$1,Scenarios,0)+1)</f>
        <v>0</v>
      </c>
      <c r="E353" s="54">
        <f>IF(B353=Variables!$D$8,C353-Variables!$E$8,IF(B353=Variables!$D$9,C353-Variables!$E$9,IF(B353=Variables!$D$10,C353-Variables!$E$10,IF(B353=Variables!$D$11,C353-Variables!$E$11,"ELSE"))))</f>
        <v>0.25635737433862427</v>
      </c>
      <c r="F353" s="108">
        <f>VLOOKUP(ROW(F353)+4,'Water runs'!$CH$3:$CU$423,MATCH($B$1,Scenarios,0)+1)</f>
        <v>0</v>
      </c>
      <c r="G353" s="65">
        <f>H353/Variables!$E$49</f>
        <v>0.17320889001436818</v>
      </c>
      <c r="H353" s="62">
        <f>IF((H352+I353)&gt;(1.1*Variables!$E$50),(1.1*Variables!$E$50),IF((H352+I353)&gt;0,H352+I353,0))</f>
        <v>1.0738951180890828</v>
      </c>
      <c r="I353" s="64">
        <f t="shared" si="10"/>
        <v>-1.0651048819109175</v>
      </c>
      <c r="J353" s="63">
        <f>IF(SUM(E349:E352)&lt;Variables!$B$3,-H352,0)</f>
        <v>0</v>
      </c>
      <c r="K353" s="64">
        <f>IF(AND(H352&lt;Variables!$B$6*Variables!$E$50,OR(SUM(D350:D353)&gt;Variables!$B$5,SUM(E350:E353)&gt;Variables!$B$4)),Variables!$B$6*Variables!$E$50+Variables!$B$7*$G$1*Variables!$E$50*SUM(D350:D353),0)</f>
        <v>0</v>
      </c>
      <c r="L353" s="64">
        <f>IF(B353="Winter",Variables!$B$8*H352,0)</f>
        <v>-1.0651048819109175</v>
      </c>
      <c r="M353" s="64">
        <f>IF(AND(B353="Spring",AND(NOT(H352=0),H352&lt;(Variables!$B$9*Variables!$E$50))),(Variables!$B$10*Variables!$E$50+Variables!$B$11*Variables!$E$50*SUM(E350:E353)+$G$1*SUM(D352:D353)*Variables!$E$50*Variables!$B$12),0)</f>
        <v>0</v>
      </c>
      <c r="N353" s="64">
        <f>IF(AND(B353="Spring",AND(SUM(D350:D353)&gt;Variables!$B$13,SUM(D346:D349)&gt;Variables!$B$13)),-Variables!$B$14*Variables!$E$50,0)</f>
        <v>0</v>
      </c>
      <c r="O353" s="64">
        <f>IF(AND(B353="Summer",SUM(C349:D353)&gt;Variables!$B$15),(Variables!$B$16*Variables!$E$50*SUM(C349:C353)+$G$1*Variables!$B$16*Variables!$E$50*SUM(D349:D353)+$G$1*Variables!$E$50*Variables!$B$17*F353),0)</f>
        <v>0</v>
      </c>
      <c r="P353" s="64">
        <f>IF(AND(AND(B353="Autumn",SUM(D352:E353)&gt;0),NOT(H352=0)),Variables!$B$18*Variables!$E$50+Variables!$B$19*Variables!$E$50*SUM(E352:E353)+$G$1*Variables!$B$19*Variables!$E$50*SUM(D352:D353),0)</f>
        <v>0</v>
      </c>
      <c r="Q353" s="64">
        <f>IF(AND(B353="Autumn",AND((E353+E352)&lt;Variables!$B$20,(D352+D353)=0)),-Variables!$B$21*Variables!$E$50,0)</f>
        <v>0</v>
      </c>
      <c r="R353" s="64">
        <f>IF(B353="Autumn",(SUM(F352:F353)*$G$1*Variables!$B$22*Variables!$E$50),0)</f>
        <v>0</v>
      </c>
      <c r="S353" s="64">
        <f>IF(B353="Spring",($G$1*Variables!$E$50*SUM('Guts (option 1)'!F352:F353)*Variables!$B$23),0)</f>
        <v>0</v>
      </c>
      <c r="T353" s="63">
        <f>IF((H352+SUM(J353:Q353))&lt;(Variables!$B$26*Variables!$E$50),$F$1*((Variables!$B$26*Variables!$E$50)-H352-SUM(J353:Q353)),0)</f>
        <v>0</v>
      </c>
      <c r="U353" s="64">
        <f>IF(AND(AND(B353="Autumn",SUM(D350:E353)&gt;Variables!$B$27),SUM(J353:Q353)&lt;Variables!$B$28*H352),$F$1*(Variables!$B$28*H352-SUM(J353:Q353)),0)</f>
        <v>0</v>
      </c>
      <c r="V353" s="96">
        <f>IF(AND((J353+K353)=0,(Q353+T353)=0),$H$1*H353*Variables!$I$23*0.25,0)</f>
        <v>20.69412000984434</v>
      </c>
      <c r="W353" s="97">
        <f>IF(AND((K353+J353)=0,(T353+Q353)=0),$I$1*H353*Variables!$Q$23*0.25,0)</f>
        <v>21.661269953195365</v>
      </c>
      <c r="X353" s="95">
        <f>IF(AND(NOT(K353=0),(H353-H352)&gt;0),(H353-H352)*(Variables!$M$5*$H$1+Variables!$U$5*$I$1),0)+IF(AND(NOT((J353+N353+Q353)=0),(H352-H353)&gt;0),(H352-H353)*(Variables!$M$4*$H$1+Variables!$U$4*$I$1),0)</f>
        <v>0</v>
      </c>
      <c r="Y353" s="95">
        <f>IF(SUM(T353,U352:U353)&gt;0,H353*Variables!$Y$11*0.25*(1-$J$1),0)</f>
        <v>0</v>
      </c>
      <c r="Z353" s="95">
        <f>IF(T353=0,H353*$J$1*Variables!$Y$5*0.25,0)</f>
        <v>6.9803182675790385</v>
      </c>
      <c r="AA353" s="95">
        <f t="shared" si="11"/>
        <v>49.335708230618742</v>
      </c>
      <c r="AB353" s="91">
        <f>AA353/Variables!$E$49</f>
        <v>7.957372295261087</v>
      </c>
    </row>
    <row r="354" spans="1:28" x14ac:dyDescent="0.25">
      <c r="A354" s="61">
        <f>'Water runs'!C361</f>
        <v>34303</v>
      </c>
      <c r="B354" s="61" t="str">
        <f>'Water runs'!B361</f>
        <v>Spring</v>
      </c>
      <c r="C354" s="54">
        <f>'Water runs'!D361/100</f>
        <v>1.5263749999999998</v>
      </c>
      <c r="D354" s="108">
        <f>VLOOKUP(ROW(D354)+4,'Water runs'!$BS$3:$CF$423,MATCH($B$1,Scenarios,0)+1)</f>
        <v>0</v>
      </c>
      <c r="E354" s="54">
        <f>IF(B354=Variables!$D$8,C354-Variables!$E$8,IF(B354=Variables!$D$9,C354-Variables!$E$9,IF(B354=Variables!$D$10,C354-Variables!$E$10,IF(B354=Variables!$D$11,C354-Variables!$E$11,"ELSE"))))</f>
        <v>0.76239279100529067</v>
      </c>
      <c r="F354" s="108">
        <f>VLOOKUP(ROW(F354)+4,'Water runs'!$CH$3:$CU$423,MATCH($B$1,Scenarios,0)+1)</f>
        <v>0</v>
      </c>
      <c r="G354" s="65">
        <f>H354/Variables!$E$49</f>
        <v>0.43748130149511583</v>
      </c>
      <c r="H354" s="62">
        <f>IF((H353+I354)&gt;(1.1*Variables!$E$50),(1.1*Variables!$E$50),IF((H353+I354)&gt;0,H353+I354,0))</f>
        <v>2.7123840692697181</v>
      </c>
      <c r="I354" s="64">
        <f t="shared" si="10"/>
        <v>1.6384889511806355</v>
      </c>
      <c r="J354" s="63">
        <f>IF(SUM(E350:E353)&lt;Variables!$B$3,-H353,0)</f>
        <v>0</v>
      </c>
      <c r="K354" s="64">
        <f>IF(AND(H353&lt;Variables!$B$6*Variables!$E$50,OR(SUM(D351:D354)&gt;Variables!$B$5,SUM(E351:E354)&gt;Variables!$B$4)),Variables!$B$6*Variables!$E$50+Variables!$B$7*$G$1*Variables!$E$50*SUM(D351:D354),0)</f>
        <v>1.1408</v>
      </c>
      <c r="L354" s="64">
        <f>IF(B354="Winter",Variables!$B$8*H353,0)</f>
        <v>0</v>
      </c>
      <c r="M354" s="64">
        <f>IF(AND(B354="Spring",AND(NOT(H353=0),H353&lt;(Variables!$B$9*Variables!$E$50))),(Variables!$B$10*Variables!$E$50+Variables!$B$11*Variables!$E$50*SUM(E351:E354)+$G$1*SUM(D353:D354)*Variables!$E$50*Variables!$B$12),0)</f>
        <v>0.4976889511806355</v>
      </c>
      <c r="N354" s="64">
        <f>IF(AND(B354="Spring",AND(SUM(D351:D354)&gt;Variables!$B$13,SUM(D347:D350)&gt;Variables!$B$13)),-Variables!$B$14*Variables!$E$50,0)</f>
        <v>0</v>
      </c>
      <c r="O354" s="64">
        <f>IF(AND(B354="Summer",SUM(C350:D354)&gt;Variables!$B$15),(Variables!$B$16*Variables!$E$50*SUM(C350:C354)+$G$1*Variables!$B$16*Variables!$E$50*SUM(D350:D354)+$G$1*Variables!$E$50*Variables!$B$17*F354),0)</f>
        <v>0</v>
      </c>
      <c r="P354" s="64">
        <f>IF(AND(AND(B354="Autumn",SUM(D353:E354)&gt;0),NOT(H353=0)),Variables!$B$18*Variables!$E$50+Variables!$B$19*Variables!$E$50*SUM(E353:E354)+$G$1*Variables!$B$19*Variables!$E$50*SUM(D353:D354),0)</f>
        <v>0</v>
      </c>
      <c r="Q354" s="64">
        <f>IF(AND(B354="Autumn",AND((E354+E353)&lt;Variables!$B$20,(D353+D354)=0)),-Variables!$B$21*Variables!$E$50,0)</f>
        <v>0</v>
      </c>
      <c r="R354" s="64">
        <f>IF(B354="Autumn",(SUM(F353:F354)*$G$1*Variables!$B$22*Variables!$E$50),0)</f>
        <v>0</v>
      </c>
      <c r="S354" s="64">
        <f>IF(B354="Spring",($G$1*Variables!$E$50*SUM('Guts (option 1)'!F353:F354)*Variables!$B$23),0)</f>
        <v>0</v>
      </c>
      <c r="T354" s="63">
        <f>IF((H353+SUM(J354:Q354))&lt;(Variables!$B$26*Variables!$E$50),$F$1*((Variables!$B$26*Variables!$E$50)-H353-SUM(J354:Q354)),0)</f>
        <v>0</v>
      </c>
      <c r="U354" s="64">
        <f>IF(AND(AND(B354="Autumn",SUM(D351:E354)&gt;Variables!$B$27),SUM(J354:Q354)&lt;Variables!$B$28*H353),$F$1*(Variables!$B$28*H353-SUM(J354:Q354)),0)</f>
        <v>0</v>
      </c>
      <c r="V354" s="96">
        <f>IF(AND((J354+K354)=0,(Q354+T354)=0),$H$1*H354*Variables!$I$23*0.25,0)</f>
        <v>0</v>
      </c>
      <c r="W354" s="97">
        <f>IF(AND((K354+J354)=0,(T354+Q354)=0),$I$1*H354*Variables!$Q$23*0.25,0)</f>
        <v>0</v>
      </c>
      <c r="X354" s="95">
        <f>IF(AND(NOT(K354=0),(H354-H353)&gt;0),(H354-H353)*(Variables!$M$5*$H$1+Variables!$U$5*$I$1),0)+IF(AND(NOT((J354+N354+Q354)=0),(H353-H354)&gt;0),(H353-H354)*(Variables!$M$4*$H$1+Variables!$U$4*$I$1),0)</f>
        <v>-409.62223779515881</v>
      </c>
      <c r="Y354" s="95">
        <f>IF(SUM(T354,U353:U354)&gt;0,H354*Variables!$Y$11*0.25*(1-$J$1),0)</f>
        <v>0</v>
      </c>
      <c r="Z354" s="95">
        <f>IF(T354=0,H354*$J$1*Variables!$Y$5*0.25,0)</f>
        <v>17.630496450253169</v>
      </c>
      <c r="AA354" s="95">
        <f t="shared" si="11"/>
        <v>-391.99174134490562</v>
      </c>
      <c r="AB354" s="91">
        <f>AA354/Variables!$E$49</f>
        <v>-63.224474410468645</v>
      </c>
    </row>
    <row r="355" spans="1:28" x14ac:dyDescent="0.25">
      <c r="A355" s="61">
        <f>'Water runs'!C362</f>
        <v>34393</v>
      </c>
      <c r="B355" s="61" t="str">
        <f>'Water runs'!B362</f>
        <v>Summer</v>
      </c>
      <c r="C355" s="54">
        <f>'Water runs'!D362/100</f>
        <v>0.85724999999999996</v>
      </c>
      <c r="D355" s="108">
        <f>VLOOKUP(ROW(D355)+4,'Water runs'!$BS$3:$CF$423,MATCH($B$1,Scenarios,0)+1)</f>
        <v>4.7753347215734087E-3</v>
      </c>
      <c r="E355" s="54">
        <f>IF(B355=Variables!$D$8,C355-Variables!$E$8,IF(B355=Variables!$D$9,C355-Variables!$E$9,IF(B355=Variables!$D$10,C355-Variables!$E$10,IF(B355=Variables!$D$11,C355-Variables!$E$11,"ELSE"))))</f>
        <v>-0.40112013605442176</v>
      </c>
      <c r="F355" s="108">
        <f>VLOOKUP(ROW(F355)+4,'Water runs'!$CH$3:$CU$423,MATCH($B$1,Scenarios,0)+1)</f>
        <v>0</v>
      </c>
      <c r="G355" s="65">
        <f>H355/Variables!$E$49</f>
        <v>0.43748130149511583</v>
      </c>
      <c r="H355" s="62">
        <f>IF((H354+I355)&gt;(1.1*Variables!$E$50),(1.1*Variables!$E$50),IF((H354+I355)&gt;0,H354+I355,0))</f>
        <v>2.7123840692697181</v>
      </c>
      <c r="I355" s="64">
        <f t="shared" si="10"/>
        <v>0</v>
      </c>
      <c r="J355" s="63">
        <f>IF(SUM(E351:E354)&lt;Variables!$B$3,-H354,0)</f>
        <v>0</v>
      </c>
      <c r="K355" s="64">
        <f>IF(AND(H354&lt;Variables!$B$6*Variables!$E$50,OR(SUM(D352:D355)&gt;Variables!$B$5,SUM(E352:E355)&gt;Variables!$B$4)),Variables!$B$6*Variables!$E$50+Variables!$B$7*$G$1*Variables!$E$50*SUM(D352:D355),0)</f>
        <v>0</v>
      </c>
      <c r="L355" s="64">
        <f>IF(B355="Winter",Variables!$B$8*H354,0)</f>
        <v>0</v>
      </c>
      <c r="M355" s="64">
        <f>IF(AND(B355="Spring",AND(NOT(H354=0),H354&lt;(Variables!$B$9*Variables!$E$50))),(Variables!$B$10*Variables!$E$50+Variables!$B$11*Variables!$E$50*SUM(E352:E355)+$G$1*SUM(D354:D355)*Variables!$E$50*Variables!$B$12),0)</f>
        <v>0</v>
      </c>
      <c r="N355" s="64">
        <f>IF(AND(B355="Spring",AND(SUM(D352:D355)&gt;Variables!$B$13,SUM(D348:D351)&gt;Variables!$B$13)),-Variables!$B$14*Variables!$E$50,0)</f>
        <v>0</v>
      </c>
      <c r="O355" s="64">
        <f>IF(AND(B355="Summer",SUM(C351:D355)&gt;Variables!$B$15),(Variables!$B$16*Variables!$E$50*SUM(C351:C355)+$G$1*Variables!$B$16*Variables!$E$50*SUM(D351:D355)+$G$1*Variables!$E$50*Variables!$B$17*F355),0)</f>
        <v>0</v>
      </c>
      <c r="P355" s="64">
        <f>IF(AND(AND(B355="Autumn",SUM(D354:E355)&gt;0),NOT(H354=0)),Variables!$B$18*Variables!$E$50+Variables!$B$19*Variables!$E$50*SUM(E354:E355)+$G$1*Variables!$B$19*Variables!$E$50*SUM(D354:D355),0)</f>
        <v>0</v>
      </c>
      <c r="Q355" s="64">
        <f>IF(AND(B355="Autumn",AND((E355+E354)&lt;Variables!$B$20,(D354+D355)=0)),-Variables!$B$21*Variables!$E$50,0)</f>
        <v>0</v>
      </c>
      <c r="R355" s="64">
        <f>IF(B355="Autumn",(SUM(F354:F355)*$G$1*Variables!$B$22*Variables!$E$50),0)</f>
        <v>0</v>
      </c>
      <c r="S355" s="64">
        <f>IF(B355="Spring",($G$1*Variables!$E$50*SUM('Guts (option 1)'!F354:F355)*Variables!$B$23),0)</f>
        <v>0</v>
      </c>
      <c r="T355" s="63">
        <f>IF((H354+SUM(J355:Q355))&lt;(Variables!$B$26*Variables!$E$50),$F$1*((Variables!$B$26*Variables!$E$50)-H354-SUM(J355:Q355)),0)</f>
        <v>0</v>
      </c>
      <c r="U355" s="64">
        <f>IF(AND(AND(B355="Autumn",SUM(D352:E355)&gt;Variables!$B$27),SUM(J355:Q355)&lt;Variables!$B$28*H354),$F$1*(Variables!$B$28*H354-SUM(J355:Q355)),0)</f>
        <v>0</v>
      </c>
      <c r="V355" s="96">
        <f>IF(AND((J355+K355)=0,(Q355+T355)=0),$H$1*H355*Variables!$I$23*0.25,0)</f>
        <v>52.268047872437862</v>
      </c>
      <c r="W355" s="97">
        <f>IF(AND((K355+J355)=0,(T355+Q355)=0),$I$1*H355*Variables!$Q$23*0.25,0)</f>
        <v>54.710820965222162</v>
      </c>
      <c r="X355" s="95">
        <f>IF(AND(NOT(K355=0),(H355-H354)&gt;0),(H355-H354)*(Variables!$M$5*$H$1+Variables!$U$5*$I$1),0)+IF(AND(NOT((J355+N355+Q355)=0),(H354-H355)&gt;0),(H354-H355)*(Variables!$M$4*$H$1+Variables!$U$4*$I$1),0)</f>
        <v>0</v>
      </c>
      <c r="Y355" s="95">
        <f>IF(SUM(T355,U354:U355)&gt;0,H355*Variables!$Y$11*0.25*(1-$J$1),0)</f>
        <v>0</v>
      </c>
      <c r="Z355" s="95">
        <f>IF(T355=0,H355*$J$1*Variables!$Y$5*0.25,0)</f>
        <v>17.630496450253169</v>
      </c>
      <c r="AA355" s="95">
        <f t="shared" si="11"/>
        <v>124.60936528791319</v>
      </c>
      <c r="AB355" s="91">
        <f>AA355/Variables!$E$49</f>
        <v>20.098284723856967</v>
      </c>
    </row>
    <row r="356" spans="1:28" x14ac:dyDescent="0.25">
      <c r="A356" s="61">
        <f>'Water runs'!C363</f>
        <v>34485</v>
      </c>
      <c r="B356" s="61" t="str">
        <f>'Water runs'!B363</f>
        <v>Autumn</v>
      </c>
      <c r="C356" s="54">
        <f>'Water runs'!D363/100</f>
        <v>0.51037500000000002</v>
      </c>
      <c r="D356" s="108">
        <f>VLOOKUP(ROW(D356)+4,'Water runs'!$BS$3:$CF$423,MATCH($B$1,Scenarios,0)+1)</f>
        <v>7.3918637518903554E-2</v>
      </c>
      <c r="E356" s="54">
        <f>IF(B356=Variables!$D$8,C356-Variables!$E$8,IF(B356=Variables!$D$9,C356-Variables!$E$9,IF(B356=Variables!$D$10,C356-Variables!$E$10,IF(B356=Variables!$D$11,C356-Variables!$E$11,"ELSE"))))</f>
        <v>-0.48426829931972781</v>
      </c>
      <c r="F356" s="108">
        <f>VLOOKUP(ROW(F356)+4,'Water runs'!$CH$3:$CU$423,MATCH($B$1,Scenarios,0)+1)</f>
        <v>0</v>
      </c>
      <c r="G356" s="65">
        <f>H356/Variables!$E$49</f>
        <v>0.43748130149511583</v>
      </c>
      <c r="H356" s="62">
        <f>IF((H355+I356)&gt;(1.1*Variables!$E$50),(1.1*Variables!$E$50),IF((H355+I356)&gt;0,H355+I356,0))</f>
        <v>2.7123840692697181</v>
      </c>
      <c r="I356" s="64">
        <f t="shared" si="10"/>
        <v>0</v>
      </c>
      <c r="J356" s="63">
        <f>IF(SUM(E352:E355)&lt;Variables!$B$3,-H355,0)</f>
        <v>0</v>
      </c>
      <c r="K356" s="64">
        <f>IF(AND(H355&lt;Variables!$B$6*Variables!$E$50,OR(SUM(D353:D356)&gt;Variables!$B$5,SUM(E353:E356)&gt;Variables!$B$4)),Variables!$B$6*Variables!$E$50+Variables!$B$7*$G$1*Variables!$E$50*SUM(D353:D356),0)</f>
        <v>0</v>
      </c>
      <c r="L356" s="64">
        <f>IF(B356="Winter",Variables!$B$8*H355,0)</f>
        <v>0</v>
      </c>
      <c r="M356" s="64">
        <f>IF(AND(B356="Spring",AND(NOT(H355=0),H355&lt;(Variables!$B$9*Variables!$E$50))),(Variables!$B$10*Variables!$E$50+Variables!$B$11*Variables!$E$50*SUM(E353:E356)+$G$1*SUM(D355:D356)*Variables!$E$50*Variables!$B$12),0)</f>
        <v>0</v>
      </c>
      <c r="N356" s="64">
        <f>IF(AND(B356="Spring",AND(SUM(D353:D356)&gt;Variables!$B$13,SUM(D349:D352)&gt;Variables!$B$13)),-Variables!$B$14*Variables!$E$50,0)</f>
        <v>0</v>
      </c>
      <c r="O356" s="64">
        <f>IF(AND(B356="Summer",SUM(C352:D356)&gt;Variables!$B$15),(Variables!$B$16*Variables!$E$50*SUM(C352:C356)+$G$1*Variables!$B$16*Variables!$E$50*SUM(D352:D356)+$G$1*Variables!$E$50*Variables!$B$17*F356),0)</f>
        <v>0</v>
      </c>
      <c r="P356" s="64">
        <f>IF(AND(AND(B356="Autumn",SUM(D355:E356)&gt;0),NOT(H355=0)),Variables!$B$18*Variables!$E$50+Variables!$B$19*Variables!$E$50*SUM(E355:E356)+$G$1*Variables!$B$19*Variables!$E$50*SUM(D355:D356),0)</f>
        <v>0</v>
      </c>
      <c r="Q356" s="64">
        <f>IF(AND(B356="Autumn",AND((E356+E355)&lt;Variables!$B$20,(D355+D356)=0)),-Variables!$B$21*Variables!$E$50,0)</f>
        <v>0</v>
      </c>
      <c r="R356" s="64">
        <f>IF(B356="Autumn",(SUM(F355:F356)*$G$1*Variables!$B$22*Variables!$E$50),0)</f>
        <v>0</v>
      </c>
      <c r="S356" s="64">
        <f>IF(B356="Spring",($G$1*Variables!$E$50*SUM('Guts (option 1)'!F355:F356)*Variables!$B$23),0)</f>
        <v>0</v>
      </c>
      <c r="T356" s="63">
        <f>IF((H355+SUM(J356:Q356))&lt;(Variables!$B$26*Variables!$E$50),$F$1*((Variables!$B$26*Variables!$E$50)-H355-SUM(J356:Q356)),0)</f>
        <v>0</v>
      </c>
      <c r="U356" s="64">
        <f>IF(AND(AND(B356="Autumn",SUM(D353:E356)&gt;Variables!$B$27),SUM(J356:Q356)&lt;Variables!$B$28*H355),$F$1*(Variables!$B$28*H355-SUM(J356:Q356)),0)</f>
        <v>0</v>
      </c>
      <c r="V356" s="96">
        <f>IF(AND((J356+K356)=0,(Q356+T356)=0),$H$1*H356*Variables!$I$23*0.25,0)</f>
        <v>52.268047872437862</v>
      </c>
      <c r="W356" s="97">
        <f>IF(AND((K356+J356)=0,(T356+Q356)=0),$I$1*H356*Variables!$Q$23*0.25,0)</f>
        <v>54.710820965222162</v>
      </c>
      <c r="X356" s="95">
        <f>IF(AND(NOT(K356=0),(H356-H355)&gt;0),(H356-H355)*(Variables!$M$5*$H$1+Variables!$U$5*$I$1),0)+IF(AND(NOT((J356+N356+Q356)=0),(H355-H356)&gt;0),(H355-H356)*(Variables!$M$4*$H$1+Variables!$U$4*$I$1),0)</f>
        <v>0</v>
      </c>
      <c r="Y356" s="95">
        <f>IF(SUM(T356,U355:U356)&gt;0,H356*Variables!$Y$11*0.25*(1-$J$1),0)</f>
        <v>0</v>
      </c>
      <c r="Z356" s="95">
        <f>IF(T356=0,H356*$J$1*Variables!$Y$5*0.25,0)</f>
        <v>17.630496450253169</v>
      </c>
      <c r="AA356" s="95">
        <f t="shared" si="11"/>
        <v>124.60936528791319</v>
      </c>
      <c r="AB356" s="91">
        <f>AA356/Variables!$E$49</f>
        <v>20.098284723856967</v>
      </c>
    </row>
    <row r="357" spans="1:28" x14ac:dyDescent="0.25">
      <c r="A357" s="61">
        <f>'Water runs'!C364</f>
        <v>34577</v>
      </c>
      <c r="B357" s="61" t="str">
        <f>'Water runs'!B364</f>
        <v>Winter</v>
      </c>
      <c r="C357" s="54">
        <f>'Water runs'!D364/100</f>
        <v>0</v>
      </c>
      <c r="D357" s="108">
        <f>VLOOKUP(ROW(D357)+4,'Water runs'!$BS$3:$CF$423,MATCH($B$1,Scenarios,0)+1)</f>
        <v>0</v>
      </c>
      <c r="E357" s="54">
        <f>IF(B357=Variables!$D$8,C357-Variables!$E$8,IF(B357=Variables!$D$9,C357-Variables!$E$9,IF(B357=Variables!$D$10,C357-Variables!$E$10,IF(B357=Variables!$D$11,C357-Variables!$E$11,"ELSE"))))</f>
        <v>-0.57176762566137573</v>
      </c>
      <c r="F357" s="108">
        <f>VLOOKUP(ROW(F357)+4,'Water runs'!$CH$3:$CU$423,MATCH($B$1,Scenarios,0)+1)</f>
        <v>0</v>
      </c>
      <c r="G357" s="65">
        <f>H357/Variables!$E$49</f>
        <v>0.2196395670551019</v>
      </c>
      <c r="H357" s="62">
        <f>IF((H356+I357)&gt;(1.1*Variables!$E$50),(1.1*Variables!$E$50),IF((H356+I357)&gt;0,H356+I357,0))</f>
        <v>1.3617653157416318</v>
      </c>
      <c r="I357" s="64">
        <f t="shared" si="10"/>
        <v>-1.3506187535280862</v>
      </c>
      <c r="J357" s="63">
        <f>IF(SUM(E353:E356)&lt;Variables!$B$3,-H356,0)</f>
        <v>0</v>
      </c>
      <c r="K357" s="64">
        <f>IF(AND(H356&lt;Variables!$B$6*Variables!$E$50,OR(SUM(D354:D357)&gt;Variables!$B$5,SUM(E354:E357)&gt;Variables!$B$4)),Variables!$B$6*Variables!$E$50+Variables!$B$7*$G$1*Variables!$E$50*SUM(D354:D357),0)</f>
        <v>0</v>
      </c>
      <c r="L357" s="64">
        <f>IF(B357="Winter",Variables!$B$8*H356,0)</f>
        <v>-1.3506187535280862</v>
      </c>
      <c r="M357" s="64">
        <f>IF(AND(B357="Spring",AND(NOT(H356=0),H356&lt;(Variables!$B$9*Variables!$E$50))),(Variables!$B$10*Variables!$E$50+Variables!$B$11*Variables!$E$50*SUM(E354:E357)+$G$1*SUM(D356:D357)*Variables!$E$50*Variables!$B$12),0)</f>
        <v>0</v>
      </c>
      <c r="N357" s="64">
        <f>IF(AND(B357="Spring",AND(SUM(D354:D357)&gt;Variables!$B$13,SUM(D350:D353)&gt;Variables!$B$13)),-Variables!$B$14*Variables!$E$50,0)</f>
        <v>0</v>
      </c>
      <c r="O357" s="64">
        <f>IF(AND(B357="Summer",SUM(C353:D357)&gt;Variables!$B$15),(Variables!$B$16*Variables!$E$50*SUM(C353:C357)+$G$1*Variables!$B$16*Variables!$E$50*SUM(D353:D357)+$G$1*Variables!$E$50*Variables!$B$17*F357),0)</f>
        <v>0</v>
      </c>
      <c r="P357" s="64">
        <f>IF(AND(AND(B357="Autumn",SUM(D356:E357)&gt;0),NOT(H356=0)),Variables!$B$18*Variables!$E$50+Variables!$B$19*Variables!$E$50*SUM(E356:E357)+$G$1*Variables!$B$19*Variables!$E$50*SUM(D356:D357),0)</f>
        <v>0</v>
      </c>
      <c r="Q357" s="64">
        <f>IF(AND(B357="Autumn",AND((E357+E356)&lt;Variables!$B$20,(D356+D357)=0)),-Variables!$B$21*Variables!$E$50,0)</f>
        <v>0</v>
      </c>
      <c r="R357" s="64">
        <f>IF(B357="Autumn",(SUM(F356:F357)*$G$1*Variables!$B$22*Variables!$E$50),0)</f>
        <v>0</v>
      </c>
      <c r="S357" s="64">
        <f>IF(B357="Spring",($G$1*Variables!$E$50*SUM('Guts (option 1)'!F356:F357)*Variables!$B$23),0)</f>
        <v>0</v>
      </c>
      <c r="T357" s="63">
        <f>IF((H356+SUM(J357:Q357))&lt;(Variables!$B$26*Variables!$E$50),$F$1*((Variables!$B$26*Variables!$E$50)-H356-SUM(J357:Q357)),0)</f>
        <v>0</v>
      </c>
      <c r="U357" s="64">
        <f>IF(AND(AND(B357="Autumn",SUM(D354:E357)&gt;Variables!$B$27),SUM(J357:Q357)&lt;Variables!$B$28*H356),$F$1*(Variables!$B$28*H356-SUM(J357:Q357)),0)</f>
        <v>0</v>
      </c>
      <c r="V357" s="96">
        <f>IF(AND((J357+K357)=0,(Q357+T357)=0),$H$1*H357*Variables!$I$23*0.25,0)</f>
        <v>26.241421899138608</v>
      </c>
      <c r="W357" s="97">
        <f>IF(AND((K357+J357)=0,(T357+Q357)=0),$I$1*H357*Variables!$Q$23*0.25,0)</f>
        <v>27.467827742495519</v>
      </c>
      <c r="X357" s="95">
        <f>IF(AND(NOT(K357=0),(H357-H356)&gt;0),(H357-H356)*(Variables!$M$5*$H$1+Variables!$U$5*$I$1),0)+IF(AND(NOT((J357+N357+Q357)=0),(H356-H357)&gt;0),(H356-H357)*(Variables!$M$4*$H$1+Variables!$U$4*$I$1),0)</f>
        <v>0</v>
      </c>
      <c r="Y357" s="95">
        <f>IF(SUM(T357,U356:U357)&gt;0,H357*Variables!$Y$11*0.25*(1-$J$1),0)</f>
        <v>0</v>
      </c>
      <c r="Z357" s="95">
        <f>IF(T357=0,H357*$J$1*Variables!$Y$5*0.25,0)</f>
        <v>8.8514745523206066</v>
      </c>
      <c r="AA357" s="95">
        <f t="shared" si="11"/>
        <v>62.560724193954741</v>
      </c>
      <c r="AB357" s="91">
        <f>AA357/Variables!$E$49</f>
        <v>10.090439386121732</v>
      </c>
    </row>
    <row r="358" spans="1:28" x14ac:dyDescent="0.25">
      <c r="A358" s="61">
        <f>'Water runs'!C365</f>
        <v>34668</v>
      </c>
      <c r="B358" s="61" t="str">
        <f>'Water runs'!B365</f>
        <v>Spring</v>
      </c>
      <c r="C358" s="54">
        <f>'Water runs'!D365/100</f>
        <v>0.64426785714285695</v>
      </c>
      <c r="D358" s="108">
        <f>VLOOKUP(ROW(D358)+4,'Water runs'!$BS$3:$CF$423,MATCH($B$1,Scenarios,0)+1)</f>
        <v>0</v>
      </c>
      <c r="E358" s="54">
        <f>IF(B358=Variables!$D$8,C358-Variables!$E$8,IF(B358=Variables!$D$9,C358-Variables!$E$9,IF(B358=Variables!$D$10,C358-Variables!$E$10,IF(B358=Variables!$D$11,C358-Variables!$E$11,"ELSE"))))</f>
        <v>-0.1197143518518522</v>
      </c>
      <c r="F358" s="108">
        <f>VLOOKUP(ROW(F358)+4,'Water runs'!$CH$3:$CU$423,MATCH($B$1,Scenarios,0)+1)</f>
        <v>0</v>
      </c>
      <c r="G358" s="65">
        <f>H358/Variables!$E$49</f>
        <v>0.161</v>
      </c>
      <c r="H358" s="62">
        <f>IF((H357+I358)&gt;(1.1*Variables!$E$50),(1.1*Variables!$E$50),IF((H357+I358)&gt;0,H357+I358,0))</f>
        <v>0.99820000000000009</v>
      </c>
      <c r="I358" s="64">
        <f t="shared" si="10"/>
        <v>-0.36356531574163176</v>
      </c>
      <c r="J358" s="63">
        <f>IF(SUM(E354:E357)&lt;Variables!$B$3,-H357,0)</f>
        <v>0</v>
      </c>
      <c r="K358" s="64">
        <f>IF(AND(H357&lt;Variables!$B$6*Variables!$E$50,OR(SUM(D355:D358)&gt;Variables!$B$5,SUM(E355:E358)&gt;Variables!$B$4)),Variables!$B$6*Variables!$E$50+Variables!$B$7*$G$1*Variables!$E$50*SUM(D355:D358),0)</f>
        <v>0</v>
      </c>
      <c r="L358" s="64">
        <f>IF(B358="Winter",Variables!$B$8*H357,0)</f>
        <v>0</v>
      </c>
      <c r="M358" s="64">
        <f>IF(AND(B358="Spring",AND(NOT(H357=0),H357&lt;(Variables!$B$9*Variables!$E$50))),(Variables!$B$10*Variables!$E$50+Variables!$B$11*Variables!$E$50*SUM(E355:E358)+$G$1*SUM(D357:D358)*Variables!$E$50*Variables!$B$12),0)</f>
        <v>-1.0739460220682007</v>
      </c>
      <c r="N358" s="64">
        <f>IF(AND(B358="Spring",AND(SUM(D355:D358)&gt;Variables!$B$13,SUM(D351:D354)&gt;Variables!$B$13)),-Variables!$B$14*Variables!$E$50,0)</f>
        <v>0</v>
      </c>
      <c r="O358" s="64">
        <f>IF(AND(B358="Summer",SUM(C354:D358)&gt;Variables!$B$15),(Variables!$B$16*Variables!$E$50*SUM(C354:C358)+$G$1*Variables!$B$16*Variables!$E$50*SUM(D354:D358)+$G$1*Variables!$E$50*Variables!$B$17*F358),0)</f>
        <v>0</v>
      </c>
      <c r="P358" s="64">
        <f>IF(AND(AND(B358="Autumn",SUM(D357:E358)&gt;0),NOT(H357=0)),Variables!$B$18*Variables!$E$50+Variables!$B$19*Variables!$E$50*SUM(E357:E358)+$G$1*Variables!$B$19*Variables!$E$50*SUM(D357:D358),0)</f>
        <v>0</v>
      </c>
      <c r="Q358" s="64">
        <f>IF(AND(B358="Autumn",AND((E358+E357)&lt;Variables!$B$20,(D357+D358)=0)),-Variables!$B$21*Variables!$E$50,0)</f>
        <v>0</v>
      </c>
      <c r="R358" s="64">
        <f>IF(B358="Autumn",(SUM(F357:F358)*$G$1*Variables!$B$22*Variables!$E$50),0)</f>
        <v>0</v>
      </c>
      <c r="S358" s="64">
        <f>IF(B358="Spring",($G$1*Variables!$E$50*SUM('Guts (option 1)'!F357:F358)*Variables!$B$23),0)</f>
        <v>0</v>
      </c>
      <c r="T358" s="63">
        <f>IF((H357+SUM(J358:Q358))&lt;(Variables!$B$26*Variables!$E$50),$F$1*((Variables!$B$26*Variables!$E$50)-H357-SUM(J358:Q358)),0)</f>
        <v>0.71038070632656891</v>
      </c>
      <c r="U358" s="64">
        <f>IF(AND(AND(B358="Autumn",SUM(D355:E358)&gt;Variables!$B$27),SUM(J358:Q358)&lt;Variables!$B$28*H357),$F$1*(Variables!$B$28*H357-SUM(J358:Q358)),0)</f>
        <v>0</v>
      </c>
      <c r="V358" s="96">
        <f>IF(AND((J358+K358)=0,(Q358+T358)=0),$H$1*H358*Variables!$I$23*0.25,0)</f>
        <v>0</v>
      </c>
      <c r="W358" s="97">
        <f>IF(AND((K358+J358)=0,(T358+Q358)=0),$I$1*H358*Variables!$Q$23*0.25,0)</f>
        <v>0</v>
      </c>
      <c r="X358" s="95">
        <f>IF(AND(NOT(K358=0),(H358-H357)&gt;0),(H358-H357)*(Variables!$M$5*$H$1+Variables!$U$5*$I$1),0)+IF(AND(NOT((J358+N358+Q358)=0),(H357-H358)&gt;0),(H357-H358)*(Variables!$M$4*$H$1+Variables!$U$4*$I$1),0)</f>
        <v>0</v>
      </c>
      <c r="Y358" s="95">
        <f>IF(SUM(T358,U357:U358)&gt;0,H358*Variables!$Y$11*0.25*(1-$J$1),0)</f>
        <v>0</v>
      </c>
      <c r="Z358" s="95">
        <f>IF(T358=0,H358*$J$1*Variables!$Y$5*0.25,0)</f>
        <v>0</v>
      </c>
      <c r="AA358" s="95">
        <f t="shared" si="11"/>
        <v>0</v>
      </c>
      <c r="AB358" s="91">
        <f>AA358/Variables!$E$49</f>
        <v>0</v>
      </c>
    </row>
    <row r="359" spans="1:28" x14ac:dyDescent="0.25">
      <c r="A359" s="61">
        <f>'Water runs'!C366</f>
        <v>34758</v>
      </c>
      <c r="B359" s="61" t="str">
        <f>'Water runs'!B366</f>
        <v>Summer</v>
      </c>
      <c r="C359" s="54">
        <f>'Water runs'!D366/100</f>
        <v>1.9843500000000001</v>
      </c>
      <c r="D359" s="108">
        <f>VLOOKUP(ROW(D359)+4,'Water runs'!$BS$3:$CF$423,MATCH($B$1,Scenarios,0)+1)</f>
        <v>0</v>
      </c>
      <c r="E359" s="54">
        <f>IF(B359=Variables!$D$8,C359-Variables!$E$8,IF(B359=Variables!$D$9,C359-Variables!$E$9,IF(B359=Variables!$D$10,C359-Variables!$E$10,IF(B359=Variables!$D$11,C359-Variables!$E$11,"ELSE"))))</f>
        <v>0.72597986394557834</v>
      </c>
      <c r="F359" s="108">
        <f>VLOOKUP(ROW(F359)+4,'Water runs'!$CH$3:$CU$423,MATCH($B$1,Scenarios,0)+1)</f>
        <v>0</v>
      </c>
      <c r="G359" s="65">
        <f>H359/Variables!$E$49</f>
        <v>0.34562630906087133</v>
      </c>
      <c r="H359" s="62">
        <f>IF((H358+I359)&gt;(1.1*Variables!$E$50),(1.1*Variables!$E$50),IF((H358+I359)&gt;0,H358+I359,0))</f>
        <v>2.1428831161774022</v>
      </c>
      <c r="I359" s="64">
        <f t="shared" si="10"/>
        <v>1.1446831161774023</v>
      </c>
      <c r="J359" s="63">
        <f>IF(SUM(E355:E358)&lt;Variables!$B$3,-H358,0)</f>
        <v>0</v>
      </c>
      <c r="K359" s="64">
        <f>IF(AND(H358&lt;Variables!$B$6*Variables!$E$50,OR(SUM(D356:D359)&gt;Variables!$B$5,SUM(E356:E359)&gt;Variables!$B$4)),Variables!$B$6*Variables!$E$50+Variables!$B$7*$G$1*Variables!$E$50*SUM(D356:D359),0)</f>
        <v>1.1446831161774023</v>
      </c>
      <c r="L359" s="64">
        <f>IF(B359="Winter",Variables!$B$8*H358,0)</f>
        <v>0</v>
      </c>
      <c r="M359" s="64">
        <f>IF(AND(B359="Spring",AND(NOT(H358=0),H358&lt;(Variables!$B$9*Variables!$E$50))),(Variables!$B$10*Variables!$E$50+Variables!$B$11*Variables!$E$50*SUM(E356:E359)+$G$1*SUM(D358:D359)*Variables!$E$50*Variables!$B$12),0)</f>
        <v>0</v>
      </c>
      <c r="N359" s="64">
        <f>IF(AND(B359="Spring",AND(SUM(D356:D359)&gt;Variables!$B$13,SUM(D352:D355)&gt;Variables!$B$13)),-Variables!$B$14*Variables!$E$50,0)</f>
        <v>0</v>
      </c>
      <c r="O359" s="64">
        <f>IF(AND(B359="Summer",SUM(C355:D359)&gt;Variables!$B$15),(Variables!$B$16*Variables!$E$50*SUM(C355:C359)+$G$1*Variables!$B$16*Variables!$E$50*SUM(D355:D359)+$G$1*Variables!$E$50*Variables!$B$17*F359),0)</f>
        <v>0</v>
      </c>
      <c r="P359" s="64">
        <f>IF(AND(AND(B359="Autumn",SUM(D358:E359)&gt;0),NOT(H358=0)),Variables!$B$18*Variables!$E$50+Variables!$B$19*Variables!$E$50*SUM(E358:E359)+$G$1*Variables!$B$19*Variables!$E$50*SUM(D358:D359),0)</f>
        <v>0</v>
      </c>
      <c r="Q359" s="64">
        <f>IF(AND(B359="Autumn",AND((E359+E358)&lt;Variables!$B$20,(D358+D359)=0)),-Variables!$B$21*Variables!$E$50,0)</f>
        <v>0</v>
      </c>
      <c r="R359" s="64">
        <f>IF(B359="Autumn",(SUM(F358:F359)*$G$1*Variables!$B$22*Variables!$E$50),0)</f>
        <v>0</v>
      </c>
      <c r="S359" s="64">
        <f>IF(B359="Spring",($G$1*Variables!$E$50*SUM('Guts (option 1)'!F358:F359)*Variables!$B$23),0)</f>
        <v>0</v>
      </c>
      <c r="T359" s="63">
        <f>IF((H358+SUM(J359:Q359))&lt;(Variables!$B$26*Variables!$E$50),$F$1*((Variables!$B$26*Variables!$E$50)-H358-SUM(J359:Q359)),0)</f>
        <v>0</v>
      </c>
      <c r="U359" s="64">
        <f>IF(AND(AND(B359="Autumn",SUM(D356:E359)&gt;Variables!$B$27),SUM(J359:Q359)&lt;Variables!$B$28*H358),$F$1*(Variables!$B$28*H358-SUM(J359:Q359)),0)</f>
        <v>0</v>
      </c>
      <c r="V359" s="96">
        <f>IF(AND((J359+K359)=0,(Q359+T359)=0),$H$1*H359*Variables!$I$23*0.25,0)</f>
        <v>0</v>
      </c>
      <c r="W359" s="97">
        <f>IF(AND((K359+J359)=0,(T359+Q359)=0),$I$1*H359*Variables!$Q$23*0.25,0)</f>
        <v>0</v>
      </c>
      <c r="X359" s="95">
        <f>IF(AND(NOT(K359=0),(H359-H358)&gt;0),(H359-H358)*(Variables!$M$5*$H$1+Variables!$U$5*$I$1),0)+IF(AND(NOT((J359+N359+Q359)=0),(H358-H359)&gt;0),(H358-H359)*(Variables!$M$4*$H$1+Variables!$U$4*$I$1),0)</f>
        <v>-286.17077904435052</v>
      </c>
      <c r="Y359" s="95">
        <f>IF(SUM(T359,U358:U359)&gt;0,H359*Variables!$Y$11*0.25*(1-$J$1),0)</f>
        <v>0</v>
      </c>
      <c r="Z359" s="95">
        <f>IF(T359=0,H359*$J$1*Variables!$Y$5*0.25,0)</f>
        <v>13.928740255153114</v>
      </c>
      <c r="AA359" s="95">
        <f t="shared" si="11"/>
        <v>-272.24203878919741</v>
      </c>
      <c r="AB359" s="91">
        <f>AA359/Variables!$E$49</f>
        <v>-43.910006256322163</v>
      </c>
    </row>
    <row r="360" spans="1:28" x14ac:dyDescent="0.25">
      <c r="A360" s="61">
        <f>'Water runs'!C367</f>
        <v>34850</v>
      </c>
      <c r="B360" s="61" t="str">
        <f>'Water runs'!B367</f>
        <v>Autumn</v>
      </c>
      <c r="C360" s="54">
        <f>'Water runs'!D367/100</f>
        <v>1.040875</v>
      </c>
      <c r="D360" s="108">
        <f>VLOOKUP(ROW(D360)+4,'Water runs'!$BS$3:$CF$423,MATCH($B$1,Scenarios,0)+1)</f>
        <v>0</v>
      </c>
      <c r="E360" s="54">
        <f>IF(B360=Variables!$D$8,C360-Variables!$E$8,IF(B360=Variables!$D$9,C360-Variables!$E$9,IF(B360=Variables!$D$10,C360-Variables!$E$10,IF(B360=Variables!$D$11,C360-Variables!$E$11,"ELSE"))))</f>
        <v>4.6231700680272159E-2</v>
      </c>
      <c r="F360" s="108">
        <f>VLOOKUP(ROW(F360)+4,'Water runs'!$CH$3:$CU$423,MATCH($B$1,Scenarios,0)+1)</f>
        <v>0</v>
      </c>
      <c r="G360" s="65">
        <f>H360/Variables!$E$49</f>
        <v>0.67708300392117082</v>
      </c>
      <c r="H360" s="62">
        <f>IF((H359+I360)&gt;(1.1*Variables!$E$50),(1.1*Variables!$E$50),IF((H359+I360)&gt;0,H359+I360,0))</f>
        <v>4.1979146243112595</v>
      </c>
      <c r="I360" s="64">
        <f t="shared" si="10"/>
        <v>2.0550315081338568</v>
      </c>
      <c r="J360" s="63">
        <f>IF(SUM(E356:E359)&lt;Variables!$B$3,-H359,0)</f>
        <v>0</v>
      </c>
      <c r="K360" s="64">
        <f>IF(AND(H359&lt;Variables!$B$6*Variables!$E$50,OR(SUM(D357:D360)&gt;Variables!$B$5,SUM(E357:E360)&gt;Variables!$B$4)),Variables!$B$6*Variables!$E$50+Variables!$B$7*$G$1*Variables!$E$50*SUM(D357:D360),0)</f>
        <v>0</v>
      </c>
      <c r="L360" s="64">
        <f>IF(B360="Winter",Variables!$B$8*H359,0)</f>
        <v>0</v>
      </c>
      <c r="M360" s="64">
        <f>IF(AND(B360="Spring",AND(NOT(H359=0),H359&lt;(Variables!$B$9*Variables!$E$50))),(Variables!$B$10*Variables!$E$50+Variables!$B$11*Variables!$E$50*SUM(E357:E360)+$G$1*SUM(D359:D360)*Variables!$E$50*Variables!$B$12),0)</f>
        <v>0</v>
      </c>
      <c r="N360" s="64">
        <f>IF(AND(B360="Spring",AND(SUM(D357:D360)&gt;Variables!$B$13,SUM(D353:D356)&gt;Variables!$B$13)),-Variables!$B$14*Variables!$E$50,0)</f>
        <v>0</v>
      </c>
      <c r="O360" s="64">
        <f>IF(AND(B360="Summer",SUM(C356:D360)&gt;Variables!$B$15),(Variables!$B$16*Variables!$E$50*SUM(C356:C360)+$G$1*Variables!$B$16*Variables!$E$50*SUM(D356:D360)+$G$1*Variables!$E$50*Variables!$B$17*F360),0)</f>
        <v>0</v>
      </c>
      <c r="P360" s="64">
        <f>IF(AND(AND(B360="Autumn",SUM(D359:E360)&gt;0),NOT(H359=0)),Variables!$B$18*Variables!$E$50+Variables!$B$19*Variables!$E$50*SUM(E359:E360)+$G$1*Variables!$B$19*Variables!$E$50*SUM(D359:D360),0)</f>
        <v>2.0550315081338568</v>
      </c>
      <c r="Q360" s="64">
        <f>IF(AND(B360="Autumn",AND((E360+E359)&lt;Variables!$B$20,(D359+D360)=0)),-Variables!$B$21*Variables!$E$50,0)</f>
        <v>0</v>
      </c>
      <c r="R360" s="64">
        <f>IF(B360="Autumn",(SUM(F359:F360)*$G$1*Variables!$B$22*Variables!$E$50),0)</f>
        <v>0</v>
      </c>
      <c r="S360" s="64">
        <f>IF(B360="Spring",($G$1*Variables!$E$50*SUM('Guts (option 1)'!F359:F360)*Variables!$B$23),0)</f>
        <v>0</v>
      </c>
      <c r="T360" s="63">
        <f>IF((H359+SUM(J360:Q360))&lt;(Variables!$B$26*Variables!$E$50),$F$1*((Variables!$B$26*Variables!$E$50)-H359-SUM(J360:Q360)),0)</f>
        <v>0</v>
      </c>
      <c r="U360" s="64">
        <f>IF(AND(AND(B360="Autumn",SUM(D357:E360)&gt;Variables!$B$27),SUM(J360:Q360)&lt;Variables!$B$28*H359),$F$1*(Variables!$B$28*H359-SUM(J360:Q360)),0)</f>
        <v>0</v>
      </c>
      <c r="V360" s="96">
        <f>IF(AND((J360+K360)=0,(Q360+T360)=0),$H$1*H360*Variables!$I$23*0.25,0)</f>
        <v>80.894444497671628</v>
      </c>
      <c r="W360" s="97">
        <f>IF(AND((K360+J360)=0,(T360+Q360)=0),$I$1*H360*Variables!$Q$23*0.25,0)</f>
        <v>84.675086408326337</v>
      </c>
      <c r="X360" s="95">
        <f>IF(AND(NOT(K360=0),(H360-H359)&gt;0),(H360-H359)*(Variables!$M$5*$H$1+Variables!$U$5*$I$1),0)+IF(AND(NOT((J360+N360+Q360)=0),(H359-H360)&gt;0),(H359-H360)*(Variables!$M$4*$H$1+Variables!$U$4*$I$1),0)</f>
        <v>0</v>
      </c>
      <c r="Y360" s="95">
        <f>IF(SUM(T360,U359:U360)&gt;0,H360*Variables!$Y$11*0.25*(1-$J$1),0)</f>
        <v>0</v>
      </c>
      <c r="Z360" s="95">
        <f>IF(T360=0,H360*$J$1*Variables!$Y$5*0.25,0)</f>
        <v>27.286445058023187</v>
      </c>
      <c r="AA360" s="95">
        <f t="shared" si="11"/>
        <v>192.85597596402116</v>
      </c>
      <c r="AB360" s="91">
        <f>AA360/Variables!$E$49</f>
        <v>31.105802574842119</v>
      </c>
    </row>
    <row r="361" spans="1:28" x14ac:dyDescent="0.25">
      <c r="A361" s="61">
        <f>'Water runs'!C368</f>
        <v>34942</v>
      </c>
      <c r="B361" s="61" t="str">
        <f>'Water runs'!B368</f>
        <v>Winter</v>
      </c>
      <c r="C361" s="54">
        <f>'Water runs'!D368/100</f>
        <v>0.24350000000000002</v>
      </c>
      <c r="D361" s="108">
        <f>VLOOKUP(ROW(D361)+4,'Water runs'!$BS$3:$CF$423,MATCH($B$1,Scenarios,0)+1)</f>
        <v>0</v>
      </c>
      <c r="E361" s="54">
        <f>IF(B361=Variables!$D$8,C361-Variables!$E$8,IF(B361=Variables!$D$9,C361-Variables!$E$9,IF(B361=Variables!$D$10,C361-Variables!$E$10,IF(B361=Variables!$D$11,C361-Variables!$E$11,"ELSE"))))</f>
        <v>-0.32826762566137568</v>
      </c>
      <c r="F361" s="108">
        <f>VLOOKUP(ROW(F361)+4,'Water runs'!$CH$3:$CU$423,MATCH($B$1,Scenarios,0)+1)</f>
        <v>0</v>
      </c>
      <c r="G361" s="65">
        <f>H361/Variables!$E$49</f>
        <v>0.33993274074429014</v>
      </c>
      <c r="H361" s="62">
        <f>IF((H360+I361)&gt;(1.1*Variables!$E$50),(1.1*Variables!$E$50),IF((H360+I361)&gt;0,H360+I361,0))</f>
        <v>2.1075829926145988</v>
      </c>
      <c r="I361" s="64">
        <f t="shared" si="10"/>
        <v>-2.0903316316966607</v>
      </c>
      <c r="J361" s="63">
        <f>IF(SUM(E357:E360)&lt;Variables!$B$3,-H360,0)</f>
        <v>0</v>
      </c>
      <c r="K361" s="64">
        <f>IF(AND(H360&lt;Variables!$B$6*Variables!$E$50,OR(SUM(D358:D361)&gt;Variables!$B$5,SUM(E358:E361)&gt;Variables!$B$4)),Variables!$B$6*Variables!$E$50+Variables!$B$7*$G$1*Variables!$E$50*SUM(D358:D361),0)</f>
        <v>0</v>
      </c>
      <c r="L361" s="64">
        <f>IF(B361="Winter",Variables!$B$8*H360,0)</f>
        <v>-2.0903316316966607</v>
      </c>
      <c r="M361" s="64">
        <f>IF(AND(B361="Spring",AND(NOT(H360=0),H360&lt;(Variables!$B$9*Variables!$E$50))),(Variables!$B$10*Variables!$E$50+Variables!$B$11*Variables!$E$50*SUM(E358:E361)+$G$1*SUM(D360:D361)*Variables!$E$50*Variables!$B$12),0)</f>
        <v>0</v>
      </c>
      <c r="N361" s="64">
        <f>IF(AND(B361="Spring",AND(SUM(D358:D361)&gt;Variables!$B$13,SUM(D354:D357)&gt;Variables!$B$13)),-Variables!$B$14*Variables!$E$50,0)</f>
        <v>0</v>
      </c>
      <c r="O361" s="64">
        <f>IF(AND(B361="Summer",SUM(C357:D361)&gt;Variables!$B$15),(Variables!$B$16*Variables!$E$50*SUM(C357:C361)+$G$1*Variables!$B$16*Variables!$E$50*SUM(D357:D361)+$G$1*Variables!$E$50*Variables!$B$17*F361),0)</f>
        <v>0</v>
      </c>
      <c r="P361" s="64">
        <f>IF(AND(AND(B361="Autumn",SUM(D360:E361)&gt;0),NOT(H360=0)),Variables!$B$18*Variables!$E$50+Variables!$B$19*Variables!$E$50*SUM(E360:E361)+$G$1*Variables!$B$19*Variables!$E$50*SUM(D360:D361),0)</f>
        <v>0</v>
      </c>
      <c r="Q361" s="64">
        <f>IF(AND(B361="Autumn",AND((E361+E360)&lt;Variables!$B$20,(D360+D361)=0)),-Variables!$B$21*Variables!$E$50,0)</f>
        <v>0</v>
      </c>
      <c r="R361" s="64">
        <f>IF(B361="Autumn",(SUM(F360:F361)*$G$1*Variables!$B$22*Variables!$E$50),0)</f>
        <v>0</v>
      </c>
      <c r="S361" s="64">
        <f>IF(B361="Spring",($G$1*Variables!$E$50*SUM('Guts (option 1)'!F360:F361)*Variables!$B$23),0)</f>
        <v>0</v>
      </c>
      <c r="T361" s="63">
        <f>IF((H360+SUM(J361:Q361))&lt;(Variables!$B$26*Variables!$E$50),$F$1*((Variables!$B$26*Variables!$E$50)-H360-SUM(J361:Q361)),0)</f>
        <v>0</v>
      </c>
      <c r="U361" s="64">
        <f>IF(AND(AND(B361="Autumn",SUM(D358:E361)&gt;Variables!$B$27),SUM(J361:Q361)&lt;Variables!$B$28*H360),$F$1*(Variables!$B$28*H360-SUM(J361:Q361)),0)</f>
        <v>0</v>
      </c>
      <c r="V361" s="96">
        <f>IF(AND((J361+K361)=0,(Q361+T361)=0),$H$1*H361*Variables!$I$23*0.25,0)</f>
        <v>40.613440405132216</v>
      </c>
      <c r="W361" s="97">
        <f>IF(AND((K361+J361)=0,(T361+Q361)=0),$I$1*H361*Variables!$Q$23*0.25,0)</f>
        <v>42.511529648280913</v>
      </c>
      <c r="X361" s="95">
        <f>IF(AND(NOT(K361=0),(H361-H360)&gt;0),(H361-H360)*(Variables!$M$5*$H$1+Variables!$U$5*$I$1),0)+IF(AND(NOT((J361+N361+Q361)=0),(H360-H361)&gt;0),(H360-H361)*(Variables!$M$4*$H$1+Variables!$U$4*$I$1),0)</f>
        <v>0</v>
      </c>
      <c r="Y361" s="95">
        <f>IF(SUM(T361,U360:U361)&gt;0,H361*Variables!$Y$11*0.25*(1-$J$1),0)</f>
        <v>0</v>
      </c>
      <c r="Z361" s="95">
        <f>IF(T361=0,H361*$J$1*Variables!$Y$5*0.25,0)</f>
        <v>13.699289451994892</v>
      </c>
      <c r="AA361" s="95">
        <f t="shared" si="11"/>
        <v>96.824259505408023</v>
      </c>
      <c r="AB361" s="91">
        <f>AA361/Variables!$E$49</f>
        <v>15.616816049259358</v>
      </c>
    </row>
    <row r="362" spans="1:28" x14ac:dyDescent="0.25">
      <c r="A362" s="61">
        <f>'Water runs'!C369</f>
        <v>35033</v>
      </c>
      <c r="B362" s="61" t="str">
        <f>'Water runs'!B369</f>
        <v>Spring</v>
      </c>
      <c r="C362" s="54">
        <f>'Water runs'!D369/100</f>
        <v>0.84187500000000004</v>
      </c>
      <c r="D362" s="108">
        <f>VLOOKUP(ROW(D362)+4,'Water runs'!$BS$3:$CF$423,MATCH($B$1,Scenarios,0)+1)</f>
        <v>0</v>
      </c>
      <c r="E362" s="54">
        <f>IF(B362=Variables!$D$8,C362-Variables!$E$8,IF(B362=Variables!$D$9,C362-Variables!$E$9,IF(B362=Variables!$D$10,C362-Variables!$E$10,IF(B362=Variables!$D$11,C362-Variables!$E$11,"ELSE"))))</f>
        <v>7.7892791005290896E-2</v>
      </c>
      <c r="F362" s="108">
        <f>VLOOKUP(ROW(F362)+4,'Water runs'!$CH$3:$CU$423,MATCH($B$1,Scenarios,0)+1)</f>
        <v>0</v>
      </c>
      <c r="G362" s="65">
        <f>H362/Variables!$E$49</f>
        <v>0.39725580576864256</v>
      </c>
      <c r="H362" s="62">
        <f>IF((H361+I362)&gt;(1.1*Variables!$E$50),(1.1*Variables!$E$50),IF((H361+I362)&gt;0,H361+I362,0))</f>
        <v>2.462985995765584</v>
      </c>
      <c r="I362" s="64">
        <f t="shared" si="10"/>
        <v>0.355403003150985</v>
      </c>
      <c r="J362" s="63">
        <f>IF(SUM(E358:E361)&lt;Variables!$B$3,-H361,0)</f>
        <v>0</v>
      </c>
      <c r="K362" s="64">
        <f>IF(AND(H361&lt;Variables!$B$6*Variables!$E$50,OR(SUM(D359:D362)&gt;Variables!$B$5,SUM(E359:E362)&gt;Variables!$B$4)),Variables!$B$6*Variables!$E$50+Variables!$B$7*$G$1*Variables!$E$50*SUM(D359:D362),0)</f>
        <v>0</v>
      </c>
      <c r="L362" s="64">
        <f>IF(B362="Winter",Variables!$B$8*H361,0)</f>
        <v>0</v>
      </c>
      <c r="M362" s="64">
        <f>IF(AND(B362="Spring",AND(NOT(H361=0),H361&lt;(Variables!$B$9*Variables!$E$50))),(Variables!$B$10*Variables!$E$50+Variables!$B$11*Variables!$E$50*SUM(E359:E362)+$G$1*SUM(D361:D362)*Variables!$E$50*Variables!$B$12),0)</f>
        <v>0.355403003150985</v>
      </c>
      <c r="N362" s="64">
        <f>IF(AND(B362="Spring",AND(SUM(D359:D362)&gt;Variables!$B$13,SUM(D355:D358)&gt;Variables!$B$13)),-Variables!$B$14*Variables!$E$50,0)</f>
        <v>0</v>
      </c>
      <c r="O362" s="64">
        <f>IF(AND(B362="Summer",SUM(C358:D362)&gt;Variables!$B$15),(Variables!$B$16*Variables!$E$50*SUM(C358:C362)+$G$1*Variables!$B$16*Variables!$E$50*SUM(D358:D362)+$G$1*Variables!$E$50*Variables!$B$17*F362),0)</f>
        <v>0</v>
      </c>
      <c r="P362" s="64">
        <f>IF(AND(AND(B362="Autumn",SUM(D361:E362)&gt;0),NOT(H361=0)),Variables!$B$18*Variables!$E$50+Variables!$B$19*Variables!$E$50*SUM(E361:E362)+$G$1*Variables!$B$19*Variables!$E$50*SUM(D361:D362),0)</f>
        <v>0</v>
      </c>
      <c r="Q362" s="64">
        <f>IF(AND(B362="Autumn",AND((E362+E361)&lt;Variables!$B$20,(D361+D362)=0)),-Variables!$B$21*Variables!$E$50,0)</f>
        <v>0</v>
      </c>
      <c r="R362" s="64">
        <f>IF(B362="Autumn",(SUM(F361:F362)*$G$1*Variables!$B$22*Variables!$E$50),0)</f>
        <v>0</v>
      </c>
      <c r="S362" s="64">
        <f>IF(B362="Spring",($G$1*Variables!$E$50*SUM('Guts (option 1)'!F361:F362)*Variables!$B$23),0)</f>
        <v>0</v>
      </c>
      <c r="T362" s="63">
        <f>IF((H361+SUM(J362:Q362))&lt;(Variables!$B$26*Variables!$E$50),$F$1*((Variables!$B$26*Variables!$E$50)-H361-SUM(J362:Q362)),0)</f>
        <v>0</v>
      </c>
      <c r="U362" s="64">
        <f>IF(AND(AND(B362="Autumn",SUM(D359:E362)&gt;Variables!$B$27),SUM(J362:Q362)&lt;Variables!$B$28*H361),$F$1*(Variables!$B$28*H361-SUM(J362:Q362)),0)</f>
        <v>0</v>
      </c>
      <c r="V362" s="96">
        <f>IF(AND((J362+K362)=0,(Q362+T362)=0),$H$1*H362*Variables!$I$23*0.25,0)</f>
        <v>47.462109586302169</v>
      </c>
      <c r="W362" s="97">
        <f>IF(AND((K362+J362)=0,(T362+Q362)=0),$I$1*H362*Variables!$Q$23*0.25,0)</f>
        <v>49.680274774088652</v>
      </c>
      <c r="X362" s="95">
        <f>IF(AND(NOT(K362=0),(H362-H361)&gt;0),(H362-H361)*(Variables!$M$5*$H$1+Variables!$U$5*$I$1),0)+IF(AND(NOT((J362+N362+Q362)=0),(H361-H362)&gt;0),(H361-H362)*(Variables!$M$4*$H$1+Variables!$U$4*$I$1),0)</f>
        <v>0</v>
      </c>
      <c r="Y362" s="95">
        <f>IF(SUM(T362,U361:U362)&gt;0,H362*Variables!$Y$11*0.25*(1-$J$1),0)</f>
        <v>0</v>
      </c>
      <c r="Z362" s="95">
        <f>IF(T362=0,H362*$J$1*Variables!$Y$5*0.25,0)</f>
        <v>16.009408972476297</v>
      </c>
      <c r="AA362" s="95">
        <f t="shared" si="11"/>
        <v>113.15179333286711</v>
      </c>
      <c r="AB362" s="91">
        <f>AA362/Variables!$E$49</f>
        <v>18.25028924723663</v>
      </c>
    </row>
    <row r="363" spans="1:28" x14ac:dyDescent="0.25">
      <c r="A363" s="61">
        <f>'Water runs'!C370</f>
        <v>35123</v>
      </c>
      <c r="B363" s="61" t="str">
        <f>'Water runs'!B370</f>
        <v>Summer</v>
      </c>
      <c r="C363" s="54">
        <f>'Water runs'!D370/100</f>
        <v>1.0483750000000001</v>
      </c>
      <c r="D363" s="108">
        <f>VLOOKUP(ROW(D363)+4,'Water runs'!$BS$3:$CF$423,MATCH($B$1,Scenarios,0)+1)</f>
        <v>0.56928455490542285</v>
      </c>
      <c r="E363" s="54">
        <f>IF(B363=Variables!$D$8,C363-Variables!$E$8,IF(B363=Variables!$D$9,C363-Variables!$E$9,IF(B363=Variables!$D$10,C363-Variables!$E$10,IF(B363=Variables!$D$11,C363-Variables!$E$11,"ELSE"))))</f>
        <v>-0.20999513605442166</v>
      </c>
      <c r="F363" s="108">
        <f>VLOOKUP(ROW(F363)+4,'Water runs'!$CH$3:$CU$423,MATCH($B$1,Scenarios,0)+1)</f>
        <v>0.36201739522878246</v>
      </c>
      <c r="G363" s="65">
        <f>H363/Variables!$E$49</f>
        <v>0.39725580576864256</v>
      </c>
      <c r="H363" s="62">
        <f>IF((H362+I363)&gt;(1.1*Variables!$E$50),(1.1*Variables!$E$50),IF((H362+I363)&gt;0,H362+I363,0))</f>
        <v>2.462985995765584</v>
      </c>
      <c r="I363" s="64">
        <f t="shared" si="10"/>
        <v>0</v>
      </c>
      <c r="J363" s="63">
        <f>IF(SUM(E359:E362)&lt;Variables!$B$3,-H362,0)</f>
        <v>0</v>
      </c>
      <c r="K363" s="64">
        <f>IF(AND(H362&lt;Variables!$B$6*Variables!$E$50,OR(SUM(D360:D363)&gt;Variables!$B$5,SUM(E360:E363)&gt;Variables!$B$4)),Variables!$B$6*Variables!$E$50+Variables!$B$7*$G$1*Variables!$E$50*SUM(D360:D363),0)</f>
        <v>0</v>
      </c>
      <c r="L363" s="64">
        <f>IF(B363="Winter",Variables!$B$8*H362,0)</f>
        <v>0</v>
      </c>
      <c r="M363" s="64">
        <f>IF(AND(B363="Spring",AND(NOT(H362=0),H362&lt;(Variables!$B$9*Variables!$E$50))),(Variables!$B$10*Variables!$E$50+Variables!$B$11*Variables!$E$50*SUM(E360:E363)+$G$1*SUM(D362:D363)*Variables!$E$50*Variables!$B$12),0)</f>
        <v>0</v>
      </c>
      <c r="N363" s="64">
        <f>IF(AND(B363="Spring",AND(SUM(D360:D363)&gt;Variables!$B$13,SUM(D356:D359)&gt;Variables!$B$13)),-Variables!$B$14*Variables!$E$50,0)</f>
        <v>0</v>
      </c>
      <c r="O363" s="64">
        <f>IF(AND(B363="Summer",SUM(C359:D363)&gt;Variables!$B$15),(Variables!$B$16*Variables!$E$50*SUM(C359:C363)+$G$1*Variables!$B$16*Variables!$E$50*SUM(D359:D363)+$G$1*Variables!$E$50*Variables!$B$17*F363),0)</f>
        <v>0</v>
      </c>
      <c r="P363" s="64">
        <f>IF(AND(AND(B363="Autumn",SUM(D362:E363)&gt;0),NOT(H362=0)),Variables!$B$18*Variables!$E$50+Variables!$B$19*Variables!$E$50*SUM(E362:E363)+$G$1*Variables!$B$19*Variables!$E$50*SUM(D362:D363),0)</f>
        <v>0</v>
      </c>
      <c r="Q363" s="64">
        <f>IF(AND(B363="Autumn",AND((E363+E362)&lt;Variables!$B$20,(D362+D363)=0)),-Variables!$B$21*Variables!$E$50,0)</f>
        <v>0</v>
      </c>
      <c r="R363" s="64">
        <f>IF(B363="Autumn",(SUM(F362:F363)*$G$1*Variables!$B$22*Variables!$E$50),0)</f>
        <v>0</v>
      </c>
      <c r="S363" s="64">
        <f>IF(B363="Spring",($G$1*Variables!$E$50*SUM('Guts (option 1)'!F362:F363)*Variables!$B$23),0)</f>
        <v>0</v>
      </c>
      <c r="T363" s="63">
        <f>IF((H362+SUM(J363:Q363))&lt;(Variables!$B$26*Variables!$E$50),$F$1*((Variables!$B$26*Variables!$E$50)-H362-SUM(J363:Q363)),0)</f>
        <v>0</v>
      </c>
      <c r="U363" s="64">
        <f>IF(AND(AND(B363="Autumn",SUM(D360:E363)&gt;Variables!$B$27),SUM(J363:Q363)&lt;Variables!$B$28*H362),$F$1*(Variables!$B$28*H362-SUM(J363:Q363)),0)</f>
        <v>0</v>
      </c>
      <c r="V363" s="96">
        <f>IF(AND((J363+K363)=0,(Q363+T363)=0),$H$1*H363*Variables!$I$23*0.25,0)</f>
        <v>47.462109586302169</v>
      </c>
      <c r="W363" s="97">
        <f>IF(AND((K363+J363)=0,(T363+Q363)=0),$I$1*H363*Variables!$Q$23*0.25,0)</f>
        <v>49.680274774088652</v>
      </c>
      <c r="X363" s="95">
        <f>IF(AND(NOT(K363=0),(H363-H362)&gt;0),(H363-H362)*(Variables!$M$5*$H$1+Variables!$U$5*$I$1),0)+IF(AND(NOT((J363+N363+Q363)=0),(H362-H363)&gt;0),(H362-H363)*(Variables!$M$4*$H$1+Variables!$U$4*$I$1),0)</f>
        <v>0</v>
      </c>
      <c r="Y363" s="95">
        <f>IF(SUM(T363,U362:U363)&gt;0,H363*Variables!$Y$11*0.25*(1-$J$1),0)</f>
        <v>0</v>
      </c>
      <c r="Z363" s="95">
        <f>IF(T363=0,H363*$J$1*Variables!$Y$5*0.25,0)</f>
        <v>16.009408972476297</v>
      </c>
      <c r="AA363" s="95">
        <f t="shared" si="11"/>
        <v>113.15179333286711</v>
      </c>
      <c r="AB363" s="91">
        <f>AA363/Variables!$E$49</f>
        <v>18.25028924723663</v>
      </c>
    </row>
    <row r="364" spans="1:28" x14ac:dyDescent="0.25">
      <c r="A364" s="61">
        <f>'Water runs'!C371</f>
        <v>35216</v>
      </c>
      <c r="B364" s="61" t="str">
        <f>'Water runs'!B371</f>
        <v>Autumn</v>
      </c>
      <c r="C364" s="54">
        <f>'Water runs'!D371/100</f>
        <v>1.6425000000000001</v>
      </c>
      <c r="D364" s="108">
        <f>VLOOKUP(ROW(D364)+4,'Water runs'!$BS$3:$CF$423,MATCH($B$1,Scenarios,0)+1)</f>
        <v>0.54279060008392777</v>
      </c>
      <c r="E364" s="54">
        <f>IF(B364=Variables!$D$8,C364-Variables!$E$8,IF(B364=Variables!$D$9,C364-Variables!$E$9,IF(B364=Variables!$D$10,C364-Variables!$E$10,IF(B364=Variables!$D$11,C364-Variables!$E$11,"ELSE"))))</f>
        <v>0.64785670068027224</v>
      </c>
      <c r="F364" s="108">
        <f>VLOOKUP(ROW(F364)+4,'Water runs'!$CH$3:$CU$423,MATCH($B$1,Scenarios,0)+1)</f>
        <v>0</v>
      </c>
      <c r="G364" s="65">
        <f>H364/Variables!$E$49</f>
        <v>0.9079668508424148</v>
      </c>
      <c r="H364" s="62">
        <f>IF((H363+I364)&gt;(1.1*Variables!$E$50),(1.1*Variables!$E$50),IF((H363+I364)&gt;0,H363+I364,0))</f>
        <v>5.6293944752229716</v>
      </c>
      <c r="I364" s="64">
        <f t="shared" si="10"/>
        <v>3.1664084794573877</v>
      </c>
      <c r="J364" s="63">
        <f>IF(SUM(E360:E363)&lt;Variables!$B$3,-H363,0)</f>
        <v>0</v>
      </c>
      <c r="K364" s="64">
        <f>IF(AND(H363&lt;Variables!$B$6*Variables!$E$50,OR(SUM(D361:D364)&gt;Variables!$B$5,SUM(E361:E364)&gt;Variables!$B$4)),Variables!$B$6*Variables!$E$50+Variables!$B$7*$G$1*Variables!$E$50*SUM(D361:D364),0)</f>
        <v>0</v>
      </c>
      <c r="L364" s="64">
        <f>IF(B364="Winter",Variables!$B$8*H363,0)</f>
        <v>0</v>
      </c>
      <c r="M364" s="64">
        <f>IF(AND(B364="Spring",AND(NOT(H363=0),H363&lt;(Variables!$B$9*Variables!$E$50))),(Variables!$B$10*Variables!$E$50+Variables!$B$11*Variables!$E$50*SUM(E361:E364)+$G$1*SUM(D363:D364)*Variables!$E$50*Variables!$B$12),0)</f>
        <v>0</v>
      </c>
      <c r="N364" s="64">
        <f>IF(AND(B364="Spring",AND(SUM(D361:D364)&gt;Variables!$B$13,SUM(D357:D360)&gt;Variables!$B$13)),-Variables!$B$14*Variables!$E$50,0)</f>
        <v>0</v>
      </c>
      <c r="O364" s="64">
        <f>IF(AND(B364="Summer",SUM(C360:D364)&gt;Variables!$B$15),(Variables!$B$16*Variables!$E$50*SUM(C360:C364)+$G$1*Variables!$B$16*Variables!$E$50*SUM(D360:D364)+$G$1*Variables!$E$50*Variables!$B$17*F364),0)</f>
        <v>0</v>
      </c>
      <c r="P364" s="64">
        <f>IF(AND(AND(B364="Autumn",SUM(D363:E364)&gt;0),NOT(H363=0)),Variables!$B$18*Variables!$E$50+Variables!$B$19*Variables!$E$50*SUM(E363:E364)+$G$1*Variables!$B$19*Variables!$E$50*SUM(D363:D364),0)</f>
        <v>3.1156254268054231</v>
      </c>
      <c r="Q364" s="64">
        <f>IF(AND(B364="Autumn",AND((E364+E363)&lt;Variables!$B$20,(D363+D364)=0)),-Variables!$B$21*Variables!$E$50,0)</f>
        <v>0</v>
      </c>
      <c r="R364" s="64">
        <f>IF(B364="Autumn",(SUM(F363:F364)*$G$1*Variables!$B$22*Variables!$E$50),0)</f>
        <v>5.0783052651964575E-2</v>
      </c>
      <c r="S364" s="64">
        <f>IF(B364="Spring",($G$1*Variables!$E$50*SUM('Guts (option 1)'!F363:F364)*Variables!$B$23),0)</f>
        <v>0</v>
      </c>
      <c r="T364" s="63">
        <f>IF((H363+SUM(J364:Q364))&lt;(Variables!$B$26*Variables!$E$50),$F$1*((Variables!$B$26*Variables!$E$50)-H363-SUM(J364:Q364)),0)</f>
        <v>0</v>
      </c>
      <c r="U364" s="64">
        <f>IF(AND(AND(B364="Autumn",SUM(D361:E364)&gt;Variables!$B$27),SUM(J364:Q364)&lt;Variables!$B$28*H363),$F$1*(Variables!$B$28*H363-SUM(J364:Q364)),0)</f>
        <v>0</v>
      </c>
      <c r="V364" s="96">
        <f>IF(AND((J364+K364)=0,(Q364+T364)=0),$H$1*H364*Variables!$I$23*0.25,0)</f>
        <v>108.47927594671795</v>
      </c>
      <c r="W364" s="97">
        <f>IF(AND((K364+J364)=0,(T364+Q364)=0),$I$1*H364*Variables!$Q$23*0.25,0)</f>
        <v>113.54910861110375</v>
      </c>
      <c r="X364" s="95">
        <f>IF(AND(NOT(K364=0),(H364-H363)&gt;0),(H364-H363)*(Variables!$M$5*$H$1+Variables!$U$5*$I$1),0)+IF(AND(NOT((J364+N364+Q364)=0),(H363-H364)&gt;0),(H363-H364)*(Variables!$M$4*$H$1+Variables!$U$4*$I$1),0)</f>
        <v>0</v>
      </c>
      <c r="Y364" s="95">
        <f>IF(SUM(T364,U363:U364)&gt;0,H364*Variables!$Y$11*0.25*(1-$J$1),0)</f>
        <v>0</v>
      </c>
      <c r="Z364" s="95">
        <f>IF(T364=0,H364*$J$1*Variables!$Y$5*0.25,0)</f>
        <v>36.591064088949317</v>
      </c>
      <c r="AA364" s="95">
        <f t="shared" si="11"/>
        <v>258.61944864677105</v>
      </c>
      <c r="AB364" s="91">
        <f>AA364/Variables!$E$49</f>
        <v>41.712814297866295</v>
      </c>
    </row>
    <row r="365" spans="1:28" x14ac:dyDescent="0.25">
      <c r="A365" s="61">
        <f>'Water runs'!C372</f>
        <v>35308</v>
      </c>
      <c r="B365" s="61" t="str">
        <f>'Water runs'!B372</f>
        <v>Winter</v>
      </c>
      <c r="C365" s="54">
        <f>'Water runs'!D372/100</f>
        <v>1.0081249999999999</v>
      </c>
      <c r="D365" s="108">
        <f>VLOOKUP(ROW(D365)+4,'Water runs'!$BS$3:$CF$423,MATCH($B$1,Scenarios,0)+1)</f>
        <v>0.11753291791700646</v>
      </c>
      <c r="E365" s="54">
        <f>IF(B365=Variables!$D$8,C365-Variables!$E$8,IF(B365=Variables!$D$9,C365-Variables!$E$9,IF(B365=Variables!$D$10,C365-Variables!$E$10,IF(B365=Variables!$D$11,C365-Variables!$E$11,"ELSE"))))</f>
        <v>0.4363573743386242</v>
      </c>
      <c r="F365" s="108">
        <f>VLOOKUP(ROW(F365)+4,'Water runs'!$CH$3:$CU$423,MATCH($B$1,Scenarios,0)+1)</f>
        <v>0.42580269835865686</v>
      </c>
      <c r="G365" s="65">
        <f>H365/Variables!$E$49</f>
        <v>0.45584907363552474</v>
      </c>
      <c r="H365" s="62">
        <f>IF((H364+I365)&gt;(1.1*Variables!$E$50),(1.1*Variables!$E$50),IF((H364+I365)&gt;0,H364+I365,0))</f>
        <v>2.8262642565402536</v>
      </c>
      <c r="I365" s="64">
        <f>SUM(J365:U365)</f>
        <v>-2.8031302186827181</v>
      </c>
      <c r="J365" s="63">
        <f>IF(SUM(E361:E364)&lt;Variables!$B$3,-H364,0)</f>
        <v>0</v>
      </c>
      <c r="K365" s="64">
        <f>IF(AND(H364&lt;Variables!$B$6*Variables!$E$50,OR(SUM(D362:D365)&gt;Variables!$B$5,SUM(E362:E365)&gt;Variables!$B$4)),Variables!$B$6*Variables!$E$50+Variables!$B$7*$G$1*Variables!$E$50*SUM(D362:D365),0)</f>
        <v>0</v>
      </c>
      <c r="L365" s="64">
        <f>IF(B365="Winter",Variables!$B$8*H364,0)</f>
        <v>-2.8031302186827181</v>
      </c>
      <c r="M365" s="64">
        <f>IF(AND(B365="Spring",AND(NOT(H364=0),H364&lt;(Variables!$B$9*Variables!$E$50))),(Variables!$B$10*Variables!$E$50+Variables!$B$11*Variables!$E$50*SUM(E362:E365)+$G$1*SUM(D364:D365)*Variables!$E$50*Variables!$B$12),0)</f>
        <v>0</v>
      </c>
      <c r="N365" s="64">
        <f>IF(AND(B365="Spring",AND(SUM(D362:D365)&gt;Variables!$B$13,SUM(D358:D361)&gt;Variables!$B$13)),-Variables!$B$14*Variables!$E$50,0)</f>
        <v>0</v>
      </c>
      <c r="O365" s="64">
        <f>IF(AND(B365="Summer",SUM(C361:D365)&gt;Variables!$B$15),(Variables!$B$16*Variables!$E$50*SUM(C361:C365)+$G$1*Variables!$B$16*Variables!$E$50*SUM(D361:D365)+$G$1*Variables!$E$50*Variables!$B$17*F365),0)</f>
        <v>0</v>
      </c>
      <c r="P365" s="64">
        <f>IF(AND(AND(B365="Autumn",SUM(D364:E365)&gt;0),NOT(H364=0)),Variables!$B$18*Variables!$E$50+Variables!$B$19*Variables!$E$50*SUM(E364:E365)+$G$1*Variables!$B$19*Variables!$E$50*SUM(D364:D365),0)</f>
        <v>0</v>
      </c>
      <c r="Q365" s="64">
        <f>IF(AND(B365="Autumn",AND((E365+E364)&lt;Variables!$B$20,(D364+D365)=0)),-Variables!$B$21*Variables!$E$50,0)</f>
        <v>0</v>
      </c>
      <c r="R365" s="64">
        <f>IF(B365="Autumn",(SUM(F364:F365)*$G$1*Variables!$B$22*Variables!$E$50),0)</f>
        <v>0</v>
      </c>
      <c r="S365" s="64">
        <f>IF(B365="Spring",($G$1*Variables!$E$50*SUM('Guts (option 1)'!F364:F365)*Variables!$B$23),0)</f>
        <v>0</v>
      </c>
      <c r="T365" s="63">
        <f>IF((H364+SUM(J365:Q365))&lt;(Variables!$B$26*Variables!$E$50),$F$1*((Variables!$B$26*Variables!$E$50)-H364-SUM(J365:Q365)),0)</f>
        <v>0</v>
      </c>
      <c r="U365" s="64">
        <f>IF(AND(AND(B365="Autumn",SUM(D362:E365)&gt;Variables!$B$27),SUM(J365:Q365)&lt;Variables!$B$28*H364),$F$1*(Variables!$B$28*H364-SUM(J365:Q365)),0)</f>
        <v>0</v>
      </c>
      <c r="V365" s="96">
        <f>IF(AND((J365+K365)=0,(Q365+T365)=0),$H$1*H365*Variables!$I$23*0.25,0)</f>
        <v>54.462536163169169</v>
      </c>
      <c r="W365" s="97">
        <f>IF(AND((K365+J365)=0,(T365+Q365)=0),$I$1*H365*Variables!$Q$23*0.25,0)</f>
        <v>57.007869752609317</v>
      </c>
      <c r="X365" s="95">
        <f>IF(AND(NOT(K365=0),(H365-H364)&gt;0),(H365-H364)*(Variables!$M$5*$H$1+Variables!$U$5*$I$1),0)+IF(AND(NOT((J365+N365+Q365)=0),(H364-H365)&gt;0),(H364-H365)*(Variables!$M$4*$H$1+Variables!$U$4*$I$1),0)</f>
        <v>0</v>
      </c>
      <c r="Y365" s="95">
        <f>IF(SUM(T365,U364:U365)&gt;0,H365*Variables!$Y$11*0.25*(1-$J$1),0)</f>
        <v>0</v>
      </c>
      <c r="Z365" s="95">
        <f>IF(T365=0,H365*$J$1*Variables!$Y$5*0.25,0)</f>
        <v>18.370717667511649</v>
      </c>
      <c r="AA365" s="95">
        <f t="shared" si="11"/>
        <v>129.84112358329014</v>
      </c>
      <c r="AB365" s="91">
        <f>AA365/Variables!$E$49</f>
        <v>20.942116706982279</v>
      </c>
    </row>
    <row r="366" spans="1:28" x14ac:dyDescent="0.25">
      <c r="A366" s="61">
        <f>'Water runs'!C373</f>
        <v>35399</v>
      </c>
      <c r="B366" s="61" t="str">
        <f>'Water runs'!B373</f>
        <v>Spring</v>
      </c>
      <c r="C366" s="54">
        <f>'Water runs'!D373/100</f>
        <v>0.61517857142857102</v>
      </c>
      <c r="D366" s="108">
        <f>VLOOKUP(ROW(D366)+4,'Water runs'!$BS$3:$CF$423,MATCH($B$1,Scenarios,0)+1)</f>
        <v>0</v>
      </c>
      <c r="E366" s="54">
        <f>IF(B366=Variables!$D$8,C366-Variables!$E$8,IF(B366=Variables!$D$9,C366-Variables!$E$9,IF(B366=Variables!$D$10,C366-Variables!$E$10,IF(B366=Variables!$D$11,C366-Variables!$E$11,"ELSE"))))</f>
        <v>-0.14880363756613812</v>
      </c>
      <c r="F366" s="108">
        <f>VLOOKUP(ROW(F366)+4,'Water runs'!$CH$3:$CU$423,MATCH($B$1,Scenarios,0)+1)</f>
        <v>0</v>
      </c>
      <c r="G366" s="65">
        <f>H366/Variables!$E$49</f>
        <v>0.46459892746209164</v>
      </c>
      <c r="H366" s="62">
        <f>IF((H365+I366)&gt;(1.1*Variables!$E$50),(1.1*Variables!$E$50),IF((H365+I366)&gt;0,H365+I366,0))</f>
        <v>2.8805133502649682</v>
      </c>
      <c r="I366" s="64">
        <f t="shared" ref="I366:I417" si="12">SUM(J366:U366)</f>
        <v>5.4249093724714655E-2</v>
      </c>
      <c r="J366" s="63">
        <f>IF(SUM(E362:E365)&lt;Variables!$B$3,-H365,0)</f>
        <v>0</v>
      </c>
      <c r="K366" s="64">
        <f>IF(AND(H365&lt;Variables!$B$6*Variables!$E$50,OR(SUM(D363:D366)&gt;Variables!$B$5,SUM(E363:E366)&gt;Variables!$B$4)),Variables!$B$6*Variables!$E$50+Variables!$B$7*$G$1*Variables!$E$50*SUM(D363:D366),0)</f>
        <v>0</v>
      </c>
      <c r="L366" s="64">
        <f>IF(B366="Winter",Variables!$B$8*H365,0)</f>
        <v>0</v>
      </c>
      <c r="M366" s="64">
        <f>IF(AND(B366="Spring",AND(NOT(H365=0),H365&lt;(Variables!$B$9*Variables!$E$50))),(Variables!$B$10*Variables!$E$50+Variables!$B$11*Variables!$E$50*SUM(E363:E366)+$G$1*SUM(D365:D366)*Variables!$E$50*Variables!$B$12),0)</f>
        <v>0</v>
      </c>
      <c r="N366" s="64">
        <f>IF(AND(B366="Spring",AND(SUM(D363:D366)&gt;Variables!$B$13,SUM(D359:D362)&gt;Variables!$B$13)),-Variables!$B$14*Variables!$E$50,0)</f>
        <v>0</v>
      </c>
      <c r="O366" s="64">
        <f>IF(AND(B366="Summer",SUM(C362:D366)&gt;Variables!$B$15),(Variables!$B$16*Variables!$E$50*SUM(C362:C366)+$G$1*Variables!$B$16*Variables!$E$50*SUM(D362:D366)+$G$1*Variables!$E$50*Variables!$B$17*F366),0)</f>
        <v>0</v>
      </c>
      <c r="P366" s="64">
        <f>IF(AND(AND(B366="Autumn",SUM(D365:E366)&gt;0),NOT(H365=0)),Variables!$B$18*Variables!$E$50+Variables!$B$19*Variables!$E$50*SUM(E365:E366)+$G$1*Variables!$B$19*Variables!$E$50*SUM(D365:D366),0)</f>
        <v>0</v>
      </c>
      <c r="Q366" s="64">
        <f>IF(AND(B366="Autumn",AND((E366+E365)&lt;Variables!$B$20,(D365+D366)=0)),-Variables!$B$21*Variables!$E$50,0)</f>
        <v>0</v>
      </c>
      <c r="R366" s="64">
        <f>IF(B366="Autumn",(SUM(F365:F366)*$G$1*Variables!$B$22*Variables!$E$50),0)</f>
        <v>0</v>
      </c>
      <c r="S366" s="64">
        <f>IF(B366="Spring",($G$1*Variables!$E$50*SUM('Guts (option 1)'!F365:F366)*Variables!$B$23),0)</f>
        <v>5.4249093724714655E-2</v>
      </c>
      <c r="T366" s="63">
        <f>IF((H365+SUM(J366:Q366))&lt;(Variables!$B$26*Variables!$E$50),$F$1*((Variables!$B$26*Variables!$E$50)-H365-SUM(J366:Q366)),0)</f>
        <v>0</v>
      </c>
      <c r="U366" s="64">
        <f>IF(AND(AND(B366="Autumn",SUM(D363:E366)&gt;Variables!$B$27),SUM(J366:Q366)&lt;Variables!$B$28*H365),$F$1*(Variables!$B$28*H365-SUM(J366:Q366)),0)</f>
        <v>0</v>
      </c>
      <c r="V366" s="96">
        <f>IF(AND((J366+K366)=0,(Q366+T366)=0),$H$1*H366*Variables!$I$23*0.25,0)</f>
        <v>55.507924336608482</v>
      </c>
      <c r="W366" s="97">
        <f>IF(AND((K366+J366)=0,(T366+Q366)=0),$I$1*H366*Variables!$Q$23*0.25,0)</f>
        <v>58.102114659857101</v>
      </c>
      <c r="X366" s="95">
        <f>IF(AND(NOT(K366=0),(H366-H365)&gt;0),(H366-H365)*(Variables!$M$5*$H$1+Variables!$U$5*$I$1),0)+IF(AND(NOT((J366+N366+Q366)=0),(H365-H366)&gt;0),(H365-H366)*(Variables!$M$4*$H$1+Variables!$U$4*$I$1),0)</f>
        <v>0</v>
      </c>
      <c r="Y366" s="95">
        <f>IF(SUM(T366,U365:U366)&gt;0,H366*Variables!$Y$11*0.25*(1-$J$1),0)</f>
        <v>0</v>
      </c>
      <c r="Z366" s="95">
        <f>IF(T366=0,H366*$J$1*Variables!$Y$5*0.25,0)</f>
        <v>18.723336776722295</v>
      </c>
      <c r="AA366" s="95">
        <f t="shared" si="11"/>
        <v>132.3333757731879</v>
      </c>
      <c r="AB366" s="91">
        <f>AA366/Variables!$E$49</f>
        <v>21.344092866643209</v>
      </c>
    </row>
    <row r="367" spans="1:28" x14ac:dyDescent="0.25">
      <c r="A367" s="61">
        <f>'Water runs'!C374</f>
        <v>35489</v>
      </c>
      <c r="B367" s="61" t="str">
        <f>'Water runs'!B374</f>
        <v>Summer</v>
      </c>
      <c r="C367" s="54">
        <f>'Water runs'!D374/100</f>
        <v>1.3169999999999999</v>
      </c>
      <c r="D367" s="108">
        <f>VLOOKUP(ROW(D367)+4,'Water runs'!$BS$3:$CF$423,MATCH($B$1,Scenarios,0)+1)</f>
        <v>8.9942121473645872E-3</v>
      </c>
      <c r="E367" s="54">
        <f>IF(B367=Variables!$D$8,C367-Variables!$E$8,IF(B367=Variables!$D$9,C367-Variables!$E$9,IF(B367=Variables!$D$10,C367-Variables!$E$10,IF(B367=Variables!$D$11,C367-Variables!$E$11,"ELSE"))))</f>
        <v>5.8629863945578231E-2</v>
      </c>
      <c r="F367" s="108">
        <f>VLOOKUP(ROW(F367)+4,'Water runs'!$CH$3:$CU$423,MATCH($B$1,Scenarios,0)+1)</f>
        <v>0</v>
      </c>
      <c r="G367" s="65">
        <f>H367/Variables!$E$49</f>
        <v>0.86190855066965022</v>
      </c>
      <c r="H367" s="62">
        <f>IF((H366+I367)&gt;(1.1*Variables!$E$50),(1.1*Variables!$E$50),IF((H366+I367)&gt;0,H366+I367,0))</f>
        <v>5.3438330141518318</v>
      </c>
      <c r="I367" s="64">
        <f t="shared" si="12"/>
        <v>2.4633196638868631</v>
      </c>
      <c r="J367" s="63">
        <f>IF(SUM(E363:E366)&lt;Variables!$B$3,-H366,0)</f>
        <v>0</v>
      </c>
      <c r="K367" s="64">
        <f>IF(AND(H366&lt;Variables!$B$6*Variables!$E$50,OR(SUM(D364:D367)&gt;Variables!$B$5,SUM(E364:E367)&gt;Variables!$B$4)),Variables!$B$6*Variables!$E$50+Variables!$B$7*$G$1*Variables!$E$50*SUM(D364:D367),0)</f>
        <v>0</v>
      </c>
      <c r="L367" s="64">
        <f>IF(B367="Winter",Variables!$B$8*H366,0)</f>
        <v>0</v>
      </c>
      <c r="M367" s="64">
        <f>IF(AND(B367="Spring",AND(NOT(H366=0),H366&lt;(Variables!$B$9*Variables!$E$50))),(Variables!$B$10*Variables!$E$50+Variables!$B$11*Variables!$E$50*SUM(E364:E367)+$G$1*SUM(D366:D367)*Variables!$E$50*Variables!$B$12),0)</f>
        <v>0</v>
      </c>
      <c r="N367" s="64">
        <f>IF(AND(B367="Spring",AND(SUM(D364:D367)&gt;Variables!$B$13,SUM(D360:D363)&gt;Variables!$B$13)),-Variables!$B$14*Variables!$E$50,0)</f>
        <v>0</v>
      </c>
      <c r="O367" s="64">
        <f>IF(AND(B367="Summer",SUM(C363:D367)&gt;Variables!$B$15),(Variables!$B$16*Variables!$E$50*SUM(C363:C367)+$G$1*Variables!$B$16*Variables!$E$50*SUM(D363:D367)+$G$1*Variables!$E$50*Variables!$B$17*F367),0)</f>
        <v>2.4633196638868631</v>
      </c>
      <c r="P367" s="64">
        <f>IF(AND(AND(B367="Autumn",SUM(D366:E367)&gt;0),NOT(H366=0)),Variables!$B$18*Variables!$E$50+Variables!$B$19*Variables!$E$50*SUM(E366:E367)+$G$1*Variables!$B$19*Variables!$E$50*SUM(D366:D367),0)</f>
        <v>0</v>
      </c>
      <c r="Q367" s="64">
        <f>IF(AND(B367="Autumn",AND((E367+E366)&lt;Variables!$B$20,(D366+D367)=0)),-Variables!$B$21*Variables!$E$50,0)</f>
        <v>0</v>
      </c>
      <c r="R367" s="64">
        <f>IF(B367="Autumn",(SUM(F366:F367)*$G$1*Variables!$B$22*Variables!$E$50),0)</f>
        <v>0</v>
      </c>
      <c r="S367" s="64">
        <f>IF(B367="Spring",($G$1*Variables!$E$50*SUM('Guts (option 1)'!F366:F367)*Variables!$B$23),0)</f>
        <v>0</v>
      </c>
      <c r="T367" s="63">
        <f>IF((H366+SUM(J367:Q367))&lt;(Variables!$B$26*Variables!$E$50),$F$1*((Variables!$B$26*Variables!$E$50)-H366-SUM(J367:Q367)),0)</f>
        <v>0</v>
      </c>
      <c r="U367" s="64">
        <f>IF(AND(AND(B367="Autumn",SUM(D364:E367)&gt;Variables!$B$27),SUM(J367:Q367)&lt;Variables!$B$28*H366),$F$1*(Variables!$B$28*H366-SUM(J367:Q367)),0)</f>
        <v>0</v>
      </c>
      <c r="V367" s="96">
        <f>IF(AND((J367+K367)=0,(Q367+T367)=0),$H$1*H367*Variables!$I$23*0.25,0)</f>
        <v>102.97646375765792</v>
      </c>
      <c r="W367" s="97">
        <f>IF(AND((K367+J367)=0,(T367+Q367)=0),$I$1*H367*Variables!$Q$23*0.25,0)</f>
        <v>107.78911977020304</v>
      </c>
      <c r="X367" s="95">
        <f>IF(AND(NOT(K367=0),(H367-H366)&gt;0),(H367-H366)*(Variables!$M$5*$H$1+Variables!$U$5*$I$1),0)+IF(AND(NOT((J367+N367+Q367)=0),(H366-H367)&gt;0),(H366-H367)*(Variables!$M$4*$H$1+Variables!$U$4*$I$1),0)</f>
        <v>0</v>
      </c>
      <c r="Y367" s="95">
        <f>IF(SUM(T367,U366:U367)&gt;0,H367*Variables!$Y$11*0.25*(1-$J$1),0)</f>
        <v>0</v>
      </c>
      <c r="Z367" s="95">
        <f>IF(T367=0,H367*$J$1*Variables!$Y$5*0.25,0)</f>
        <v>34.734914591986907</v>
      </c>
      <c r="AA367" s="95">
        <f t="shared" si="11"/>
        <v>245.50049811984786</v>
      </c>
      <c r="AB367" s="91">
        <f>AA367/Variables!$E$49</f>
        <v>39.596854535459329</v>
      </c>
    </row>
    <row r="368" spans="1:28" x14ac:dyDescent="0.25">
      <c r="A368" s="61">
        <f>'Water runs'!C375</f>
        <v>35581</v>
      </c>
      <c r="B368" s="61" t="str">
        <f>'Water runs'!B375</f>
        <v>Autumn</v>
      </c>
      <c r="C368" s="54">
        <f>'Water runs'!D375/100</f>
        <v>0.87762499999999999</v>
      </c>
      <c r="D368" s="108">
        <f>VLOOKUP(ROW(D368)+4,'Water runs'!$BS$3:$CF$423,MATCH($B$1,Scenarios,0)+1)</f>
        <v>4.7033705730053284E-2</v>
      </c>
      <c r="E368" s="54">
        <f>IF(B368=Variables!$D$8,C368-Variables!$E$8,IF(B368=Variables!$D$9,C368-Variables!$E$9,IF(B368=Variables!$D$10,C368-Variables!$E$10,IF(B368=Variables!$D$11,C368-Variables!$E$11,"ELSE"))))</f>
        <v>-0.11701829931972785</v>
      </c>
      <c r="F368" s="108">
        <f>VLOOKUP(ROW(F368)+4,'Water runs'!$CH$3:$CU$423,MATCH($B$1,Scenarios,0)+1)</f>
        <v>0</v>
      </c>
      <c r="G368" s="65">
        <f>H368/Variables!$E$49</f>
        <v>0.86190855066965022</v>
      </c>
      <c r="H368" s="62">
        <f>IF((H367+I368)&gt;(1.1*Variables!$E$50),(1.1*Variables!$E$50),IF((H367+I368)&gt;0,H367+I368,0))</f>
        <v>5.3438330141518318</v>
      </c>
      <c r="I368" s="64">
        <f t="shared" si="12"/>
        <v>0</v>
      </c>
      <c r="J368" s="63">
        <f>IF(SUM(E364:E367)&lt;Variables!$B$3,-H367,0)</f>
        <v>0</v>
      </c>
      <c r="K368" s="64">
        <f>IF(AND(H367&lt;Variables!$B$6*Variables!$E$50,OR(SUM(D365:D368)&gt;Variables!$B$5,SUM(E365:E368)&gt;Variables!$B$4)),Variables!$B$6*Variables!$E$50+Variables!$B$7*$G$1*Variables!$E$50*SUM(D365:D368),0)</f>
        <v>0</v>
      </c>
      <c r="L368" s="64">
        <f>IF(B368="Winter",Variables!$B$8*H367,0)</f>
        <v>0</v>
      </c>
      <c r="M368" s="64">
        <f>IF(AND(B368="Spring",AND(NOT(H367=0),H367&lt;(Variables!$B$9*Variables!$E$50))),(Variables!$B$10*Variables!$E$50+Variables!$B$11*Variables!$E$50*SUM(E365:E368)+$G$1*SUM(D367:D368)*Variables!$E$50*Variables!$B$12),0)</f>
        <v>0</v>
      </c>
      <c r="N368" s="64">
        <f>IF(AND(B368="Spring",AND(SUM(D365:D368)&gt;Variables!$B$13,SUM(D361:D364)&gt;Variables!$B$13)),-Variables!$B$14*Variables!$E$50,0)</f>
        <v>0</v>
      </c>
      <c r="O368" s="64">
        <f>IF(AND(B368="Summer",SUM(C364:D368)&gt;Variables!$B$15),(Variables!$B$16*Variables!$E$50*SUM(C364:C368)+$G$1*Variables!$B$16*Variables!$E$50*SUM(D364:D368)+$G$1*Variables!$E$50*Variables!$B$17*F368),0)</f>
        <v>0</v>
      </c>
      <c r="P368" s="64">
        <f>IF(AND(AND(B368="Autumn",SUM(D367:E368)&gt;0),NOT(H367=0)),Variables!$B$18*Variables!$E$50+Variables!$B$19*Variables!$E$50*SUM(E367:E368)+$G$1*Variables!$B$19*Variables!$E$50*SUM(D367:D368),0)</f>
        <v>0</v>
      </c>
      <c r="Q368" s="64">
        <f>IF(AND(B368="Autumn",AND((E368+E367)&lt;Variables!$B$20,(D367+D368)=0)),-Variables!$B$21*Variables!$E$50,0)</f>
        <v>0</v>
      </c>
      <c r="R368" s="64">
        <f>IF(B368="Autumn",(SUM(F367:F368)*$G$1*Variables!$B$22*Variables!$E$50),0)</f>
        <v>0</v>
      </c>
      <c r="S368" s="64">
        <f>IF(B368="Spring",($G$1*Variables!$E$50*SUM('Guts (option 1)'!F367:F368)*Variables!$B$23),0)</f>
        <v>0</v>
      </c>
      <c r="T368" s="63">
        <f>IF((H367+SUM(J368:Q368))&lt;(Variables!$B$26*Variables!$E$50),$F$1*((Variables!$B$26*Variables!$E$50)-H367-SUM(J368:Q368)),0)</f>
        <v>0</v>
      </c>
      <c r="U368" s="64">
        <f>IF(AND(AND(B368="Autumn",SUM(D365:E368)&gt;Variables!$B$27),SUM(J368:Q368)&lt;Variables!$B$28*H367),$F$1*(Variables!$B$28*H367-SUM(J368:Q368)),0)</f>
        <v>0</v>
      </c>
      <c r="V368" s="96">
        <f>IF(AND((J368+K368)=0,(Q368+T368)=0),$H$1*H368*Variables!$I$23*0.25,0)</f>
        <v>102.97646375765792</v>
      </c>
      <c r="W368" s="97">
        <f>IF(AND((K368+J368)=0,(T368+Q368)=0),$I$1*H368*Variables!$Q$23*0.25,0)</f>
        <v>107.78911977020304</v>
      </c>
      <c r="X368" s="95">
        <f>IF(AND(NOT(K368=0),(H368-H367)&gt;0),(H368-H367)*(Variables!$M$5*$H$1+Variables!$U$5*$I$1),0)+IF(AND(NOT((J368+N368+Q368)=0),(H367-H368)&gt;0),(H367-H368)*(Variables!$M$4*$H$1+Variables!$U$4*$I$1),0)</f>
        <v>0</v>
      </c>
      <c r="Y368" s="95">
        <f>IF(SUM(T368,U367:U368)&gt;0,H368*Variables!$Y$11*0.25*(1-$J$1),0)</f>
        <v>0</v>
      </c>
      <c r="Z368" s="95">
        <f>IF(T368=0,H368*$J$1*Variables!$Y$5*0.25,0)</f>
        <v>34.734914591986907</v>
      </c>
      <c r="AA368" s="95">
        <f t="shared" si="11"/>
        <v>245.50049811984786</v>
      </c>
      <c r="AB368" s="91">
        <f>AA368/Variables!$E$49</f>
        <v>39.596854535459329</v>
      </c>
    </row>
    <row r="369" spans="1:28" x14ac:dyDescent="0.25">
      <c r="A369" s="61">
        <f>'Water runs'!C376</f>
        <v>35673</v>
      </c>
      <c r="B369" s="61" t="str">
        <f>'Water runs'!B376</f>
        <v>Winter</v>
      </c>
      <c r="C369" s="54">
        <f>'Water runs'!D376/100</f>
        <v>0.25662499999999999</v>
      </c>
      <c r="D369" s="108">
        <f>VLOOKUP(ROW(D369)+4,'Water runs'!$BS$3:$CF$423,MATCH($B$1,Scenarios,0)+1)</f>
        <v>0</v>
      </c>
      <c r="E369" s="54">
        <f>IF(B369=Variables!$D$8,C369-Variables!$E$8,IF(B369=Variables!$D$9,C369-Variables!$E$9,IF(B369=Variables!$D$10,C369-Variables!$E$10,IF(B369=Variables!$D$11,C369-Variables!$E$11,"ELSE"))))</f>
        <v>-0.31514262566137574</v>
      </c>
      <c r="F369" s="108">
        <f>VLOOKUP(ROW(F369)+4,'Water runs'!$CH$3:$CU$423,MATCH($B$1,Scenarios,0)+1)</f>
        <v>0</v>
      </c>
      <c r="G369" s="65">
        <f>H369/Variables!$E$49</f>
        <v>0.43272528508806646</v>
      </c>
      <c r="H369" s="62">
        <f>IF((H368+I369)&gt;(1.1*Variables!$E$50),(1.1*Variables!$E$50),IF((H368+I369)&gt;0,H368+I369,0))</f>
        <v>2.682896767546012</v>
      </c>
      <c r="I369" s="64">
        <f t="shared" si="12"/>
        <v>-2.6609362466058197</v>
      </c>
      <c r="J369" s="63">
        <f>IF(SUM(E365:E368)&lt;Variables!$B$3,-H368,0)</f>
        <v>0</v>
      </c>
      <c r="K369" s="64">
        <f>IF(AND(H368&lt;Variables!$B$6*Variables!$E$50,OR(SUM(D366:D369)&gt;Variables!$B$5,SUM(E366:E369)&gt;Variables!$B$4)),Variables!$B$6*Variables!$E$50+Variables!$B$7*$G$1*Variables!$E$50*SUM(D366:D369),0)</f>
        <v>0</v>
      </c>
      <c r="L369" s="64">
        <f>IF(B369="Winter",Variables!$B$8*H368,0)</f>
        <v>-2.6609362466058197</v>
      </c>
      <c r="M369" s="64">
        <f>IF(AND(B369="Spring",AND(NOT(H368=0),H368&lt;(Variables!$B$9*Variables!$E$50))),(Variables!$B$10*Variables!$E$50+Variables!$B$11*Variables!$E$50*SUM(E366:E369)+$G$1*SUM(D368:D369)*Variables!$E$50*Variables!$B$12),0)</f>
        <v>0</v>
      </c>
      <c r="N369" s="64">
        <f>IF(AND(B369="Spring",AND(SUM(D366:D369)&gt;Variables!$B$13,SUM(D362:D365)&gt;Variables!$B$13)),-Variables!$B$14*Variables!$E$50,0)</f>
        <v>0</v>
      </c>
      <c r="O369" s="64">
        <f>IF(AND(B369="Summer",SUM(C365:D369)&gt;Variables!$B$15),(Variables!$B$16*Variables!$E$50*SUM(C365:C369)+$G$1*Variables!$B$16*Variables!$E$50*SUM(D365:D369)+$G$1*Variables!$E$50*Variables!$B$17*F369),0)</f>
        <v>0</v>
      </c>
      <c r="P369" s="64">
        <f>IF(AND(AND(B369="Autumn",SUM(D368:E369)&gt;0),NOT(H368=0)),Variables!$B$18*Variables!$E$50+Variables!$B$19*Variables!$E$50*SUM(E368:E369)+$G$1*Variables!$B$19*Variables!$E$50*SUM(D368:D369),0)</f>
        <v>0</v>
      </c>
      <c r="Q369" s="64">
        <f>IF(AND(B369="Autumn",AND((E369+E368)&lt;Variables!$B$20,(D368+D369)=0)),-Variables!$B$21*Variables!$E$50,0)</f>
        <v>0</v>
      </c>
      <c r="R369" s="64">
        <f>IF(B369="Autumn",(SUM(F368:F369)*$G$1*Variables!$B$22*Variables!$E$50),0)</f>
        <v>0</v>
      </c>
      <c r="S369" s="64">
        <f>IF(B369="Spring",($G$1*Variables!$E$50*SUM('Guts (option 1)'!F368:F369)*Variables!$B$23),0)</f>
        <v>0</v>
      </c>
      <c r="T369" s="63">
        <f>IF((H368+SUM(J369:Q369))&lt;(Variables!$B$26*Variables!$E$50),$F$1*((Variables!$B$26*Variables!$E$50)-H368-SUM(J369:Q369)),0)</f>
        <v>0</v>
      </c>
      <c r="U369" s="64">
        <f>IF(AND(AND(B369="Autumn",SUM(D366:E369)&gt;Variables!$B$27),SUM(J369:Q369)&lt;Variables!$B$28*H368),$F$1*(Variables!$B$28*H368-SUM(J369:Q369)),0)</f>
        <v>0</v>
      </c>
      <c r="V369" s="96">
        <f>IF(AND((J369+K369)=0,(Q369+T369)=0),$H$1*H369*Variables!$I$23*0.25,0)</f>
        <v>51.699823145126786</v>
      </c>
      <c r="W369" s="97">
        <f>IF(AND((K369+J369)=0,(T369+Q369)=0),$I$1*H369*Variables!$Q$23*0.25,0)</f>
        <v>54.116039973978715</v>
      </c>
      <c r="X369" s="95">
        <f>IF(AND(NOT(K369=0),(H369-H368)&gt;0),(H369-H368)*(Variables!$M$5*$H$1+Variables!$U$5*$I$1),0)+IF(AND(NOT((J369+N369+Q369)=0),(H368-H369)&gt;0),(H368-H369)*(Variables!$M$4*$H$1+Variables!$U$4*$I$1),0)</f>
        <v>0</v>
      </c>
      <c r="Y369" s="95">
        <f>IF(SUM(T369,U368:U369)&gt;0,H369*Variables!$Y$11*0.25*(1-$J$1),0)</f>
        <v>0</v>
      </c>
      <c r="Z369" s="95">
        <f>IF(T369=0,H369*$J$1*Variables!$Y$5*0.25,0)</f>
        <v>17.438828989049078</v>
      </c>
      <c r="AA369" s="95">
        <f t="shared" si="11"/>
        <v>123.25469210815459</v>
      </c>
      <c r="AB369" s="91">
        <f>AA369/Variables!$E$49</f>
        <v>19.879789049702353</v>
      </c>
    </row>
    <row r="370" spans="1:28" x14ac:dyDescent="0.25">
      <c r="A370" s="61">
        <f>'Water runs'!C377</f>
        <v>35764</v>
      </c>
      <c r="B370" s="61" t="str">
        <f>'Water runs'!B377</f>
        <v>Spring</v>
      </c>
      <c r="C370" s="54">
        <f>'Water runs'!D377/100</f>
        <v>0.93275000000000008</v>
      </c>
      <c r="D370" s="108">
        <f>VLOOKUP(ROW(D370)+4,'Water runs'!$BS$3:$CF$423,MATCH($B$1,Scenarios,0)+1)</f>
        <v>0</v>
      </c>
      <c r="E370" s="54">
        <f>IF(B370=Variables!$D$8,C370-Variables!$E$8,IF(B370=Variables!$D$9,C370-Variables!$E$9,IF(B370=Variables!$D$10,C370-Variables!$E$10,IF(B370=Variables!$D$11,C370-Variables!$E$11,"ELSE"))))</f>
        <v>0.16876779100529093</v>
      </c>
      <c r="F370" s="108">
        <f>VLOOKUP(ROW(F370)+4,'Water runs'!$CH$3:$CU$423,MATCH($B$1,Scenarios,0)+1)</f>
        <v>0</v>
      </c>
      <c r="G370" s="65">
        <f>H370/Variables!$E$49</f>
        <v>0.43272528508806646</v>
      </c>
      <c r="H370" s="62">
        <f>IF((H369+I370)&gt;(1.1*Variables!$E$50),(1.1*Variables!$E$50),IF((H369+I370)&gt;0,H369+I370,0))</f>
        <v>2.682896767546012</v>
      </c>
      <c r="I370" s="64">
        <f t="shared" si="12"/>
        <v>0</v>
      </c>
      <c r="J370" s="63">
        <f>IF(SUM(E366:E369)&lt;Variables!$B$3,-H369,0)</f>
        <v>0</v>
      </c>
      <c r="K370" s="64">
        <f>IF(AND(H369&lt;Variables!$B$6*Variables!$E$50,OR(SUM(D367:D370)&gt;Variables!$B$5,SUM(E367:E370)&gt;Variables!$B$4)),Variables!$B$6*Variables!$E$50+Variables!$B$7*$G$1*Variables!$E$50*SUM(D367:D370),0)</f>
        <v>0</v>
      </c>
      <c r="L370" s="64">
        <f>IF(B370="Winter",Variables!$B$8*H369,0)</f>
        <v>0</v>
      </c>
      <c r="M370" s="64">
        <f>IF(AND(B370="Spring",AND(NOT(H369=0),H369&lt;(Variables!$B$9*Variables!$E$50))),(Variables!$B$10*Variables!$E$50+Variables!$B$11*Variables!$E$50*SUM(E367:E370)+$G$1*SUM(D369:D370)*Variables!$E$50*Variables!$B$12),0)</f>
        <v>0</v>
      </c>
      <c r="N370" s="64">
        <f>IF(AND(B370="Spring",AND(SUM(D367:D370)&gt;Variables!$B$13,SUM(D363:D366)&gt;Variables!$B$13)),-Variables!$B$14*Variables!$E$50,0)</f>
        <v>0</v>
      </c>
      <c r="O370" s="64">
        <f>IF(AND(B370="Summer",SUM(C366:D370)&gt;Variables!$B$15),(Variables!$B$16*Variables!$E$50*SUM(C366:C370)+$G$1*Variables!$B$16*Variables!$E$50*SUM(D366:D370)+$G$1*Variables!$E$50*Variables!$B$17*F370),0)</f>
        <v>0</v>
      </c>
      <c r="P370" s="64">
        <f>IF(AND(AND(B370="Autumn",SUM(D369:E370)&gt;0),NOT(H369=0)),Variables!$B$18*Variables!$E$50+Variables!$B$19*Variables!$E$50*SUM(E369:E370)+$G$1*Variables!$B$19*Variables!$E$50*SUM(D369:D370),0)</f>
        <v>0</v>
      </c>
      <c r="Q370" s="64">
        <f>IF(AND(B370="Autumn",AND((E370+E369)&lt;Variables!$B$20,(D369+D370)=0)),-Variables!$B$21*Variables!$E$50,0)</f>
        <v>0</v>
      </c>
      <c r="R370" s="64">
        <f>IF(B370="Autumn",(SUM(F369:F370)*$G$1*Variables!$B$22*Variables!$E$50),0)</f>
        <v>0</v>
      </c>
      <c r="S370" s="64">
        <f>IF(B370="Spring",($G$1*Variables!$E$50*SUM('Guts (option 1)'!F369:F370)*Variables!$B$23),0)</f>
        <v>0</v>
      </c>
      <c r="T370" s="63">
        <f>IF((H369+SUM(J370:Q370))&lt;(Variables!$B$26*Variables!$E$50),$F$1*((Variables!$B$26*Variables!$E$50)-H369-SUM(J370:Q370)),0)</f>
        <v>0</v>
      </c>
      <c r="U370" s="64">
        <f>IF(AND(AND(B370="Autumn",SUM(D367:E370)&gt;Variables!$B$27),SUM(J370:Q370)&lt;Variables!$B$28*H369),$F$1*(Variables!$B$28*H369-SUM(J370:Q370)),0)</f>
        <v>0</v>
      </c>
      <c r="V370" s="96">
        <f>IF(AND((J370+K370)=0,(Q370+T370)=0),$H$1*H370*Variables!$I$23*0.25,0)</f>
        <v>51.699823145126786</v>
      </c>
      <c r="W370" s="97">
        <f>IF(AND((K370+J370)=0,(T370+Q370)=0),$I$1*H370*Variables!$Q$23*0.25,0)</f>
        <v>54.116039973978715</v>
      </c>
      <c r="X370" s="95">
        <f>IF(AND(NOT(K370=0),(H370-H369)&gt;0),(H370-H369)*(Variables!$M$5*$H$1+Variables!$U$5*$I$1),0)+IF(AND(NOT((J370+N370+Q370)=0),(H369-H370)&gt;0),(H369-H370)*(Variables!$M$4*$H$1+Variables!$U$4*$I$1),0)</f>
        <v>0</v>
      </c>
      <c r="Y370" s="95">
        <f>IF(SUM(T370,U369:U370)&gt;0,H370*Variables!$Y$11*0.25*(1-$J$1),0)</f>
        <v>0</v>
      </c>
      <c r="Z370" s="95">
        <f>IF(T370=0,H370*$J$1*Variables!$Y$5*0.25,0)</f>
        <v>17.438828989049078</v>
      </c>
      <c r="AA370" s="95">
        <f t="shared" si="11"/>
        <v>123.25469210815459</v>
      </c>
      <c r="AB370" s="91">
        <f>AA370/Variables!$E$49</f>
        <v>19.879789049702353</v>
      </c>
    </row>
    <row r="371" spans="1:28" x14ac:dyDescent="0.25">
      <c r="A371" s="61">
        <f>'Water runs'!C378</f>
        <v>35854</v>
      </c>
      <c r="B371" s="61" t="str">
        <f>'Water runs'!B378</f>
        <v>Summer</v>
      </c>
      <c r="C371" s="54">
        <f>'Water runs'!D378/100</f>
        <v>1.7602500000000001</v>
      </c>
      <c r="D371" s="108">
        <f>VLOOKUP(ROW(D371)+4,'Water runs'!$BS$3:$CF$423,MATCH($B$1,Scenarios,0)+1)</f>
        <v>7.4128852960039272E-3</v>
      </c>
      <c r="E371" s="54">
        <f>IF(B371=Variables!$D$8,C371-Variables!$E$8,IF(B371=Variables!$D$9,C371-Variables!$E$9,IF(B371=Variables!$D$10,C371-Variables!$E$10,IF(B371=Variables!$D$11,C371-Variables!$E$11,"ELSE"))))</f>
        <v>0.50187986394557837</v>
      </c>
      <c r="F371" s="108">
        <f>VLOOKUP(ROW(F371)+4,'Water runs'!$CH$3:$CU$423,MATCH($B$1,Scenarios,0)+1)</f>
        <v>0</v>
      </c>
      <c r="G371" s="65">
        <f>H371/Variables!$E$49</f>
        <v>0.43272528508806646</v>
      </c>
      <c r="H371" s="62">
        <f>IF((H370+I371)&gt;(1.1*Variables!$E$50),(1.1*Variables!$E$50),IF((H370+I371)&gt;0,H370+I371,0))</f>
        <v>2.682896767546012</v>
      </c>
      <c r="I371" s="64">
        <f t="shared" si="12"/>
        <v>0</v>
      </c>
      <c r="J371" s="63">
        <f>IF(SUM(E367:E370)&lt;Variables!$B$3,-H370,0)</f>
        <v>0</v>
      </c>
      <c r="K371" s="64">
        <f>IF(AND(H370&lt;Variables!$B$6*Variables!$E$50,OR(SUM(D368:D371)&gt;Variables!$B$5,SUM(E368:E371)&gt;Variables!$B$4)),Variables!$B$6*Variables!$E$50+Variables!$B$7*$G$1*Variables!$E$50*SUM(D368:D371),0)</f>
        <v>0</v>
      </c>
      <c r="L371" s="64">
        <f>IF(B371="Winter",Variables!$B$8*H370,0)</f>
        <v>0</v>
      </c>
      <c r="M371" s="64">
        <f>IF(AND(B371="Spring",AND(NOT(H370=0),H370&lt;(Variables!$B$9*Variables!$E$50))),(Variables!$B$10*Variables!$E$50+Variables!$B$11*Variables!$E$50*SUM(E368:E371)+$G$1*SUM(D370:D371)*Variables!$E$50*Variables!$B$12),0)</f>
        <v>0</v>
      </c>
      <c r="N371" s="64">
        <f>IF(AND(B371="Spring",AND(SUM(D368:D371)&gt;Variables!$B$13,SUM(D364:D367)&gt;Variables!$B$13)),-Variables!$B$14*Variables!$E$50,0)</f>
        <v>0</v>
      </c>
      <c r="O371" s="64">
        <f>IF(AND(B371="Summer",SUM(C367:D371)&gt;Variables!$B$15),(Variables!$B$16*Variables!$E$50*SUM(C367:C371)+$G$1*Variables!$B$16*Variables!$E$50*SUM(D367:D371)+$G$1*Variables!$E$50*Variables!$B$17*F371),0)</f>
        <v>0</v>
      </c>
      <c r="P371" s="64">
        <f>IF(AND(AND(B371="Autumn",SUM(D370:E371)&gt;0),NOT(H370=0)),Variables!$B$18*Variables!$E$50+Variables!$B$19*Variables!$E$50*SUM(E370:E371)+$G$1*Variables!$B$19*Variables!$E$50*SUM(D370:D371),0)</f>
        <v>0</v>
      </c>
      <c r="Q371" s="64">
        <f>IF(AND(B371="Autumn",AND((E371+E370)&lt;Variables!$B$20,(D370+D371)=0)),-Variables!$B$21*Variables!$E$50,0)</f>
        <v>0</v>
      </c>
      <c r="R371" s="64">
        <f>IF(B371="Autumn",(SUM(F370:F371)*$G$1*Variables!$B$22*Variables!$E$50),0)</f>
        <v>0</v>
      </c>
      <c r="S371" s="64">
        <f>IF(B371="Spring",($G$1*Variables!$E$50*SUM('Guts (option 1)'!F370:F371)*Variables!$B$23),0)</f>
        <v>0</v>
      </c>
      <c r="T371" s="63">
        <f>IF((H370+SUM(J371:Q371))&lt;(Variables!$B$26*Variables!$E$50),$F$1*((Variables!$B$26*Variables!$E$50)-H370-SUM(J371:Q371)),0)</f>
        <v>0</v>
      </c>
      <c r="U371" s="64">
        <f>IF(AND(AND(B371="Autumn",SUM(D368:E371)&gt;Variables!$B$27),SUM(J371:Q371)&lt;Variables!$B$28*H370),$F$1*(Variables!$B$28*H370-SUM(J371:Q371)),0)</f>
        <v>0</v>
      </c>
      <c r="V371" s="96">
        <f>IF(AND((J371+K371)=0,(Q371+T371)=0),$H$1*H371*Variables!$I$23*0.25,0)</f>
        <v>51.699823145126786</v>
      </c>
      <c r="W371" s="97">
        <f>IF(AND((K371+J371)=0,(T371+Q371)=0),$I$1*H371*Variables!$Q$23*0.25,0)</f>
        <v>54.116039973978715</v>
      </c>
      <c r="X371" s="95">
        <f>IF(AND(NOT(K371=0),(H371-H370)&gt;0),(H371-H370)*(Variables!$M$5*$H$1+Variables!$U$5*$I$1),0)+IF(AND(NOT((J371+N371+Q371)=0),(H370-H371)&gt;0),(H370-H371)*(Variables!$M$4*$H$1+Variables!$U$4*$I$1),0)</f>
        <v>0</v>
      </c>
      <c r="Y371" s="95">
        <f>IF(SUM(T371,U370:U371)&gt;0,H371*Variables!$Y$11*0.25*(1-$J$1),0)</f>
        <v>0</v>
      </c>
      <c r="Z371" s="95">
        <f>IF(T371=0,H371*$J$1*Variables!$Y$5*0.25,0)</f>
        <v>17.438828989049078</v>
      </c>
      <c r="AA371" s="95">
        <f t="shared" si="11"/>
        <v>123.25469210815459</v>
      </c>
      <c r="AB371" s="91">
        <f>AA371/Variables!$E$49</f>
        <v>19.879789049702353</v>
      </c>
    </row>
    <row r="372" spans="1:28" x14ac:dyDescent="0.25">
      <c r="A372" s="61">
        <f>'Water runs'!C379</f>
        <v>35946</v>
      </c>
      <c r="B372" s="61" t="str">
        <f>'Water runs'!B379</f>
        <v>Autumn</v>
      </c>
      <c r="C372" s="54">
        <f>'Water runs'!D379/100</f>
        <v>1.0687500000000001</v>
      </c>
      <c r="D372" s="108">
        <f>VLOOKUP(ROW(D372)+4,'Water runs'!$BS$3:$CF$423,MATCH($B$1,Scenarios,0)+1)</f>
        <v>4.5831716799024534E-3</v>
      </c>
      <c r="E372" s="54">
        <f>IF(B372=Variables!$D$8,C372-Variables!$E$8,IF(B372=Variables!$D$9,C372-Variables!$E$9,IF(B372=Variables!$D$10,C372-Variables!$E$10,IF(B372=Variables!$D$11,C372-Variables!$E$11,"ELSE"))))</f>
        <v>7.4106700680272253E-2</v>
      </c>
      <c r="F372" s="108">
        <f>VLOOKUP(ROW(F372)+4,'Water runs'!$CH$3:$CU$423,MATCH($B$1,Scenarios,0)+1)</f>
        <v>0</v>
      </c>
      <c r="G372" s="65">
        <f>H372/Variables!$E$49</f>
        <v>0.69808958627392714</v>
      </c>
      <c r="H372" s="62">
        <f>IF((H371+I372)&gt;(1.1*Variables!$E$50),(1.1*Variables!$E$50),IF((H371+I372)&gt;0,H371+I372,0))</f>
        <v>4.3281554348983482</v>
      </c>
      <c r="I372" s="64">
        <f t="shared" si="12"/>
        <v>1.6452586673523359</v>
      </c>
      <c r="J372" s="63">
        <f>IF(SUM(E368:E371)&lt;Variables!$B$3,-H371,0)</f>
        <v>0</v>
      </c>
      <c r="K372" s="64">
        <f>IF(AND(H371&lt;Variables!$B$6*Variables!$E$50,OR(SUM(D369:D372)&gt;Variables!$B$5,SUM(E369:E372)&gt;Variables!$B$4)),Variables!$B$6*Variables!$E$50+Variables!$B$7*$G$1*Variables!$E$50*SUM(D369:D372),0)</f>
        <v>0</v>
      </c>
      <c r="L372" s="64">
        <f>IF(B372="Winter",Variables!$B$8*H371,0)</f>
        <v>0</v>
      </c>
      <c r="M372" s="64">
        <f>IF(AND(B372="Spring",AND(NOT(H371=0),H371&lt;(Variables!$B$9*Variables!$E$50))),(Variables!$B$10*Variables!$E$50+Variables!$B$11*Variables!$E$50*SUM(E369:E372)+$G$1*SUM(D371:D372)*Variables!$E$50*Variables!$B$12),0)</f>
        <v>0</v>
      </c>
      <c r="N372" s="64">
        <f>IF(AND(B372="Spring",AND(SUM(D369:D372)&gt;Variables!$B$13,SUM(D365:D368)&gt;Variables!$B$13)),-Variables!$B$14*Variables!$E$50,0)</f>
        <v>0</v>
      </c>
      <c r="O372" s="64">
        <f>IF(AND(B372="Summer",SUM(C368:D372)&gt;Variables!$B$15),(Variables!$B$16*Variables!$E$50*SUM(C368:C372)+$G$1*Variables!$B$16*Variables!$E$50*SUM(D368:D372)+$G$1*Variables!$E$50*Variables!$B$17*F372),0)</f>
        <v>0</v>
      </c>
      <c r="P372" s="64">
        <f>IF(AND(AND(B372="Autumn",SUM(D371:E372)&gt;0),NOT(H371=0)),Variables!$B$18*Variables!$E$50+Variables!$B$19*Variables!$E$50*SUM(E371:E372)+$G$1*Variables!$B$19*Variables!$E$50*SUM(D371:D372),0)</f>
        <v>1.6452586673523359</v>
      </c>
      <c r="Q372" s="64">
        <f>IF(AND(B372="Autumn",AND((E372+E371)&lt;Variables!$B$20,(D371+D372)=0)),-Variables!$B$21*Variables!$E$50,0)</f>
        <v>0</v>
      </c>
      <c r="R372" s="64">
        <f>IF(B372="Autumn",(SUM(F371:F372)*$G$1*Variables!$B$22*Variables!$E$50),0)</f>
        <v>0</v>
      </c>
      <c r="S372" s="64">
        <f>IF(B372="Spring",($G$1*Variables!$E$50*SUM('Guts (option 1)'!F371:F372)*Variables!$B$23),0)</f>
        <v>0</v>
      </c>
      <c r="T372" s="63">
        <f>IF((H371+SUM(J372:Q372))&lt;(Variables!$B$26*Variables!$E$50),$F$1*((Variables!$B$26*Variables!$E$50)-H371-SUM(J372:Q372)),0)</f>
        <v>0</v>
      </c>
      <c r="U372" s="64">
        <f>IF(AND(AND(B372="Autumn",SUM(D369:E372)&gt;Variables!$B$27),SUM(J372:Q372)&lt;Variables!$B$28*H371),$F$1*(Variables!$B$28*H371-SUM(J372:Q372)),0)</f>
        <v>0</v>
      </c>
      <c r="V372" s="96">
        <f>IF(AND((J372+K372)=0,(Q372+T372)=0),$H$1*H372*Variables!$I$23*0.25,0)</f>
        <v>83.404204453806415</v>
      </c>
      <c r="W372" s="97">
        <f>IF(AND((K372+J372)=0,(T372+Q372)=0),$I$1*H372*Variables!$Q$23*0.25,0)</f>
        <v>87.302141238475855</v>
      </c>
      <c r="X372" s="95">
        <f>IF(AND(NOT(K372=0),(H372-H371)&gt;0),(H372-H371)*(Variables!$M$5*$H$1+Variables!$U$5*$I$1),0)+IF(AND(NOT((J372+N372+Q372)=0),(H371-H372)&gt;0),(H371-H372)*(Variables!$M$4*$H$1+Variables!$U$4*$I$1),0)</f>
        <v>0</v>
      </c>
      <c r="Y372" s="95">
        <f>IF(SUM(T372,U371:U372)&gt;0,H372*Variables!$Y$11*0.25*(1-$J$1),0)</f>
        <v>0</v>
      </c>
      <c r="Z372" s="95">
        <f>IF(T372=0,H372*$J$1*Variables!$Y$5*0.25,0)</f>
        <v>28.133010326839262</v>
      </c>
      <c r="AA372" s="95">
        <f t="shared" si="11"/>
        <v>198.83935601912154</v>
      </c>
      <c r="AB372" s="91">
        <f>AA372/Variables!$E$49</f>
        <v>32.070863874051859</v>
      </c>
    </row>
    <row r="373" spans="1:28" x14ac:dyDescent="0.25">
      <c r="A373" s="61">
        <f>'Water runs'!C380</f>
        <v>36038</v>
      </c>
      <c r="B373" s="61" t="str">
        <f>'Water runs'!B380</f>
        <v>Winter</v>
      </c>
      <c r="C373" s="54">
        <f>'Water runs'!D380/100</f>
        <v>2.0202142857142902</v>
      </c>
      <c r="D373" s="108">
        <f>VLOOKUP(ROW(D373)+4,'Water runs'!$BS$3:$CF$423,MATCH($B$1,Scenarios,0)+1)</f>
        <v>0</v>
      </c>
      <c r="E373" s="54">
        <f>IF(B373=Variables!$D$8,C373-Variables!$E$8,IF(B373=Variables!$D$9,C373-Variables!$E$9,IF(B373=Variables!$D$10,C373-Variables!$E$10,IF(B373=Variables!$D$11,C373-Variables!$E$11,"ELSE"))))</f>
        <v>1.4484466600529144</v>
      </c>
      <c r="F373" s="108">
        <f>VLOOKUP(ROW(F373)+4,'Water runs'!$CH$3:$CU$423,MATCH($B$1,Scenarios,0)+1)</f>
        <v>0</v>
      </c>
      <c r="G373" s="65">
        <f>H373/Variables!$E$49</f>
        <v>0.35047919527274324</v>
      </c>
      <c r="H373" s="62">
        <f>IF((H372+I373)&gt;(1.1*Variables!$E$50),(1.1*Variables!$E$50),IF((H372+I373)&gt;0,H372+I373,0))</f>
        <v>2.1729710106910081</v>
      </c>
      <c r="I373" s="64">
        <f t="shared" si="12"/>
        <v>-2.1551844242073401</v>
      </c>
      <c r="J373" s="63">
        <f>IF(SUM(E369:E372)&lt;Variables!$B$3,-H372,0)</f>
        <v>0</v>
      </c>
      <c r="K373" s="64">
        <f>IF(AND(H372&lt;Variables!$B$6*Variables!$E$50,OR(SUM(D370:D373)&gt;Variables!$B$5,SUM(E370:E373)&gt;Variables!$B$4)),Variables!$B$6*Variables!$E$50+Variables!$B$7*$G$1*Variables!$E$50*SUM(D370:D373),0)</f>
        <v>0</v>
      </c>
      <c r="L373" s="64">
        <f>IF(B373="Winter",Variables!$B$8*H372,0)</f>
        <v>-2.1551844242073401</v>
      </c>
      <c r="M373" s="64">
        <f>IF(AND(B373="Spring",AND(NOT(H372=0),H372&lt;(Variables!$B$9*Variables!$E$50))),(Variables!$B$10*Variables!$E$50+Variables!$B$11*Variables!$E$50*SUM(E370:E373)+$G$1*SUM(D372:D373)*Variables!$E$50*Variables!$B$12),0)</f>
        <v>0</v>
      </c>
      <c r="N373" s="64">
        <f>IF(AND(B373="Spring",AND(SUM(D370:D373)&gt;Variables!$B$13,SUM(D366:D369)&gt;Variables!$B$13)),-Variables!$B$14*Variables!$E$50,0)</f>
        <v>0</v>
      </c>
      <c r="O373" s="64">
        <f>IF(AND(B373="Summer",SUM(C369:D373)&gt;Variables!$B$15),(Variables!$B$16*Variables!$E$50*SUM(C369:C373)+$G$1*Variables!$B$16*Variables!$E$50*SUM(D369:D373)+$G$1*Variables!$E$50*Variables!$B$17*F373),0)</f>
        <v>0</v>
      </c>
      <c r="P373" s="64">
        <f>IF(AND(AND(B373="Autumn",SUM(D372:E373)&gt;0),NOT(H372=0)),Variables!$B$18*Variables!$E$50+Variables!$B$19*Variables!$E$50*SUM(E372:E373)+$G$1*Variables!$B$19*Variables!$E$50*SUM(D372:D373),0)</f>
        <v>0</v>
      </c>
      <c r="Q373" s="64">
        <f>IF(AND(B373="Autumn",AND((E373+E372)&lt;Variables!$B$20,(D372+D373)=0)),-Variables!$B$21*Variables!$E$50,0)</f>
        <v>0</v>
      </c>
      <c r="R373" s="64">
        <f>IF(B373="Autumn",(SUM(F372:F373)*$G$1*Variables!$B$22*Variables!$E$50),0)</f>
        <v>0</v>
      </c>
      <c r="S373" s="64">
        <f>IF(B373="Spring",($G$1*Variables!$E$50*SUM('Guts (option 1)'!F372:F373)*Variables!$B$23),0)</f>
        <v>0</v>
      </c>
      <c r="T373" s="63">
        <f>IF((H372+SUM(J373:Q373))&lt;(Variables!$B$26*Variables!$E$50),$F$1*((Variables!$B$26*Variables!$E$50)-H372-SUM(J373:Q373)),0)</f>
        <v>0</v>
      </c>
      <c r="U373" s="64">
        <f>IF(AND(AND(B373="Autumn",SUM(D370:E373)&gt;Variables!$B$27),SUM(J373:Q373)&lt;Variables!$B$28*H372),$F$1*(Variables!$B$28*H372-SUM(J373:Q373)),0)</f>
        <v>0</v>
      </c>
      <c r="V373" s="96">
        <f>IF(AND((J373+K373)=0,(Q373+T373)=0),$H$1*H373*Variables!$I$23*0.25,0)</f>
        <v>41.87347732166733</v>
      </c>
      <c r="W373" s="97">
        <f>IF(AND((K373+J373)=0,(T373+Q373)=0),$I$1*H373*Variables!$Q$23*0.25,0)</f>
        <v>43.830455013895644</v>
      </c>
      <c r="X373" s="95">
        <f>IF(AND(NOT(K373=0),(H373-H372)&gt;0),(H373-H372)*(Variables!$M$5*$H$1+Variables!$U$5*$I$1),0)+IF(AND(NOT((J373+N373+Q373)=0),(H372-H373)&gt;0),(H372-H373)*(Variables!$M$4*$H$1+Variables!$U$4*$I$1),0)</f>
        <v>0</v>
      </c>
      <c r="Y373" s="95">
        <f>IF(SUM(T373,U372:U373)&gt;0,H373*Variables!$Y$11*0.25*(1-$J$1),0)</f>
        <v>0</v>
      </c>
      <c r="Z373" s="95">
        <f>IF(T373=0,H373*$J$1*Variables!$Y$5*0.25,0)</f>
        <v>14.124311569491553</v>
      </c>
      <c r="AA373" s="95">
        <f t="shared" si="11"/>
        <v>99.828243905054521</v>
      </c>
      <c r="AB373" s="91">
        <f>AA373/Variables!$E$49</f>
        <v>16.101329662105567</v>
      </c>
    </row>
    <row r="374" spans="1:28" x14ac:dyDescent="0.25">
      <c r="A374" s="61">
        <f>'Water runs'!C381</f>
        <v>36129</v>
      </c>
      <c r="B374" s="61" t="str">
        <f>'Water runs'!B381</f>
        <v>Spring</v>
      </c>
      <c r="C374" s="54">
        <f>'Water runs'!D381/100</f>
        <v>1.59775</v>
      </c>
      <c r="D374" s="108">
        <f>VLOOKUP(ROW(D374)+4,'Water runs'!$BS$3:$CF$423,MATCH($B$1,Scenarios,0)+1)</f>
        <v>0.19170690187570763</v>
      </c>
      <c r="E374" s="54">
        <f>IF(B374=Variables!$D$8,C374-Variables!$E$8,IF(B374=Variables!$D$9,C374-Variables!$E$9,IF(B374=Variables!$D$10,C374-Variables!$E$10,IF(B374=Variables!$D$11,C374-Variables!$E$11,"ELSE"))))</f>
        <v>0.83376779100529086</v>
      </c>
      <c r="F374" s="108">
        <f>VLOOKUP(ROW(F374)+4,'Water runs'!$CH$3:$CU$423,MATCH($B$1,Scenarios,0)+1)</f>
        <v>8.5471896056184132E-2</v>
      </c>
      <c r="G374" s="65">
        <f>H374/Variables!$E$49</f>
        <v>0.67760197551391177</v>
      </c>
      <c r="H374" s="62">
        <f>IF((H373+I374)&gt;(1.1*Variables!$E$50),(1.1*Variables!$E$50),IF((H373+I374)&gt;0,H373+I374,0))</f>
        <v>4.2011322481862532</v>
      </c>
      <c r="I374" s="64">
        <f t="shared" si="12"/>
        <v>2.0281612374952451</v>
      </c>
      <c r="J374" s="63">
        <f>IF(SUM(E370:E373)&lt;Variables!$B$3,-H373,0)</f>
        <v>0</v>
      </c>
      <c r="K374" s="64">
        <f>IF(AND(H373&lt;Variables!$B$6*Variables!$E$50,OR(SUM(D371:D374)&gt;Variables!$B$5,SUM(E371:E374)&gt;Variables!$B$4)),Variables!$B$6*Variables!$E$50+Variables!$B$7*$G$1*Variables!$E$50*SUM(D371:D374),0)</f>
        <v>0</v>
      </c>
      <c r="L374" s="64">
        <f>IF(B374="Winter",Variables!$B$8*H373,0)</f>
        <v>0</v>
      </c>
      <c r="M374" s="64">
        <f>IF(AND(B374="Spring",AND(NOT(H373=0),H373&lt;(Variables!$B$9*Variables!$E$50))),(Variables!$B$10*Variables!$E$50+Variables!$B$11*Variables!$E$50*SUM(E371:E374)+$G$1*SUM(D373:D374)*Variables!$E$50*Variables!$B$12),0)</f>
        <v>2.01727175060882</v>
      </c>
      <c r="N374" s="64">
        <f>IF(AND(B374="Spring",AND(SUM(D371:D374)&gt;Variables!$B$13,SUM(D367:D370)&gt;Variables!$B$13)),-Variables!$B$14*Variables!$E$50,0)</f>
        <v>0</v>
      </c>
      <c r="O374" s="64">
        <f>IF(AND(B374="Summer",SUM(C370:D374)&gt;Variables!$B$15),(Variables!$B$16*Variables!$E$50*SUM(C370:C374)+$G$1*Variables!$B$16*Variables!$E$50*SUM(D370:D374)+$G$1*Variables!$E$50*Variables!$B$17*F374),0)</f>
        <v>0</v>
      </c>
      <c r="P374" s="64">
        <f>IF(AND(AND(B374="Autumn",SUM(D373:E374)&gt;0),NOT(H373=0)),Variables!$B$18*Variables!$E$50+Variables!$B$19*Variables!$E$50*SUM(E373:E374)+$G$1*Variables!$B$19*Variables!$E$50*SUM(D373:D374),0)</f>
        <v>0</v>
      </c>
      <c r="Q374" s="64">
        <f>IF(AND(B374="Autumn",AND((E374+E373)&lt;Variables!$B$20,(D373+D374)=0)),-Variables!$B$21*Variables!$E$50,0)</f>
        <v>0</v>
      </c>
      <c r="R374" s="64">
        <f>IF(B374="Autumn",(SUM(F373:F374)*$G$1*Variables!$B$22*Variables!$E$50),0)</f>
        <v>0</v>
      </c>
      <c r="S374" s="64">
        <f>IF(B374="Spring",($G$1*Variables!$E$50*SUM('Guts (option 1)'!F373:F374)*Variables!$B$23),0)</f>
        <v>1.0889486886425066E-2</v>
      </c>
      <c r="T374" s="63">
        <f>IF((H373+SUM(J374:Q374))&lt;(Variables!$B$26*Variables!$E$50),$F$1*((Variables!$B$26*Variables!$E$50)-H373-SUM(J374:Q374)),0)</f>
        <v>0</v>
      </c>
      <c r="U374" s="64">
        <f>IF(AND(AND(B374="Autumn",SUM(D371:E374)&gt;Variables!$B$27),SUM(J374:Q374)&lt;Variables!$B$28*H373),$F$1*(Variables!$B$28*H373-SUM(J374:Q374)),0)</f>
        <v>0</v>
      </c>
      <c r="V374" s="96">
        <f>IF(AND((J374+K374)=0,(Q374+T374)=0),$H$1*H374*Variables!$I$23*0.25,0)</f>
        <v>80.956448592386337</v>
      </c>
      <c r="W374" s="97">
        <f>IF(AND((K374+J374)=0,(T374+Q374)=0),$I$1*H374*Variables!$Q$23*0.25,0)</f>
        <v>84.739988295102862</v>
      </c>
      <c r="X374" s="95">
        <f>IF(AND(NOT(K374=0),(H374-H373)&gt;0),(H374-H373)*(Variables!$M$5*$H$1+Variables!$U$5*$I$1),0)+IF(AND(NOT((J374+N374+Q374)=0),(H373-H374)&gt;0),(H373-H374)*(Variables!$M$4*$H$1+Variables!$U$4*$I$1),0)</f>
        <v>0</v>
      </c>
      <c r="Y374" s="95">
        <f>IF(SUM(T374,U373:U374)&gt;0,H374*Variables!$Y$11*0.25*(1-$J$1),0)</f>
        <v>0</v>
      </c>
      <c r="Z374" s="95">
        <f>IF(T374=0,H374*$J$1*Variables!$Y$5*0.25,0)</f>
        <v>27.307359613210647</v>
      </c>
      <c r="AA374" s="95">
        <f t="shared" si="11"/>
        <v>193.00379650069985</v>
      </c>
      <c r="AB374" s="91">
        <f>AA374/Variables!$E$49</f>
        <v>31.129644596887072</v>
      </c>
    </row>
    <row r="375" spans="1:28" x14ac:dyDescent="0.25">
      <c r="A375" s="61">
        <f>'Water runs'!C382</f>
        <v>36219</v>
      </c>
      <c r="B375" s="61" t="str">
        <f>'Water runs'!B382</f>
        <v>Summer</v>
      </c>
      <c r="C375" s="54">
        <f>'Water runs'!D382/100</f>
        <v>1.153</v>
      </c>
      <c r="D375" s="108">
        <f>VLOOKUP(ROW(D375)+4,'Water runs'!$BS$3:$CF$423,MATCH($B$1,Scenarios,0)+1)</f>
        <v>1.7403463210318371E-2</v>
      </c>
      <c r="E375" s="54">
        <f>IF(B375=Variables!$D$8,C375-Variables!$E$8,IF(B375=Variables!$D$9,C375-Variables!$E$9,IF(B375=Variables!$D$10,C375-Variables!$E$10,IF(B375=Variables!$D$11,C375-Variables!$E$11,"ELSE"))))</f>
        <v>-0.10537013605442169</v>
      </c>
      <c r="F375" s="108">
        <f>VLOOKUP(ROW(F375)+4,'Water runs'!$CH$3:$CU$423,MATCH($B$1,Scenarios,0)+1)</f>
        <v>0</v>
      </c>
      <c r="G375" s="65">
        <f>H375/Variables!$E$49</f>
        <v>1.1489313129126624</v>
      </c>
      <c r="H375" s="62">
        <f>IF((H374+I375)&gt;(1.1*Variables!$E$50),(1.1*Variables!$E$50),IF((H374+I375)&gt;0,H374+I375,0))</f>
        <v>7.1233741400585071</v>
      </c>
      <c r="I375" s="64">
        <f t="shared" si="12"/>
        <v>2.9222418918722544</v>
      </c>
      <c r="J375" s="63">
        <f>IF(SUM(E371:E374)&lt;Variables!$B$3,-H374,0)</f>
        <v>0</v>
      </c>
      <c r="K375" s="64">
        <f>IF(AND(H374&lt;Variables!$B$6*Variables!$E$50,OR(SUM(D372:D375)&gt;Variables!$B$5,SUM(E372:E375)&gt;Variables!$B$4)),Variables!$B$6*Variables!$E$50+Variables!$B$7*$G$1*Variables!$E$50*SUM(D372:D375),0)</f>
        <v>0</v>
      </c>
      <c r="L375" s="64">
        <f>IF(B375="Winter",Variables!$B$8*H374,0)</f>
        <v>0</v>
      </c>
      <c r="M375" s="64">
        <f>IF(AND(B375="Spring",AND(NOT(H374=0),H374&lt;(Variables!$B$9*Variables!$E$50))),(Variables!$B$10*Variables!$E$50+Variables!$B$11*Variables!$E$50*SUM(E372:E375)+$G$1*SUM(D374:D375)*Variables!$E$50*Variables!$B$12),0)</f>
        <v>0</v>
      </c>
      <c r="N375" s="64">
        <f>IF(AND(B375="Spring",AND(SUM(D372:D375)&gt;Variables!$B$13,SUM(D368:D371)&gt;Variables!$B$13)),-Variables!$B$14*Variables!$E$50,0)</f>
        <v>0</v>
      </c>
      <c r="O375" s="64">
        <f>IF(AND(B375="Summer",SUM(C371:D375)&gt;Variables!$B$15),(Variables!$B$16*Variables!$E$50*SUM(C371:C375)+$G$1*Variables!$B$16*Variables!$E$50*SUM(D371:D375)+$G$1*Variables!$E$50*Variables!$B$17*F375),0)</f>
        <v>2.9222418918722544</v>
      </c>
      <c r="P375" s="64">
        <f>IF(AND(AND(B375="Autumn",SUM(D374:E375)&gt;0),NOT(H374=0)),Variables!$B$18*Variables!$E$50+Variables!$B$19*Variables!$E$50*SUM(E374:E375)+$G$1*Variables!$B$19*Variables!$E$50*SUM(D374:D375),0)</f>
        <v>0</v>
      </c>
      <c r="Q375" s="64">
        <f>IF(AND(B375="Autumn",AND((E375+E374)&lt;Variables!$B$20,(D374+D375)=0)),-Variables!$B$21*Variables!$E$50,0)</f>
        <v>0</v>
      </c>
      <c r="R375" s="64">
        <f>IF(B375="Autumn",(SUM(F374:F375)*$G$1*Variables!$B$22*Variables!$E$50),0)</f>
        <v>0</v>
      </c>
      <c r="S375" s="64">
        <f>IF(B375="Spring",($G$1*Variables!$E$50*SUM('Guts (option 1)'!F374:F375)*Variables!$B$23),0)</f>
        <v>0</v>
      </c>
      <c r="T375" s="63">
        <f>IF((H374+SUM(J375:Q375))&lt;(Variables!$B$26*Variables!$E$50),$F$1*((Variables!$B$26*Variables!$E$50)-H374-SUM(J375:Q375)),0)</f>
        <v>0</v>
      </c>
      <c r="U375" s="64">
        <f>IF(AND(AND(B375="Autumn",SUM(D372:E375)&gt;Variables!$B$27),SUM(J375:Q375)&lt;Variables!$B$28*H374),$F$1*(Variables!$B$28*H374-SUM(J375:Q375)),0)</f>
        <v>0</v>
      </c>
      <c r="V375" s="96">
        <f>IF(AND((J375+K375)=0,(Q375+T375)=0),$H$1*H375*Variables!$I$23*0.25,0)</f>
        <v>137.26848818504845</v>
      </c>
      <c r="W375" s="97">
        <f>IF(AND((K375+J375)=0,(T375+Q375)=0),$I$1*H375*Variables!$Q$23*0.25,0)</f>
        <v>143.68379893558512</v>
      </c>
      <c r="X375" s="95">
        <f>IF(AND(NOT(K375=0),(H375-H374)&gt;0),(H375-H374)*(Variables!$M$5*$H$1+Variables!$U$5*$I$1),0)+IF(AND(NOT((J375+N375+Q375)=0),(H374-H375)&gt;0),(H374-H375)*(Variables!$M$4*$H$1+Variables!$U$4*$I$1),0)</f>
        <v>0</v>
      </c>
      <c r="Y375" s="95">
        <f>IF(SUM(T375,U374:U375)&gt;0,H375*Variables!$Y$11*0.25*(1-$J$1),0)</f>
        <v>0</v>
      </c>
      <c r="Z375" s="95">
        <f>IF(T375=0,H375*$J$1*Variables!$Y$5*0.25,0)</f>
        <v>46.301931910380297</v>
      </c>
      <c r="AA375" s="95">
        <f t="shared" si="11"/>
        <v>327.25421903101386</v>
      </c>
      <c r="AB375" s="91">
        <f>AA375/Variables!$E$49</f>
        <v>52.782938553389329</v>
      </c>
    </row>
    <row r="376" spans="1:28" x14ac:dyDescent="0.25">
      <c r="A376" s="61">
        <f>'Water runs'!C383</f>
        <v>36311</v>
      </c>
      <c r="B376" s="61" t="str">
        <f>'Water runs'!B383</f>
        <v>Autumn</v>
      </c>
      <c r="C376" s="54">
        <f>'Water runs'!D383/100</f>
        <v>1.0974107142857101</v>
      </c>
      <c r="D376" s="108">
        <f>VLOOKUP(ROW(D376)+4,'Water runs'!$BS$3:$CF$423,MATCH($B$1,Scenarios,0)+1)</f>
        <v>0.10094110008788668</v>
      </c>
      <c r="E376" s="54">
        <f>IF(B376=Variables!$D$8,C376-Variables!$E$8,IF(B376=Variables!$D$9,C376-Variables!$E$9,IF(B376=Variables!$D$10,C376-Variables!$E$10,IF(B376=Variables!$D$11,C376-Variables!$E$11,"ELSE"))))</f>
        <v>0.1027674149659823</v>
      </c>
      <c r="F376" s="108">
        <f>VLOOKUP(ROW(F376)+4,'Water runs'!$CH$3:$CU$423,MATCH($B$1,Scenarios,0)+1)</f>
        <v>0</v>
      </c>
      <c r="G376" s="65">
        <f>H376/Variables!$E$49</f>
        <v>1.6659504037233606</v>
      </c>
      <c r="H376" s="62">
        <f>IF((H375+I376)&gt;(1.1*Variables!$E$50),(1.1*Variables!$E$50),IF((H375+I376)&gt;0,H375+I376,0))</f>
        <v>10.328892503084836</v>
      </c>
      <c r="I376" s="64">
        <f t="shared" si="12"/>
        <v>3.2055183630263286</v>
      </c>
      <c r="J376" s="63">
        <f>IF(SUM(E372:E375)&lt;Variables!$B$3,-H375,0)</f>
        <v>0</v>
      </c>
      <c r="K376" s="64">
        <f>IF(AND(H375&lt;Variables!$B$6*Variables!$E$50,OR(SUM(D373:D376)&gt;Variables!$B$5,SUM(E373:E376)&gt;Variables!$B$4)),Variables!$B$6*Variables!$E$50+Variables!$B$7*$G$1*Variables!$E$50*SUM(D373:D376),0)</f>
        <v>0</v>
      </c>
      <c r="L376" s="64">
        <f>IF(B376="Winter",Variables!$B$8*H375,0)</f>
        <v>0</v>
      </c>
      <c r="M376" s="64">
        <f>IF(AND(B376="Spring",AND(NOT(H375=0),H375&lt;(Variables!$B$9*Variables!$E$50))),(Variables!$B$10*Variables!$E$50+Variables!$B$11*Variables!$E$50*SUM(E373:E376)+$G$1*SUM(D375:D376)*Variables!$E$50*Variables!$B$12),0)</f>
        <v>0</v>
      </c>
      <c r="N376" s="64">
        <f>IF(AND(B376="Spring",AND(SUM(D373:D376)&gt;Variables!$B$13,SUM(D369:D372)&gt;Variables!$B$13)),-Variables!$B$14*Variables!$E$50,0)</f>
        <v>0</v>
      </c>
      <c r="O376" s="64">
        <f>IF(AND(B376="Summer",SUM(C372:D376)&gt;Variables!$B$15),(Variables!$B$16*Variables!$E$50*SUM(C372:C376)+$G$1*Variables!$B$16*Variables!$E$50*SUM(D372:D376)+$G$1*Variables!$E$50*Variables!$B$17*F376),0)</f>
        <v>0</v>
      </c>
      <c r="P376" s="64">
        <f>IF(AND(AND(B376="Autumn",SUM(D375:E376)&gt;0),NOT(H375=0)),Variables!$B$18*Variables!$E$50+Variables!$B$19*Variables!$E$50*SUM(E375:E376)+$G$1*Variables!$B$19*Variables!$E$50*SUM(D375:D376),0)</f>
        <v>0.55135789313527073</v>
      </c>
      <c r="Q376" s="64">
        <f>IF(AND(B376="Autumn",AND((E376+E375)&lt;Variables!$B$20,(D375+D376)=0)),-Variables!$B$21*Variables!$E$50,0)</f>
        <v>0</v>
      </c>
      <c r="R376" s="64">
        <f>IF(B376="Autumn",(SUM(F375:F376)*$G$1*Variables!$B$22*Variables!$E$50),0)</f>
        <v>0</v>
      </c>
      <c r="S376" s="64">
        <f>IF(B376="Spring",($G$1*Variables!$E$50*SUM('Guts (option 1)'!F375:F376)*Variables!$B$23),0)</f>
        <v>0</v>
      </c>
      <c r="T376" s="63">
        <f>IF((H375+SUM(J376:Q376))&lt;(Variables!$B$26*Variables!$E$50),$F$1*((Variables!$B$26*Variables!$E$50)-H375-SUM(J376:Q376)),0)</f>
        <v>0</v>
      </c>
      <c r="U376" s="64">
        <f>IF(AND(AND(B376="Autumn",SUM(D373:E376)&gt;Variables!$B$27),SUM(J376:Q376)&lt;Variables!$B$28*H375),$F$1*(Variables!$B$28*H375-SUM(J376:Q376)),0)</f>
        <v>2.6541604698910577</v>
      </c>
      <c r="V376" s="96">
        <f>IF(AND((J376+K376)=0,(Q376+T376)=0),$H$1*H376*Variables!$I$23*0.25,0)</f>
        <v>199.03930786832026</v>
      </c>
      <c r="W376" s="97">
        <f>IF(AND((K376+J376)=0,(T376+Q376)=0),$I$1*H376*Variables!$Q$23*0.25,0)</f>
        <v>208.34150845659843</v>
      </c>
      <c r="X376" s="95">
        <f>IF(AND(NOT(K376=0),(H376-H375)&gt;0),(H376-H375)*(Variables!$M$5*$H$1+Variables!$U$5*$I$1),0)+IF(AND(NOT((J376+N376+Q376)=0),(H375-H376)&gt;0),(H375-H376)*(Variables!$M$4*$H$1+Variables!$U$4*$I$1),0)</f>
        <v>0</v>
      </c>
      <c r="Y376" s="95">
        <f>IF(SUM(T376,U375:U376)&gt;0,H376*Variables!$Y$11*0.25*(1-$J$1),0)</f>
        <v>0</v>
      </c>
      <c r="Z376" s="95">
        <f>IF(T376=0,H376*$J$1*Variables!$Y$5*0.25,0)</f>
        <v>67.137801270051426</v>
      </c>
      <c r="AA376" s="95">
        <f t="shared" si="11"/>
        <v>474.51861759497012</v>
      </c>
      <c r="AB376" s="91">
        <f>AA376/Variables!$E$49</f>
        <v>76.535260902414535</v>
      </c>
    </row>
    <row r="377" spans="1:28" x14ac:dyDescent="0.25">
      <c r="A377" s="61">
        <f>'Water runs'!C384</f>
        <v>36403</v>
      </c>
      <c r="B377" s="61" t="str">
        <f>'Water runs'!B384</f>
        <v>Winter</v>
      </c>
      <c r="C377" s="54">
        <f>'Water runs'!D384/100</f>
        <v>0.66562500000000002</v>
      </c>
      <c r="D377" s="108">
        <f>VLOOKUP(ROW(D377)+4,'Water runs'!$BS$3:$CF$423,MATCH($B$1,Scenarios,0)+1)</f>
        <v>0</v>
      </c>
      <c r="E377" s="54">
        <f>IF(B377=Variables!$D$8,C377-Variables!$E$8,IF(B377=Variables!$D$9,C377-Variables!$E$9,IF(B377=Variables!$D$10,C377-Variables!$E$10,IF(B377=Variables!$D$11,C377-Variables!$E$11,"ELSE"))))</f>
        <v>9.3857374338624289E-2</v>
      </c>
      <c r="F377" s="108">
        <f>VLOOKUP(ROW(F377)+4,'Water runs'!$CH$3:$CU$423,MATCH($B$1,Scenarios,0)+1)</f>
        <v>0</v>
      </c>
      <c r="G377" s="65">
        <f>H377/Variables!$E$49</f>
        <v>0.83639831955916466</v>
      </c>
      <c r="H377" s="62">
        <f>IF((H376+I377)&gt;(1.1*Variables!$E$50),(1.1*Variables!$E$50),IF((H376+I377)&gt;0,H376+I377,0))</f>
        <v>5.1856695812668212</v>
      </c>
      <c r="I377" s="64">
        <f t="shared" si="12"/>
        <v>-5.1432229218180145</v>
      </c>
      <c r="J377" s="63">
        <f>IF(SUM(E373:E376)&lt;Variables!$B$3,-H376,0)</f>
        <v>0</v>
      </c>
      <c r="K377" s="64">
        <f>IF(AND(H376&lt;Variables!$B$6*Variables!$E$50,OR(SUM(D374:D377)&gt;Variables!$B$5,SUM(E374:E377)&gt;Variables!$B$4)),Variables!$B$6*Variables!$E$50+Variables!$B$7*$G$1*Variables!$E$50*SUM(D374:D377),0)</f>
        <v>0</v>
      </c>
      <c r="L377" s="64">
        <f>IF(B377="Winter",Variables!$B$8*H376,0)</f>
        <v>-5.1432229218180145</v>
      </c>
      <c r="M377" s="64">
        <f>IF(AND(B377="Spring",AND(NOT(H376=0),H376&lt;(Variables!$B$9*Variables!$E$50))),(Variables!$B$10*Variables!$E$50+Variables!$B$11*Variables!$E$50*SUM(E374:E377)+$G$1*SUM(D376:D377)*Variables!$E$50*Variables!$B$12),0)</f>
        <v>0</v>
      </c>
      <c r="N377" s="64">
        <f>IF(AND(B377="Spring",AND(SUM(D374:D377)&gt;Variables!$B$13,SUM(D370:D373)&gt;Variables!$B$13)),-Variables!$B$14*Variables!$E$50,0)</f>
        <v>0</v>
      </c>
      <c r="O377" s="64">
        <f>IF(AND(B377="Summer",SUM(C373:D377)&gt;Variables!$B$15),(Variables!$B$16*Variables!$E$50*SUM(C373:C377)+$G$1*Variables!$B$16*Variables!$E$50*SUM(D373:D377)+$G$1*Variables!$E$50*Variables!$B$17*F377),0)</f>
        <v>0</v>
      </c>
      <c r="P377" s="64">
        <f>IF(AND(AND(B377="Autumn",SUM(D376:E377)&gt;0),NOT(H376=0)),Variables!$B$18*Variables!$E$50+Variables!$B$19*Variables!$E$50*SUM(E376:E377)+$G$1*Variables!$B$19*Variables!$E$50*SUM(D376:D377),0)</f>
        <v>0</v>
      </c>
      <c r="Q377" s="64">
        <f>IF(AND(B377="Autumn",AND((E377+E376)&lt;Variables!$B$20,(D376+D377)=0)),-Variables!$B$21*Variables!$E$50,0)</f>
        <v>0</v>
      </c>
      <c r="R377" s="64">
        <f>IF(B377="Autumn",(SUM(F376:F377)*$G$1*Variables!$B$22*Variables!$E$50),0)</f>
        <v>0</v>
      </c>
      <c r="S377" s="64">
        <f>IF(B377="Spring",($G$1*Variables!$E$50*SUM('Guts (option 1)'!F376:F377)*Variables!$B$23),0)</f>
        <v>0</v>
      </c>
      <c r="T377" s="63">
        <f>IF((H376+SUM(J377:Q377))&lt;(Variables!$B$26*Variables!$E$50),$F$1*((Variables!$B$26*Variables!$E$50)-H376-SUM(J377:Q377)),0)</f>
        <v>0</v>
      </c>
      <c r="U377" s="64">
        <f>IF(AND(AND(B377="Autumn",SUM(D374:E377)&gt;Variables!$B$27),SUM(J377:Q377)&lt;Variables!$B$28*H376),$F$1*(Variables!$B$28*H376-SUM(J377:Q377)),0)</f>
        <v>0</v>
      </c>
      <c r="V377" s="96">
        <f>IF(AND((J377+K377)=0,(Q377+T377)=0),$H$1*H377*Variables!$I$23*0.25,0)</f>
        <v>99.928630681448837</v>
      </c>
      <c r="W377" s="97">
        <f>IF(AND((K377+J377)=0,(T377+Q377)=0),$I$1*H377*Variables!$Q$23*0.25,0)</f>
        <v>104.59884470633773</v>
      </c>
      <c r="X377" s="95">
        <f>IF(AND(NOT(K377=0),(H377-H376)&gt;0),(H377-H376)*(Variables!$M$5*$H$1+Variables!$U$5*$I$1),0)+IF(AND(NOT((J377+N377+Q377)=0),(H376-H377)&gt;0),(H376-H377)*(Variables!$M$4*$H$1+Variables!$U$4*$I$1),0)</f>
        <v>0</v>
      </c>
      <c r="Y377" s="95">
        <f>IF(SUM(T377,U376:U377)&gt;0,H377*Variables!$Y$11*0.25*(1-$J$1),0)</f>
        <v>0</v>
      </c>
      <c r="Z377" s="95">
        <f>IF(T377=0,H377*$J$1*Variables!$Y$5*0.25,0)</f>
        <v>33.706852278234336</v>
      </c>
      <c r="AA377" s="95">
        <f t="shared" si="11"/>
        <v>238.23432766602093</v>
      </c>
      <c r="AB377" s="91">
        <f>AA377/Variables!$E$49</f>
        <v>38.424891559035636</v>
      </c>
    </row>
    <row r="378" spans="1:28" x14ac:dyDescent="0.25">
      <c r="A378" s="61">
        <f>'Water runs'!C385</f>
        <v>36494</v>
      </c>
      <c r="B378" s="61" t="str">
        <f>'Water runs'!B385</f>
        <v>Spring</v>
      </c>
      <c r="C378" s="54">
        <f>'Water runs'!D385/100</f>
        <v>1.4424107142857099</v>
      </c>
      <c r="D378" s="108">
        <f>VLOOKUP(ROW(D378)+4,'Water runs'!$BS$3:$CF$423,MATCH($B$1,Scenarios,0)+1)</f>
        <v>0</v>
      </c>
      <c r="E378" s="54">
        <f>IF(B378=Variables!$D$8,C378-Variables!$E$8,IF(B378=Variables!$D$9,C378-Variables!$E$9,IF(B378=Variables!$D$10,C378-Variables!$E$10,IF(B378=Variables!$D$11,C378-Variables!$E$11,"ELSE"))))</f>
        <v>0.67842850529100074</v>
      </c>
      <c r="F378" s="108">
        <f>VLOOKUP(ROW(F378)+4,'Water runs'!$CH$3:$CU$423,MATCH($B$1,Scenarios,0)+1)</f>
        <v>0</v>
      </c>
      <c r="G378" s="65">
        <f>H378/Variables!$E$49</f>
        <v>0.83639831955916466</v>
      </c>
      <c r="H378" s="62">
        <f>IF((H377+I378)&gt;(1.1*Variables!$E$50),(1.1*Variables!$E$50),IF((H377+I378)&gt;0,H377+I378,0))</f>
        <v>5.1856695812668212</v>
      </c>
      <c r="I378" s="64">
        <f t="shared" si="12"/>
        <v>0</v>
      </c>
      <c r="J378" s="63">
        <f>IF(SUM(E374:E377)&lt;Variables!$B$3,-H377,0)</f>
        <v>0</v>
      </c>
      <c r="K378" s="64">
        <f>IF(AND(H377&lt;Variables!$B$6*Variables!$E$50,OR(SUM(D375:D378)&gt;Variables!$B$5,SUM(E375:E378)&gt;Variables!$B$4)),Variables!$B$6*Variables!$E$50+Variables!$B$7*$G$1*Variables!$E$50*SUM(D375:D378),0)</f>
        <v>0</v>
      </c>
      <c r="L378" s="64">
        <f>IF(B378="Winter",Variables!$B$8*H377,0)</f>
        <v>0</v>
      </c>
      <c r="M378" s="64">
        <f>IF(AND(B378="Spring",AND(NOT(H377=0),H377&lt;(Variables!$B$9*Variables!$E$50))),(Variables!$B$10*Variables!$E$50+Variables!$B$11*Variables!$E$50*SUM(E375:E378)+$G$1*SUM(D377:D378)*Variables!$E$50*Variables!$B$12),0)</f>
        <v>0</v>
      </c>
      <c r="N378" s="64">
        <f>IF(AND(B378="Spring",AND(SUM(D375:D378)&gt;Variables!$B$13,SUM(D371:D374)&gt;Variables!$B$13)),-Variables!$B$14*Variables!$E$50,0)</f>
        <v>0</v>
      </c>
      <c r="O378" s="64">
        <f>IF(AND(B378="Summer",SUM(C374:D378)&gt;Variables!$B$15),(Variables!$B$16*Variables!$E$50*SUM(C374:C378)+$G$1*Variables!$B$16*Variables!$E$50*SUM(D374:D378)+$G$1*Variables!$E$50*Variables!$B$17*F378),0)</f>
        <v>0</v>
      </c>
      <c r="P378" s="64">
        <f>IF(AND(AND(B378="Autumn",SUM(D377:E378)&gt;0),NOT(H377=0)),Variables!$B$18*Variables!$E$50+Variables!$B$19*Variables!$E$50*SUM(E377:E378)+$G$1*Variables!$B$19*Variables!$E$50*SUM(D377:D378),0)</f>
        <v>0</v>
      </c>
      <c r="Q378" s="64">
        <f>IF(AND(B378="Autumn",AND((E378+E377)&lt;Variables!$B$20,(D377+D378)=0)),-Variables!$B$21*Variables!$E$50,0)</f>
        <v>0</v>
      </c>
      <c r="R378" s="64">
        <f>IF(B378="Autumn",(SUM(F377:F378)*$G$1*Variables!$B$22*Variables!$E$50),0)</f>
        <v>0</v>
      </c>
      <c r="S378" s="64">
        <f>IF(B378="Spring",($G$1*Variables!$E$50*SUM('Guts (option 1)'!F377:F378)*Variables!$B$23),0)</f>
        <v>0</v>
      </c>
      <c r="T378" s="63">
        <f>IF((H377+SUM(J378:Q378))&lt;(Variables!$B$26*Variables!$E$50),$F$1*((Variables!$B$26*Variables!$E$50)-H377-SUM(J378:Q378)),0)</f>
        <v>0</v>
      </c>
      <c r="U378" s="64">
        <f>IF(AND(AND(B378="Autumn",SUM(D375:E378)&gt;Variables!$B$27),SUM(J378:Q378)&lt;Variables!$B$28*H377),$F$1*(Variables!$B$28*H377-SUM(J378:Q378)),0)</f>
        <v>0</v>
      </c>
      <c r="V378" s="96">
        <f>IF(AND((J378+K378)=0,(Q378+T378)=0),$H$1*H378*Variables!$I$23*0.25,0)</f>
        <v>99.928630681448837</v>
      </c>
      <c r="W378" s="97">
        <f>IF(AND((K378+J378)=0,(T378+Q378)=0),$I$1*H378*Variables!$Q$23*0.25,0)</f>
        <v>104.59884470633773</v>
      </c>
      <c r="X378" s="95">
        <f>IF(AND(NOT(K378=0),(H378-H377)&gt;0),(H378-H377)*(Variables!$M$5*$H$1+Variables!$U$5*$I$1),0)+IF(AND(NOT((J378+N378+Q378)=0),(H377-H378)&gt;0),(H377-H378)*(Variables!$M$4*$H$1+Variables!$U$4*$I$1),0)</f>
        <v>0</v>
      </c>
      <c r="Y378" s="95">
        <f>IF(SUM(T378,U377:U378)&gt;0,H378*Variables!$Y$11*0.25*(1-$J$1),0)</f>
        <v>0</v>
      </c>
      <c r="Z378" s="95">
        <f>IF(T378=0,H378*$J$1*Variables!$Y$5*0.25,0)</f>
        <v>33.706852278234336</v>
      </c>
      <c r="AA378" s="95">
        <f t="shared" si="11"/>
        <v>238.23432766602093</v>
      </c>
      <c r="AB378" s="91">
        <f>AA378/Variables!$E$49</f>
        <v>38.424891559035636</v>
      </c>
    </row>
    <row r="379" spans="1:28" x14ac:dyDescent="0.25">
      <c r="A379" s="61">
        <f>'Water runs'!C386</f>
        <v>36584</v>
      </c>
      <c r="B379" s="61" t="str">
        <f>'Water runs'!B386</f>
        <v>Summer</v>
      </c>
      <c r="C379" s="54">
        <f>'Water runs'!D386/100</f>
        <v>1.7723988095238099</v>
      </c>
      <c r="D379" s="108">
        <f>VLOOKUP(ROW(D379)+4,'Water runs'!$BS$3:$CF$423,MATCH($B$1,Scenarios,0)+1)</f>
        <v>0</v>
      </c>
      <c r="E379" s="54">
        <f>IF(B379=Variables!$D$8,C379-Variables!$E$8,IF(B379=Variables!$D$9,C379-Variables!$E$9,IF(B379=Variables!$D$10,C379-Variables!$E$10,IF(B379=Variables!$D$11,C379-Variables!$E$11,"ELSE"))))</f>
        <v>0.51402867346938819</v>
      </c>
      <c r="F379" s="108">
        <f>VLOOKUP(ROW(F379)+4,'Water runs'!$CH$3:$CU$423,MATCH($B$1,Scenarios,0)+1)</f>
        <v>0</v>
      </c>
      <c r="G379" s="65">
        <f>H379/Variables!$E$49</f>
        <v>1.2139318745362719</v>
      </c>
      <c r="H379" s="62">
        <f>IF((H378+I379)&gt;(1.1*Variables!$E$50),(1.1*Variables!$E$50),IF((H378+I379)&gt;0,H378+I379,0))</f>
        <v>7.5263776221248868</v>
      </c>
      <c r="I379" s="64">
        <f t="shared" si="12"/>
        <v>2.3407080408580656</v>
      </c>
      <c r="J379" s="63">
        <f>IF(SUM(E375:E378)&lt;Variables!$B$3,-H378,0)</f>
        <v>0</v>
      </c>
      <c r="K379" s="64">
        <f>IF(AND(H378&lt;Variables!$B$6*Variables!$E$50,OR(SUM(D376:D379)&gt;Variables!$B$5,SUM(E376:E379)&gt;Variables!$B$4)),Variables!$B$6*Variables!$E$50+Variables!$B$7*$G$1*Variables!$E$50*SUM(D376:D379),0)</f>
        <v>0</v>
      </c>
      <c r="L379" s="64">
        <f>IF(B379="Winter",Variables!$B$8*H378,0)</f>
        <v>0</v>
      </c>
      <c r="M379" s="64">
        <f>IF(AND(B379="Spring",AND(NOT(H378=0),H378&lt;(Variables!$B$9*Variables!$E$50))),(Variables!$B$10*Variables!$E$50+Variables!$B$11*Variables!$E$50*SUM(E376:E379)+$G$1*SUM(D378:D379)*Variables!$E$50*Variables!$B$12),0)</f>
        <v>0</v>
      </c>
      <c r="N379" s="64">
        <f>IF(AND(B379="Spring",AND(SUM(D376:D379)&gt;Variables!$B$13,SUM(D372:D375)&gt;Variables!$B$13)),-Variables!$B$14*Variables!$E$50,0)</f>
        <v>0</v>
      </c>
      <c r="O379" s="64">
        <f>IF(AND(B379="Summer",SUM(C375:D379)&gt;Variables!$B$15),(Variables!$B$16*Variables!$E$50*SUM(C375:C379)+$G$1*Variables!$B$16*Variables!$E$50*SUM(D375:D379)+$G$1*Variables!$E$50*Variables!$B$17*F379),0)</f>
        <v>2.3407080408580656</v>
      </c>
      <c r="P379" s="64">
        <f>IF(AND(AND(B379="Autumn",SUM(D378:E379)&gt;0),NOT(H378=0)),Variables!$B$18*Variables!$E$50+Variables!$B$19*Variables!$E$50*SUM(E378:E379)+$G$1*Variables!$B$19*Variables!$E$50*SUM(D378:D379),0)</f>
        <v>0</v>
      </c>
      <c r="Q379" s="64">
        <f>IF(AND(B379="Autumn",AND((E379+E378)&lt;Variables!$B$20,(D378+D379)=0)),-Variables!$B$21*Variables!$E$50,0)</f>
        <v>0</v>
      </c>
      <c r="R379" s="64">
        <f>IF(B379="Autumn",(SUM(F378:F379)*$G$1*Variables!$B$22*Variables!$E$50),0)</f>
        <v>0</v>
      </c>
      <c r="S379" s="64">
        <f>IF(B379="Spring",($G$1*Variables!$E$50*SUM('Guts (option 1)'!F378:F379)*Variables!$B$23),0)</f>
        <v>0</v>
      </c>
      <c r="T379" s="63">
        <f>IF((H378+SUM(J379:Q379))&lt;(Variables!$B$26*Variables!$E$50),$F$1*((Variables!$B$26*Variables!$E$50)-H378-SUM(J379:Q379)),0)</f>
        <v>0</v>
      </c>
      <c r="U379" s="64">
        <f>IF(AND(AND(B379="Autumn",SUM(D376:E379)&gt;Variables!$B$27),SUM(J379:Q379)&lt;Variables!$B$28*H378),$F$1*(Variables!$B$28*H378-SUM(J379:Q379)),0)</f>
        <v>0</v>
      </c>
      <c r="V379" s="96">
        <f>IF(AND((J379+K379)=0,(Q379+T379)=0),$H$1*H379*Variables!$I$23*0.25,0)</f>
        <v>145.0344257349899</v>
      </c>
      <c r="W379" s="97">
        <f>IF(AND((K379+J379)=0,(T379+Q379)=0),$I$1*H379*Variables!$Q$23*0.25,0)</f>
        <v>151.81268142147556</v>
      </c>
      <c r="X379" s="95">
        <f>IF(AND(NOT(K379=0),(H379-H378)&gt;0),(H379-H378)*(Variables!$M$5*$H$1+Variables!$U$5*$I$1),0)+IF(AND(NOT((J379+N379+Q379)=0),(H378-H379)&gt;0),(H378-H379)*(Variables!$M$4*$H$1+Variables!$U$4*$I$1),0)</f>
        <v>0</v>
      </c>
      <c r="Y379" s="95">
        <f>IF(SUM(T379,U378:U379)&gt;0,H379*Variables!$Y$11*0.25*(1-$J$1),0)</f>
        <v>0</v>
      </c>
      <c r="Z379" s="95">
        <f>IF(T379=0,H379*$J$1*Variables!$Y$5*0.25,0)</f>
        <v>48.921454543811763</v>
      </c>
      <c r="AA379" s="95">
        <f t="shared" si="11"/>
        <v>345.76856170027719</v>
      </c>
      <c r="AB379" s="91">
        <f>AA379/Variables!$E$49</f>
        <v>55.769122854883413</v>
      </c>
    </row>
    <row r="380" spans="1:28" x14ac:dyDescent="0.25">
      <c r="A380" s="61">
        <f>'Water runs'!C387</f>
        <v>36677</v>
      </c>
      <c r="B380" s="61" t="str">
        <f>'Water runs'!B387</f>
        <v>Autumn</v>
      </c>
      <c r="C380" s="54">
        <f>'Water runs'!D387/100</f>
        <v>2.34517857142857</v>
      </c>
      <c r="D380" s="108">
        <f>VLOOKUP(ROW(D380)+4,'Water runs'!$BS$3:$CF$423,MATCH($B$1,Scenarios,0)+1)</f>
        <v>0</v>
      </c>
      <c r="E380" s="54">
        <f>IF(B380=Variables!$D$8,C380-Variables!$E$8,IF(B380=Variables!$D$9,C380-Variables!$E$9,IF(B380=Variables!$D$10,C380-Variables!$E$10,IF(B380=Variables!$D$11,C380-Variables!$E$11,"ELSE"))))</f>
        <v>1.3505352721088422</v>
      </c>
      <c r="F380" s="108">
        <f>VLOOKUP(ROW(F380)+4,'Water runs'!$CH$3:$CU$423,MATCH($B$1,Scenarios,0)+1)</f>
        <v>0</v>
      </c>
      <c r="G380" s="65">
        <f>H380/Variables!$E$49</f>
        <v>1.9306679728238738</v>
      </c>
      <c r="H380" s="62">
        <f>IF((H379+I380)&gt;(1.1*Variables!$E$50),(1.1*Variables!$E$50),IF((H379+I380)&gt;0,H379+I380,0))</f>
        <v>11.970141431508019</v>
      </c>
      <c r="I380" s="64">
        <f t="shared" si="12"/>
        <v>4.4437638093831318</v>
      </c>
      <c r="J380" s="63">
        <f>IF(SUM(E376:E379)&lt;Variables!$B$3,-H379,0)</f>
        <v>0</v>
      </c>
      <c r="K380" s="64">
        <f>IF(AND(H379&lt;Variables!$B$6*Variables!$E$50,OR(SUM(D377:D380)&gt;Variables!$B$5,SUM(E377:E380)&gt;Variables!$B$4)),Variables!$B$6*Variables!$E$50+Variables!$B$7*$G$1*Variables!$E$50*SUM(D377:D380),0)</f>
        <v>0</v>
      </c>
      <c r="L380" s="64">
        <f>IF(B380="Winter",Variables!$B$8*H379,0)</f>
        <v>0</v>
      </c>
      <c r="M380" s="64">
        <f>IF(AND(B380="Spring",AND(NOT(H379=0),H379&lt;(Variables!$B$9*Variables!$E$50))),(Variables!$B$10*Variables!$E$50+Variables!$B$11*Variables!$E$50*SUM(E377:E380)+$G$1*SUM(D379:D380)*Variables!$E$50*Variables!$B$12),0)</f>
        <v>0</v>
      </c>
      <c r="N380" s="64">
        <f>IF(AND(B380="Spring",AND(SUM(D377:D380)&gt;Variables!$B$13,SUM(D373:D376)&gt;Variables!$B$13)),-Variables!$B$14*Variables!$E$50,0)</f>
        <v>0</v>
      </c>
      <c r="O380" s="64">
        <f>IF(AND(B380="Summer",SUM(C376:D380)&gt;Variables!$B$15),(Variables!$B$16*Variables!$E$50*SUM(C376:C380)+$G$1*Variables!$B$16*Variables!$E$50*SUM(D376:D380)+$G$1*Variables!$E$50*Variables!$B$17*F380),0)</f>
        <v>0</v>
      </c>
      <c r="P380" s="64">
        <f>IF(AND(AND(B380="Autumn",SUM(D379:E380)&gt;0),NOT(H379=0)),Variables!$B$18*Variables!$E$50+Variables!$B$19*Variables!$E$50*SUM(E379:E380)+$G$1*Variables!$B$19*Variables!$E$50*SUM(D379:D380),0)</f>
        <v>4.4437638093831318</v>
      </c>
      <c r="Q380" s="64">
        <f>IF(AND(B380="Autumn",AND((E380+E379)&lt;Variables!$B$20,(D379+D380)=0)),-Variables!$B$21*Variables!$E$50,0)</f>
        <v>0</v>
      </c>
      <c r="R380" s="64">
        <f>IF(B380="Autumn",(SUM(F379:F380)*$G$1*Variables!$B$22*Variables!$E$50),0)</f>
        <v>0</v>
      </c>
      <c r="S380" s="64">
        <f>IF(B380="Spring",($G$1*Variables!$E$50*SUM('Guts (option 1)'!F379:F380)*Variables!$B$23),0)</f>
        <v>0</v>
      </c>
      <c r="T380" s="63">
        <f>IF((H379+SUM(J380:Q380))&lt;(Variables!$B$26*Variables!$E$50),$F$1*((Variables!$B$26*Variables!$E$50)-H379-SUM(J380:Q380)),0)</f>
        <v>0</v>
      </c>
      <c r="U380" s="64">
        <f>IF(AND(AND(B380="Autumn",SUM(D377:E380)&gt;Variables!$B$27),SUM(J380:Q380)&lt;Variables!$B$28*H379),$F$1*(Variables!$B$28*H379-SUM(J380:Q380)),0)</f>
        <v>0</v>
      </c>
      <c r="V380" s="96">
        <f>IF(AND((J380+K380)=0,(Q380+T380)=0),$H$1*H380*Variables!$I$23*0.25,0)</f>
        <v>230.66642090637424</v>
      </c>
      <c r="W380" s="97">
        <f>IF(AND((K380+J380)=0,(T380+Q380)=0),$I$1*H380*Variables!$Q$23*0.25,0)</f>
        <v>241.44673027959035</v>
      </c>
      <c r="X380" s="95">
        <f>IF(AND(NOT(K380=0),(H380-H379)&gt;0),(H380-H379)*(Variables!$M$5*$H$1+Variables!$U$5*$I$1),0)+IF(AND(NOT((J380+N380+Q380)=0),(H379-H380)&gt;0),(H379-H380)*(Variables!$M$4*$H$1+Variables!$U$4*$I$1),0)</f>
        <v>0</v>
      </c>
      <c r="Y380" s="95">
        <f>IF(SUM(T380,U379:U380)&gt;0,H380*Variables!$Y$11*0.25*(1-$J$1),0)</f>
        <v>0</v>
      </c>
      <c r="Z380" s="95">
        <f>IF(T380=0,H380*$J$1*Variables!$Y$5*0.25,0)</f>
        <v>77.805919304802117</v>
      </c>
      <c r="AA380" s="95">
        <f t="shared" si="11"/>
        <v>549.91907049076679</v>
      </c>
      <c r="AB380" s="91">
        <f>AA380/Variables!$E$49</f>
        <v>88.696624272704312</v>
      </c>
    </row>
    <row r="381" spans="1:28" x14ac:dyDescent="0.25">
      <c r="A381" s="61">
        <f>'Water runs'!C388</f>
        <v>36769</v>
      </c>
      <c r="B381" s="61" t="str">
        <f>'Water runs'!B388</f>
        <v>Winter</v>
      </c>
      <c r="C381" s="54">
        <f>'Water runs'!D388/100</f>
        <v>0.21137499999999998</v>
      </c>
      <c r="D381" s="108">
        <f>VLOOKUP(ROW(D381)+4,'Water runs'!$BS$3:$CF$423,MATCH($B$1,Scenarios,0)+1)</f>
        <v>0</v>
      </c>
      <c r="E381" s="54">
        <f>IF(B381=Variables!$D$8,C381-Variables!$E$8,IF(B381=Variables!$D$9,C381-Variables!$E$9,IF(B381=Variables!$D$10,C381-Variables!$E$10,IF(B381=Variables!$D$11,C381-Variables!$E$11,"ELSE"))))</f>
        <v>-0.36039262566137575</v>
      </c>
      <c r="F381" s="108">
        <f>VLOOKUP(ROW(F381)+4,'Water runs'!$CH$3:$CU$423,MATCH($B$1,Scenarios,0)+1)</f>
        <v>0</v>
      </c>
      <c r="G381" s="65">
        <f>H381/Variables!$E$49</f>
        <v>0.96930103350467678</v>
      </c>
      <c r="H381" s="62">
        <f>IF((H380+I381)&gt;(1.1*Variables!$E$50),(1.1*Variables!$E$50),IF((H380+I381)&gt;0,H380+I381,0))</f>
        <v>6.0096664077289965</v>
      </c>
      <c r="I381" s="64">
        <f t="shared" si="12"/>
        <v>-5.9604750237790221</v>
      </c>
      <c r="J381" s="63">
        <f>IF(SUM(E377:E380)&lt;Variables!$B$3,-H380,0)</f>
        <v>0</v>
      </c>
      <c r="K381" s="64">
        <f>IF(AND(H380&lt;Variables!$B$6*Variables!$E$50,OR(SUM(D378:D381)&gt;Variables!$B$5,SUM(E378:E381)&gt;Variables!$B$4)),Variables!$B$6*Variables!$E$50+Variables!$B$7*$G$1*Variables!$E$50*SUM(D378:D381),0)</f>
        <v>0</v>
      </c>
      <c r="L381" s="64">
        <f>IF(B381="Winter",Variables!$B$8*H380,0)</f>
        <v>-5.9604750237790221</v>
      </c>
      <c r="M381" s="64">
        <f>IF(AND(B381="Spring",AND(NOT(H380=0),H380&lt;(Variables!$B$9*Variables!$E$50))),(Variables!$B$10*Variables!$E$50+Variables!$B$11*Variables!$E$50*SUM(E378:E381)+$G$1*SUM(D380:D381)*Variables!$E$50*Variables!$B$12),0)</f>
        <v>0</v>
      </c>
      <c r="N381" s="64">
        <f>IF(AND(B381="Spring",AND(SUM(D378:D381)&gt;Variables!$B$13,SUM(D374:D377)&gt;Variables!$B$13)),-Variables!$B$14*Variables!$E$50,0)</f>
        <v>0</v>
      </c>
      <c r="O381" s="64">
        <f>IF(AND(B381="Summer",SUM(C377:D381)&gt;Variables!$B$15),(Variables!$B$16*Variables!$E$50*SUM(C377:C381)+$G$1*Variables!$B$16*Variables!$E$50*SUM(D377:D381)+$G$1*Variables!$E$50*Variables!$B$17*F381),0)</f>
        <v>0</v>
      </c>
      <c r="P381" s="64">
        <f>IF(AND(AND(B381="Autumn",SUM(D380:E381)&gt;0),NOT(H380=0)),Variables!$B$18*Variables!$E$50+Variables!$B$19*Variables!$E$50*SUM(E380:E381)+$G$1*Variables!$B$19*Variables!$E$50*SUM(D380:D381),0)</f>
        <v>0</v>
      </c>
      <c r="Q381" s="64">
        <f>IF(AND(B381="Autumn",AND((E381+E380)&lt;Variables!$B$20,(D380+D381)=0)),-Variables!$B$21*Variables!$E$50,0)</f>
        <v>0</v>
      </c>
      <c r="R381" s="64">
        <f>IF(B381="Autumn",(SUM(F380:F381)*$G$1*Variables!$B$22*Variables!$E$50),0)</f>
        <v>0</v>
      </c>
      <c r="S381" s="64">
        <f>IF(B381="Spring",($G$1*Variables!$E$50*SUM('Guts (option 1)'!F380:F381)*Variables!$B$23),0)</f>
        <v>0</v>
      </c>
      <c r="T381" s="63">
        <f>IF((H380+SUM(J381:Q381))&lt;(Variables!$B$26*Variables!$E$50),$F$1*((Variables!$B$26*Variables!$E$50)-H380-SUM(J381:Q381)),0)</f>
        <v>0</v>
      </c>
      <c r="U381" s="64">
        <f>IF(AND(AND(B381="Autumn",SUM(D378:E381)&gt;Variables!$B$27),SUM(J381:Q381)&lt;Variables!$B$28*H380),$F$1*(Variables!$B$28*H380-SUM(J381:Q381)),0)</f>
        <v>0</v>
      </c>
      <c r="V381" s="96">
        <f>IF(AND((J381+K381)=0,(Q381+T381)=0),$H$1*H381*Variables!$I$23*0.25,0)</f>
        <v>115.80717312689893</v>
      </c>
      <c r="W381" s="97">
        <f>IF(AND((K381+J381)=0,(T381+Q381)=0),$I$1*H381*Variables!$Q$23*0.25,0)</f>
        <v>121.21947869369964</v>
      </c>
      <c r="X381" s="95">
        <f>IF(AND(NOT(K381=0),(H381-H380)&gt;0),(H381-H380)*(Variables!$M$5*$H$1+Variables!$U$5*$I$1),0)+IF(AND(NOT((J381+N381+Q381)=0),(H380-H381)&gt;0),(H380-H381)*(Variables!$M$4*$H$1+Variables!$U$4*$I$1),0)</f>
        <v>0</v>
      </c>
      <c r="Y381" s="95">
        <f>IF(SUM(T381,U380:U381)&gt;0,H381*Variables!$Y$11*0.25*(1-$J$1),0)</f>
        <v>0</v>
      </c>
      <c r="Z381" s="95">
        <f>IF(T381=0,H381*$J$1*Variables!$Y$5*0.25,0)</f>
        <v>39.062831650238479</v>
      </c>
      <c r="AA381" s="95">
        <f t="shared" si="11"/>
        <v>276.08948347083708</v>
      </c>
      <c r="AB381" s="91">
        <f>AA381/Variables!$E$49</f>
        <v>44.530561850135008</v>
      </c>
    </row>
    <row r="382" spans="1:28" x14ac:dyDescent="0.25">
      <c r="A382" s="61">
        <f>'Water runs'!C389</f>
        <v>36860</v>
      </c>
      <c r="B382" s="61" t="str">
        <f>'Water runs'!B389</f>
        <v>Spring</v>
      </c>
      <c r="C382" s="54">
        <f>'Water runs'!D389/100</f>
        <v>1.8658214285714301</v>
      </c>
      <c r="D382" s="108">
        <f>VLOOKUP(ROW(D382)+4,'Water runs'!$BS$3:$CF$423,MATCH($B$1,Scenarios,0)+1)</f>
        <v>7.194831312995353E-4</v>
      </c>
      <c r="E382" s="54">
        <f>IF(B382=Variables!$D$8,C382-Variables!$E$8,IF(B382=Variables!$D$9,C382-Variables!$E$9,IF(B382=Variables!$D$10,C382-Variables!$E$10,IF(B382=Variables!$D$11,C382-Variables!$E$11,"ELSE"))))</f>
        <v>1.1018392195767208</v>
      </c>
      <c r="F382" s="108">
        <f>VLOOKUP(ROW(F382)+4,'Water runs'!$CH$3:$CU$423,MATCH($B$1,Scenarios,0)+1)</f>
        <v>0</v>
      </c>
      <c r="G382" s="65">
        <f>H382/Variables!$E$49</f>
        <v>0.96930103350467678</v>
      </c>
      <c r="H382" s="62">
        <f>IF((H381+I382)&gt;(1.1*Variables!$E$50),(1.1*Variables!$E$50),IF((H381+I382)&gt;0,H381+I382,0))</f>
        <v>6.0096664077289965</v>
      </c>
      <c r="I382" s="64">
        <f t="shared" si="12"/>
        <v>0</v>
      </c>
      <c r="J382" s="63">
        <f>IF(SUM(E378:E381)&lt;Variables!$B$3,-H381,0)</f>
        <v>0</v>
      </c>
      <c r="K382" s="64">
        <f>IF(AND(H381&lt;Variables!$B$6*Variables!$E$50,OR(SUM(D379:D382)&gt;Variables!$B$5,SUM(E379:E382)&gt;Variables!$B$4)),Variables!$B$6*Variables!$E$50+Variables!$B$7*$G$1*Variables!$E$50*SUM(D379:D382),0)</f>
        <v>0</v>
      </c>
      <c r="L382" s="64">
        <f>IF(B382="Winter",Variables!$B$8*H381,0)</f>
        <v>0</v>
      </c>
      <c r="M382" s="64">
        <f>IF(AND(B382="Spring",AND(NOT(H381=0),H381&lt;(Variables!$B$9*Variables!$E$50))),(Variables!$B$10*Variables!$E$50+Variables!$B$11*Variables!$E$50*SUM(E379:E382)+$G$1*SUM(D381:D382)*Variables!$E$50*Variables!$B$12),0)</f>
        <v>0</v>
      </c>
      <c r="N382" s="64">
        <f>IF(AND(B382="Spring",AND(SUM(D379:D382)&gt;Variables!$B$13,SUM(D375:D378)&gt;Variables!$B$13)),-Variables!$B$14*Variables!$E$50,0)</f>
        <v>0</v>
      </c>
      <c r="O382" s="64">
        <f>IF(AND(B382="Summer",SUM(C378:D382)&gt;Variables!$B$15),(Variables!$B$16*Variables!$E$50*SUM(C378:C382)+$G$1*Variables!$B$16*Variables!$E$50*SUM(D378:D382)+$G$1*Variables!$E$50*Variables!$B$17*F382),0)</f>
        <v>0</v>
      </c>
      <c r="P382" s="64">
        <f>IF(AND(AND(B382="Autumn",SUM(D381:E382)&gt;0),NOT(H381=0)),Variables!$B$18*Variables!$E$50+Variables!$B$19*Variables!$E$50*SUM(E381:E382)+$G$1*Variables!$B$19*Variables!$E$50*SUM(D381:D382),0)</f>
        <v>0</v>
      </c>
      <c r="Q382" s="64">
        <f>IF(AND(B382="Autumn",AND((E382+E381)&lt;Variables!$B$20,(D381+D382)=0)),-Variables!$B$21*Variables!$E$50,0)</f>
        <v>0</v>
      </c>
      <c r="R382" s="64">
        <f>IF(B382="Autumn",(SUM(F381:F382)*$G$1*Variables!$B$22*Variables!$E$50),0)</f>
        <v>0</v>
      </c>
      <c r="S382" s="64">
        <f>IF(B382="Spring",($G$1*Variables!$E$50*SUM('Guts (option 1)'!F381:F382)*Variables!$B$23),0)</f>
        <v>0</v>
      </c>
      <c r="T382" s="63">
        <f>IF((H381+SUM(J382:Q382))&lt;(Variables!$B$26*Variables!$E$50),$F$1*((Variables!$B$26*Variables!$E$50)-H381-SUM(J382:Q382)),0)</f>
        <v>0</v>
      </c>
      <c r="U382" s="64">
        <f>IF(AND(AND(B382="Autumn",SUM(D379:E382)&gt;Variables!$B$27),SUM(J382:Q382)&lt;Variables!$B$28*H381),$F$1*(Variables!$B$28*H381-SUM(J382:Q382)),0)</f>
        <v>0</v>
      </c>
      <c r="V382" s="96">
        <f>IF(AND((J382+K382)=0,(Q382+T382)=0),$H$1*H382*Variables!$I$23*0.25,0)</f>
        <v>115.80717312689893</v>
      </c>
      <c r="W382" s="97">
        <f>IF(AND((K382+J382)=0,(T382+Q382)=0),$I$1*H382*Variables!$Q$23*0.25,0)</f>
        <v>121.21947869369964</v>
      </c>
      <c r="X382" s="95">
        <f>IF(AND(NOT(K382=0),(H382-H381)&gt;0),(H382-H381)*(Variables!$M$5*$H$1+Variables!$U$5*$I$1),0)+IF(AND(NOT((J382+N382+Q382)=0),(H381-H382)&gt;0),(H381-H382)*(Variables!$M$4*$H$1+Variables!$U$4*$I$1),0)</f>
        <v>0</v>
      </c>
      <c r="Y382" s="95">
        <f>IF(SUM(T382,U381:U382)&gt;0,H382*Variables!$Y$11*0.25*(1-$J$1),0)</f>
        <v>0</v>
      </c>
      <c r="Z382" s="95">
        <f>IF(T382=0,H382*$J$1*Variables!$Y$5*0.25,0)</f>
        <v>39.062831650238479</v>
      </c>
      <c r="AA382" s="95">
        <f t="shared" si="11"/>
        <v>276.08948347083708</v>
      </c>
      <c r="AB382" s="91">
        <f>AA382/Variables!$E$49</f>
        <v>44.530561850135008</v>
      </c>
    </row>
    <row r="383" spans="1:28" x14ac:dyDescent="0.25">
      <c r="A383" s="61">
        <f>'Water runs'!C390</f>
        <v>36950</v>
      </c>
      <c r="B383" s="61" t="str">
        <f>'Water runs'!B390</f>
        <v>Summer</v>
      </c>
      <c r="C383" s="54">
        <f>'Water runs'!D390/100</f>
        <v>0.59728571428571398</v>
      </c>
      <c r="D383" s="108">
        <f>VLOOKUP(ROW(D383)+4,'Water runs'!$BS$3:$CF$423,MATCH($B$1,Scenarios,0)+1)</f>
        <v>3.7735057284697423E-3</v>
      </c>
      <c r="E383" s="54">
        <f>IF(B383=Variables!$D$8,C383-Variables!$E$8,IF(B383=Variables!$D$9,C383-Variables!$E$9,IF(B383=Variables!$D$10,C383-Variables!$E$10,IF(B383=Variables!$D$11,C383-Variables!$E$11,"ELSE"))))</f>
        <v>-0.66108442176870774</v>
      </c>
      <c r="F383" s="108">
        <f>VLOOKUP(ROW(F383)+4,'Water runs'!$CH$3:$CU$423,MATCH($B$1,Scenarios,0)+1)</f>
        <v>0</v>
      </c>
      <c r="G383" s="65">
        <f>H383/Variables!$E$49</f>
        <v>1.3818877280944131</v>
      </c>
      <c r="H383" s="62">
        <f>IF((H382+I383)&gt;(1.1*Variables!$E$50),(1.1*Variables!$E$50),IF((H382+I383)&gt;0,H382+I383,0))</f>
        <v>8.5677039141853619</v>
      </c>
      <c r="I383" s="64">
        <f t="shared" si="12"/>
        <v>2.5580375064563654</v>
      </c>
      <c r="J383" s="63">
        <f>IF(SUM(E379:E382)&lt;Variables!$B$3,-H382,0)</f>
        <v>0</v>
      </c>
      <c r="K383" s="64">
        <f>IF(AND(H382&lt;Variables!$B$6*Variables!$E$50,OR(SUM(D380:D383)&gt;Variables!$B$5,SUM(E380:E383)&gt;Variables!$B$4)),Variables!$B$6*Variables!$E$50+Variables!$B$7*$G$1*Variables!$E$50*SUM(D380:D383),0)</f>
        <v>0</v>
      </c>
      <c r="L383" s="64">
        <f>IF(B383="Winter",Variables!$B$8*H382,0)</f>
        <v>0</v>
      </c>
      <c r="M383" s="64">
        <f>IF(AND(B383="Spring",AND(NOT(H382=0),H382&lt;(Variables!$B$9*Variables!$E$50))),(Variables!$B$10*Variables!$E$50+Variables!$B$11*Variables!$E$50*SUM(E380:E383)+$G$1*SUM(D382:D383)*Variables!$E$50*Variables!$B$12),0)</f>
        <v>0</v>
      </c>
      <c r="N383" s="64">
        <f>IF(AND(B383="Spring",AND(SUM(D380:D383)&gt;Variables!$B$13,SUM(D376:D379)&gt;Variables!$B$13)),-Variables!$B$14*Variables!$E$50,0)</f>
        <v>0</v>
      </c>
      <c r="O383" s="64">
        <f>IF(AND(B383="Summer",SUM(C379:D383)&gt;Variables!$B$15),(Variables!$B$16*Variables!$E$50*SUM(C379:C383)+$G$1*Variables!$B$16*Variables!$E$50*SUM(D379:D383)+$G$1*Variables!$E$50*Variables!$B$17*F383),0)</f>
        <v>2.5580375064563654</v>
      </c>
      <c r="P383" s="64">
        <f>IF(AND(AND(B383="Autumn",SUM(D382:E383)&gt;0),NOT(H382=0)),Variables!$B$18*Variables!$E$50+Variables!$B$19*Variables!$E$50*SUM(E382:E383)+$G$1*Variables!$B$19*Variables!$E$50*SUM(D382:D383),0)</f>
        <v>0</v>
      </c>
      <c r="Q383" s="64">
        <f>IF(AND(B383="Autumn",AND((E383+E382)&lt;Variables!$B$20,(D382+D383)=0)),-Variables!$B$21*Variables!$E$50,0)</f>
        <v>0</v>
      </c>
      <c r="R383" s="64">
        <f>IF(B383="Autumn",(SUM(F382:F383)*$G$1*Variables!$B$22*Variables!$E$50),0)</f>
        <v>0</v>
      </c>
      <c r="S383" s="64">
        <f>IF(B383="Spring",($G$1*Variables!$E$50*SUM('Guts (option 1)'!F382:F383)*Variables!$B$23),0)</f>
        <v>0</v>
      </c>
      <c r="T383" s="63">
        <f>IF((H382+SUM(J383:Q383))&lt;(Variables!$B$26*Variables!$E$50),$F$1*((Variables!$B$26*Variables!$E$50)-H382-SUM(J383:Q383)),0)</f>
        <v>0</v>
      </c>
      <c r="U383" s="64">
        <f>IF(AND(AND(B383="Autumn",SUM(D380:E383)&gt;Variables!$B$27),SUM(J383:Q383)&lt;Variables!$B$28*H382),$F$1*(Variables!$B$28*H382-SUM(J383:Q383)),0)</f>
        <v>0</v>
      </c>
      <c r="V383" s="96">
        <f>IF(AND((J383+K383)=0,(Q383+T383)=0),$H$1*H383*Variables!$I$23*0.25,0)</f>
        <v>165.10093958193906</v>
      </c>
      <c r="W383" s="97">
        <f>IF(AND((K383+J383)=0,(T383+Q383)=0),$I$1*H383*Variables!$Q$23*0.25,0)</f>
        <v>172.81701372705439</v>
      </c>
      <c r="X383" s="95">
        <f>IF(AND(NOT(K383=0),(H383-H382)&gt;0),(H383-H382)*(Variables!$M$5*$H$1+Variables!$U$5*$I$1),0)+IF(AND(NOT((J383+N383+Q383)=0),(H382-H383)&gt;0),(H382-H383)*(Variables!$M$4*$H$1+Variables!$U$4*$I$1),0)</f>
        <v>0</v>
      </c>
      <c r="Y383" s="95">
        <f>IF(SUM(T383,U382:U383)&gt;0,H383*Variables!$Y$11*0.25*(1-$J$1),0)</f>
        <v>0</v>
      </c>
      <c r="Z383" s="95">
        <f>IF(T383=0,H383*$J$1*Variables!$Y$5*0.25,0)</f>
        <v>55.690075442204851</v>
      </c>
      <c r="AA383" s="95">
        <f t="shared" si="11"/>
        <v>393.60802875119828</v>
      </c>
      <c r="AB383" s="91">
        <f>AA383/Variables!$E$49</f>
        <v>63.48516592761262</v>
      </c>
    </row>
    <row r="384" spans="1:28" x14ac:dyDescent="0.25">
      <c r="A384" s="61">
        <f>'Water runs'!C391</f>
        <v>37042</v>
      </c>
      <c r="B384" s="61" t="str">
        <f>'Water runs'!B391</f>
        <v>Autumn</v>
      </c>
      <c r="C384" s="54">
        <f>'Water runs'!D391/100</f>
        <v>0.30503571428571402</v>
      </c>
      <c r="D384" s="108">
        <f>VLOOKUP(ROW(D384)+4,'Water runs'!$BS$3:$CF$423,MATCH($B$1,Scenarios,0)+1)</f>
        <v>0</v>
      </c>
      <c r="E384" s="54">
        <f>IF(B384=Variables!$D$8,C384-Variables!$E$8,IF(B384=Variables!$D$9,C384-Variables!$E$9,IF(B384=Variables!$D$10,C384-Variables!$E$10,IF(B384=Variables!$D$11,C384-Variables!$E$11,"ELSE"))))</f>
        <v>-0.68960758503401376</v>
      </c>
      <c r="F384" s="108">
        <f>VLOOKUP(ROW(F384)+4,'Water runs'!$CH$3:$CU$423,MATCH($B$1,Scenarios,0)+1)</f>
        <v>0</v>
      </c>
      <c r="G384" s="65">
        <f>H384/Variables!$E$49</f>
        <v>1.3818877280944131</v>
      </c>
      <c r="H384" s="62">
        <f>IF((H383+I384)&gt;(1.1*Variables!$E$50),(1.1*Variables!$E$50),IF((H383+I384)&gt;0,H383+I384,0))</f>
        <v>8.5677039141853619</v>
      </c>
      <c r="I384" s="64">
        <f t="shared" si="12"/>
        <v>0</v>
      </c>
      <c r="J384" s="63">
        <f>IF(SUM(E380:E383)&lt;Variables!$B$3,-H383,0)</f>
        <v>0</v>
      </c>
      <c r="K384" s="64">
        <f>IF(AND(H383&lt;Variables!$B$6*Variables!$E$50,OR(SUM(D381:D384)&gt;Variables!$B$5,SUM(E381:E384)&gt;Variables!$B$4)),Variables!$B$6*Variables!$E$50+Variables!$B$7*$G$1*Variables!$E$50*SUM(D381:D384),0)</f>
        <v>0</v>
      </c>
      <c r="L384" s="64">
        <f>IF(B384="Winter",Variables!$B$8*H383,0)</f>
        <v>0</v>
      </c>
      <c r="M384" s="64">
        <f>IF(AND(B384="Spring",AND(NOT(H383=0),H383&lt;(Variables!$B$9*Variables!$E$50))),(Variables!$B$10*Variables!$E$50+Variables!$B$11*Variables!$E$50*SUM(E381:E384)+$G$1*SUM(D383:D384)*Variables!$E$50*Variables!$B$12),0)</f>
        <v>0</v>
      </c>
      <c r="N384" s="64">
        <f>IF(AND(B384="Spring",AND(SUM(D381:D384)&gt;Variables!$B$13,SUM(D377:D380)&gt;Variables!$B$13)),-Variables!$B$14*Variables!$E$50,0)</f>
        <v>0</v>
      </c>
      <c r="O384" s="64">
        <f>IF(AND(B384="Summer",SUM(C380:D384)&gt;Variables!$B$15),(Variables!$B$16*Variables!$E$50*SUM(C380:C384)+$G$1*Variables!$B$16*Variables!$E$50*SUM(D380:D384)+$G$1*Variables!$E$50*Variables!$B$17*F384),0)</f>
        <v>0</v>
      </c>
      <c r="P384" s="64">
        <f>IF(AND(AND(B384="Autumn",SUM(D383:E384)&gt;0),NOT(H383=0)),Variables!$B$18*Variables!$E$50+Variables!$B$19*Variables!$E$50*SUM(E383:E384)+$G$1*Variables!$B$19*Variables!$E$50*SUM(D383:D384),0)</f>
        <v>0</v>
      </c>
      <c r="Q384" s="64">
        <f>IF(AND(B384="Autumn",AND((E384+E383)&lt;Variables!$B$20,(D383+D384)=0)),-Variables!$B$21*Variables!$E$50,0)</f>
        <v>0</v>
      </c>
      <c r="R384" s="64">
        <f>IF(B384="Autumn",(SUM(F383:F384)*$G$1*Variables!$B$22*Variables!$E$50),0)</f>
        <v>0</v>
      </c>
      <c r="S384" s="64">
        <f>IF(B384="Spring",($G$1*Variables!$E$50*SUM('Guts (option 1)'!F383:F384)*Variables!$B$23),0)</f>
        <v>0</v>
      </c>
      <c r="T384" s="63">
        <f>IF((H383+SUM(J384:Q384))&lt;(Variables!$B$26*Variables!$E$50),$F$1*((Variables!$B$26*Variables!$E$50)-H383-SUM(J384:Q384)),0)</f>
        <v>0</v>
      </c>
      <c r="U384" s="64">
        <f>IF(AND(AND(B384="Autumn",SUM(D381:E384)&gt;Variables!$B$27),SUM(J384:Q384)&lt;Variables!$B$28*H383),$F$1*(Variables!$B$28*H383-SUM(J384:Q384)),0)</f>
        <v>0</v>
      </c>
      <c r="V384" s="96">
        <f>IF(AND((J384+K384)=0,(Q384+T384)=0),$H$1*H384*Variables!$I$23*0.25,0)</f>
        <v>165.10093958193906</v>
      </c>
      <c r="W384" s="97">
        <f>IF(AND((K384+J384)=0,(T384+Q384)=0),$I$1*H384*Variables!$Q$23*0.25,0)</f>
        <v>172.81701372705439</v>
      </c>
      <c r="X384" s="95">
        <f>IF(AND(NOT(K384=0),(H384-H383)&gt;0),(H384-H383)*(Variables!$M$5*$H$1+Variables!$U$5*$I$1),0)+IF(AND(NOT((J384+N384+Q384)=0),(H383-H384)&gt;0),(H383-H384)*(Variables!$M$4*$H$1+Variables!$U$4*$I$1),0)</f>
        <v>0</v>
      </c>
      <c r="Y384" s="95">
        <f>IF(SUM(T384,U383:U384)&gt;0,H384*Variables!$Y$11*0.25*(1-$J$1),0)</f>
        <v>0</v>
      </c>
      <c r="Z384" s="95">
        <f>IF(T384=0,H384*$J$1*Variables!$Y$5*0.25,0)</f>
        <v>55.690075442204851</v>
      </c>
      <c r="AA384" s="95">
        <f t="shared" si="11"/>
        <v>393.60802875119828</v>
      </c>
      <c r="AB384" s="91">
        <f>AA384/Variables!$E$49</f>
        <v>63.48516592761262</v>
      </c>
    </row>
    <row r="385" spans="1:28" x14ac:dyDescent="0.25">
      <c r="A385" s="61">
        <f>'Water runs'!C392</f>
        <v>37134</v>
      </c>
      <c r="B385" s="61" t="str">
        <f>'Water runs'!B392</f>
        <v>Winter</v>
      </c>
      <c r="C385" s="54">
        <f>'Water runs'!D392/100</f>
        <v>0.64875000000000005</v>
      </c>
      <c r="D385" s="108">
        <f>VLOOKUP(ROW(D385)+4,'Water runs'!$BS$3:$CF$423,MATCH($B$1,Scenarios,0)+1)</f>
        <v>0</v>
      </c>
      <c r="E385" s="54">
        <f>IF(B385=Variables!$D$8,C385-Variables!$E$8,IF(B385=Variables!$D$9,C385-Variables!$E$9,IF(B385=Variables!$D$10,C385-Variables!$E$10,IF(B385=Variables!$D$11,C385-Variables!$E$11,"ELSE"))))</f>
        <v>7.6982374338624315E-2</v>
      </c>
      <c r="F385" s="108">
        <f>VLOOKUP(ROW(F385)+4,'Water runs'!$CH$3:$CU$423,MATCH($B$1,Scenarios,0)+1)</f>
        <v>0</v>
      </c>
      <c r="G385" s="65">
        <f>H385/Variables!$E$49</f>
        <v>0.6937833029208994</v>
      </c>
      <c r="H385" s="62">
        <f>IF((H384+I385)&gt;(1.1*Variables!$E$50),(1.1*Variables!$E$50),IF((H384+I385)&gt;0,H384+I385,0))</f>
        <v>4.3014564781095768</v>
      </c>
      <c r="I385" s="64">
        <f t="shared" si="12"/>
        <v>-4.2662474360757852</v>
      </c>
      <c r="J385" s="63">
        <f>IF(SUM(E381:E384)&lt;Variables!$B$3,-H384,0)</f>
        <v>0</v>
      </c>
      <c r="K385" s="64">
        <f>IF(AND(H384&lt;Variables!$B$6*Variables!$E$50,OR(SUM(D382:D385)&gt;Variables!$B$5,SUM(E382:E385)&gt;Variables!$B$4)),Variables!$B$6*Variables!$E$50+Variables!$B$7*$G$1*Variables!$E$50*SUM(D382:D385),0)</f>
        <v>0</v>
      </c>
      <c r="L385" s="64">
        <f>IF(B385="Winter",Variables!$B$8*H384,0)</f>
        <v>-4.2662474360757852</v>
      </c>
      <c r="M385" s="64">
        <f>IF(AND(B385="Spring",AND(NOT(H384=0),H384&lt;(Variables!$B$9*Variables!$E$50))),(Variables!$B$10*Variables!$E$50+Variables!$B$11*Variables!$E$50*SUM(E382:E385)+$G$1*SUM(D384:D385)*Variables!$E$50*Variables!$B$12),0)</f>
        <v>0</v>
      </c>
      <c r="N385" s="64">
        <f>IF(AND(B385="Spring",AND(SUM(D382:D385)&gt;Variables!$B$13,SUM(D378:D381)&gt;Variables!$B$13)),-Variables!$B$14*Variables!$E$50,0)</f>
        <v>0</v>
      </c>
      <c r="O385" s="64">
        <f>IF(AND(B385="Summer",SUM(C381:D385)&gt;Variables!$B$15),(Variables!$B$16*Variables!$E$50*SUM(C381:C385)+$G$1*Variables!$B$16*Variables!$E$50*SUM(D381:D385)+$G$1*Variables!$E$50*Variables!$B$17*F385),0)</f>
        <v>0</v>
      </c>
      <c r="P385" s="64">
        <f>IF(AND(AND(B385="Autumn",SUM(D384:E385)&gt;0),NOT(H384=0)),Variables!$B$18*Variables!$E$50+Variables!$B$19*Variables!$E$50*SUM(E384:E385)+$G$1*Variables!$B$19*Variables!$E$50*SUM(D384:D385),0)</f>
        <v>0</v>
      </c>
      <c r="Q385" s="64">
        <f>IF(AND(B385="Autumn",AND((E385+E384)&lt;Variables!$B$20,(D384+D385)=0)),-Variables!$B$21*Variables!$E$50,0)</f>
        <v>0</v>
      </c>
      <c r="R385" s="64">
        <f>IF(B385="Autumn",(SUM(F384:F385)*$G$1*Variables!$B$22*Variables!$E$50),0)</f>
        <v>0</v>
      </c>
      <c r="S385" s="64">
        <f>IF(B385="Spring",($G$1*Variables!$E$50*SUM('Guts (option 1)'!F384:F385)*Variables!$B$23),0)</f>
        <v>0</v>
      </c>
      <c r="T385" s="63">
        <f>IF((H384+SUM(J385:Q385))&lt;(Variables!$B$26*Variables!$E$50),$F$1*((Variables!$B$26*Variables!$E$50)-H384-SUM(J385:Q385)),0)</f>
        <v>0</v>
      </c>
      <c r="U385" s="64">
        <f>IF(AND(AND(B385="Autumn",SUM(D382:E385)&gt;Variables!$B$27),SUM(J385:Q385)&lt;Variables!$B$28*H384),$F$1*(Variables!$B$28*H384-SUM(J385:Q385)),0)</f>
        <v>0</v>
      </c>
      <c r="V385" s="96">
        <f>IF(AND((J385+K385)=0,(Q385+T385)=0),$H$1*H385*Variables!$I$23*0.25,0)</f>
        <v>82.889711551643259</v>
      </c>
      <c r="W385" s="97">
        <f>IF(AND((K385+J385)=0,(T385+Q385)=0),$I$1*H385*Variables!$Q$23*0.25,0)</f>
        <v>86.763603255828741</v>
      </c>
      <c r="X385" s="95">
        <f>IF(AND(NOT(K385=0),(H385-H384)&gt;0),(H385-H384)*(Variables!$M$5*$H$1+Variables!$U$5*$I$1),0)+IF(AND(NOT((J385+N385+Q385)=0),(H384-H385)&gt;0),(H384-H385)*(Variables!$M$4*$H$1+Variables!$U$4*$I$1),0)</f>
        <v>0</v>
      </c>
      <c r="Y385" s="95">
        <f>IF(SUM(T385,U384:U385)&gt;0,H385*Variables!$Y$11*0.25*(1-$J$1),0)</f>
        <v>0</v>
      </c>
      <c r="Z385" s="95">
        <f>IF(T385=0,H385*$J$1*Variables!$Y$5*0.25,0)</f>
        <v>27.95946710771225</v>
      </c>
      <c r="AA385" s="95">
        <f t="shared" si="11"/>
        <v>197.61278191518423</v>
      </c>
      <c r="AB385" s="91">
        <f>AA385/Variables!$E$49</f>
        <v>31.873029341158745</v>
      </c>
    </row>
    <row r="386" spans="1:28" x14ac:dyDescent="0.25">
      <c r="A386" s="61">
        <f>'Water runs'!C393</f>
        <v>37225</v>
      </c>
      <c r="B386" s="61" t="str">
        <f>'Water runs'!B393</f>
        <v>Spring</v>
      </c>
      <c r="C386" s="54">
        <f>'Water runs'!D393/100</f>
        <v>0.70080952380952399</v>
      </c>
      <c r="D386" s="108">
        <f>VLOOKUP(ROW(D386)+4,'Water runs'!$BS$3:$CF$423,MATCH($B$1,Scenarios,0)+1)</f>
        <v>0</v>
      </c>
      <c r="E386" s="54">
        <f>IF(B386=Variables!$D$8,C386-Variables!$E$8,IF(B386=Variables!$D$9,C386-Variables!$E$9,IF(B386=Variables!$D$10,C386-Variables!$E$10,IF(B386=Variables!$D$11,C386-Variables!$E$11,"ELSE"))))</f>
        <v>-6.3172685185185151E-2</v>
      </c>
      <c r="F386" s="108">
        <f>VLOOKUP(ROW(F386)+4,'Water runs'!$CH$3:$CU$423,MATCH($B$1,Scenarios,0)+1)</f>
        <v>0</v>
      </c>
      <c r="G386" s="65">
        <f>H386/Variables!$E$49</f>
        <v>0.6937833029208994</v>
      </c>
      <c r="H386" s="62">
        <f>IF((H385+I386)&gt;(1.1*Variables!$E$50),(1.1*Variables!$E$50),IF((H385+I386)&gt;0,H385+I386,0))</f>
        <v>4.3014564781095768</v>
      </c>
      <c r="I386" s="64">
        <f t="shared" si="12"/>
        <v>0</v>
      </c>
      <c r="J386" s="63">
        <f>IF(SUM(E382:E385)&lt;Variables!$B$3,-H385,0)</f>
        <v>0</v>
      </c>
      <c r="K386" s="64">
        <f>IF(AND(H385&lt;Variables!$B$6*Variables!$E$50,OR(SUM(D383:D386)&gt;Variables!$B$5,SUM(E383:E386)&gt;Variables!$B$4)),Variables!$B$6*Variables!$E$50+Variables!$B$7*$G$1*Variables!$E$50*SUM(D383:D386),0)</f>
        <v>0</v>
      </c>
      <c r="L386" s="64">
        <f>IF(B386="Winter",Variables!$B$8*H385,0)</f>
        <v>0</v>
      </c>
      <c r="M386" s="64">
        <f>IF(AND(B386="Spring",AND(NOT(H385=0),H385&lt;(Variables!$B$9*Variables!$E$50))),(Variables!$B$10*Variables!$E$50+Variables!$B$11*Variables!$E$50*SUM(E383:E386)+$G$1*SUM(D385:D386)*Variables!$E$50*Variables!$B$12),0)</f>
        <v>0</v>
      </c>
      <c r="N386" s="64">
        <f>IF(AND(B386="Spring",AND(SUM(D383:D386)&gt;Variables!$B$13,SUM(D379:D382)&gt;Variables!$B$13)),-Variables!$B$14*Variables!$E$50,0)</f>
        <v>0</v>
      </c>
      <c r="O386" s="64">
        <f>IF(AND(B386="Summer",SUM(C382:D386)&gt;Variables!$B$15),(Variables!$B$16*Variables!$E$50*SUM(C382:C386)+$G$1*Variables!$B$16*Variables!$E$50*SUM(D382:D386)+$G$1*Variables!$E$50*Variables!$B$17*F386),0)</f>
        <v>0</v>
      </c>
      <c r="P386" s="64">
        <f>IF(AND(AND(B386="Autumn",SUM(D385:E386)&gt;0),NOT(H385=0)),Variables!$B$18*Variables!$E$50+Variables!$B$19*Variables!$E$50*SUM(E385:E386)+$G$1*Variables!$B$19*Variables!$E$50*SUM(D385:D386),0)</f>
        <v>0</v>
      </c>
      <c r="Q386" s="64">
        <f>IF(AND(B386="Autumn",AND((E386+E385)&lt;Variables!$B$20,(D385+D386)=0)),-Variables!$B$21*Variables!$E$50,0)</f>
        <v>0</v>
      </c>
      <c r="R386" s="64">
        <f>IF(B386="Autumn",(SUM(F385:F386)*$G$1*Variables!$B$22*Variables!$E$50),0)</f>
        <v>0</v>
      </c>
      <c r="S386" s="64">
        <f>IF(B386="Spring",($G$1*Variables!$E$50*SUM('Guts (option 1)'!F385:F386)*Variables!$B$23),0)</f>
        <v>0</v>
      </c>
      <c r="T386" s="63">
        <f>IF((H385+SUM(J386:Q386))&lt;(Variables!$B$26*Variables!$E$50),$F$1*((Variables!$B$26*Variables!$E$50)-H385-SUM(J386:Q386)),0)</f>
        <v>0</v>
      </c>
      <c r="U386" s="64">
        <f>IF(AND(AND(B386="Autumn",SUM(D383:E386)&gt;Variables!$B$27),SUM(J386:Q386)&lt;Variables!$B$28*H385),$F$1*(Variables!$B$28*H385-SUM(J386:Q386)),0)</f>
        <v>0</v>
      </c>
      <c r="V386" s="96">
        <f>IF(AND((J386+K386)=0,(Q386+T386)=0),$H$1*H386*Variables!$I$23*0.25,0)</f>
        <v>82.889711551643259</v>
      </c>
      <c r="W386" s="97">
        <f>IF(AND((K386+J386)=0,(T386+Q386)=0),$I$1*H386*Variables!$Q$23*0.25,0)</f>
        <v>86.763603255828741</v>
      </c>
      <c r="X386" s="95">
        <f>IF(AND(NOT(K386=0),(H386-H385)&gt;0),(H386-H385)*(Variables!$M$5*$H$1+Variables!$U$5*$I$1),0)+IF(AND(NOT((J386+N386+Q386)=0),(H385-H386)&gt;0),(H385-H386)*(Variables!$M$4*$H$1+Variables!$U$4*$I$1),0)</f>
        <v>0</v>
      </c>
      <c r="Y386" s="95">
        <f>IF(SUM(T386,U385:U386)&gt;0,H386*Variables!$Y$11*0.25*(1-$J$1),0)</f>
        <v>0</v>
      </c>
      <c r="Z386" s="95">
        <f>IF(T386=0,H386*$J$1*Variables!$Y$5*0.25,0)</f>
        <v>27.95946710771225</v>
      </c>
      <c r="AA386" s="95">
        <f t="shared" si="11"/>
        <v>197.61278191518423</v>
      </c>
      <c r="AB386" s="91">
        <f>AA386/Variables!$E$49</f>
        <v>31.873029341158745</v>
      </c>
    </row>
    <row r="387" spans="1:28" x14ac:dyDescent="0.25">
      <c r="A387" s="61">
        <f>'Water runs'!C394</f>
        <v>37315</v>
      </c>
      <c r="B387" s="61" t="str">
        <f>'Water runs'!B394</f>
        <v>Summer</v>
      </c>
      <c r="C387" s="54">
        <f>'Water runs'!D394/100</f>
        <v>0.63683333333333303</v>
      </c>
      <c r="D387" s="108">
        <f>VLOOKUP(ROW(D387)+4,'Water runs'!$BS$3:$CF$423,MATCH($B$1,Scenarios,0)+1)</f>
        <v>0</v>
      </c>
      <c r="E387" s="54">
        <f>IF(B387=Variables!$D$8,C387-Variables!$E$8,IF(B387=Variables!$D$9,C387-Variables!$E$9,IF(B387=Variables!$D$10,C387-Variables!$E$10,IF(B387=Variables!$D$11,C387-Variables!$E$11,"ELSE"))))</f>
        <v>-0.62153680272108869</v>
      </c>
      <c r="F387" s="108">
        <f>VLOOKUP(ROW(F387)+4,'Water runs'!$CH$3:$CU$423,MATCH($B$1,Scenarios,0)+1)</f>
        <v>0</v>
      </c>
      <c r="G387" s="65">
        <f>H387/Variables!$E$49</f>
        <v>0.6937833029208994</v>
      </c>
      <c r="H387" s="62">
        <f>IF((H386+I387)&gt;(1.1*Variables!$E$50),(1.1*Variables!$E$50),IF((H386+I387)&gt;0,H386+I387,0))</f>
        <v>4.3014564781095768</v>
      </c>
      <c r="I387" s="64">
        <f t="shared" si="12"/>
        <v>0</v>
      </c>
      <c r="J387" s="63">
        <f>IF(SUM(E383:E386)&lt;Variables!$B$3,-H386,0)</f>
        <v>0</v>
      </c>
      <c r="K387" s="64">
        <f>IF(AND(H386&lt;Variables!$B$6*Variables!$E$50,OR(SUM(D384:D387)&gt;Variables!$B$5,SUM(E384:E387)&gt;Variables!$B$4)),Variables!$B$6*Variables!$E$50+Variables!$B$7*$G$1*Variables!$E$50*SUM(D384:D387),0)</f>
        <v>0</v>
      </c>
      <c r="L387" s="64">
        <f>IF(B387="Winter",Variables!$B$8*H386,0)</f>
        <v>0</v>
      </c>
      <c r="M387" s="64">
        <f>IF(AND(B387="Spring",AND(NOT(H386=0),H386&lt;(Variables!$B$9*Variables!$E$50))),(Variables!$B$10*Variables!$E$50+Variables!$B$11*Variables!$E$50*SUM(E384:E387)+$G$1*SUM(D386:D387)*Variables!$E$50*Variables!$B$12),0)</f>
        <v>0</v>
      </c>
      <c r="N387" s="64">
        <f>IF(AND(B387="Spring",AND(SUM(D384:D387)&gt;Variables!$B$13,SUM(D380:D383)&gt;Variables!$B$13)),-Variables!$B$14*Variables!$E$50,0)</f>
        <v>0</v>
      </c>
      <c r="O387" s="64">
        <f>IF(AND(B387="Summer",SUM(C383:D387)&gt;Variables!$B$15),(Variables!$B$16*Variables!$E$50*SUM(C383:C387)+$G$1*Variables!$B$16*Variables!$E$50*SUM(D383:D387)+$G$1*Variables!$E$50*Variables!$B$17*F387),0)</f>
        <v>0</v>
      </c>
      <c r="P387" s="64">
        <f>IF(AND(AND(B387="Autumn",SUM(D386:E387)&gt;0),NOT(H386=0)),Variables!$B$18*Variables!$E$50+Variables!$B$19*Variables!$E$50*SUM(E386:E387)+$G$1*Variables!$B$19*Variables!$E$50*SUM(D386:D387),0)</f>
        <v>0</v>
      </c>
      <c r="Q387" s="64">
        <f>IF(AND(B387="Autumn",AND((E387+E386)&lt;Variables!$B$20,(D386+D387)=0)),-Variables!$B$21*Variables!$E$50,0)</f>
        <v>0</v>
      </c>
      <c r="R387" s="64">
        <f>IF(B387="Autumn",(SUM(F386:F387)*$G$1*Variables!$B$22*Variables!$E$50),0)</f>
        <v>0</v>
      </c>
      <c r="S387" s="64">
        <f>IF(B387="Spring",($G$1*Variables!$E$50*SUM('Guts (option 1)'!F386:F387)*Variables!$B$23),0)</f>
        <v>0</v>
      </c>
      <c r="T387" s="63">
        <f>IF((H386+SUM(J387:Q387))&lt;(Variables!$B$26*Variables!$E$50),$F$1*((Variables!$B$26*Variables!$E$50)-H386-SUM(J387:Q387)),0)</f>
        <v>0</v>
      </c>
      <c r="U387" s="64">
        <f>IF(AND(AND(B387="Autumn",SUM(D384:E387)&gt;Variables!$B$27),SUM(J387:Q387)&lt;Variables!$B$28*H386),$F$1*(Variables!$B$28*H386-SUM(J387:Q387)),0)</f>
        <v>0</v>
      </c>
      <c r="V387" s="96">
        <f>IF(AND((J387+K387)=0,(Q387+T387)=0),$H$1*H387*Variables!$I$23*0.25,0)</f>
        <v>82.889711551643259</v>
      </c>
      <c r="W387" s="97">
        <f>IF(AND((K387+J387)=0,(T387+Q387)=0),$I$1*H387*Variables!$Q$23*0.25,0)</f>
        <v>86.763603255828741</v>
      </c>
      <c r="X387" s="95">
        <f>IF(AND(NOT(K387=0),(H387-H386)&gt;0),(H387-H386)*(Variables!$M$5*$H$1+Variables!$U$5*$I$1),0)+IF(AND(NOT((J387+N387+Q387)=0),(H386-H387)&gt;0),(H386-H387)*(Variables!$M$4*$H$1+Variables!$U$4*$I$1),0)</f>
        <v>0</v>
      </c>
      <c r="Y387" s="95">
        <f>IF(SUM(T387,U386:U387)&gt;0,H387*Variables!$Y$11*0.25*(1-$J$1),0)</f>
        <v>0</v>
      </c>
      <c r="Z387" s="95">
        <f>IF(T387=0,H387*$J$1*Variables!$Y$5*0.25,0)</f>
        <v>27.95946710771225</v>
      </c>
      <c r="AA387" s="95">
        <f t="shared" si="11"/>
        <v>197.61278191518423</v>
      </c>
      <c r="AB387" s="91">
        <f>AA387/Variables!$E$49</f>
        <v>31.873029341158745</v>
      </c>
    </row>
    <row r="388" spans="1:28" x14ac:dyDescent="0.25">
      <c r="A388" s="61">
        <f>'Water runs'!C395</f>
        <v>37407</v>
      </c>
      <c r="B388" s="61" t="str">
        <f>'Water runs'!B395</f>
        <v>Autumn</v>
      </c>
      <c r="C388" s="54">
        <f>'Water runs'!D395/100</f>
        <v>0.31503571428571403</v>
      </c>
      <c r="D388" s="108">
        <f>VLOOKUP(ROW(D388)+4,'Water runs'!$BS$3:$CF$423,MATCH($B$1,Scenarios,0)+1)</f>
        <v>0</v>
      </c>
      <c r="E388" s="54">
        <f>IF(B388=Variables!$D$8,C388-Variables!$E$8,IF(B388=Variables!$D$9,C388-Variables!$E$9,IF(B388=Variables!$D$10,C388-Variables!$E$10,IF(B388=Variables!$D$11,C388-Variables!$E$11,"ELSE"))))</f>
        <v>-0.67960758503401375</v>
      </c>
      <c r="F388" s="108">
        <f>VLOOKUP(ROW(F388)+4,'Water runs'!$CH$3:$CU$423,MATCH($B$1,Scenarios,0)+1)</f>
        <v>0</v>
      </c>
      <c r="G388" s="65">
        <f>H388/Variables!$E$49</f>
        <v>0.6937833029208994</v>
      </c>
      <c r="H388" s="62">
        <f>IF((H387+I388)&gt;(1.1*Variables!$E$50),(1.1*Variables!$E$50),IF((H387+I388)&gt;0,H387+I388,0))</f>
        <v>4.3014564781095768</v>
      </c>
      <c r="I388" s="64">
        <f t="shared" si="12"/>
        <v>0</v>
      </c>
      <c r="J388" s="63">
        <f>IF(SUM(E384:E387)&lt;Variables!$B$3,-H387,0)</f>
        <v>0</v>
      </c>
      <c r="K388" s="64">
        <f>IF(AND(H387&lt;Variables!$B$6*Variables!$E$50,OR(SUM(D385:D388)&gt;Variables!$B$5,SUM(E385:E388)&gt;Variables!$B$4)),Variables!$B$6*Variables!$E$50+Variables!$B$7*$G$1*Variables!$E$50*SUM(D385:D388),0)</f>
        <v>0</v>
      </c>
      <c r="L388" s="64">
        <f>IF(B388="Winter",Variables!$B$8*H387,0)</f>
        <v>0</v>
      </c>
      <c r="M388" s="64">
        <f>IF(AND(B388="Spring",AND(NOT(H387=0),H387&lt;(Variables!$B$9*Variables!$E$50))),(Variables!$B$10*Variables!$E$50+Variables!$B$11*Variables!$E$50*SUM(E385:E388)+$G$1*SUM(D387:D388)*Variables!$E$50*Variables!$B$12),0)</f>
        <v>0</v>
      </c>
      <c r="N388" s="64">
        <f>IF(AND(B388="Spring",AND(SUM(D385:D388)&gt;Variables!$B$13,SUM(D381:D384)&gt;Variables!$B$13)),-Variables!$B$14*Variables!$E$50,0)</f>
        <v>0</v>
      </c>
      <c r="O388" s="64">
        <f>IF(AND(B388="Summer",SUM(C384:D388)&gt;Variables!$B$15),(Variables!$B$16*Variables!$E$50*SUM(C384:C388)+$G$1*Variables!$B$16*Variables!$E$50*SUM(D384:D388)+$G$1*Variables!$E$50*Variables!$B$17*F388),0)</f>
        <v>0</v>
      </c>
      <c r="P388" s="64">
        <f>IF(AND(AND(B388="Autumn",SUM(D387:E388)&gt;0),NOT(H387=0)),Variables!$B$18*Variables!$E$50+Variables!$B$19*Variables!$E$50*SUM(E387:E388)+$G$1*Variables!$B$19*Variables!$E$50*SUM(D387:D388),0)</f>
        <v>0</v>
      </c>
      <c r="Q388" s="64">
        <f>IF(AND(B388="Autumn",AND((E388+E387)&lt;Variables!$B$20,(D387+D388)=0)),-Variables!$B$21*Variables!$E$50,0)</f>
        <v>0</v>
      </c>
      <c r="R388" s="64">
        <f>IF(B388="Autumn",(SUM(F387:F388)*$G$1*Variables!$B$22*Variables!$E$50),0)</f>
        <v>0</v>
      </c>
      <c r="S388" s="64">
        <f>IF(B388="Spring",($G$1*Variables!$E$50*SUM('Guts (option 1)'!F387:F388)*Variables!$B$23),0)</f>
        <v>0</v>
      </c>
      <c r="T388" s="63">
        <f>IF((H387+SUM(J388:Q388))&lt;(Variables!$B$26*Variables!$E$50),$F$1*((Variables!$B$26*Variables!$E$50)-H387-SUM(J388:Q388)),0)</f>
        <v>0</v>
      </c>
      <c r="U388" s="64">
        <f>IF(AND(AND(B388="Autumn",SUM(D385:E388)&gt;Variables!$B$27),SUM(J388:Q388)&lt;Variables!$B$28*H387),$F$1*(Variables!$B$28*H387-SUM(J388:Q388)),0)</f>
        <v>0</v>
      </c>
      <c r="V388" s="96">
        <f>IF(AND((J388+K388)=0,(Q388+T388)=0),$H$1*H388*Variables!$I$23*0.25,0)</f>
        <v>82.889711551643259</v>
      </c>
      <c r="W388" s="97">
        <f>IF(AND((K388+J388)=0,(T388+Q388)=0),$I$1*H388*Variables!$Q$23*0.25,0)</f>
        <v>86.763603255828741</v>
      </c>
      <c r="X388" s="95">
        <f>IF(AND(NOT(K388=0),(H388-H387)&gt;0),(H388-H387)*(Variables!$M$5*$H$1+Variables!$U$5*$I$1),0)+IF(AND(NOT((J388+N388+Q388)=0),(H387-H388)&gt;0),(H387-H388)*(Variables!$M$4*$H$1+Variables!$U$4*$I$1),0)</f>
        <v>0</v>
      </c>
      <c r="Y388" s="95">
        <f>IF(SUM(T388,U387:U388)&gt;0,H388*Variables!$Y$11*0.25*(1-$J$1),0)</f>
        <v>0</v>
      </c>
      <c r="Z388" s="95">
        <f>IF(T388=0,H388*$J$1*Variables!$Y$5*0.25,0)</f>
        <v>27.95946710771225</v>
      </c>
      <c r="AA388" s="95">
        <f t="shared" si="11"/>
        <v>197.61278191518423</v>
      </c>
      <c r="AB388" s="91">
        <f>AA388/Variables!$E$49</f>
        <v>31.873029341158745</v>
      </c>
    </row>
    <row r="389" spans="1:28" x14ac:dyDescent="0.25">
      <c r="A389" s="61">
        <f>'Water runs'!C396</f>
        <v>37499</v>
      </c>
      <c r="B389" s="61" t="str">
        <f>'Water runs'!B396</f>
        <v>Winter</v>
      </c>
      <c r="C389" s="54">
        <f>'Water runs'!D396/100</f>
        <v>7.6999999999999999E-2</v>
      </c>
      <c r="D389" s="108">
        <f>VLOOKUP(ROW(D389)+4,'Water runs'!$BS$3:$CF$423,MATCH($B$1,Scenarios,0)+1)</f>
        <v>0</v>
      </c>
      <c r="E389" s="54">
        <f>IF(B389=Variables!$D$8,C389-Variables!$E$8,IF(B389=Variables!$D$9,C389-Variables!$E$9,IF(B389=Variables!$D$10,C389-Variables!$E$10,IF(B389=Variables!$D$11,C389-Variables!$E$11,"ELSE"))))</f>
        <v>-0.49476762566137572</v>
      </c>
      <c r="F389" s="108">
        <f>VLOOKUP(ROW(F389)+4,'Water runs'!$CH$3:$CU$423,MATCH($B$1,Scenarios,0)+1)</f>
        <v>0</v>
      </c>
      <c r="G389" s="65">
        <f>H389/Variables!$E$49</f>
        <v>0.34831720524472792</v>
      </c>
      <c r="H389" s="62">
        <f>IF((H388+I389)&gt;(1.1*Variables!$E$50),(1.1*Variables!$E$50),IF((H388+I389)&gt;0,H388+I389,0))</f>
        <v>2.1595666725173133</v>
      </c>
      <c r="I389" s="64">
        <f t="shared" si="12"/>
        <v>-2.1418898055922635</v>
      </c>
      <c r="J389" s="63">
        <f>IF(SUM(E385:E388)&lt;Variables!$B$3,-H388,0)</f>
        <v>0</v>
      </c>
      <c r="K389" s="64">
        <f>IF(AND(H388&lt;Variables!$B$6*Variables!$E$50,OR(SUM(D386:D389)&gt;Variables!$B$5,SUM(E386:E389)&gt;Variables!$B$4)),Variables!$B$6*Variables!$E$50+Variables!$B$7*$G$1*Variables!$E$50*SUM(D386:D389),0)</f>
        <v>0</v>
      </c>
      <c r="L389" s="64">
        <f>IF(B389="Winter",Variables!$B$8*H388,0)</f>
        <v>-2.1418898055922635</v>
      </c>
      <c r="M389" s="64">
        <f>IF(AND(B389="Spring",AND(NOT(H388=0),H388&lt;(Variables!$B$9*Variables!$E$50))),(Variables!$B$10*Variables!$E$50+Variables!$B$11*Variables!$E$50*SUM(E386:E389)+$G$1*SUM(D388:D389)*Variables!$E$50*Variables!$B$12),0)</f>
        <v>0</v>
      </c>
      <c r="N389" s="64">
        <f>IF(AND(B389="Spring",AND(SUM(D386:D389)&gt;Variables!$B$13,SUM(D382:D385)&gt;Variables!$B$13)),-Variables!$B$14*Variables!$E$50,0)</f>
        <v>0</v>
      </c>
      <c r="O389" s="64">
        <f>IF(AND(B389="Summer",SUM(C385:D389)&gt;Variables!$B$15),(Variables!$B$16*Variables!$E$50*SUM(C385:C389)+$G$1*Variables!$B$16*Variables!$E$50*SUM(D385:D389)+$G$1*Variables!$E$50*Variables!$B$17*F389),0)</f>
        <v>0</v>
      </c>
      <c r="P389" s="64">
        <f>IF(AND(AND(B389="Autumn",SUM(D388:E389)&gt;0),NOT(H388=0)),Variables!$B$18*Variables!$E$50+Variables!$B$19*Variables!$E$50*SUM(E388:E389)+$G$1*Variables!$B$19*Variables!$E$50*SUM(D388:D389),0)</f>
        <v>0</v>
      </c>
      <c r="Q389" s="64">
        <f>IF(AND(B389="Autumn",AND((E389+E388)&lt;Variables!$B$20,(D388+D389)=0)),-Variables!$B$21*Variables!$E$50,0)</f>
        <v>0</v>
      </c>
      <c r="R389" s="64">
        <f>IF(B389="Autumn",(SUM(F388:F389)*$G$1*Variables!$B$22*Variables!$E$50),0)</f>
        <v>0</v>
      </c>
      <c r="S389" s="64">
        <f>IF(B389="Spring",($G$1*Variables!$E$50*SUM('Guts (option 1)'!F388:F389)*Variables!$B$23),0)</f>
        <v>0</v>
      </c>
      <c r="T389" s="63">
        <f>IF((H388+SUM(J389:Q389))&lt;(Variables!$B$26*Variables!$E$50),$F$1*((Variables!$B$26*Variables!$E$50)-H388-SUM(J389:Q389)),0)</f>
        <v>0</v>
      </c>
      <c r="U389" s="64">
        <f>IF(AND(AND(B389="Autumn",SUM(D386:E389)&gt;Variables!$B$27),SUM(J389:Q389)&lt;Variables!$B$28*H388),$F$1*(Variables!$B$28*H388-SUM(J389:Q389)),0)</f>
        <v>0</v>
      </c>
      <c r="V389" s="96">
        <f>IF(AND((J389+K389)=0,(Q389+T389)=0),$H$1*H389*Variables!$I$23*0.25,0)</f>
        <v>41.615173714409508</v>
      </c>
      <c r="W389" s="97">
        <f>IF(AND((K389+J389)=0,(T389+Q389)=0),$I$1*H389*Variables!$Q$23*0.25,0)</f>
        <v>43.56007945967859</v>
      </c>
      <c r="X389" s="95">
        <f>IF(AND(NOT(K389=0),(H389-H388)&gt;0),(H389-H388)*(Variables!$M$5*$H$1+Variables!$U$5*$I$1),0)+IF(AND(NOT((J389+N389+Q389)=0),(H388-H389)&gt;0),(H388-H389)*(Variables!$M$4*$H$1+Variables!$U$4*$I$1),0)</f>
        <v>0</v>
      </c>
      <c r="Y389" s="95">
        <f>IF(SUM(T389,U388:U389)&gt;0,H389*Variables!$Y$11*0.25*(1-$J$1),0)</f>
        <v>0</v>
      </c>
      <c r="Z389" s="95">
        <f>IF(T389=0,H389*$J$1*Variables!$Y$5*0.25,0)</f>
        <v>14.037183371362536</v>
      </c>
      <c r="AA389" s="95">
        <f t="shared" si="11"/>
        <v>99.212436545450629</v>
      </c>
      <c r="AB389" s="91">
        <f>AA389/Variables!$E$49</f>
        <v>16.002005894427519</v>
      </c>
    </row>
    <row r="390" spans="1:28" x14ac:dyDescent="0.25">
      <c r="A390" s="61">
        <f>'Water runs'!C397</f>
        <v>37590</v>
      </c>
      <c r="B390" s="61" t="str">
        <f>'Water runs'!B397</f>
        <v>Spring</v>
      </c>
      <c r="C390" s="54">
        <f>'Water runs'!D397/100</f>
        <v>0.113</v>
      </c>
      <c r="D390" s="108">
        <f>VLOOKUP(ROW(D390)+4,'Water runs'!$BS$3:$CF$423,MATCH($B$1,Scenarios,0)+1)</f>
        <v>0</v>
      </c>
      <c r="E390" s="54">
        <f>IF(B390=Variables!$D$8,C390-Variables!$E$8,IF(B390=Variables!$D$9,C390-Variables!$E$9,IF(B390=Variables!$D$10,C390-Variables!$E$10,IF(B390=Variables!$D$11,C390-Variables!$E$11,"ELSE"))))</f>
        <v>-0.65098220899470916</v>
      </c>
      <c r="F390" s="108">
        <f>VLOOKUP(ROW(F390)+4,'Water runs'!$CH$3:$CU$423,MATCH($B$1,Scenarios,0)+1)</f>
        <v>0</v>
      </c>
      <c r="G390" s="65">
        <f>H390/Variables!$E$49</f>
        <v>0.16100000000000003</v>
      </c>
      <c r="H390" s="62">
        <f>IF((H389+I390)&gt;(1.1*Variables!$E$50),(1.1*Variables!$E$50),IF((H389+I390)&gt;0,H389+I390,0))</f>
        <v>0.9982000000000002</v>
      </c>
      <c r="I390" s="64">
        <f t="shared" si="12"/>
        <v>-1.1613666725173131</v>
      </c>
      <c r="J390" s="63">
        <f>IF(SUM(E386:E389)&lt;Variables!$B$3,-H389,0)</f>
        <v>-2.1595666725173133</v>
      </c>
      <c r="K390" s="64">
        <f>IF(AND(H389&lt;Variables!$B$6*Variables!$E$50,OR(SUM(D387:D390)&gt;Variables!$B$5,SUM(E387:E390)&gt;Variables!$B$4)),Variables!$B$6*Variables!$E$50+Variables!$B$7*$G$1*Variables!$E$50*SUM(D387:D390),0)</f>
        <v>0</v>
      </c>
      <c r="L390" s="64">
        <f>IF(B390="Winter",Variables!$B$8*H389,0)</f>
        <v>0</v>
      </c>
      <c r="M390" s="64">
        <f>IF(AND(B390="Spring",AND(NOT(H389=0),H389&lt;(Variables!$B$9*Variables!$E$50))),(Variables!$B$10*Variables!$E$50+Variables!$B$11*Variables!$E$50*SUM(E387:E390)+$G$1*SUM(D389:D390)*Variables!$E$50*Variables!$B$12),0)</f>
        <v>-1.6664859046777241</v>
      </c>
      <c r="N390" s="64">
        <f>IF(AND(B390="Spring",AND(SUM(D387:D390)&gt;Variables!$B$13,SUM(D383:D386)&gt;Variables!$B$13)),-Variables!$B$14*Variables!$E$50,0)</f>
        <v>0</v>
      </c>
      <c r="O390" s="64">
        <f>IF(AND(B390="Summer",SUM(C386:D390)&gt;Variables!$B$15),(Variables!$B$16*Variables!$E$50*SUM(C386:C390)+$G$1*Variables!$B$16*Variables!$E$50*SUM(D386:D390)+$G$1*Variables!$E$50*Variables!$B$17*F390),0)</f>
        <v>0</v>
      </c>
      <c r="P390" s="64">
        <f>IF(AND(AND(B390="Autumn",SUM(D389:E390)&gt;0),NOT(H389=0)),Variables!$B$18*Variables!$E$50+Variables!$B$19*Variables!$E$50*SUM(E389:E390)+$G$1*Variables!$B$19*Variables!$E$50*SUM(D389:D390),0)</f>
        <v>0</v>
      </c>
      <c r="Q390" s="64">
        <f>IF(AND(B390="Autumn",AND((E390+E389)&lt;Variables!$B$20,(D389+D390)=0)),-Variables!$B$21*Variables!$E$50,0)</f>
        <v>0</v>
      </c>
      <c r="R390" s="64">
        <f>IF(B390="Autumn",(SUM(F389:F390)*$G$1*Variables!$B$22*Variables!$E$50),0)</f>
        <v>0</v>
      </c>
      <c r="S390" s="64">
        <f>IF(B390="Spring",($G$1*Variables!$E$50*SUM('Guts (option 1)'!F389:F390)*Variables!$B$23),0)</f>
        <v>0</v>
      </c>
      <c r="T390" s="63">
        <f>IF((H389+SUM(J390:Q390))&lt;(Variables!$B$26*Variables!$E$50),$F$1*((Variables!$B$26*Variables!$E$50)-H389-SUM(J390:Q390)),0)</f>
        <v>2.6646859046777243</v>
      </c>
      <c r="U390" s="64">
        <f>IF(AND(AND(B390="Autumn",SUM(D387:E390)&gt;Variables!$B$27),SUM(J390:Q390)&lt;Variables!$B$28*H389),$F$1*(Variables!$B$28*H389-SUM(J390:Q390)),0)</f>
        <v>0</v>
      </c>
      <c r="V390" s="96">
        <f>IF(AND((J390+K390)=0,(Q390+T390)=0),$H$1*H390*Variables!$I$23*0.25,0)</f>
        <v>0</v>
      </c>
      <c r="W390" s="97">
        <f>IF(AND((K390+J390)=0,(T390+Q390)=0),$I$1*H390*Variables!$Q$23*0.25,0)</f>
        <v>0</v>
      </c>
      <c r="X390" s="95">
        <f>IF(AND(NOT(K390=0),(H390-H389)&gt;0),(H390-H389)*(Variables!$M$5*$H$1+Variables!$U$5*$I$1),0)+IF(AND(NOT((J390+N390+Q390)=0),(H389-H390)&gt;0),(H389-H390)*(Variables!$M$4*$H$1+Variables!$U$4*$I$1),0)</f>
        <v>145.17083406466412</v>
      </c>
      <c r="Y390" s="95">
        <f>IF(SUM(T390,U389:U390)&gt;0,H390*Variables!$Y$11*0.25*(1-$J$1),0)</f>
        <v>0</v>
      </c>
      <c r="Z390" s="95">
        <f>IF(T390=0,H390*$J$1*Variables!$Y$5*0.25,0)</f>
        <v>0</v>
      </c>
      <c r="AA390" s="95">
        <f t="shared" si="11"/>
        <v>145.17083406466412</v>
      </c>
      <c r="AB390" s="91">
        <f>AA390/Variables!$E$49</f>
        <v>23.414650655590986</v>
      </c>
    </row>
    <row r="391" spans="1:28" x14ac:dyDescent="0.25">
      <c r="A391" s="61">
        <f>'Water runs'!C398</f>
        <v>37680</v>
      </c>
      <c r="B391" s="61" t="str">
        <f>'Water runs'!B398</f>
        <v>Summer</v>
      </c>
      <c r="C391" s="54">
        <f>'Water runs'!D398/100</f>
        <v>0.56835714285714301</v>
      </c>
      <c r="D391" s="108">
        <f>VLOOKUP(ROW(D391)+4,'Water runs'!$BS$3:$CF$423,MATCH($B$1,Scenarios,0)+1)</f>
        <v>0</v>
      </c>
      <c r="E391" s="54">
        <f>IF(B391=Variables!$D$8,C391-Variables!$E$8,IF(B391=Variables!$D$9,C391-Variables!$E$9,IF(B391=Variables!$D$10,C391-Variables!$E$10,IF(B391=Variables!$D$11,C391-Variables!$E$11,"ELSE"))))</f>
        <v>-0.69001299319727871</v>
      </c>
      <c r="F391" s="108">
        <f>VLOOKUP(ROW(F391)+4,'Water runs'!$CH$3:$CU$423,MATCH($B$1,Scenarios,0)+1)</f>
        <v>0</v>
      </c>
      <c r="G391" s="65">
        <f>H391/Variables!$E$49</f>
        <v>0.161</v>
      </c>
      <c r="H391" s="62">
        <f>IF((H390+I391)&gt;(1.1*Variables!$E$50),(1.1*Variables!$E$50),IF((H390+I391)&gt;0,H390+I391,0))</f>
        <v>0.99820000000000009</v>
      </c>
      <c r="I391" s="64">
        <f t="shared" si="12"/>
        <v>-1.1102230246251565E-16</v>
      </c>
      <c r="J391" s="63">
        <f>IF(SUM(E387:E390)&lt;Variables!$B$3,-H390,0)</f>
        <v>-0.9982000000000002</v>
      </c>
      <c r="K391" s="64">
        <f>IF(AND(H390&lt;Variables!$B$6*Variables!$E$50,OR(SUM(D388:D391)&gt;Variables!$B$5,SUM(E388:E391)&gt;Variables!$B$4)),Variables!$B$6*Variables!$E$50+Variables!$B$7*$G$1*Variables!$E$50*SUM(D388:D391),0)</f>
        <v>0</v>
      </c>
      <c r="L391" s="64">
        <f>IF(B391="Winter",Variables!$B$8*H390,0)</f>
        <v>0</v>
      </c>
      <c r="M391" s="64">
        <f>IF(AND(B391="Spring",AND(NOT(H390=0),H390&lt;(Variables!$B$9*Variables!$E$50))),(Variables!$B$10*Variables!$E$50+Variables!$B$11*Variables!$E$50*SUM(E388:E391)+$G$1*SUM(D390:D391)*Variables!$E$50*Variables!$B$12),0)</f>
        <v>0</v>
      </c>
      <c r="N391" s="64">
        <f>IF(AND(B391="Spring",AND(SUM(D388:D391)&gt;Variables!$B$13,SUM(D384:D387)&gt;Variables!$B$13)),-Variables!$B$14*Variables!$E$50,0)</f>
        <v>0</v>
      </c>
      <c r="O391" s="64">
        <f>IF(AND(B391="Summer",SUM(C387:D391)&gt;Variables!$B$15),(Variables!$B$16*Variables!$E$50*SUM(C387:C391)+$G$1*Variables!$B$16*Variables!$E$50*SUM(D387:D391)+$G$1*Variables!$E$50*Variables!$B$17*F391),0)</f>
        <v>0</v>
      </c>
      <c r="P391" s="64">
        <f>IF(AND(AND(B391="Autumn",SUM(D390:E391)&gt;0),NOT(H390=0)),Variables!$B$18*Variables!$E$50+Variables!$B$19*Variables!$E$50*SUM(E390:E391)+$G$1*Variables!$B$19*Variables!$E$50*SUM(D390:D391),0)</f>
        <v>0</v>
      </c>
      <c r="Q391" s="64">
        <f>IF(AND(B391="Autumn",AND((E391+E390)&lt;Variables!$B$20,(D390+D391)=0)),-Variables!$B$21*Variables!$E$50,0)</f>
        <v>0</v>
      </c>
      <c r="R391" s="64">
        <f>IF(B391="Autumn",(SUM(F390:F391)*$G$1*Variables!$B$22*Variables!$E$50),0)</f>
        <v>0</v>
      </c>
      <c r="S391" s="64">
        <f>IF(B391="Spring",($G$1*Variables!$E$50*SUM('Guts (option 1)'!F390:F391)*Variables!$B$23),0)</f>
        <v>0</v>
      </c>
      <c r="T391" s="63">
        <f>IF((H390+SUM(J391:Q391))&lt;(Variables!$B$26*Variables!$E$50),$F$1*((Variables!$B$26*Variables!$E$50)-H390-SUM(J391:Q391)),0)</f>
        <v>0.99820000000000009</v>
      </c>
      <c r="U391" s="64">
        <f>IF(AND(AND(B391="Autumn",SUM(D388:E391)&gt;Variables!$B$27),SUM(J391:Q391)&lt;Variables!$B$28*H390),$F$1*(Variables!$B$28*H390-SUM(J391:Q391)),0)</f>
        <v>0</v>
      </c>
      <c r="V391" s="96">
        <f>IF(AND((J391+K391)=0,(Q391+T391)=0),$H$1*H391*Variables!$I$23*0.25,0)</f>
        <v>0</v>
      </c>
      <c r="W391" s="97">
        <f>IF(AND((K391+J391)=0,(T391+Q391)=0),$I$1*H391*Variables!$Q$23*0.25,0)</f>
        <v>0</v>
      </c>
      <c r="X391" s="95">
        <f>IF(AND(NOT(K391=0),(H391-H390)&gt;0),(H391-H390)*(Variables!$M$5*$H$1+Variables!$U$5*$I$1),0)+IF(AND(NOT((J391+N391+Q391)=0),(H390-H391)&gt;0),(H390-H391)*(Variables!$M$4*$H$1+Variables!$U$4*$I$1),0)</f>
        <v>1.3877787807814457E-14</v>
      </c>
      <c r="Y391" s="95">
        <f>IF(SUM(T391,U390:U391)&gt;0,H391*Variables!$Y$11*0.25*(1-$J$1),0)</f>
        <v>0</v>
      </c>
      <c r="Z391" s="95">
        <f>IF(T391=0,H391*$J$1*Variables!$Y$5*0.25,0)</f>
        <v>0</v>
      </c>
      <c r="AA391" s="95">
        <f t="shared" si="11"/>
        <v>1.3877787807814457E-14</v>
      </c>
      <c r="AB391" s="91">
        <f>AA391/Variables!$E$49</f>
        <v>2.2383528722281381E-15</v>
      </c>
    </row>
    <row r="392" spans="1:28" x14ac:dyDescent="0.25">
      <c r="A392" s="61">
        <f>'Water runs'!C399</f>
        <v>37772</v>
      </c>
      <c r="B392" s="61" t="str">
        <f>'Water runs'!B399</f>
        <v>Autumn</v>
      </c>
      <c r="C392" s="54">
        <f>'Water runs'!D399/100</f>
        <v>0.95849999999999991</v>
      </c>
      <c r="D392" s="108">
        <f>VLOOKUP(ROW(D392)+4,'Water runs'!$BS$3:$CF$423,MATCH($B$1,Scenarios,0)+1)</f>
        <v>0</v>
      </c>
      <c r="E392" s="54">
        <f>IF(B392=Variables!$D$8,C392-Variables!$E$8,IF(B392=Variables!$D$9,C392-Variables!$E$9,IF(B392=Variables!$D$10,C392-Variables!$E$10,IF(B392=Variables!$D$11,C392-Variables!$E$11,"ELSE"))))</f>
        <v>-3.6143299319727928E-2</v>
      </c>
      <c r="F392" s="108">
        <f>VLOOKUP(ROW(F392)+4,'Water runs'!$CH$3:$CU$423,MATCH($B$1,Scenarios,0)+1)</f>
        <v>0</v>
      </c>
      <c r="G392" s="65">
        <f>H392/Variables!$E$49</f>
        <v>0.161</v>
      </c>
      <c r="H392" s="62">
        <f>IF((H391+I392)&gt;(1.1*Variables!$E$50),(1.1*Variables!$E$50),IF((H391+I392)&gt;0,H391+I392,0))</f>
        <v>0.99820000000000009</v>
      </c>
      <c r="I392" s="64">
        <f t="shared" si="12"/>
        <v>0</v>
      </c>
      <c r="J392" s="63">
        <f>IF(SUM(E388:E391)&lt;Variables!$B$3,-H391,0)</f>
        <v>-0.99820000000000009</v>
      </c>
      <c r="K392" s="64">
        <f>IF(AND(H391&lt;Variables!$B$6*Variables!$E$50,OR(SUM(D389:D392)&gt;Variables!$B$5,SUM(E389:E392)&gt;Variables!$B$4)),Variables!$B$6*Variables!$E$50+Variables!$B$7*$G$1*Variables!$E$50*SUM(D389:D392),0)</f>
        <v>0</v>
      </c>
      <c r="L392" s="64">
        <f>IF(B392="Winter",Variables!$B$8*H391,0)</f>
        <v>0</v>
      </c>
      <c r="M392" s="64">
        <f>IF(AND(B392="Spring",AND(NOT(H391=0),H391&lt;(Variables!$B$9*Variables!$E$50))),(Variables!$B$10*Variables!$E$50+Variables!$B$11*Variables!$E$50*SUM(E389:E392)+$G$1*SUM(D391:D392)*Variables!$E$50*Variables!$B$12),0)</f>
        <v>0</v>
      </c>
      <c r="N392" s="64">
        <f>IF(AND(B392="Spring",AND(SUM(D389:D392)&gt;Variables!$B$13,SUM(D385:D388)&gt;Variables!$B$13)),-Variables!$B$14*Variables!$E$50,0)</f>
        <v>0</v>
      </c>
      <c r="O392" s="64">
        <f>IF(AND(B392="Summer",SUM(C388:D392)&gt;Variables!$B$15),(Variables!$B$16*Variables!$E$50*SUM(C388:C392)+$G$1*Variables!$B$16*Variables!$E$50*SUM(D388:D392)+$G$1*Variables!$E$50*Variables!$B$17*F392),0)</f>
        <v>0</v>
      </c>
      <c r="P392" s="64">
        <f>IF(AND(AND(B392="Autumn",SUM(D391:E392)&gt;0),NOT(H391=0)),Variables!$B$18*Variables!$E$50+Variables!$B$19*Variables!$E$50*SUM(E391:E392)+$G$1*Variables!$B$19*Variables!$E$50*SUM(D391:D392),0)</f>
        <v>0</v>
      </c>
      <c r="Q392" s="64">
        <f>IF(AND(B392="Autumn",AND((E392+E391)&lt;Variables!$B$20,(D391+D392)=0)),-Variables!$B$21*Variables!$E$50,0)</f>
        <v>0</v>
      </c>
      <c r="R392" s="64">
        <f>IF(B392="Autumn",(SUM(F391:F392)*$G$1*Variables!$B$22*Variables!$E$50),0)</f>
        <v>0</v>
      </c>
      <c r="S392" s="64">
        <f>IF(B392="Spring",($G$1*Variables!$E$50*SUM('Guts (option 1)'!F391:F392)*Variables!$B$23),0)</f>
        <v>0</v>
      </c>
      <c r="T392" s="63">
        <f>IF((H391+SUM(J392:Q392))&lt;(Variables!$B$26*Variables!$E$50),$F$1*((Variables!$B$26*Variables!$E$50)-H391-SUM(J392:Q392)),0)</f>
        <v>0.99820000000000009</v>
      </c>
      <c r="U392" s="64">
        <f>IF(AND(AND(B392="Autumn",SUM(D389:E392)&gt;Variables!$B$27),SUM(J392:Q392)&lt;Variables!$B$28*H391),$F$1*(Variables!$B$28*H391-SUM(J392:Q392)),0)</f>
        <v>0</v>
      </c>
      <c r="V392" s="96">
        <f>IF(AND((J392+K392)=0,(Q392+T392)=0),$H$1*H392*Variables!$I$23*0.25,0)</f>
        <v>0</v>
      </c>
      <c r="W392" s="97">
        <f>IF(AND((K392+J392)=0,(T392+Q392)=0),$I$1*H392*Variables!$Q$23*0.25,0)</f>
        <v>0</v>
      </c>
      <c r="X392" s="95">
        <f>IF(AND(NOT(K392=0),(H392-H391)&gt;0),(H392-H391)*(Variables!$M$5*$H$1+Variables!$U$5*$I$1),0)+IF(AND(NOT((J392+N392+Q392)=0),(H391-H392)&gt;0),(H391-H392)*(Variables!$M$4*$H$1+Variables!$U$4*$I$1),0)</f>
        <v>0</v>
      </c>
      <c r="Y392" s="95">
        <f>IF(SUM(T392,U391:U392)&gt;0,H392*Variables!$Y$11*0.25*(1-$J$1),0)</f>
        <v>0</v>
      </c>
      <c r="Z392" s="95">
        <f>IF(T392=0,H392*$J$1*Variables!$Y$5*0.25,0)</f>
        <v>0</v>
      </c>
      <c r="AA392" s="95">
        <f t="shared" si="11"/>
        <v>0</v>
      </c>
      <c r="AB392" s="91">
        <f>AA392/Variables!$E$49</f>
        <v>0</v>
      </c>
    </row>
    <row r="393" spans="1:28" x14ac:dyDescent="0.25">
      <c r="A393" s="61">
        <f>'Water runs'!C400</f>
        <v>37864</v>
      </c>
      <c r="B393" s="61" t="str">
        <f>'Water runs'!B400</f>
        <v>Winter</v>
      </c>
      <c r="C393" s="54">
        <f>'Water runs'!D400/100</f>
        <v>0.50375000000000003</v>
      </c>
      <c r="D393" s="108">
        <f>VLOOKUP(ROW(D393)+4,'Water runs'!$BS$3:$CF$423,MATCH($B$1,Scenarios,0)+1)</f>
        <v>0</v>
      </c>
      <c r="E393" s="54">
        <f>IF(B393=Variables!$D$8,C393-Variables!$E$8,IF(B393=Variables!$D$9,C393-Variables!$E$9,IF(B393=Variables!$D$10,C393-Variables!$E$10,IF(B393=Variables!$D$11,C393-Variables!$E$11,"ELSE"))))</f>
        <v>-6.8017625661375702E-2</v>
      </c>
      <c r="F393" s="108">
        <f>VLOOKUP(ROW(F393)+4,'Water runs'!$CH$3:$CU$423,MATCH($B$1,Scenarios,0)+1)</f>
        <v>0</v>
      </c>
      <c r="G393" s="65">
        <f>H393/Variables!$E$49</f>
        <v>0.161</v>
      </c>
      <c r="H393" s="62">
        <f>IF((H392+I393)&gt;(1.1*Variables!$E$50),(1.1*Variables!$E$50),IF((H392+I393)&gt;0,H392+I393,0))</f>
        <v>0.99820000000000009</v>
      </c>
      <c r="I393" s="64">
        <f t="shared" si="12"/>
        <v>0</v>
      </c>
      <c r="J393" s="63">
        <f>IF(SUM(E389:E392)&lt;Variables!$B$3,-H392,0)</f>
        <v>-0.99820000000000009</v>
      </c>
      <c r="K393" s="64">
        <f>IF(AND(H392&lt;Variables!$B$6*Variables!$E$50,OR(SUM(D390:D393)&gt;Variables!$B$5,SUM(E390:E393)&gt;Variables!$B$4)),Variables!$B$6*Variables!$E$50+Variables!$B$7*$G$1*Variables!$E$50*SUM(D390:D393),0)</f>
        <v>0</v>
      </c>
      <c r="L393" s="64">
        <f>IF(B393="Winter",Variables!$B$8*H392,0)</f>
        <v>-0.49704894489176149</v>
      </c>
      <c r="M393" s="64">
        <f>IF(AND(B393="Spring",AND(NOT(H392=0),H392&lt;(Variables!$B$9*Variables!$E$50))),(Variables!$B$10*Variables!$E$50+Variables!$B$11*Variables!$E$50*SUM(E390:E393)+$G$1*SUM(D392:D393)*Variables!$E$50*Variables!$B$12),0)</f>
        <v>0</v>
      </c>
      <c r="N393" s="64">
        <f>IF(AND(B393="Spring",AND(SUM(D390:D393)&gt;Variables!$B$13,SUM(D386:D389)&gt;Variables!$B$13)),-Variables!$B$14*Variables!$E$50,0)</f>
        <v>0</v>
      </c>
      <c r="O393" s="64">
        <f>IF(AND(B393="Summer",SUM(C389:D393)&gt;Variables!$B$15),(Variables!$B$16*Variables!$E$50*SUM(C389:C393)+$G$1*Variables!$B$16*Variables!$E$50*SUM(D389:D393)+$G$1*Variables!$E$50*Variables!$B$17*F393),0)</f>
        <v>0</v>
      </c>
      <c r="P393" s="64">
        <f>IF(AND(AND(B393="Autumn",SUM(D392:E393)&gt;0),NOT(H392=0)),Variables!$B$18*Variables!$E$50+Variables!$B$19*Variables!$E$50*SUM(E392:E393)+$G$1*Variables!$B$19*Variables!$E$50*SUM(D392:D393),0)</f>
        <v>0</v>
      </c>
      <c r="Q393" s="64">
        <f>IF(AND(B393="Autumn",AND((E393+E392)&lt;Variables!$B$20,(D392+D393)=0)),-Variables!$B$21*Variables!$E$50,0)</f>
        <v>0</v>
      </c>
      <c r="R393" s="64">
        <f>IF(B393="Autumn",(SUM(F392:F393)*$G$1*Variables!$B$22*Variables!$E$50),0)</f>
        <v>0</v>
      </c>
      <c r="S393" s="64">
        <f>IF(B393="Spring",($G$1*Variables!$E$50*SUM('Guts (option 1)'!F392:F393)*Variables!$B$23),0)</f>
        <v>0</v>
      </c>
      <c r="T393" s="63">
        <f>IF((H392+SUM(J393:Q393))&lt;(Variables!$B$26*Variables!$E$50),$F$1*((Variables!$B$26*Variables!$E$50)-H392-SUM(J393:Q393)),0)</f>
        <v>1.4952489448917616</v>
      </c>
      <c r="U393" s="64">
        <f>IF(AND(AND(B393="Autumn",SUM(D390:E393)&gt;Variables!$B$27),SUM(J393:Q393)&lt;Variables!$B$28*H392),$F$1*(Variables!$B$28*H392-SUM(J393:Q393)),0)</f>
        <v>0</v>
      </c>
      <c r="V393" s="96">
        <f>IF(AND((J393+K393)=0,(Q393+T393)=0),$H$1*H393*Variables!$I$23*0.25,0)</f>
        <v>0</v>
      </c>
      <c r="W393" s="97">
        <f>IF(AND((K393+J393)=0,(T393+Q393)=0),$I$1*H393*Variables!$Q$23*0.25,0)</f>
        <v>0</v>
      </c>
      <c r="X393" s="95">
        <f>IF(AND(NOT(K393=0),(H393-H392)&gt;0),(H393-H392)*(Variables!$M$5*$H$1+Variables!$U$5*$I$1),0)+IF(AND(NOT((J393+N393+Q393)=0),(H392-H393)&gt;0),(H392-H393)*(Variables!$M$4*$H$1+Variables!$U$4*$I$1),0)</f>
        <v>0</v>
      </c>
      <c r="Y393" s="95">
        <f>IF(SUM(T393,U392:U393)&gt;0,H393*Variables!$Y$11*0.25*(1-$J$1),0)</f>
        <v>0</v>
      </c>
      <c r="Z393" s="95">
        <f>IF(T393=0,H393*$J$1*Variables!$Y$5*0.25,0)</f>
        <v>0</v>
      </c>
      <c r="AA393" s="95">
        <f t="shared" si="11"/>
        <v>0</v>
      </c>
      <c r="AB393" s="91">
        <f>AA393/Variables!$E$49</f>
        <v>0</v>
      </c>
    </row>
    <row r="394" spans="1:28" x14ac:dyDescent="0.25">
      <c r="A394" s="61">
        <f>'Water runs'!C401</f>
        <v>37955</v>
      </c>
      <c r="B394" s="61" t="str">
        <f>'Water runs'!B401</f>
        <v>Spring</v>
      </c>
      <c r="C394" s="54">
        <f>'Water runs'!D401/100</f>
        <v>0.23874999999999999</v>
      </c>
      <c r="D394" s="108">
        <f>VLOOKUP(ROW(D394)+4,'Water runs'!$BS$3:$CF$423,MATCH($B$1,Scenarios,0)+1)</f>
        <v>0</v>
      </c>
      <c r="E394" s="54">
        <f>IF(B394=Variables!$D$8,C394-Variables!$E$8,IF(B394=Variables!$D$9,C394-Variables!$E$9,IF(B394=Variables!$D$10,C394-Variables!$E$10,IF(B394=Variables!$D$11,C394-Variables!$E$11,"ELSE"))))</f>
        <v>-0.52523220899470913</v>
      </c>
      <c r="F394" s="108">
        <f>VLOOKUP(ROW(F394)+4,'Water runs'!$CH$3:$CU$423,MATCH($B$1,Scenarios,0)+1)</f>
        <v>0</v>
      </c>
      <c r="G394" s="65">
        <f>H394/Variables!$E$49</f>
        <v>0.161</v>
      </c>
      <c r="H394" s="62">
        <f>IF((H393+I394)&gt;(1.1*Variables!$E$50),(1.1*Variables!$E$50),IF((H393+I394)&gt;0,H393+I394,0))</f>
        <v>0.99820000000000009</v>
      </c>
      <c r="I394" s="64">
        <f t="shared" si="12"/>
        <v>0</v>
      </c>
      <c r="J394" s="63">
        <f>IF(SUM(E390:E393)&lt;Variables!$B$3,-H393,0)</f>
        <v>0</v>
      </c>
      <c r="K394" s="64">
        <f>IF(AND(H393&lt;Variables!$B$6*Variables!$E$50,OR(SUM(D391:D394)&gt;Variables!$B$5,SUM(E391:E394)&gt;Variables!$B$4)),Variables!$B$6*Variables!$E$50+Variables!$B$7*$G$1*Variables!$E$50*SUM(D391:D394),0)</f>
        <v>0</v>
      </c>
      <c r="L394" s="64">
        <f>IF(B394="Winter",Variables!$B$8*H393,0)</f>
        <v>0</v>
      </c>
      <c r="M394" s="64">
        <f>IF(AND(B394="Spring",AND(NOT(H393=0),H393&lt;(Variables!$B$9*Variables!$E$50))),(Variables!$B$10*Variables!$E$50+Variables!$B$11*Variables!$E$50*SUM(E391:E394)+$G$1*SUM(D393:D394)*Variables!$E$50*Variables!$B$12),0)</f>
        <v>-0.89859696154445767</v>
      </c>
      <c r="N394" s="64">
        <f>IF(AND(B394="Spring",AND(SUM(D391:D394)&gt;Variables!$B$13,SUM(D387:D390)&gt;Variables!$B$13)),-Variables!$B$14*Variables!$E$50,0)</f>
        <v>0</v>
      </c>
      <c r="O394" s="64">
        <f>IF(AND(B394="Summer",SUM(C390:D394)&gt;Variables!$B$15),(Variables!$B$16*Variables!$E$50*SUM(C390:C394)+$G$1*Variables!$B$16*Variables!$E$50*SUM(D390:D394)+$G$1*Variables!$E$50*Variables!$B$17*F394),0)</f>
        <v>0</v>
      </c>
      <c r="P394" s="64">
        <f>IF(AND(AND(B394="Autumn",SUM(D393:E394)&gt;0),NOT(H393=0)),Variables!$B$18*Variables!$E$50+Variables!$B$19*Variables!$E$50*SUM(E393:E394)+$G$1*Variables!$B$19*Variables!$E$50*SUM(D393:D394),0)</f>
        <v>0</v>
      </c>
      <c r="Q394" s="64">
        <f>IF(AND(B394="Autumn",AND((E394+E393)&lt;Variables!$B$20,(D393+D394)=0)),-Variables!$B$21*Variables!$E$50,0)</f>
        <v>0</v>
      </c>
      <c r="R394" s="64">
        <f>IF(B394="Autumn",(SUM(F393:F394)*$G$1*Variables!$B$22*Variables!$E$50),0)</f>
        <v>0</v>
      </c>
      <c r="S394" s="64">
        <f>IF(B394="Spring",($G$1*Variables!$E$50*SUM('Guts (option 1)'!F393:F394)*Variables!$B$23),0)</f>
        <v>0</v>
      </c>
      <c r="T394" s="63">
        <f>IF((H393+SUM(J394:Q394))&lt;(Variables!$B$26*Variables!$E$50),$F$1*((Variables!$B$26*Variables!$E$50)-H393-SUM(J394:Q394)),0)</f>
        <v>0.89859696154445767</v>
      </c>
      <c r="U394" s="64">
        <f>IF(AND(AND(B394="Autumn",SUM(D391:E394)&gt;Variables!$B$27),SUM(J394:Q394)&lt;Variables!$B$28*H393),$F$1*(Variables!$B$28*H393-SUM(J394:Q394)),0)</f>
        <v>0</v>
      </c>
      <c r="V394" s="96">
        <f>IF(AND((J394+K394)=0,(Q394+T394)=0),$H$1*H394*Variables!$I$23*0.25,0)</f>
        <v>0</v>
      </c>
      <c r="W394" s="97">
        <f>IF(AND((K394+J394)=0,(T394+Q394)=0),$I$1*H394*Variables!$Q$23*0.25,0)</f>
        <v>0</v>
      </c>
      <c r="X394" s="95">
        <f>IF(AND(NOT(K394=0),(H394-H393)&gt;0),(H394-H393)*(Variables!$M$5*$H$1+Variables!$U$5*$I$1),0)+IF(AND(NOT((J394+N394+Q394)=0),(H393-H394)&gt;0),(H393-H394)*(Variables!$M$4*$H$1+Variables!$U$4*$I$1),0)</f>
        <v>0</v>
      </c>
      <c r="Y394" s="95">
        <f>IF(SUM(T394,U393:U394)&gt;0,H394*Variables!$Y$11*0.25*(1-$J$1),0)</f>
        <v>0</v>
      </c>
      <c r="Z394" s="95">
        <f>IF(T394=0,H394*$J$1*Variables!$Y$5*0.25,0)</f>
        <v>0</v>
      </c>
      <c r="AA394" s="95">
        <f t="shared" si="11"/>
        <v>0</v>
      </c>
      <c r="AB394" s="91">
        <f>AA394/Variables!$E$49</f>
        <v>0</v>
      </c>
    </row>
    <row r="395" spans="1:28" x14ac:dyDescent="0.25">
      <c r="A395" s="61">
        <f>'Water runs'!C402</f>
        <v>38045</v>
      </c>
      <c r="B395" s="61" t="str">
        <f>'Water runs'!B402</f>
        <v>Summer</v>
      </c>
      <c r="C395" s="54">
        <f>'Water runs'!D402/100</f>
        <v>1.51981428571429</v>
      </c>
      <c r="D395" s="108">
        <f>VLOOKUP(ROW(D395)+4,'Water runs'!$BS$3:$CF$423,MATCH($B$1,Scenarios,0)+1)</f>
        <v>6.8103152043959184E-2</v>
      </c>
      <c r="E395" s="54">
        <f>IF(B395=Variables!$D$8,C395-Variables!$E$8,IF(B395=Variables!$D$9,C395-Variables!$E$9,IF(B395=Variables!$D$10,C395-Variables!$E$10,IF(B395=Variables!$D$11,C395-Variables!$E$11,"ELSE"))))</f>
        <v>0.26144414965986829</v>
      </c>
      <c r="F395" s="108">
        <f>VLOOKUP(ROW(F395)+4,'Water runs'!$CH$3:$CU$423,MATCH($B$1,Scenarios,0)+1)</f>
        <v>0</v>
      </c>
      <c r="G395" s="65">
        <f>H395/Variables!$E$49</f>
        <v>0.34557703473211504</v>
      </c>
      <c r="H395" s="62">
        <f>IF((H394+I395)&gt;(1.1*Variables!$E$50),(1.1*Variables!$E$50),IF((H394+I395)&gt;0,H394+I395,0))</f>
        <v>2.1425776153391132</v>
      </c>
      <c r="I395" s="64">
        <f t="shared" si="12"/>
        <v>1.1443776153391132</v>
      </c>
      <c r="J395" s="63">
        <f>IF(SUM(E391:E394)&lt;Variables!$B$3,-H394,0)</f>
        <v>0</v>
      </c>
      <c r="K395" s="64">
        <f>IF(AND(H394&lt;Variables!$B$6*Variables!$E$50,OR(SUM(D392:D395)&gt;Variables!$B$5,SUM(E392:E395)&gt;Variables!$B$4)),Variables!$B$6*Variables!$E$50+Variables!$B$7*$G$1*Variables!$E$50*SUM(D392:D395),0)</f>
        <v>1.1443776153391132</v>
      </c>
      <c r="L395" s="64">
        <f>IF(B395="Winter",Variables!$B$8*H394,0)</f>
        <v>0</v>
      </c>
      <c r="M395" s="64">
        <f>IF(AND(B395="Spring",AND(NOT(H394=0),H394&lt;(Variables!$B$9*Variables!$E$50))),(Variables!$B$10*Variables!$E$50+Variables!$B$11*Variables!$E$50*SUM(E392:E395)+$G$1*SUM(D394:D395)*Variables!$E$50*Variables!$B$12),0)</f>
        <v>0</v>
      </c>
      <c r="N395" s="64">
        <f>IF(AND(B395="Spring",AND(SUM(D392:D395)&gt;Variables!$B$13,SUM(D388:D391)&gt;Variables!$B$13)),-Variables!$B$14*Variables!$E$50,0)</f>
        <v>0</v>
      </c>
      <c r="O395" s="64">
        <f>IF(AND(B395="Summer",SUM(C391:D395)&gt;Variables!$B$15),(Variables!$B$16*Variables!$E$50*SUM(C391:C395)+$G$1*Variables!$B$16*Variables!$E$50*SUM(D391:D395)+$G$1*Variables!$E$50*Variables!$B$17*F395),0)</f>
        <v>0</v>
      </c>
      <c r="P395" s="64">
        <f>IF(AND(AND(B395="Autumn",SUM(D394:E395)&gt;0),NOT(H394=0)),Variables!$B$18*Variables!$E$50+Variables!$B$19*Variables!$E$50*SUM(E394:E395)+$G$1*Variables!$B$19*Variables!$E$50*SUM(D394:D395),0)</f>
        <v>0</v>
      </c>
      <c r="Q395" s="64">
        <f>IF(AND(B395="Autumn",AND((E395+E394)&lt;Variables!$B$20,(D394+D395)=0)),-Variables!$B$21*Variables!$E$50,0)</f>
        <v>0</v>
      </c>
      <c r="R395" s="64">
        <f>IF(B395="Autumn",(SUM(F394:F395)*$G$1*Variables!$B$22*Variables!$E$50),0)</f>
        <v>0</v>
      </c>
      <c r="S395" s="64">
        <f>IF(B395="Spring",($G$1*Variables!$E$50*SUM('Guts (option 1)'!F394:F395)*Variables!$B$23),0)</f>
        <v>0</v>
      </c>
      <c r="T395" s="63">
        <f>IF((H394+SUM(J395:Q395))&lt;(Variables!$B$26*Variables!$E$50),$F$1*((Variables!$B$26*Variables!$E$50)-H394-SUM(J395:Q395)),0)</f>
        <v>0</v>
      </c>
      <c r="U395" s="64">
        <f>IF(AND(AND(B395="Autumn",SUM(D392:E395)&gt;Variables!$B$27),SUM(J395:Q395)&lt;Variables!$B$28*H394),$F$1*(Variables!$B$28*H394-SUM(J395:Q395)),0)</f>
        <v>0</v>
      </c>
      <c r="V395" s="96">
        <f>IF(AND((J395+K395)=0,(Q395+T395)=0),$H$1*H395*Variables!$I$23*0.25,0)</f>
        <v>0</v>
      </c>
      <c r="W395" s="97">
        <f>IF(AND((K395+J395)=0,(T395+Q395)=0),$I$1*H395*Variables!$Q$23*0.25,0)</f>
        <v>0</v>
      </c>
      <c r="X395" s="95">
        <f>IF(AND(NOT(K395=0),(H395-H394)&gt;0),(H395-H394)*(Variables!$M$5*$H$1+Variables!$U$5*$I$1),0)+IF(AND(NOT((J395+N395+Q395)=0),(H394-H395)&gt;0),(H394-H395)*(Variables!$M$4*$H$1+Variables!$U$4*$I$1),0)</f>
        <v>-286.09440383477823</v>
      </c>
      <c r="Y395" s="95">
        <f>IF(SUM(T395,U394:U395)&gt;0,H395*Variables!$Y$11*0.25*(1-$J$1),0)</f>
        <v>0</v>
      </c>
      <c r="Z395" s="95">
        <f>IF(T395=0,H395*$J$1*Variables!$Y$5*0.25,0)</f>
        <v>13.926754499704236</v>
      </c>
      <c r="AA395" s="95">
        <f t="shared" si="11"/>
        <v>-272.16764933507397</v>
      </c>
      <c r="AB395" s="91">
        <f>AA395/Variables!$E$49</f>
        <v>-43.898007957269996</v>
      </c>
    </row>
    <row r="396" spans="1:28" x14ac:dyDescent="0.25">
      <c r="A396" s="61">
        <f>'Water runs'!C403</f>
        <v>38138</v>
      </c>
      <c r="B396" s="61" t="str">
        <f>'Water runs'!B403</f>
        <v>Autumn</v>
      </c>
      <c r="C396" s="54">
        <f>'Water runs'!D403/100</f>
        <v>1.46086904761905</v>
      </c>
      <c r="D396" s="108">
        <f>VLOOKUP(ROW(D396)+4,'Water runs'!$BS$3:$CF$423,MATCH($B$1,Scenarios,0)+1)</f>
        <v>0</v>
      </c>
      <c r="E396" s="54">
        <f>IF(B396=Variables!$D$8,C396-Variables!$E$8,IF(B396=Variables!$D$9,C396-Variables!$E$9,IF(B396=Variables!$D$10,C396-Variables!$E$10,IF(B396=Variables!$D$11,C396-Variables!$E$11,"ELSE"))))</f>
        <v>0.46622574829932217</v>
      </c>
      <c r="F396" s="108">
        <f>VLOOKUP(ROW(F396)+4,'Water runs'!$CH$3:$CU$423,MATCH($B$1,Scenarios,0)+1)</f>
        <v>0</v>
      </c>
      <c r="G396" s="65">
        <f>H396/Variables!$E$49</f>
        <v>0.67902132276887717</v>
      </c>
      <c r="H396" s="62">
        <f>IF((H395+I396)&gt;(1.1*Variables!$E$50),(1.1*Variables!$E$50),IF((H395+I396)&gt;0,H395+I396,0))</f>
        <v>4.2099322011670388</v>
      </c>
      <c r="I396" s="64">
        <f t="shared" si="12"/>
        <v>2.0673545858279261</v>
      </c>
      <c r="J396" s="63">
        <f>IF(SUM(E392:E395)&lt;Variables!$B$3,-H395,0)</f>
        <v>0</v>
      </c>
      <c r="K396" s="64">
        <f>IF(AND(H395&lt;Variables!$B$6*Variables!$E$50,OR(SUM(D393:D396)&gt;Variables!$B$5,SUM(E393:E396)&gt;Variables!$B$4)),Variables!$B$6*Variables!$E$50+Variables!$B$7*$G$1*Variables!$E$50*SUM(D393:D396),0)</f>
        <v>0</v>
      </c>
      <c r="L396" s="64">
        <f>IF(B396="Winter",Variables!$B$8*H395,0)</f>
        <v>0</v>
      </c>
      <c r="M396" s="64">
        <f>IF(AND(B396="Spring",AND(NOT(H395=0),H395&lt;(Variables!$B$9*Variables!$E$50))),(Variables!$B$10*Variables!$E$50+Variables!$B$11*Variables!$E$50*SUM(E393:E396)+$G$1*SUM(D395:D396)*Variables!$E$50*Variables!$B$12),0)</f>
        <v>0</v>
      </c>
      <c r="N396" s="64">
        <f>IF(AND(B396="Spring",AND(SUM(D393:D396)&gt;Variables!$B$13,SUM(D389:D392)&gt;Variables!$B$13)),-Variables!$B$14*Variables!$E$50,0)</f>
        <v>0</v>
      </c>
      <c r="O396" s="64">
        <f>IF(AND(B396="Summer",SUM(C392:D396)&gt;Variables!$B$15),(Variables!$B$16*Variables!$E$50*SUM(C392:C396)+$G$1*Variables!$B$16*Variables!$E$50*SUM(D392:D396)+$G$1*Variables!$E$50*Variables!$B$17*F396),0)</f>
        <v>0</v>
      </c>
      <c r="P396" s="64">
        <f>IF(AND(AND(B396="Autumn",SUM(D395:E396)&gt;0),NOT(H395=0)),Variables!$B$18*Variables!$E$50+Variables!$B$19*Variables!$E$50*SUM(E395:E396)+$G$1*Variables!$B$19*Variables!$E$50*SUM(D395:D396),0)</f>
        <v>2.0673545858279261</v>
      </c>
      <c r="Q396" s="64">
        <f>IF(AND(B396="Autumn",AND((E396+E395)&lt;Variables!$B$20,(D395+D396)=0)),-Variables!$B$21*Variables!$E$50,0)</f>
        <v>0</v>
      </c>
      <c r="R396" s="64">
        <f>IF(B396="Autumn",(SUM(F395:F396)*$G$1*Variables!$B$22*Variables!$E$50),0)</f>
        <v>0</v>
      </c>
      <c r="S396" s="64">
        <f>IF(B396="Spring",($G$1*Variables!$E$50*SUM('Guts (option 1)'!F395:F396)*Variables!$B$23),0)</f>
        <v>0</v>
      </c>
      <c r="T396" s="63">
        <f>IF((H395+SUM(J396:Q396))&lt;(Variables!$B$26*Variables!$E$50),$F$1*((Variables!$B$26*Variables!$E$50)-H395-SUM(J396:Q396)),0)</f>
        <v>0</v>
      </c>
      <c r="U396" s="64">
        <f>IF(AND(AND(B396="Autumn",SUM(D393:E396)&gt;Variables!$B$27),SUM(J396:Q396)&lt;Variables!$B$28*H395),$F$1*(Variables!$B$28*H395-SUM(J396:Q396)),0)</f>
        <v>0</v>
      </c>
      <c r="V396" s="96">
        <f>IF(AND((J396+K396)=0,(Q396+T396)=0),$H$1*H396*Variables!$I$23*0.25,0)</f>
        <v>81.126025006319011</v>
      </c>
      <c r="W396" s="97">
        <f>IF(AND((K396+J396)=0,(T396+Q396)=0),$I$1*H396*Variables!$Q$23*0.25,0)</f>
        <v>84.91748994669004</v>
      </c>
      <c r="X396" s="95">
        <f>IF(AND(NOT(K396=0),(H396-H395)&gt;0),(H396-H395)*(Variables!$M$5*$H$1+Variables!$U$5*$I$1),0)+IF(AND(NOT((J396+N396+Q396)=0),(H395-H396)&gt;0),(H395-H396)*(Variables!$M$4*$H$1+Variables!$U$4*$I$1),0)</f>
        <v>0</v>
      </c>
      <c r="Y396" s="95">
        <f>IF(SUM(T396,U395:U396)&gt;0,H396*Variables!$Y$11*0.25*(1-$J$1),0)</f>
        <v>0</v>
      </c>
      <c r="Z396" s="95">
        <f>IF(T396=0,H396*$J$1*Variables!$Y$5*0.25,0)</f>
        <v>27.364559307585751</v>
      </c>
      <c r="AA396" s="95">
        <f t="shared" si="11"/>
        <v>193.40807426059479</v>
      </c>
      <c r="AB396" s="91">
        <f>AA396/Variables!$E$49</f>
        <v>31.194850687192705</v>
      </c>
    </row>
    <row r="397" spans="1:28" x14ac:dyDescent="0.25">
      <c r="A397" s="61">
        <f>'Water runs'!C404</f>
        <v>38230</v>
      </c>
      <c r="B397" s="61" t="str">
        <f>'Water runs'!B404</f>
        <v>Winter</v>
      </c>
      <c r="C397" s="54">
        <f>'Water runs'!D404/100</f>
        <v>0.30658333333333299</v>
      </c>
      <c r="D397" s="108">
        <f>VLOOKUP(ROW(D397)+4,'Water runs'!$BS$3:$CF$423,MATCH($B$1,Scenarios,0)+1)</f>
        <v>0</v>
      </c>
      <c r="E397" s="54">
        <f>IF(B397=Variables!$D$8,C397-Variables!$E$8,IF(B397=Variables!$D$9,C397-Variables!$E$9,IF(B397=Variables!$D$10,C397-Variables!$E$10,IF(B397=Variables!$D$11,C397-Variables!$E$11,"ELSE"))))</f>
        <v>-0.26518429232804275</v>
      </c>
      <c r="F397" s="108">
        <f>VLOOKUP(ROW(F397)+4,'Water runs'!$CH$3:$CU$423,MATCH($B$1,Scenarios,0)+1)</f>
        <v>0</v>
      </c>
      <c r="G397" s="65">
        <f>H397/Variables!$E$49</f>
        <v>0.34090588293589924</v>
      </c>
      <c r="H397" s="62">
        <f>IF((H396+I397)&gt;(1.1*Variables!$E$50),(1.1*Variables!$E$50),IF((H396+I397)&gt;0,H396+I397,0))</f>
        <v>2.1136164742025754</v>
      </c>
      <c r="I397" s="64">
        <f t="shared" si="12"/>
        <v>-2.0963157269644634</v>
      </c>
      <c r="J397" s="63">
        <f>IF(SUM(E393:E396)&lt;Variables!$B$3,-H396,0)</f>
        <v>0</v>
      </c>
      <c r="K397" s="64">
        <f>IF(AND(H396&lt;Variables!$B$6*Variables!$E$50,OR(SUM(D394:D397)&gt;Variables!$B$5,SUM(E394:E397)&gt;Variables!$B$4)),Variables!$B$6*Variables!$E$50+Variables!$B$7*$G$1*Variables!$E$50*SUM(D394:D397),0)</f>
        <v>0</v>
      </c>
      <c r="L397" s="64">
        <f>IF(B397="Winter",Variables!$B$8*H396,0)</f>
        <v>-2.0963157269644634</v>
      </c>
      <c r="M397" s="64">
        <f>IF(AND(B397="Spring",AND(NOT(H396=0),H396&lt;(Variables!$B$9*Variables!$E$50))),(Variables!$B$10*Variables!$E$50+Variables!$B$11*Variables!$E$50*SUM(E394:E397)+$G$1*SUM(D396:D397)*Variables!$E$50*Variables!$B$12),0)</f>
        <v>0</v>
      </c>
      <c r="N397" s="64">
        <f>IF(AND(B397="Spring",AND(SUM(D394:D397)&gt;Variables!$B$13,SUM(D390:D393)&gt;Variables!$B$13)),-Variables!$B$14*Variables!$E$50,0)</f>
        <v>0</v>
      </c>
      <c r="O397" s="64">
        <f>IF(AND(B397="Summer",SUM(C393:D397)&gt;Variables!$B$15),(Variables!$B$16*Variables!$E$50*SUM(C393:C397)+$G$1*Variables!$B$16*Variables!$E$50*SUM(D393:D397)+$G$1*Variables!$E$50*Variables!$B$17*F397),0)</f>
        <v>0</v>
      </c>
      <c r="P397" s="64">
        <f>IF(AND(AND(B397="Autumn",SUM(D396:E397)&gt;0),NOT(H396=0)),Variables!$B$18*Variables!$E$50+Variables!$B$19*Variables!$E$50*SUM(E396:E397)+$G$1*Variables!$B$19*Variables!$E$50*SUM(D396:D397),0)</f>
        <v>0</v>
      </c>
      <c r="Q397" s="64">
        <f>IF(AND(B397="Autumn",AND((E397+E396)&lt;Variables!$B$20,(D396+D397)=0)),-Variables!$B$21*Variables!$E$50,0)</f>
        <v>0</v>
      </c>
      <c r="R397" s="64">
        <f>IF(B397="Autumn",(SUM(F396:F397)*$G$1*Variables!$B$22*Variables!$E$50),0)</f>
        <v>0</v>
      </c>
      <c r="S397" s="64">
        <f>IF(B397="Spring",($G$1*Variables!$E$50*SUM('Guts (option 1)'!F396:F397)*Variables!$B$23),0)</f>
        <v>0</v>
      </c>
      <c r="T397" s="63">
        <f>IF((H396+SUM(J397:Q397))&lt;(Variables!$B$26*Variables!$E$50),$F$1*((Variables!$B$26*Variables!$E$50)-H396-SUM(J397:Q397)),0)</f>
        <v>0</v>
      </c>
      <c r="U397" s="64">
        <f>IF(AND(AND(B397="Autumn",SUM(D394:E397)&gt;Variables!$B$27),SUM(J397:Q397)&lt;Variables!$B$28*H396),$F$1*(Variables!$B$28*H396-SUM(J397:Q397)),0)</f>
        <v>0</v>
      </c>
      <c r="V397" s="96">
        <f>IF(AND((J397+K397)=0,(Q397+T397)=0),$H$1*H397*Variables!$I$23*0.25,0)</f>
        <v>40.729706500354759</v>
      </c>
      <c r="W397" s="97">
        <f>IF(AND((K397+J397)=0,(T397+Q397)=0),$I$1*H397*Variables!$Q$23*0.25,0)</f>
        <v>42.633229497021595</v>
      </c>
      <c r="X397" s="95">
        <f>IF(AND(NOT(K397=0),(H397-H396)&gt;0),(H397-H396)*(Variables!$M$5*$H$1+Variables!$U$5*$I$1),0)+IF(AND(NOT((J397+N397+Q397)=0),(H396-H397)&gt;0),(H396-H397)*(Variables!$M$4*$H$1+Variables!$U$4*$I$1),0)</f>
        <v>0</v>
      </c>
      <c r="Y397" s="95">
        <f>IF(SUM(T397,U396:U397)&gt;0,H397*Variables!$Y$11*0.25*(1-$J$1),0)</f>
        <v>0</v>
      </c>
      <c r="Z397" s="95">
        <f>IF(T397=0,H397*$J$1*Variables!$Y$5*0.25,0)</f>
        <v>13.73850708231674</v>
      </c>
      <c r="AA397" s="95">
        <f t="shared" si="11"/>
        <v>97.101443079693098</v>
      </c>
      <c r="AB397" s="91">
        <f>AA397/Variables!$E$49</f>
        <v>15.661523077369853</v>
      </c>
    </row>
    <row r="398" spans="1:28" x14ac:dyDescent="0.25">
      <c r="A398" s="61">
        <f>'Water runs'!C405</f>
        <v>38321</v>
      </c>
      <c r="B398" s="61" t="str">
        <f>'Water runs'!B405</f>
        <v>Spring</v>
      </c>
      <c r="C398" s="54">
        <f>'Water runs'!D405/100</f>
        <v>0.51708571428571404</v>
      </c>
      <c r="D398" s="108">
        <f>VLOOKUP(ROW(D398)+4,'Water runs'!$BS$3:$CF$423,MATCH($B$1,Scenarios,0)+1)</f>
        <v>0</v>
      </c>
      <c r="E398" s="54">
        <f>IF(B398=Variables!$D$8,C398-Variables!$E$8,IF(B398=Variables!$D$9,C398-Variables!$E$9,IF(B398=Variables!$D$10,C398-Variables!$E$10,IF(B398=Variables!$D$11,C398-Variables!$E$11,"ELSE"))))</f>
        <v>-0.24689649470899511</v>
      </c>
      <c r="F398" s="108">
        <f>VLOOKUP(ROW(F398)+4,'Water runs'!$CH$3:$CU$423,MATCH($B$1,Scenarios,0)+1)</f>
        <v>0</v>
      </c>
      <c r="G398" s="65">
        <f>H398/Variables!$E$49</f>
        <v>0.36458805767405711</v>
      </c>
      <c r="H398" s="62">
        <f>IF((H397+I398)&gt;(1.1*Variables!$E$50),(1.1*Variables!$E$50),IF((H397+I398)&gt;0,H397+I398,0))</f>
        <v>2.260445957579154</v>
      </c>
      <c r="I398" s="64">
        <f t="shared" si="12"/>
        <v>0.14682948337657861</v>
      </c>
      <c r="J398" s="63">
        <f>IF(SUM(E394:E397)&lt;Variables!$B$3,-H397,0)</f>
        <v>0</v>
      </c>
      <c r="K398" s="64">
        <f>IF(AND(H397&lt;Variables!$B$6*Variables!$E$50,OR(SUM(D395:D398)&gt;Variables!$B$5,SUM(E395:E398)&gt;Variables!$B$4)),Variables!$B$6*Variables!$E$50+Variables!$B$7*$G$1*Variables!$E$50*SUM(D395:D398),0)</f>
        <v>0</v>
      </c>
      <c r="L398" s="64">
        <f>IF(B398="Winter",Variables!$B$8*H397,0)</f>
        <v>0</v>
      </c>
      <c r="M398" s="64">
        <f>IF(AND(B398="Spring",AND(NOT(H397=0),H397&lt;(Variables!$B$9*Variables!$E$50))),(Variables!$B$10*Variables!$E$50+Variables!$B$11*Variables!$E$50*SUM(E395:E398)+$G$1*SUM(D397:D398)*Variables!$E$50*Variables!$B$12),0)</f>
        <v>0.14682948337657861</v>
      </c>
      <c r="N398" s="64">
        <f>IF(AND(B398="Spring",AND(SUM(D395:D398)&gt;Variables!$B$13,SUM(D391:D394)&gt;Variables!$B$13)),-Variables!$B$14*Variables!$E$50,0)</f>
        <v>0</v>
      </c>
      <c r="O398" s="64">
        <f>IF(AND(B398="Summer",SUM(C394:D398)&gt;Variables!$B$15),(Variables!$B$16*Variables!$E$50*SUM(C394:C398)+$G$1*Variables!$B$16*Variables!$E$50*SUM(D394:D398)+$G$1*Variables!$E$50*Variables!$B$17*F398),0)</f>
        <v>0</v>
      </c>
      <c r="P398" s="64">
        <f>IF(AND(AND(B398="Autumn",SUM(D397:E398)&gt;0),NOT(H397=0)),Variables!$B$18*Variables!$E$50+Variables!$B$19*Variables!$E$50*SUM(E397:E398)+$G$1*Variables!$B$19*Variables!$E$50*SUM(D397:D398),0)</f>
        <v>0</v>
      </c>
      <c r="Q398" s="64">
        <f>IF(AND(B398="Autumn",AND((E398+E397)&lt;Variables!$B$20,(D397+D398)=0)),-Variables!$B$21*Variables!$E$50,0)</f>
        <v>0</v>
      </c>
      <c r="R398" s="64">
        <f>IF(B398="Autumn",(SUM(F397:F398)*$G$1*Variables!$B$22*Variables!$E$50),0)</f>
        <v>0</v>
      </c>
      <c r="S398" s="64">
        <f>IF(B398="Spring",($G$1*Variables!$E$50*SUM('Guts (option 1)'!F397:F398)*Variables!$B$23),0)</f>
        <v>0</v>
      </c>
      <c r="T398" s="63">
        <f>IF((H397+SUM(J398:Q398))&lt;(Variables!$B$26*Variables!$E$50),$F$1*((Variables!$B$26*Variables!$E$50)-H397-SUM(J398:Q398)),0)</f>
        <v>0</v>
      </c>
      <c r="U398" s="64">
        <f>IF(AND(AND(B398="Autumn",SUM(D395:E398)&gt;Variables!$B$27),SUM(J398:Q398)&lt;Variables!$B$28*H397),$F$1*(Variables!$B$28*H397-SUM(J398:Q398)),0)</f>
        <v>0</v>
      </c>
      <c r="V398" s="96">
        <f>IF(AND((J398+K398)=0,(Q398+T398)=0),$H$1*H398*Variables!$I$23*0.25,0)</f>
        <v>43.55913266944394</v>
      </c>
      <c r="W398" s="97">
        <f>IF(AND((K398+J398)=0,(T398+Q398)=0),$I$1*H398*Variables!$Q$23*0.25,0)</f>
        <v>45.594890298839715</v>
      </c>
      <c r="X398" s="95">
        <f>IF(AND(NOT(K398=0),(H398-H397)&gt;0),(H398-H397)*(Variables!$M$5*$H$1+Variables!$U$5*$I$1),0)+IF(AND(NOT((J398+N398+Q398)=0),(H397-H398)&gt;0),(H397-H398)*(Variables!$M$4*$H$1+Variables!$U$4*$I$1),0)</f>
        <v>0</v>
      </c>
      <c r="Y398" s="95">
        <f>IF(SUM(T398,U397:U398)&gt;0,H398*Variables!$Y$11*0.25*(1-$J$1),0)</f>
        <v>0</v>
      </c>
      <c r="Z398" s="95">
        <f>IF(T398=0,H398*$J$1*Variables!$Y$5*0.25,0)</f>
        <v>14.6928987242645</v>
      </c>
      <c r="AA398" s="95">
        <f t="shared" si="11"/>
        <v>103.84692169254815</v>
      </c>
      <c r="AB398" s="91">
        <f>AA398/Variables!$E$49</f>
        <v>16.749503498798088</v>
      </c>
    </row>
    <row r="399" spans="1:28" x14ac:dyDescent="0.25">
      <c r="A399" s="61">
        <f>'Water runs'!C406</f>
        <v>38411</v>
      </c>
      <c r="B399" s="61" t="str">
        <f>'Water runs'!B406</f>
        <v>Summer</v>
      </c>
      <c r="C399" s="54">
        <f>'Water runs'!D406/100</f>
        <v>0.66964285714285698</v>
      </c>
      <c r="D399" s="108">
        <f>VLOOKUP(ROW(D399)+4,'Water runs'!$BS$3:$CF$423,MATCH($B$1,Scenarios,0)+1)</f>
        <v>0</v>
      </c>
      <c r="E399" s="54">
        <f>IF(B399=Variables!$D$8,C399-Variables!$E$8,IF(B399=Variables!$D$9,C399-Variables!$E$9,IF(B399=Variables!$D$10,C399-Variables!$E$10,IF(B399=Variables!$D$11,C399-Variables!$E$11,"ELSE"))))</f>
        <v>-0.58872727891156473</v>
      </c>
      <c r="F399" s="108">
        <f>VLOOKUP(ROW(F399)+4,'Water runs'!$CH$3:$CU$423,MATCH($B$1,Scenarios,0)+1)</f>
        <v>0</v>
      </c>
      <c r="G399" s="65">
        <f>H399/Variables!$E$49</f>
        <v>0.36458805767405711</v>
      </c>
      <c r="H399" s="62">
        <f>IF((H398+I399)&gt;(1.1*Variables!$E$50),(1.1*Variables!$E$50),IF((H398+I399)&gt;0,H398+I399,0))</f>
        <v>2.260445957579154</v>
      </c>
      <c r="I399" s="64">
        <f t="shared" si="12"/>
        <v>0</v>
      </c>
      <c r="J399" s="63">
        <f>IF(SUM(E395:E398)&lt;Variables!$B$3,-H398,0)</f>
        <v>0</v>
      </c>
      <c r="K399" s="64">
        <f>IF(AND(H398&lt;Variables!$B$6*Variables!$E$50,OR(SUM(D396:D399)&gt;Variables!$B$5,SUM(E396:E399)&gt;Variables!$B$4)),Variables!$B$6*Variables!$E$50+Variables!$B$7*$G$1*Variables!$E$50*SUM(D396:D399),0)</f>
        <v>0</v>
      </c>
      <c r="L399" s="64">
        <f>IF(B399="Winter",Variables!$B$8*H398,0)</f>
        <v>0</v>
      </c>
      <c r="M399" s="64">
        <f>IF(AND(B399="Spring",AND(NOT(H398=0),H398&lt;(Variables!$B$9*Variables!$E$50))),(Variables!$B$10*Variables!$E$50+Variables!$B$11*Variables!$E$50*SUM(E396:E399)+$G$1*SUM(D398:D399)*Variables!$E$50*Variables!$B$12),0)</f>
        <v>0</v>
      </c>
      <c r="N399" s="64">
        <f>IF(AND(B399="Spring",AND(SUM(D396:D399)&gt;Variables!$B$13,SUM(D392:D395)&gt;Variables!$B$13)),-Variables!$B$14*Variables!$E$50,0)</f>
        <v>0</v>
      </c>
      <c r="O399" s="64">
        <f>IF(AND(B399="Summer",SUM(C395:D399)&gt;Variables!$B$15),(Variables!$B$16*Variables!$E$50*SUM(C395:C399)+$G$1*Variables!$B$16*Variables!$E$50*SUM(D395:D399)+$G$1*Variables!$E$50*Variables!$B$17*F399),0)</f>
        <v>0</v>
      </c>
      <c r="P399" s="64">
        <f>IF(AND(AND(B399="Autumn",SUM(D398:E399)&gt;0),NOT(H398=0)),Variables!$B$18*Variables!$E$50+Variables!$B$19*Variables!$E$50*SUM(E398:E399)+$G$1*Variables!$B$19*Variables!$E$50*SUM(D398:D399),0)</f>
        <v>0</v>
      </c>
      <c r="Q399" s="64">
        <f>IF(AND(B399="Autumn",AND((E399+E398)&lt;Variables!$B$20,(D398+D399)=0)),-Variables!$B$21*Variables!$E$50,0)</f>
        <v>0</v>
      </c>
      <c r="R399" s="64">
        <f>IF(B399="Autumn",(SUM(F398:F399)*$G$1*Variables!$B$22*Variables!$E$50),0)</f>
        <v>0</v>
      </c>
      <c r="S399" s="64">
        <f>IF(B399="Spring",($G$1*Variables!$E$50*SUM('Guts (option 1)'!F398:F399)*Variables!$B$23),0)</f>
        <v>0</v>
      </c>
      <c r="T399" s="63">
        <f>IF((H398+SUM(J399:Q399))&lt;(Variables!$B$26*Variables!$E$50),$F$1*((Variables!$B$26*Variables!$E$50)-H398-SUM(J399:Q399)),0)</f>
        <v>0</v>
      </c>
      <c r="U399" s="64">
        <f>IF(AND(AND(B399="Autumn",SUM(D396:E399)&gt;Variables!$B$27),SUM(J399:Q399)&lt;Variables!$B$28*H398),$F$1*(Variables!$B$28*H398-SUM(J399:Q399)),0)</f>
        <v>0</v>
      </c>
      <c r="V399" s="96">
        <f>IF(AND((J399+K399)=0,(Q399+T399)=0),$H$1*H399*Variables!$I$23*0.25,0)</f>
        <v>43.55913266944394</v>
      </c>
      <c r="W399" s="97">
        <f>IF(AND((K399+J399)=0,(T399+Q399)=0),$I$1*H399*Variables!$Q$23*0.25,0)</f>
        <v>45.594890298839715</v>
      </c>
      <c r="X399" s="95">
        <f>IF(AND(NOT(K399=0),(H399-H398)&gt;0),(H399-H398)*(Variables!$M$5*$H$1+Variables!$U$5*$I$1),0)+IF(AND(NOT((J399+N399+Q399)=0),(H398-H399)&gt;0),(H398-H399)*(Variables!$M$4*$H$1+Variables!$U$4*$I$1),0)</f>
        <v>0</v>
      </c>
      <c r="Y399" s="95">
        <f>IF(SUM(T399,U398:U399)&gt;0,H399*Variables!$Y$11*0.25*(1-$J$1),0)</f>
        <v>0</v>
      </c>
      <c r="Z399" s="95">
        <f>IF(T399=0,H399*$J$1*Variables!$Y$5*0.25,0)</f>
        <v>14.6928987242645</v>
      </c>
      <c r="AA399" s="95">
        <f t="shared" si="11"/>
        <v>103.84692169254815</v>
      </c>
      <c r="AB399" s="91">
        <f>AA399/Variables!$E$49</f>
        <v>16.749503498798088</v>
      </c>
    </row>
    <row r="400" spans="1:28" x14ac:dyDescent="0.25">
      <c r="A400" s="61">
        <f>'Water runs'!C407</f>
        <v>38503</v>
      </c>
      <c r="B400" s="61" t="str">
        <f>'Water runs'!B407</f>
        <v>Autumn</v>
      </c>
      <c r="C400" s="54">
        <f>'Water runs'!D407/100</f>
        <v>0.24485714285714302</v>
      </c>
      <c r="D400" s="108">
        <f>VLOOKUP(ROW(D400)+4,'Water runs'!$BS$3:$CF$423,MATCH($B$1,Scenarios,0)+1)</f>
        <v>0</v>
      </c>
      <c r="E400" s="54">
        <f>IF(B400=Variables!$D$8,C400-Variables!$E$8,IF(B400=Variables!$D$9,C400-Variables!$E$9,IF(B400=Variables!$D$10,C400-Variables!$E$10,IF(B400=Variables!$D$11,C400-Variables!$E$11,"ELSE"))))</f>
        <v>-0.74978615646258484</v>
      </c>
      <c r="F400" s="108">
        <f>VLOOKUP(ROW(F400)+4,'Water runs'!$CH$3:$CU$423,MATCH($B$1,Scenarios,0)+1)</f>
        <v>0</v>
      </c>
      <c r="G400" s="65">
        <f>H400/Variables!$E$49</f>
        <v>0.36458805767405711</v>
      </c>
      <c r="H400" s="62">
        <f>IF((H399+I400)&gt;(1.1*Variables!$E$50),(1.1*Variables!$E$50),IF((H399+I400)&gt;0,H399+I400,0))</f>
        <v>2.260445957579154</v>
      </c>
      <c r="I400" s="64">
        <f t="shared" si="12"/>
        <v>0</v>
      </c>
      <c r="J400" s="63">
        <f>IF(SUM(E396:E399)&lt;Variables!$B$3,-H399,0)</f>
        <v>0</v>
      </c>
      <c r="K400" s="64">
        <f>IF(AND(H399&lt;Variables!$B$6*Variables!$E$50,OR(SUM(D397:D400)&gt;Variables!$B$5,SUM(E397:E400)&gt;Variables!$B$4)),Variables!$B$6*Variables!$E$50+Variables!$B$7*$G$1*Variables!$E$50*SUM(D397:D400),0)</f>
        <v>0</v>
      </c>
      <c r="L400" s="64">
        <f>IF(B400="Winter",Variables!$B$8*H399,0)</f>
        <v>0</v>
      </c>
      <c r="M400" s="64">
        <f>IF(AND(B400="Spring",AND(NOT(H399=0),H399&lt;(Variables!$B$9*Variables!$E$50))),(Variables!$B$10*Variables!$E$50+Variables!$B$11*Variables!$E$50*SUM(E397:E400)+$G$1*SUM(D399:D400)*Variables!$E$50*Variables!$B$12),0)</f>
        <v>0</v>
      </c>
      <c r="N400" s="64">
        <f>IF(AND(B400="Spring",AND(SUM(D397:D400)&gt;Variables!$B$13,SUM(D393:D396)&gt;Variables!$B$13)),-Variables!$B$14*Variables!$E$50,0)</f>
        <v>0</v>
      </c>
      <c r="O400" s="64">
        <f>IF(AND(B400="Summer",SUM(C396:D400)&gt;Variables!$B$15),(Variables!$B$16*Variables!$E$50*SUM(C396:C400)+$G$1*Variables!$B$16*Variables!$E$50*SUM(D396:D400)+$G$1*Variables!$E$50*Variables!$B$17*F400),0)</f>
        <v>0</v>
      </c>
      <c r="P400" s="64">
        <f>IF(AND(AND(B400="Autumn",SUM(D399:E400)&gt;0),NOT(H399=0)),Variables!$B$18*Variables!$E$50+Variables!$B$19*Variables!$E$50*SUM(E399:E400)+$G$1*Variables!$B$19*Variables!$E$50*SUM(D399:D400),0)</f>
        <v>0</v>
      </c>
      <c r="Q400" s="64">
        <f>IF(AND(B400="Autumn",AND((E400+E399)&lt;Variables!$B$20,(D399+D400)=0)),-Variables!$B$21*Variables!$E$50,0)</f>
        <v>0</v>
      </c>
      <c r="R400" s="64">
        <f>IF(B400="Autumn",(SUM(F399:F400)*$G$1*Variables!$B$22*Variables!$E$50),0)</f>
        <v>0</v>
      </c>
      <c r="S400" s="64">
        <f>IF(B400="Spring",($G$1*Variables!$E$50*SUM('Guts (option 1)'!F399:F400)*Variables!$B$23),0)</f>
        <v>0</v>
      </c>
      <c r="T400" s="63">
        <f>IF((H399+SUM(J400:Q400))&lt;(Variables!$B$26*Variables!$E$50),$F$1*((Variables!$B$26*Variables!$E$50)-H399-SUM(J400:Q400)),0)</f>
        <v>0</v>
      </c>
      <c r="U400" s="64">
        <f>IF(AND(AND(B400="Autumn",SUM(D397:E400)&gt;Variables!$B$27),SUM(J400:Q400)&lt;Variables!$B$28*H399),$F$1*(Variables!$B$28*H399-SUM(J400:Q400)),0)</f>
        <v>0</v>
      </c>
      <c r="V400" s="96">
        <f>IF(AND((J400+K400)=0,(Q400+T400)=0),$H$1*H400*Variables!$I$23*0.25,0)</f>
        <v>43.55913266944394</v>
      </c>
      <c r="W400" s="97">
        <f>IF(AND((K400+J400)=0,(T400+Q400)=0),$I$1*H400*Variables!$Q$23*0.25,0)</f>
        <v>45.594890298839715</v>
      </c>
      <c r="X400" s="95">
        <f>IF(AND(NOT(K400=0),(H400-H399)&gt;0),(H400-H399)*(Variables!$M$5*$H$1+Variables!$U$5*$I$1),0)+IF(AND(NOT((J400+N400+Q400)=0),(H399-H400)&gt;0),(H399-H400)*(Variables!$M$4*$H$1+Variables!$U$4*$I$1),0)</f>
        <v>0</v>
      </c>
      <c r="Y400" s="95">
        <f>IF(SUM(T400,U399:U400)&gt;0,H400*Variables!$Y$11*0.25*(1-$J$1),0)</f>
        <v>0</v>
      </c>
      <c r="Z400" s="95">
        <f>IF(T400=0,H400*$J$1*Variables!$Y$5*0.25,0)</f>
        <v>14.6928987242645</v>
      </c>
      <c r="AA400" s="95">
        <f t="shared" ref="AA400:AA417" si="13">SUM(V400:Z400)</f>
        <v>103.84692169254815</v>
      </c>
      <c r="AB400" s="91">
        <f>AA400/Variables!$E$49</f>
        <v>16.749503498798088</v>
      </c>
    </row>
    <row r="401" spans="1:28" x14ac:dyDescent="0.25">
      <c r="A401" s="61">
        <f>'Water runs'!C408</f>
        <v>38595</v>
      </c>
      <c r="B401" s="61" t="str">
        <f>'Water runs'!B408</f>
        <v>Winter</v>
      </c>
      <c r="C401" s="54">
        <f>'Water runs'!D408/100</f>
        <v>0.817533333333333</v>
      </c>
      <c r="D401" s="108">
        <f>VLOOKUP(ROW(D401)+4,'Water runs'!$BS$3:$CF$423,MATCH($B$1,Scenarios,0)+1)</f>
        <v>0</v>
      </c>
      <c r="E401" s="54">
        <f>IF(B401=Variables!$D$8,C401-Variables!$E$8,IF(B401=Variables!$D$9,C401-Variables!$E$9,IF(B401=Variables!$D$10,C401-Variables!$E$10,IF(B401=Variables!$D$11,C401-Variables!$E$11,"ELSE"))))</f>
        <v>0.24576570767195727</v>
      </c>
      <c r="F401" s="108">
        <f>VLOOKUP(ROW(F401)+4,'Water runs'!$CH$3:$CU$423,MATCH($B$1,Scenarios,0)+1)</f>
        <v>0</v>
      </c>
      <c r="G401" s="65">
        <f>H401/Variables!$E$49</f>
        <v>0.16100000000000003</v>
      </c>
      <c r="H401" s="62">
        <f>IF((H400+I401)&gt;(1.1*Variables!$E$50),(1.1*Variables!$E$50),IF((H400+I401)&gt;0,H400+I401,0))</f>
        <v>0.9982000000000002</v>
      </c>
      <c r="I401" s="64">
        <f t="shared" si="12"/>
        <v>-1.2622459575791538</v>
      </c>
      <c r="J401" s="63">
        <f>IF(SUM(E397:E400)&lt;Variables!$B$3,-H400,0)</f>
        <v>-2.260445957579154</v>
      </c>
      <c r="K401" s="64">
        <f>IF(AND(H400&lt;Variables!$B$6*Variables!$E$50,OR(SUM(D398:D401)&gt;Variables!$B$5,SUM(E398:E401)&gt;Variables!$B$4)),Variables!$B$6*Variables!$E$50+Variables!$B$7*$G$1*Variables!$E$50*SUM(D398:D401),0)</f>
        <v>0</v>
      </c>
      <c r="L401" s="64">
        <f>IF(B401="Winter",Variables!$B$8*H400,0)</f>
        <v>-1.1255783191740791</v>
      </c>
      <c r="M401" s="64">
        <f>IF(AND(B401="Spring",AND(NOT(H400=0),H400&lt;(Variables!$B$9*Variables!$E$50))),(Variables!$B$10*Variables!$E$50+Variables!$B$11*Variables!$E$50*SUM(E398:E401)+$G$1*SUM(D400:D401)*Variables!$E$50*Variables!$B$12),0)</f>
        <v>0</v>
      </c>
      <c r="N401" s="64">
        <f>IF(AND(B401="Spring",AND(SUM(D398:D401)&gt;Variables!$B$13,SUM(D394:D397)&gt;Variables!$B$13)),-Variables!$B$14*Variables!$E$50,0)</f>
        <v>0</v>
      </c>
      <c r="O401" s="64">
        <f>IF(AND(B401="Summer",SUM(C397:D401)&gt;Variables!$B$15),(Variables!$B$16*Variables!$E$50*SUM(C397:C401)+$G$1*Variables!$B$16*Variables!$E$50*SUM(D397:D401)+$G$1*Variables!$E$50*Variables!$B$17*F401),0)</f>
        <v>0</v>
      </c>
      <c r="P401" s="64">
        <f>IF(AND(AND(B401="Autumn",SUM(D400:E401)&gt;0),NOT(H400=0)),Variables!$B$18*Variables!$E$50+Variables!$B$19*Variables!$E$50*SUM(E400:E401)+$G$1*Variables!$B$19*Variables!$E$50*SUM(D400:D401),0)</f>
        <v>0</v>
      </c>
      <c r="Q401" s="64">
        <f>IF(AND(B401="Autumn",AND((E401+E400)&lt;Variables!$B$20,(D400+D401)=0)),-Variables!$B$21*Variables!$E$50,0)</f>
        <v>0</v>
      </c>
      <c r="R401" s="64">
        <f>IF(B401="Autumn",(SUM(F400:F401)*$G$1*Variables!$B$22*Variables!$E$50),0)</f>
        <v>0</v>
      </c>
      <c r="S401" s="64">
        <f>IF(B401="Spring",($G$1*Variables!$E$50*SUM('Guts (option 1)'!F400:F401)*Variables!$B$23),0)</f>
        <v>0</v>
      </c>
      <c r="T401" s="63">
        <f>IF((H400+SUM(J401:Q401))&lt;(Variables!$B$26*Variables!$E$50),$F$1*((Variables!$B$26*Variables!$E$50)-H400-SUM(J401:Q401)),0)</f>
        <v>2.1237783191740793</v>
      </c>
      <c r="U401" s="64">
        <f>IF(AND(AND(B401="Autumn",SUM(D398:E401)&gt;Variables!$B$27),SUM(J401:Q401)&lt;Variables!$B$28*H400),$F$1*(Variables!$B$28*H400-SUM(J401:Q401)),0)</f>
        <v>0</v>
      </c>
      <c r="V401" s="96">
        <f>IF(AND((J401+K401)=0,(Q401+T401)=0),$H$1*H401*Variables!$I$23*0.25,0)</f>
        <v>0</v>
      </c>
      <c r="W401" s="97">
        <f>IF(AND((K401+J401)=0,(T401+Q401)=0),$I$1*H401*Variables!$Q$23*0.25,0)</f>
        <v>0</v>
      </c>
      <c r="X401" s="95">
        <f>IF(AND(NOT(K401=0),(H401-H400)&gt;0),(H401-H400)*(Variables!$M$5*$H$1+Variables!$U$5*$I$1),0)+IF(AND(NOT((J401+N401+Q401)=0),(H400-H401)&gt;0),(H400-H401)*(Variables!$M$4*$H$1+Variables!$U$4*$I$1),0)</f>
        <v>157.78074469739423</v>
      </c>
      <c r="Y401" s="95">
        <f>IF(SUM(T401,U400:U401)&gt;0,H401*Variables!$Y$11*0.25*(1-$J$1),0)</f>
        <v>0</v>
      </c>
      <c r="Z401" s="95">
        <f>IF(T401=0,H401*$J$1*Variables!$Y$5*0.25,0)</f>
        <v>0</v>
      </c>
      <c r="AA401" s="95">
        <f t="shared" si="13"/>
        <v>157.78074469739423</v>
      </c>
      <c r="AB401" s="91">
        <f>AA401/Variables!$E$49</f>
        <v>25.448507209257134</v>
      </c>
    </row>
    <row r="402" spans="1:28" x14ac:dyDescent="0.25">
      <c r="A402" s="61">
        <f>'Water runs'!C409</f>
        <v>38686</v>
      </c>
      <c r="B402" s="61" t="str">
        <f>'Water runs'!B409</f>
        <v>Spring</v>
      </c>
      <c r="C402" s="54">
        <f>'Water runs'!D409/100</f>
        <v>0.83304761904761904</v>
      </c>
      <c r="D402" s="108">
        <f>VLOOKUP(ROW(D402)+4,'Water runs'!$BS$3:$CF$423,MATCH($B$1,Scenarios,0)+1)</f>
        <v>0</v>
      </c>
      <c r="E402" s="54">
        <f>IF(B402=Variables!$D$8,C402-Variables!$E$8,IF(B402=Variables!$D$9,C402-Variables!$E$9,IF(B402=Variables!$D$10,C402-Variables!$E$10,IF(B402=Variables!$D$11,C402-Variables!$E$11,"ELSE"))))</f>
        <v>6.9065410052909892E-2</v>
      </c>
      <c r="F402" s="108">
        <f>VLOOKUP(ROW(F402)+4,'Water runs'!$CH$3:$CU$423,MATCH($B$1,Scenarios,0)+1)</f>
        <v>0</v>
      </c>
      <c r="G402" s="65">
        <f>H402/Variables!$E$49</f>
        <v>0.161</v>
      </c>
      <c r="H402" s="62">
        <f>IF((H401+I402)&gt;(1.1*Variables!$E$50),(1.1*Variables!$E$50),IF((H401+I402)&gt;0,H401+I402,0))</f>
        <v>0.99820000000000009</v>
      </c>
      <c r="I402" s="64">
        <f t="shared" si="12"/>
        <v>-1.1102230246251565E-16</v>
      </c>
      <c r="J402" s="63">
        <f>IF(SUM(E398:E401)&lt;Variables!$B$3,-H401,0)</f>
        <v>0</v>
      </c>
      <c r="K402" s="64">
        <f>IF(AND(H401&lt;Variables!$B$6*Variables!$E$50,OR(SUM(D399:D402)&gt;Variables!$B$5,SUM(E399:E402)&gt;Variables!$B$4)),Variables!$B$6*Variables!$E$50+Variables!$B$7*$G$1*Variables!$E$50*SUM(D399:D402),0)</f>
        <v>0</v>
      </c>
      <c r="L402" s="64">
        <f>IF(B402="Winter",Variables!$B$8*H401,0)</f>
        <v>0</v>
      </c>
      <c r="M402" s="64">
        <f>IF(AND(B402="Spring",AND(NOT(H401=0),H401&lt;(Variables!$B$9*Variables!$E$50))),(Variables!$B$10*Variables!$E$50+Variables!$B$11*Variables!$E$50*SUM(E399:E402)+$G$1*SUM(D401:D402)*Variables!$E$50*Variables!$B$12),0)</f>
        <v>-0.69719080522790067</v>
      </c>
      <c r="N402" s="64">
        <f>IF(AND(B402="Spring",AND(SUM(D399:D402)&gt;Variables!$B$13,SUM(D395:D398)&gt;Variables!$B$13)),-Variables!$B$14*Variables!$E$50,0)</f>
        <v>0</v>
      </c>
      <c r="O402" s="64">
        <f>IF(AND(B402="Summer",SUM(C398:D402)&gt;Variables!$B$15),(Variables!$B$16*Variables!$E$50*SUM(C398:C402)+$G$1*Variables!$B$16*Variables!$E$50*SUM(D398:D402)+$G$1*Variables!$E$50*Variables!$B$17*F402),0)</f>
        <v>0</v>
      </c>
      <c r="P402" s="64">
        <f>IF(AND(AND(B402="Autumn",SUM(D401:E402)&gt;0),NOT(H401=0)),Variables!$B$18*Variables!$E$50+Variables!$B$19*Variables!$E$50*SUM(E401:E402)+$G$1*Variables!$B$19*Variables!$E$50*SUM(D401:D402),0)</f>
        <v>0</v>
      </c>
      <c r="Q402" s="64">
        <f>IF(AND(B402="Autumn",AND((E402+E401)&lt;Variables!$B$20,(D401+D402)=0)),-Variables!$B$21*Variables!$E$50,0)</f>
        <v>0</v>
      </c>
      <c r="R402" s="64">
        <f>IF(B402="Autumn",(SUM(F401:F402)*$G$1*Variables!$B$22*Variables!$E$50),0)</f>
        <v>0</v>
      </c>
      <c r="S402" s="64">
        <f>IF(B402="Spring",($G$1*Variables!$E$50*SUM('Guts (option 1)'!F401:F402)*Variables!$B$23),0)</f>
        <v>0</v>
      </c>
      <c r="T402" s="63">
        <f>IF((H401+SUM(J402:Q402))&lt;(Variables!$B$26*Variables!$E$50),$F$1*((Variables!$B$26*Variables!$E$50)-H401-SUM(J402:Q402)),0)</f>
        <v>0.69719080522790056</v>
      </c>
      <c r="U402" s="64">
        <f>IF(AND(AND(B402="Autumn",SUM(D399:E402)&gt;Variables!$B$27),SUM(J402:Q402)&lt;Variables!$B$28*H401),$F$1*(Variables!$B$28*H401-SUM(J402:Q402)),0)</f>
        <v>0</v>
      </c>
      <c r="V402" s="96">
        <f>IF(AND((J402+K402)=0,(Q402+T402)=0),$H$1*H402*Variables!$I$23*0.25,0)</f>
        <v>0</v>
      </c>
      <c r="W402" s="97">
        <f>IF(AND((K402+J402)=0,(T402+Q402)=0),$I$1*H402*Variables!$Q$23*0.25,0)</f>
        <v>0</v>
      </c>
      <c r="X402" s="95">
        <f>IF(AND(NOT(K402=0),(H402-H401)&gt;0),(H402-H401)*(Variables!$M$5*$H$1+Variables!$U$5*$I$1),0)+IF(AND(NOT((J402+N402+Q402)=0),(H401-H402)&gt;0),(H401-H402)*(Variables!$M$4*$H$1+Variables!$U$4*$I$1),0)</f>
        <v>0</v>
      </c>
      <c r="Y402" s="95">
        <f>IF(SUM(T402,U401:U402)&gt;0,H402*Variables!$Y$11*0.25*(1-$J$1),0)</f>
        <v>0</v>
      </c>
      <c r="Z402" s="95">
        <f>IF(T402=0,H402*$J$1*Variables!$Y$5*0.25,0)</f>
        <v>0</v>
      </c>
      <c r="AA402" s="95">
        <f t="shared" si="13"/>
        <v>0</v>
      </c>
      <c r="AB402" s="91">
        <f>AA402/Variables!$E$49</f>
        <v>0</v>
      </c>
    </row>
    <row r="403" spans="1:28" x14ac:dyDescent="0.25">
      <c r="A403" s="61">
        <f>'Water runs'!C410</f>
        <v>38776</v>
      </c>
      <c r="B403" s="61" t="str">
        <f>'Water runs'!B410</f>
        <v>Summer</v>
      </c>
      <c r="C403" s="54">
        <f>'Water runs'!D410/100</f>
        <v>1.0407142857142899</v>
      </c>
      <c r="D403" s="108">
        <f>VLOOKUP(ROW(D403)+4,'Water runs'!$BS$3:$CF$423,MATCH($B$1,Scenarios,0)+1)</f>
        <v>3.1750053444603676E-4</v>
      </c>
      <c r="E403" s="54">
        <f>IF(B403=Variables!$D$8,C403-Variables!$E$8,IF(B403=Variables!$D$9,C403-Variables!$E$9,IF(B403=Variables!$D$10,C403-Variables!$E$10,IF(B403=Variables!$D$11,C403-Variables!$E$11,"ELSE"))))</f>
        <v>-0.2176558503401318</v>
      </c>
      <c r="F403" s="108">
        <f>VLOOKUP(ROW(F403)+4,'Water runs'!$CH$3:$CU$423,MATCH($B$1,Scenarios,0)+1)</f>
        <v>0</v>
      </c>
      <c r="G403" s="65">
        <f>H403/Variables!$E$49</f>
        <v>0.161</v>
      </c>
      <c r="H403" s="62">
        <f>IF((H402+I403)&gt;(1.1*Variables!$E$50),(1.1*Variables!$E$50),IF((H402+I403)&gt;0,H402+I403,0))</f>
        <v>0.99820000000000009</v>
      </c>
      <c r="I403" s="64">
        <f t="shared" si="12"/>
        <v>0</v>
      </c>
      <c r="J403" s="63">
        <f>IF(SUM(E399:E402)&lt;Variables!$B$3,-H402,0)</f>
        <v>0</v>
      </c>
      <c r="K403" s="64">
        <f>IF(AND(H402&lt;Variables!$B$6*Variables!$E$50,OR(SUM(D400:D403)&gt;Variables!$B$5,SUM(E400:E403)&gt;Variables!$B$4)),Variables!$B$6*Variables!$E$50+Variables!$B$7*$G$1*Variables!$E$50*SUM(D400:D403),0)</f>
        <v>0</v>
      </c>
      <c r="L403" s="64">
        <f>IF(B403="Winter",Variables!$B$8*H402,0)</f>
        <v>0</v>
      </c>
      <c r="M403" s="64">
        <f>IF(AND(B403="Spring",AND(NOT(H402=0),H402&lt;(Variables!$B$9*Variables!$E$50))),(Variables!$B$10*Variables!$E$50+Variables!$B$11*Variables!$E$50*SUM(E400:E403)+$G$1*SUM(D402:D403)*Variables!$E$50*Variables!$B$12),0)</f>
        <v>0</v>
      </c>
      <c r="N403" s="64">
        <f>IF(AND(B403="Spring",AND(SUM(D400:D403)&gt;Variables!$B$13,SUM(D396:D399)&gt;Variables!$B$13)),-Variables!$B$14*Variables!$E$50,0)</f>
        <v>0</v>
      </c>
      <c r="O403" s="64">
        <f>IF(AND(B403="Summer",SUM(C399:D403)&gt;Variables!$B$15),(Variables!$B$16*Variables!$E$50*SUM(C399:C403)+$G$1*Variables!$B$16*Variables!$E$50*SUM(D399:D403)+$G$1*Variables!$E$50*Variables!$B$17*F403),0)</f>
        <v>0</v>
      </c>
      <c r="P403" s="64">
        <f>IF(AND(AND(B403="Autumn",SUM(D402:E403)&gt;0),NOT(H402=0)),Variables!$B$18*Variables!$E$50+Variables!$B$19*Variables!$E$50*SUM(E402:E403)+$G$1*Variables!$B$19*Variables!$E$50*SUM(D402:D403),0)</f>
        <v>0</v>
      </c>
      <c r="Q403" s="64">
        <f>IF(AND(B403="Autumn",AND((E403+E402)&lt;Variables!$B$20,(D402+D403)=0)),-Variables!$B$21*Variables!$E$50,0)</f>
        <v>0</v>
      </c>
      <c r="R403" s="64">
        <f>IF(B403="Autumn",(SUM(F402:F403)*$G$1*Variables!$B$22*Variables!$E$50),0)</f>
        <v>0</v>
      </c>
      <c r="S403" s="64">
        <f>IF(B403="Spring",($G$1*Variables!$E$50*SUM('Guts (option 1)'!F402:F403)*Variables!$B$23),0)</f>
        <v>0</v>
      </c>
      <c r="T403" s="63">
        <f>IF((H402+SUM(J403:Q403))&lt;(Variables!$B$26*Variables!$E$50),$F$1*((Variables!$B$26*Variables!$E$50)-H402-SUM(J403:Q403)),0)</f>
        <v>0</v>
      </c>
      <c r="U403" s="64">
        <f>IF(AND(AND(B403="Autumn",SUM(D400:E403)&gt;Variables!$B$27),SUM(J403:Q403)&lt;Variables!$B$28*H402),$F$1*(Variables!$B$28*H402-SUM(J403:Q403)),0)</f>
        <v>0</v>
      </c>
      <c r="V403" s="96">
        <f>IF(AND((J403+K403)=0,(Q403+T403)=0),$H$1*H403*Variables!$I$23*0.25,0)</f>
        <v>19.235463730000003</v>
      </c>
      <c r="W403" s="97">
        <f>IF(AND((K403+J403)=0,(T403+Q403)=0),$I$1*H403*Variables!$Q$23*0.25,0)</f>
        <v>20.13444265</v>
      </c>
      <c r="X403" s="95">
        <f>IF(AND(NOT(K403=0),(H403-H402)&gt;0),(H403-H402)*(Variables!$M$5*$H$1+Variables!$U$5*$I$1),0)+IF(AND(NOT((J403+N403+Q403)=0),(H402-H403)&gt;0),(H402-H403)*(Variables!$M$4*$H$1+Variables!$U$4*$I$1),0)</f>
        <v>0</v>
      </c>
      <c r="Y403" s="95">
        <f>IF(SUM(T403,U402:U403)&gt;0,H403*Variables!$Y$11*0.25*(1-$J$1),0)</f>
        <v>0</v>
      </c>
      <c r="Z403" s="95">
        <f>IF(T403=0,H403*$J$1*Variables!$Y$5*0.25,0)</f>
        <v>6.4883000000000006</v>
      </c>
      <c r="AA403" s="95">
        <f t="shared" si="13"/>
        <v>45.858206380000006</v>
      </c>
      <c r="AB403" s="91">
        <f>AA403/Variables!$E$49</f>
        <v>7.3964849000000008</v>
      </c>
    </row>
    <row r="404" spans="1:28" x14ac:dyDescent="0.25">
      <c r="A404" s="61">
        <f>'Water runs'!C411</f>
        <v>38868</v>
      </c>
      <c r="B404" s="61" t="str">
        <f>'Water runs'!B411</f>
        <v>Autumn</v>
      </c>
      <c r="C404" s="54">
        <f>'Water runs'!D411/100</f>
        <v>0.213142857142857</v>
      </c>
      <c r="D404" s="108">
        <f>VLOOKUP(ROW(D404)+4,'Water runs'!$BS$3:$CF$423,MATCH($B$1,Scenarios,0)+1)</f>
        <v>0</v>
      </c>
      <c r="E404" s="54">
        <f>IF(B404=Variables!$D$8,C404-Variables!$E$8,IF(B404=Variables!$D$9,C404-Variables!$E$9,IF(B404=Variables!$D$10,C404-Variables!$E$10,IF(B404=Variables!$D$11,C404-Variables!$E$11,"ELSE"))))</f>
        <v>-0.78150044217687087</v>
      </c>
      <c r="F404" s="108">
        <f>VLOOKUP(ROW(F404)+4,'Water runs'!$CH$3:$CU$423,MATCH($B$1,Scenarios,0)+1)</f>
        <v>0</v>
      </c>
      <c r="G404" s="65">
        <f>H404/Variables!$E$49</f>
        <v>0.161</v>
      </c>
      <c r="H404" s="62">
        <f>IF((H403+I404)&gt;(1.1*Variables!$E$50),(1.1*Variables!$E$50),IF((H403+I404)&gt;0,H403+I404,0))</f>
        <v>0.99820000000000009</v>
      </c>
      <c r="I404" s="64">
        <f t="shared" si="12"/>
        <v>0</v>
      </c>
      <c r="J404" s="63">
        <f>IF(SUM(E400:E403)&lt;Variables!$B$3,-H403,0)</f>
        <v>0</v>
      </c>
      <c r="K404" s="64">
        <f>IF(AND(H403&lt;Variables!$B$6*Variables!$E$50,OR(SUM(D401:D404)&gt;Variables!$B$5,SUM(E401:E404)&gt;Variables!$B$4)),Variables!$B$6*Variables!$E$50+Variables!$B$7*$G$1*Variables!$E$50*SUM(D401:D404),0)</f>
        <v>0</v>
      </c>
      <c r="L404" s="64">
        <f>IF(B404="Winter",Variables!$B$8*H403,0)</f>
        <v>0</v>
      </c>
      <c r="M404" s="64">
        <f>IF(AND(B404="Spring",AND(NOT(H403=0),H403&lt;(Variables!$B$9*Variables!$E$50))),(Variables!$B$10*Variables!$E$50+Variables!$B$11*Variables!$E$50*SUM(E401:E404)+$G$1*SUM(D403:D404)*Variables!$E$50*Variables!$B$12),0)</f>
        <v>0</v>
      </c>
      <c r="N404" s="64">
        <f>IF(AND(B404="Spring",AND(SUM(D401:D404)&gt;Variables!$B$13,SUM(D397:D400)&gt;Variables!$B$13)),-Variables!$B$14*Variables!$E$50,0)</f>
        <v>0</v>
      </c>
      <c r="O404" s="64">
        <f>IF(AND(B404="Summer",SUM(C400:D404)&gt;Variables!$B$15),(Variables!$B$16*Variables!$E$50*SUM(C400:C404)+$G$1*Variables!$B$16*Variables!$E$50*SUM(D400:D404)+$G$1*Variables!$E$50*Variables!$B$17*F404),0)</f>
        <v>0</v>
      </c>
      <c r="P404" s="64">
        <f>IF(AND(AND(B404="Autumn",SUM(D403:E404)&gt;0),NOT(H403=0)),Variables!$B$18*Variables!$E$50+Variables!$B$19*Variables!$E$50*SUM(E403:E404)+$G$1*Variables!$B$19*Variables!$E$50*SUM(D403:D404),0)</f>
        <v>0</v>
      </c>
      <c r="Q404" s="64">
        <f>IF(AND(B404="Autumn",AND((E404+E403)&lt;Variables!$B$20,(D403+D404)=0)),-Variables!$B$21*Variables!$E$50,0)</f>
        <v>0</v>
      </c>
      <c r="R404" s="64">
        <f>IF(B404="Autumn",(SUM(F403:F404)*$G$1*Variables!$B$22*Variables!$E$50),0)</f>
        <v>0</v>
      </c>
      <c r="S404" s="64">
        <f>IF(B404="Spring",($G$1*Variables!$E$50*SUM('Guts (option 1)'!F403:F404)*Variables!$B$23),0)</f>
        <v>0</v>
      </c>
      <c r="T404" s="63">
        <f>IF((H403+SUM(J404:Q404))&lt;(Variables!$B$26*Variables!$E$50),$F$1*((Variables!$B$26*Variables!$E$50)-H403-SUM(J404:Q404)),0)</f>
        <v>0</v>
      </c>
      <c r="U404" s="64">
        <f>IF(AND(AND(B404="Autumn",SUM(D401:E404)&gt;Variables!$B$27),SUM(J404:Q404)&lt;Variables!$B$28*H403),$F$1*(Variables!$B$28*H403-SUM(J404:Q404)),0)</f>
        <v>0</v>
      </c>
      <c r="V404" s="96">
        <f>IF(AND((J404+K404)=0,(Q404+T404)=0),$H$1*H404*Variables!$I$23*0.25,0)</f>
        <v>19.235463730000003</v>
      </c>
      <c r="W404" s="97">
        <f>IF(AND((K404+J404)=0,(T404+Q404)=0),$I$1*H404*Variables!$Q$23*0.25,0)</f>
        <v>20.13444265</v>
      </c>
      <c r="X404" s="95">
        <f>IF(AND(NOT(K404=0),(H404-H403)&gt;0),(H404-H403)*(Variables!$M$5*$H$1+Variables!$U$5*$I$1),0)+IF(AND(NOT((J404+N404+Q404)=0),(H403-H404)&gt;0),(H403-H404)*(Variables!$M$4*$H$1+Variables!$U$4*$I$1),0)</f>
        <v>0</v>
      </c>
      <c r="Y404" s="95">
        <f>IF(SUM(T404,U403:U404)&gt;0,H404*Variables!$Y$11*0.25*(1-$J$1),0)</f>
        <v>0</v>
      </c>
      <c r="Z404" s="95">
        <f>IF(T404=0,H404*$J$1*Variables!$Y$5*0.25,0)</f>
        <v>6.4883000000000006</v>
      </c>
      <c r="AA404" s="95">
        <f t="shared" si="13"/>
        <v>45.858206380000006</v>
      </c>
      <c r="AB404" s="91">
        <f>AA404/Variables!$E$49</f>
        <v>7.3964849000000008</v>
      </c>
    </row>
    <row r="405" spans="1:28" x14ac:dyDescent="0.25">
      <c r="A405" s="61">
        <f>'Water runs'!C412</f>
        <v>38960</v>
      </c>
      <c r="B405" s="61" t="str">
        <f>'Water runs'!B412</f>
        <v>Winter</v>
      </c>
      <c r="C405" s="54">
        <f>'Water runs'!D412/100</f>
        <v>0.74531428571428604</v>
      </c>
      <c r="D405" s="108">
        <f>VLOOKUP(ROW(D405)+4,'Water runs'!$BS$3:$CF$423,MATCH($B$1,Scenarios,0)+1)</f>
        <v>0</v>
      </c>
      <c r="E405" s="54">
        <f>IF(B405=Variables!$D$8,C405-Variables!$E$8,IF(B405=Variables!$D$9,C405-Variables!$E$9,IF(B405=Variables!$D$10,C405-Variables!$E$10,IF(B405=Variables!$D$11,C405-Variables!$E$11,"ELSE"))))</f>
        <v>0.17354666005291031</v>
      </c>
      <c r="F405" s="108">
        <f>VLOOKUP(ROW(F405)+4,'Water runs'!$CH$3:$CU$423,MATCH($B$1,Scenarios,0)+1)</f>
        <v>0</v>
      </c>
      <c r="G405" s="65">
        <f>H405/Variables!$E$49</f>
        <v>0.161</v>
      </c>
      <c r="H405" s="62">
        <f>IF((H404+I405)&gt;(1.1*Variables!$E$50),(1.1*Variables!$E$50),IF((H404+I405)&gt;0,H404+I405,0))</f>
        <v>0.99820000000000009</v>
      </c>
      <c r="I405" s="64">
        <f t="shared" si="12"/>
        <v>0</v>
      </c>
      <c r="J405" s="63">
        <f>IF(SUM(E401:E404)&lt;Variables!$B$3,-H404,0)</f>
        <v>0</v>
      </c>
      <c r="K405" s="64">
        <f>IF(AND(H404&lt;Variables!$B$6*Variables!$E$50,OR(SUM(D402:D405)&gt;Variables!$B$5,SUM(E402:E405)&gt;Variables!$B$4)),Variables!$B$6*Variables!$E$50+Variables!$B$7*$G$1*Variables!$E$50*SUM(D402:D405),0)</f>
        <v>0</v>
      </c>
      <c r="L405" s="64">
        <f>IF(B405="Winter",Variables!$B$8*H404,0)</f>
        <v>-0.49704894489176149</v>
      </c>
      <c r="M405" s="64">
        <f>IF(AND(B405="Spring",AND(NOT(H404=0),H404&lt;(Variables!$B$9*Variables!$E$50))),(Variables!$B$10*Variables!$E$50+Variables!$B$11*Variables!$E$50*SUM(E402:E405)+$G$1*SUM(D404:D405)*Variables!$E$50*Variables!$B$12),0)</f>
        <v>0</v>
      </c>
      <c r="N405" s="64">
        <f>IF(AND(B405="Spring",AND(SUM(D402:D405)&gt;Variables!$B$13,SUM(D398:D401)&gt;Variables!$B$13)),-Variables!$B$14*Variables!$E$50,0)</f>
        <v>0</v>
      </c>
      <c r="O405" s="64">
        <f>IF(AND(B405="Summer",SUM(C401:D405)&gt;Variables!$B$15),(Variables!$B$16*Variables!$E$50*SUM(C401:C405)+$G$1*Variables!$B$16*Variables!$E$50*SUM(D401:D405)+$G$1*Variables!$E$50*Variables!$B$17*F405),0)</f>
        <v>0</v>
      </c>
      <c r="P405" s="64">
        <f>IF(AND(AND(B405="Autumn",SUM(D404:E405)&gt;0),NOT(H404=0)),Variables!$B$18*Variables!$E$50+Variables!$B$19*Variables!$E$50*SUM(E404:E405)+$G$1*Variables!$B$19*Variables!$E$50*SUM(D404:D405),0)</f>
        <v>0</v>
      </c>
      <c r="Q405" s="64">
        <f>IF(AND(B405="Autumn",AND((E405+E404)&lt;Variables!$B$20,(D404+D405)=0)),-Variables!$B$21*Variables!$E$50,0)</f>
        <v>0</v>
      </c>
      <c r="R405" s="64">
        <f>IF(B405="Autumn",(SUM(F404:F405)*$G$1*Variables!$B$22*Variables!$E$50),0)</f>
        <v>0</v>
      </c>
      <c r="S405" s="64">
        <f>IF(B405="Spring",($G$1*Variables!$E$50*SUM('Guts (option 1)'!F404:F405)*Variables!$B$23),0)</f>
        <v>0</v>
      </c>
      <c r="T405" s="63">
        <f>IF((H404+SUM(J405:Q405))&lt;(Variables!$B$26*Variables!$E$50),$F$1*((Variables!$B$26*Variables!$E$50)-H404-SUM(J405:Q405)),0)</f>
        <v>0.49704894489176149</v>
      </c>
      <c r="U405" s="64">
        <f>IF(AND(AND(B405="Autumn",SUM(D402:E405)&gt;Variables!$B$27),SUM(J405:Q405)&lt;Variables!$B$28*H404),$F$1*(Variables!$B$28*H404-SUM(J405:Q405)),0)</f>
        <v>0</v>
      </c>
      <c r="V405" s="96">
        <f>IF(AND((J405+K405)=0,(Q405+T405)=0),$H$1*H405*Variables!$I$23*0.25,0)</f>
        <v>0</v>
      </c>
      <c r="W405" s="97">
        <f>IF(AND((K405+J405)=0,(T405+Q405)=0),$I$1*H405*Variables!$Q$23*0.25,0)</f>
        <v>0</v>
      </c>
      <c r="X405" s="95">
        <f>IF(AND(NOT(K405=0),(H405-H404)&gt;0),(H405-H404)*(Variables!$M$5*$H$1+Variables!$U$5*$I$1),0)+IF(AND(NOT((J405+N405+Q405)=0),(H404-H405)&gt;0),(H404-H405)*(Variables!$M$4*$H$1+Variables!$U$4*$I$1),0)</f>
        <v>0</v>
      </c>
      <c r="Y405" s="95">
        <f>IF(SUM(T405,U404:U405)&gt;0,H405*Variables!$Y$11*0.25*(1-$J$1),0)</f>
        <v>0</v>
      </c>
      <c r="Z405" s="95">
        <f>IF(T405=0,H405*$J$1*Variables!$Y$5*0.25,0)</f>
        <v>0</v>
      </c>
      <c r="AA405" s="95">
        <f t="shared" si="13"/>
        <v>0</v>
      </c>
      <c r="AB405" s="91">
        <f>AA405/Variables!$E$49</f>
        <v>0</v>
      </c>
    </row>
    <row r="406" spans="1:28" x14ac:dyDescent="0.25">
      <c r="A406" s="61">
        <f>'Water runs'!C413</f>
        <v>39051</v>
      </c>
      <c r="B406" s="61" t="str">
        <f>'Water runs'!B413</f>
        <v>Spring</v>
      </c>
      <c r="C406" s="54">
        <f>'Water runs'!D413/100</f>
        <v>0.30138571428571398</v>
      </c>
      <c r="D406" s="108">
        <f>VLOOKUP(ROW(D406)+4,'Water runs'!$BS$3:$CF$423,MATCH($B$1,Scenarios,0)+1)</f>
        <v>0</v>
      </c>
      <c r="E406" s="54">
        <f>IF(B406=Variables!$D$8,C406-Variables!$E$8,IF(B406=Variables!$D$9,C406-Variables!$E$9,IF(B406=Variables!$D$10,C406-Variables!$E$10,IF(B406=Variables!$D$11,C406-Variables!$E$11,"ELSE"))))</f>
        <v>-0.46259649470899517</v>
      </c>
      <c r="F406" s="108">
        <f>VLOOKUP(ROW(F406)+4,'Water runs'!$CH$3:$CU$423,MATCH($B$1,Scenarios,0)+1)</f>
        <v>0</v>
      </c>
      <c r="G406" s="65">
        <f>H406/Variables!$E$49</f>
        <v>0.161</v>
      </c>
      <c r="H406" s="62">
        <f>IF((H405+I406)&gt;(1.1*Variables!$E$50),(1.1*Variables!$E$50),IF((H405+I406)&gt;0,H405+I406,0))</f>
        <v>0.99820000000000009</v>
      </c>
      <c r="I406" s="64">
        <f t="shared" si="12"/>
        <v>0</v>
      </c>
      <c r="J406" s="63">
        <f>IF(SUM(E402:E405)&lt;Variables!$B$3,-H405,0)</f>
        <v>0</v>
      </c>
      <c r="K406" s="64">
        <f>IF(AND(H405&lt;Variables!$B$6*Variables!$E$50,OR(SUM(D403:D406)&gt;Variables!$B$5,SUM(E403:E406)&gt;Variables!$B$4)),Variables!$B$6*Variables!$E$50+Variables!$B$7*$G$1*Variables!$E$50*SUM(D403:D406),0)</f>
        <v>0</v>
      </c>
      <c r="L406" s="64">
        <f>IF(B406="Winter",Variables!$B$8*H405,0)</f>
        <v>0</v>
      </c>
      <c r="M406" s="64">
        <f>IF(AND(B406="Spring",AND(NOT(H405=0),H405&lt;(Variables!$B$9*Variables!$E$50))),(Variables!$B$10*Variables!$E$50+Variables!$B$11*Variables!$E$50*SUM(E403:E406)+$G$1*SUM(D405:D406)*Variables!$E$50*Variables!$B$12),0)</f>
        <v>-0.87734783693999652</v>
      </c>
      <c r="N406" s="64">
        <f>IF(AND(B406="Spring",AND(SUM(D403:D406)&gt;Variables!$B$13,SUM(D399:D402)&gt;Variables!$B$13)),-Variables!$B$14*Variables!$E$50,0)</f>
        <v>0</v>
      </c>
      <c r="O406" s="64">
        <f>IF(AND(B406="Summer",SUM(C402:D406)&gt;Variables!$B$15),(Variables!$B$16*Variables!$E$50*SUM(C402:C406)+$G$1*Variables!$B$16*Variables!$E$50*SUM(D402:D406)+$G$1*Variables!$E$50*Variables!$B$17*F406),0)</f>
        <v>0</v>
      </c>
      <c r="P406" s="64">
        <f>IF(AND(AND(B406="Autumn",SUM(D405:E406)&gt;0),NOT(H405=0)),Variables!$B$18*Variables!$E$50+Variables!$B$19*Variables!$E$50*SUM(E405:E406)+$G$1*Variables!$B$19*Variables!$E$50*SUM(D405:D406),0)</f>
        <v>0</v>
      </c>
      <c r="Q406" s="64">
        <f>IF(AND(B406="Autumn",AND((E406+E405)&lt;Variables!$B$20,(D405+D406)=0)),-Variables!$B$21*Variables!$E$50,0)</f>
        <v>0</v>
      </c>
      <c r="R406" s="64">
        <f>IF(B406="Autumn",(SUM(F405:F406)*$G$1*Variables!$B$22*Variables!$E$50),0)</f>
        <v>0</v>
      </c>
      <c r="S406" s="64">
        <f>IF(B406="Spring",($G$1*Variables!$E$50*SUM('Guts (option 1)'!F405:F406)*Variables!$B$23),0)</f>
        <v>0</v>
      </c>
      <c r="T406" s="63">
        <f>IF((H405+SUM(J406:Q406))&lt;(Variables!$B$26*Variables!$E$50),$F$1*((Variables!$B$26*Variables!$E$50)-H405-SUM(J406:Q406)),0)</f>
        <v>0.87734783693999652</v>
      </c>
      <c r="U406" s="64">
        <f>IF(AND(AND(B406="Autumn",SUM(D403:E406)&gt;Variables!$B$27),SUM(J406:Q406)&lt;Variables!$B$28*H405),$F$1*(Variables!$B$28*H405-SUM(J406:Q406)),0)</f>
        <v>0</v>
      </c>
      <c r="V406" s="96">
        <f>IF(AND((J406+K406)=0,(Q406+T406)=0),$H$1*H406*Variables!$I$23*0.25,0)</f>
        <v>0</v>
      </c>
      <c r="W406" s="97">
        <f>IF(AND((K406+J406)=0,(T406+Q406)=0),$I$1*H406*Variables!$Q$23*0.25,0)</f>
        <v>0</v>
      </c>
      <c r="X406" s="95">
        <f>IF(AND(NOT(K406=0),(H406-H405)&gt;0),(H406-H405)*(Variables!$M$5*$H$1+Variables!$U$5*$I$1),0)+IF(AND(NOT((J406+N406+Q406)=0),(H405-H406)&gt;0),(H405-H406)*(Variables!$M$4*$H$1+Variables!$U$4*$I$1),0)</f>
        <v>0</v>
      </c>
      <c r="Y406" s="95">
        <f>IF(SUM(T406,U405:U406)&gt;0,H406*Variables!$Y$11*0.25*(1-$J$1),0)</f>
        <v>0</v>
      </c>
      <c r="Z406" s="95">
        <f>IF(T406=0,H406*$J$1*Variables!$Y$5*0.25,0)</f>
        <v>0</v>
      </c>
      <c r="AA406" s="95">
        <f t="shared" si="13"/>
        <v>0</v>
      </c>
      <c r="AB406" s="91">
        <f>AA406/Variables!$E$49</f>
        <v>0</v>
      </c>
    </row>
    <row r="407" spans="1:28" x14ac:dyDescent="0.25">
      <c r="A407" s="61">
        <f>'Water runs'!C414</f>
        <v>39141</v>
      </c>
      <c r="B407" s="61" t="str">
        <f>'Water runs'!B414</f>
        <v>Summer</v>
      </c>
      <c r="C407" s="54">
        <f>'Water runs'!D414/100</f>
        <v>0.7374285714285711</v>
      </c>
      <c r="D407" s="108">
        <f>VLOOKUP(ROW(D407)+4,'Water runs'!$BS$3:$CF$423,MATCH($B$1,Scenarios,0)+1)</f>
        <v>0</v>
      </c>
      <c r="E407" s="54">
        <f>IF(B407=Variables!$D$8,C407-Variables!$E$8,IF(B407=Variables!$D$9,C407-Variables!$E$9,IF(B407=Variables!$D$10,C407-Variables!$E$10,IF(B407=Variables!$D$11,C407-Variables!$E$11,"ELSE"))))</f>
        <v>-0.52094156462585062</v>
      </c>
      <c r="F407" s="108">
        <f>VLOOKUP(ROW(F407)+4,'Water runs'!$CH$3:$CU$423,MATCH($B$1,Scenarios,0)+1)</f>
        <v>0</v>
      </c>
      <c r="G407" s="65">
        <f>H407/Variables!$E$49</f>
        <v>0.161</v>
      </c>
      <c r="H407" s="62">
        <f>IF((H406+I407)&gt;(1.1*Variables!$E$50),(1.1*Variables!$E$50),IF((H406+I407)&gt;0,H406+I407,0))</f>
        <v>0.99820000000000009</v>
      </c>
      <c r="I407" s="64">
        <f t="shared" si="12"/>
        <v>0</v>
      </c>
      <c r="J407" s="63">
        <f>IF(SUM(E403:E406)&lt;Variables!$B$3,-H406,0)</f>
        <v>0</v>
      </c>
      <c r="K407" s="64">
        <f>IF(AND(H406&lt;Variables!$B$6*Variables!$E$50,OR(SUM(D404:D407)&gt;Variables!$B$5,SUM(E404:E407)&gt;Variables!$B$4)),Variables!$B$6*Variables!$E$50+Variables!$B$7*$G$1*Variables!$E$50*SUM(D404:D407),0)</f>
        <v>0</v>
      </c>
      <c r="L407" s="64">
        <f>IF(B407="Winter",Variables!$B$8*H406,0)</f>
        <v>0</v>
      </c>
      <c r="M407" s="64">
        <f>IF(AND(B407="Spring",AND(NOT(H406=0),H406&lt;(Variables!$B$9*Variables!$E$50))),(Variables!$B$10*Variables!$E$50+Variables!$B$11*Variables!$E$50*SUM(E404:E407)+$G$1*SUM(D406:D407)*Variables!$E$50*Variables!$B$12),0)</f>
        <v>0</v>
      </c>
      <c r="N407" s="64">
        <f>IF(AND(B407="Spring",AND(SUM(D404:D407)&gt;Variables!$B$13,SUM(D400:D403)&gt;Variables!$B$13)),-Variables!$B$14*Variables!$E$50,0)</f>
        <v>0</v>
      </c>
      <c r="O407" s="64">
        <f>IF(AND(B407="Summer",SUM(C403:D407)&gt;Variables!$B$15),(Variables!$B$16*Variables!$E$50*SUM(C403:C407)+$G$1*Variables!$B$16*Variables!$E$50*SUM(D403:D407)+$G$1*Variables!$E$50*Variables!$B$17*F407),0)</f>
        <v>0</v>
      </c>
      <c r="P407" s="64">
        <f>IF(AND(AND(B407="Autumn",SUM(D406:E407)&gt;0),NOT(H406=0)),Variables!$B$18*Variables!$E$50+Variables!$B$19*Variables!$E$50*SUM(E406:E407)+$G$1*Variables!$B$19*Variables!$E$50*SUM(D406:D407),0)</f>
        <v>0</v>
      </c>
      <c r="Q407" s="64">
        <f>IF(AND(B407="Autumn",AND((E407+E406)&lt;Variables!$B$20,(D406+D407)=0)),-Variables!$B$21*Variables!$E$50,0)</f>
        <v>0</v>
      </c>
      <c r="R407" s="64">
        <f>IF(B407="Autumn",(SUM(F406:F407)*$G$1*Variables!$B$22*Variables!$E$50),0)</f>
        <v>0</v>
      </c>
      <c r="S407" s="64">
        <f>IF(B407="Spring",($G$1*Variables!$E$50*SUM('Guts (option 1)'!F406:F407)*Variables!$B$23),0)</f>
        <v>0</v>
      </c>
      <c r="T407" s="63">
        <f>IF((H406+SUM(J407:Q407))&lt;(Variables!$B$26*Variables!$E$50),$F$1*((Variables!$B$26*Variables!$E$50)-H406-SUM(J407:Q407)),0)</f>
        <v>0</v>
      </c>
      <c r="U407" s="64">
        <f>IF(AND(AND(B407="Autumn",SUM(D404:E407)&gt;Variables!$B$27),SUM(J407:Q407)&lt;Variables!$B$28*H406),$F$1*(Variables!$B$28*H406-SUM(J407:Q407)),0)</f>
        <v>0</v>
      </c>
      <c r="V407" s="96">
        <f>IF(AND((J407+K407)=0,(Q407+T407)=0),$H$1*H407*Variables!$I$23*0.25,0)</f>
        <v>19.235463730000003</v>
      </c>
      <c r="W407" s="97">
        <f>IF(AND((K407+J407)=0,(T407+Q407)=0),$I$1*H407*Variables!$Q$23*0.25,0)</f>
        <v>20.13444265</v>
      </c>
      <c r="X407" s="95">
        <f>IF(AND(NOT(K407=0),(H407-H406)&gt;0),(H407-H406)*(Variables!$M$5*$H$1+Variables!$U$5*$I$1),0)+IF(AND(NOT((J407+N407+Q407)=0),(H406-H407)&gt;0),(H406-H407)*(Variables!$M$4*$H$1+Variables!$U$4*$I$1),0)</f>
        <v>0</v>
      </c>
      <c r="Y407" s="95">
        <f>IF(SUM(T407,U406:U407)&gt;0,H407*Variables!$Y$11*0.25*(1-$J$1),0)</f>
        <v>0</v>
      </c>
      <c r="Z407" s="95">
        <f>IF(T407=0,H407*$J$1*Variables!$Y$5*0.25,0)</f>
        <v>6.4883000000000006</v>
      </c>
      <c r="AA407" s="95">
        <f t="shared" si="13"/>
        <v>45.858206380000006</v>
      </c>
      <c r="AB407" s="91">
        <f>AA407/Variables!$E$49</f>
        <v>7.3964849000000008</v>
      </c>
    </row>
    <row r="408" spans="1:28" x14ac:dyDescent="0.25">
      <c r="A408" s="61">
        <f>'Water runs'!C415</f>
        <v>39233</v>
      </c>
      <c r="B408" s="61" t="str">
        <f>'Water runs'!B415</f>
        <v>Autumn</v>
      </c>
      <c r="C408" s="54">
        <f>'Water runs'!D415/100</f>
        <v>1.1905714285714302</v>
      </c>
      <c r="D408" s="108">
        <f>VLOOKUP(ROW(D408)+4,'Water runs'!$BS$3:$CF$423,MATCH($B$1,Scenarios,0)+1)</f>
        <v>0</v>
      </c>
      <c r="E408" s="54">
        <f>IF(B408=Variables!$D$8,C408-Variables!$E$8,IF(B408=Variables!$D$9,C408-Variables!$E$9,IF(B408=Variables!$D$10,C408-Variables!$E$10,IF(B408=Variables!$D$11,C408-Variables!$E$11,"ELSE"))))</f>
        <v>0.19592812925170233</v>
      </c>
      <c r="F408" s="108">
        <f>VLOOKUP(ROW(F408)+4,'Water runs'!$CH$3:$CU$423,MATCH($B$1,Scenarios,0)+1)</f>
        <v>0</v>
      </c>
      <c r="G408" s="65">
        <f>H408/Variables!$E$49</f>
        <v>0.161</v>
      </c>
      <c r="H408" s="62">
        <f>IF((H407+I408)&gt;(1.1*Variables!$E$50),(1.1*Variables!$E$50),IF((H407+I408)&gt;0,H407+I408,0))</f>
        <v>0.99820000000000009</v>
      </c>
      <c r="I408" s="64">
        <f t="shared" si="12"/>
        <v>0</v>
      </c>
      <c r="J408" s="63">
        <f>IF(SUM(E404:E407)&lt;Variables!$B$3,-H407,0)</f>
        <v>0</v>
      </c>
      <c r="K408" s="64">
        <f>IF(AND(H407&lt;Variables!$B$6*Variables!$E$50,OR(SUM(D405:D408)&gt;Variables!$B$5,SUM(E405:E408)&gt;Variables!$B$4)),Variables!$B$6*Variables!$E$50+Variables!$B$7*$G$1*Variables!$E$50*SUM(D405:D408),0)</f>
        <v>0</v>
      </c>
      <c r="L408" s="64">
        <f>IF(B408="Winter",Variables!$B$8*H407,0)</f>
        <v>0</v>
      </c>
      <c r="M408" s="64">
        <f>IF(AND(B408="Spring",AND(NOT(H407=0),H407&lt;(Variables!$B$9*Variables!$E$50))),(Variables!$B$10*Variables!$E$50+Variables!$B$11*Variables!$E$50*SUM(E405:E408)+$G$1*SUM(D407:D408)*Variables!$E$50*Variables!$B$12),0)</f>
        <v>0</v>
      </c>
      <c r="N408" s="64">
        <f>IF(AND(B408="Spring",AND(SUM(D405:D408)&gt;Variables!$B$13,SUM(D401:D404)&gt;Variables!$B$13)),-Variables!$B$14*Variables!$E$50,0)</f>
        <v>0</v>
      </c>
      <c r="O408" s="64">
        <f>IF(AND(B408="Summer",SUM(C404:D408)&gt;Variables!$B$15),(Variables!$B$16*Variables!$E$50*SUM(C404:C408)+$G$1*Variables!$B$16*Variables!$E$50*SUM(D404:D408)+$G$1*Variables!$E$50*Variables!$B$17*F408),0)</f>
        <v>0</v>
      </c>
      <c r="P408" s="64">
        <f>IF(AND(AND(B408="Autumn",SUM(D407:E408)&gt;0),NOT(H407=0)),Variables!$B$18*Variables!$E$50+Variables!$B$19*Variables!$E$50*SUM(E407:E408)+$G$1*Variables!$B$19*Variables!$E$50*SUM(D407:D408),0)</f>
        <v>0</v>
      </c>
      <c r="Q408" s="64">
        <f>IF(AND(B408="Autumn",AND((E408+E407)&lt;Variables!$B$20,(D407+D408)=0)),-Variables!$B$21*Variables!$E$50,0)</f>
        <v>0</v>
      </c>
      <c r="R408" s="64">
        <f>IF(B408="Autumn",(SUM(F407:F408)*$G$1*Variables!$B$22*Variables!$E$50),0)</f>
        <v>0</v>
      </c>
      <c r="S408" s="64">
        <f>IF(B408="Spring",($G$1*Variables!$E$50*SUM('Guts (option 1)'!F407:F408)*Variables!$B$23),0)</f>
        <v>0</v>
      </c>
      <c r="T408" s="63">
        <f>IF((H407+SUM(J408:Q408))&lt;(Variables!$B$26*Variables!$E$50),$F$1*((Variables!$B$26*Variables!$E$50)-H407-SUM(J408:Q408)),0)</f>
        <v>0</v>
      </c>
      <c r="U408" s="64">
        <f>IF(AND(AND(B408="Autumn",SUM(D405:E408)&gt;Variables!$B$27),SUM(J408:Q408)&lt;Variables!$B$28*H407),$F$1*(Variables!$B$28*H407-SUM(J408:Q408)),0)</f>
        <v>0</v>
      </c>
      <c r="V408" s="96">
        <f>IF(AND((J408+K408)=0,(Q408+T408)=0),$H$1*H408*Variables!$I$23*0.25,0)</f>
        <v>19.235463730000003</v>
      </c>
      <c r="W408" s="97">
        <f>IF(AND((K408+J408)=0,(T408+Q408)=0),$I$1*H408*Variables!$Q$23*0.25,0)</f>
        <v>20.13444265</v>
      </c>
      <c r="X408" s="95">
        <f>IF(AND(NOT(K408=0),(H408-H407)&gt;0),(H408-H407)*(Variables!$M$5*$H$1+Variables!$U$5*$I$1),0)+IF(AND(NOT((J408+N408+Q408)=0),(H407-H408)&gt;0),(H407-H408)*(Variables!$M$4*$H$1+Variables!$U$4*$I$1),0)</f>
        <v>0</v>
      </c>
      <c r="Y408" s="95">
        <f>IF(SUM(T408,U407:U408)&gt;0,H408*Variables!$Y$11*0.25*(1-$J$1),0)</f>
        <v>0</v>
      </c>
      <c r="Z408" s="95">
        <f>IF(T408=0,H408*$J$1*Variables!$Y$5*0.25,0)</f>
        <v>6.4883000000000006</v>
      </c>
      <c r="AA408" s="95">
        <f t="shared" si="13"/>
        <v>45.858206380000006</v>
      </c>
      <c r="AB408" s="91">
        <f>AA408/Variables!$E$49</f>
        <v>7.3964849000000008</v>
      </c>
    </row>
    <row r="409" spans="1:28" x14ac:dyDescent="0.25">
      <c r="A409" s="61">
        <f>'Water runs'!C416</f>
        <v>39325</v>
      </c>
      <c r="B409" s="61" t="str">
        <f>'Water runs'!B416</f>
        <v>Winter</v>
      </c>
      <c r="C409" s="54">
        <f>'Water runs'!D416/100</f>
        <v>0.14285714285714302</v>
      </c>
      <c r="D409" s="108">
        <f>VLOOKUP(ROW(D409)+4,'Water runs'!$BS$3:$CF$423,MATCH($B$1,Scenarios,0)+1)</f>
        <v>0</v>
      </c>
      <c r="E409" s="54">
        <f>IF(B409=Variables!$D$8,C409-Variables!$E$8,IF(B409=Variables!$D$9,C409-Variables!$E$9,IF(B409=Variables!$D$10,C409-Variables!$E$10,IF(B409=Variables!$D$11,C409-Variables!$E$11,"ELSE"))))</f>
        <v>-0.42891048280423272</v>
      </c>
      <c r="F409" s="108">
        <f>VLOOKUP(ROW(F409)+4,'Water runs'!$CH$3:$CU$423,MATCH($B$1,Scenarios,0)+1)</f>
        <v>0</v>
      </c>
      <c r="G409" s="65">
        <f>H409/Variables!$E$49</f>
        <v>0.161</v>
      </c>
      <c r="H409" s="62">
        <f>IF((H408+I409)&gt;(1.1*Variables!$E$50),(1.1*Variables!$E$50),IF((H408+I409)&gt;0,H408+I409,0))</f>
        <v>0.99820000000000009</v>
      </c>
      <c r="I409" s="64">
        <f t="shared" si="12"/>
        <v>0</v>
      </c>
      <c r="J409" s="63">
        <f>IF(SUM(E405:E408)&lt;Variables!$B$3,-H408,0)</f>
        <v>0</v>
      </c>
      <c r="K409" s="64">
        <f>IF(AND(H408&lt;Variables!$B$6*Variables!$E$50,OR(SUM(D406:D409)&gt;Variables!$B$5,SUM(E406:E409)&gt;Variables!$B$4)),Variables!$B$6*Variables!$E$50+Variables!$B$7*$G$1*Variables!$E$50*SUM(D406:D409),0)</f>
        <v>0</v>
      </c>
      <c r="L409" s="64">
        <f>IF(B409="Winter",Variables!$B$8*H408,0)</f>
        <v>-0.49704894489176149</v>
      </c>
      <c r="M409" s="64">
        <f>IF(AND(B409="Spring",AND(NOT(H408=0),H408&lt;(Variables!$B$9*Variables!$E$50))),(Variables!$B$10*Variables!$E$50+Variables!$B$11*Variables!$E$50*SUM(E406:E409)+$G$1*SUM(D408:D409)*Variables!$E$50*Variables!$B$12),0)</f>
        <v>0</v>
      </c>
      <c r="N409" s="64">
        <f>IF(AND(B409="Spring",AND(SUM(D406:D409)&gt;Variables!$B$13,SUM(D402:D405)&gt;Variables!$B$13)),-Variables!$B$14*Variables!$E$50,0)</f>
        <v>0</v>
      </c>
      <c r="O409" s="64">
        <f>IF(AND(B409="Summer",SUM(C405:D409)&gt;Variables!$B$15),(Variables!$B$16*Variables!$E$50*SUM(C405:C409)+$G$1*Variables!$B$16*Variables!$E$50*SUM(D405:D409)+$G$1*Variables!$E$50*Variables!$B$17*F409),0)</f>
        <v>0</v>
      </c>
      <c r="P409" s="64">
        <f>IF(AND(AND(B409="Autumn",SUM(D408:E409)&gt;0),NOT(H408=0)),Variables!$B$18*Variables!$E$50+Variables!$B$19*Variables!$E$50*SUM(E408:E409)+$G$1*Variables!$B$19*Variables!$E$50*SUM(D408:D409),0)</f>
        <v>0</v>
      </c>
      <c r="Q409" s="64">
        <f>IF(AND(B409="Autumn",AND((E409+E408)&lt;Variables!$B$20,(D408+D409)=0)),-Variables!$B$21*Variables!$E$50,0)</f>
        <v>0</v>
      </c>
      <c r="R409" s="64">
        <f>IF(B409="Autumn",(SUM(F408:F409)*$G$1*Variables!$B$22*Variables!$E$50),0)</f>
        <v>0</v>
      </c>
      <c r="S409" s="64">
        <f>IF(B409="Spring",($G$1*Variables!$E$50*SUM('Guts (option 1)'!F408:F409)*Variables!$B$23),0)</f>
        <v>0</v>
      </c>
      <c r="T409" s="63">
        <f>IF((H408+SUM(J409:Q409))&lt;(Variables!$B$26*Variables!$E$50),$F$1*((Variables!$B$26*Variables!$E$50)-H408-SUM(J409:Q409)),0)</f>
        <v>0.49704894489176149</v>
      </c>
      <c r="U409" s="64">
        <f>IF(AND(AND(B409="Autumn",SUM(D406:E409)&gt;Variables!$B$27),SUM(J409:Q409)&lt;Variables!$B$28*H408),$F$1*(Variables!$B$28*H408-SUM(J409:Q409)),0)</f>
        <v>0</v>
      </c>
      <c r="V409" s="96">
        <f>IF(AND((J409+K409)=0,(Q409+T409)=0),$H$1*H409*Variables!$I$23*0.25,0)</f>
        <v>0</v>
      </c>
      <c r="W409" s="97">
        <f>IF(AND((K409+J409)=0,(T409+Q409)=0),$I$1*H409*Variables!$Q$23*0.25,0)</f>
        <v>0</v>
      </c>
      <c r="X409" s="95">
        <f>IF(AND(NOT(K409=0),(H409-H408)&gt;0),(H409-H408)*(Variables!$M$5*$H$1+Variables!$U$5*$I$1),0)+IF(AND(NOT((J409+N409+Q409)=0),(H408-H409)&gt;0),(H408-H409)*(Variables!$M$4*$H$1+Variables!$U$4*$I$1),0)</f>
        <v>0</v>
      </c>
      <c r="Y409" s="95">
        <f>IF(SUM(T409,U408:U409)&gt;0,H409*Variables!$Y$11*0.25*(1-$J$1),0)</f>
        <v>0</v>
      </c>
      <c r="Z409" s="95">
        <f>IF(T409=0,H409*$J$1*Variables!$Y$5*0.25,0)</f>
        <v>0</v>
      </c>
      <c r="AA409" s="95">
        <f t="shared" si="13"/>
        <v>0</v>
      </c>
      <c r="AB409" s="91">
        <f>AA409/Variables!$E$49</f>
        <v>0</v>
      </c>
    </row>
    <row r="410" spans="1:28" x14ac:dyDescent="0.25">
      <c r="A410" s="61">
        <f>'Water runs'!C417</f>
        <v>39416</v>
      </c>
      <c r="B410" s="61" t="str">
        <f>'Water runs'!B417</f>
        <v>Spring</v>
      </c>
      <c r="C410" s="54">
        <f>'Water runs'!D417/100</f>
        <v>0.82057142857142795</v>
      </c>
      <c r="D410" s="108">
        <f>VLOOKUP(ROW(D410)+4,'Water runs'!$BS$3:$CF$423,MATCH($B$1,Scenarios,0)+1)</f>
        <v>0</v>
      </c>
      <c r="E410" s="54">
        <f>IF(B410=Variables!$D$8,C410-Variables!$E$8,IF(B410=Variables!$D$9,C410-Variables!$E$9,IF(B410=Variables!$D$10,C410-Variables!$E$10,IF(B410=Variables!$D$11,C410-Variables!$E$11,"ELSE"))))</f>
        <v>5.6589219576718808E-2</v>
      </c>
      <c r="F410" s="108">
        <f>VLOOKUP(ROW(F410)+4,'Water runs'!$CH$3:$CU$423,MATCH($B$1,Scenarios,0)+1)</f>
        <v>0</v>
      </c>
      <c r="G410" s="65">
        <f>H410/Variables!$E$49</f>
        <v>0.161</v>
      </c>
      <c r="H410" s="62">
        <f>IF((H409+I410)&gt;(1.1*Variables!$E$50),(1.1*Variables!$E$50),IF((H409+I410)&gt;0,H409+I410,0))</f>
        <v>0.99820000000000009</v>
      </c>
      <c r="I410" s="64">
        <f t="shared" si="12"/>
        <v>0</v>
      </c>
      <c r="J410" s="63">
        <f>IF(SUM(E406:E409)&lt;Variables!$B$3,-H409,0)</f>
        <v>0</v>
      </c>
      <c r="K410" s="64">
        <f>IF(AND(H409&lt;Variables!$B$6*Variables!$E$50,OR(SUM(D407:D410)&gt;Variables!$B$5,SUM(E407:E410)&gt;Variables!$B$4)),Variables!$B$6*Variables!$E$50+Variables!$B$7*$G$1*Variables!$E$50*SUM(D407:D410),0)</f>
        <v>0</v>
      </c>
      <c r="L410" s="64">
        <f>IF(B410="Winter",Variables!$B$8*H409,0)</f>
        <v>0</v>
      </c>
      <c r="M410" s="64">
        <f>IF(AND(B410="Spring",AND(NOT(H409=0),H409&lt;(Variables!$B$9*Variables!$E$50))),(Variables!$B$10*Variables!$E$50+Variables!$B$11*Variables!$E$50*SUM(E407:E410)+$G$1*SUM(D409:D410)*Variables!$E$50*Variables!$B$12),0)</f>
        <v>-0.47492794556407869</v>
      </c>
      <c r="N410" s="64">
        <f>IF(AND(B410="Spring",AND(SUM(D407:D410)&gt;Variables!$B$13,SUM(D403:D406)&gt;Variables!$B$13)),-Variables!$B$14*Variables!$E$50,0)</f>
        <v>0</v>
      </c>
      <c r="O410" s="64">
        <f>IF(AND(B410="Summer",SUM(C406:D410)&gt;Variables!$B$15),(Variables!$B$16*Variables!$E$50*SUM(C406:C410)+$G$1*Variables!$B$16*Variables!$E$50*SUM(D406:D410)+$G$1*Variables!$E$50*Variables!$B$17*F410),0)</f>
        <v>0</v>
      </c>
      <c r="P410" s="64">
        <f>IF(AND(AND(B410="Autumn",SUM(D409:E410)&gt;0),NOT(H409=0)),Variables!$B$18*Variables!$E$50+Variables!$B$19*Variables!$E$50*SUM(E409:E410)+$G$1*Variables!$B$19*Variables!$E$50*SUM(D409:D410),0)</f>
        <v>0</v>
      </c>
      <c r="Q410" s="64">
        <f>IF(AND(B410="Autumn",AND((E410+E409)&lt;Variables!$B$20,(D409+D410)=0)),-Variables!$B$21*Variables!$E$50,0)</f>
        <v>0</v>
      </c>
      <c r="R410" s="64">
        <f>IF(B410="Autumn",(SUM(F409:F410)*$G$1*Variables!$B$22*Variables!$E$50),0)</f>
        <v>0</v>
      </c>
      <c r="S410" s="64">
        <f>IF(B410="Spring",($G$1*Variables!$E$50*SUM('Guts (option 1)'!F409:F410)*Variables!$B$23),0)</f>
        <v>0</v>
      </c>
      <c r="T410" s="63">
        <f>IF((H409+SUM(J410:Q410))&lt;(Variables!$B$26*Variables!$E$50),$F$1*((Variables!$B$26*Variables!$E$50)-H409-SUM(J410:Q410)),0)</f>
        <v>0.47492794556407869</v>
      </c>
      <c r="U410" s="64">
        <f>IF(AND(AND(B410="Autumn",SUM(D407:E410)&gt;Variables!$B$27),SUM(J410:Q410)&lt;Variables!$B$28*H409),$F$1*(Variables!$B$28*H409-SUM(J410:Q410)),0)</f>
        <v>0</v>
      </c>
      <c r="V410" s="96">
        <f>IF(AND((J410+K410)=0,(Q410+T410)=0),$H$1*H410*Variables!$I$23*0.25,0)</f>
        <v>0</v>
      </c>
      <c r="W410" s="97">
        <f>IF(AND((K410+J410)=0,(T410+Q410)=0),$I$1*H410*Variables!$Q$23*0.25,0)</f>
        <v>0</v>
      </c>
      <c r="X410" s="95">
        <f>IF(AND(NOT(K410=0),(H410-H409)&gt;0),(H410-H409)*(Variables!$M$5*$H$1+Variables!$U$5*$I$1),0)+IF(AND(NOT((J410+N410+Q410)=0),(H409-H410)&gt;0),(H409-H410)*(Variables!$M$4*$H$1+Variables!$U$4*$I$1),0)</f>
        <v>0</v>
      </c>
      <c r="Y410" s="95">
        <f>IF(SUM(T410,U409:U410)&gt;0,H410*Variables!$Y$11*0.25*(1-$J$1),0)</f>
        <v>0</v>
      </c>
      <c r="Z410" s="95">
        <f>IF(T410=0,H410*$J$1*Variables!$Y$5*0.25,0)</f>
        <v>0</v>
      </c>
      <c r="AA410" s="95">
        <f t="shared" si="13"/>
        <v>0</v>
      </c>
      <c r="AB410" s="91">
        <f>AA410/Variables!$E$49</f>
        <v>0</v>
      </c>
    </row>
    <row r="411" spans="1:28" x14ac:dyDescent="0.25">
      <c r="A411" s="61">
        <f>'Water runs'!C418</f>
        <v>39506</v>
      </c>
      <c r="B411" s="61" t="str">
        <f>'Water runs'!B418</f>
        <v>Summer</v>
      </c>
      <c r="C411" s="54">
        <f>'Water runs'!D418/100</f>
        <v>3.8432285714285701</v>
      </c>
      <c r="D411" s="108">
        <f>VLOOKUP(ROW(D411)+4,'Water runs'!$BS$3:$CF$423,MATCH($B$1,Scenarios,0)+1)</f>
        <v>4.3716973214356407E-2</v>
      </c>
      <c r="E411" s="54">
        <f>IF(B411=Variables!$D$8,C411-Variables!$E$8,IF(B411=Variables!$D$9,C411-Variables!$E$9,IF(B411=Variables!$D$10,C411-Variables!$E$10,IF(B411=Variables!$D$11,C411-Variables!$E$11,"ELSE"))))</f>
        <v>2.5848584353741484</v>
      </c>
      <c r="F411" s="108">
        <f>VLOOKUP(ROW(F411)+4,'Water runs'!$CH$3:$CU$423,MATCH($B$1,Scenarios,0)+1)</f>
        <v>0</v>
      </c>
      <c r="G411" s="65">
        <f>H411/Variables!$E$49</f>
        <v>0.75622652264730872</v>
      </c>
      <c r="H411" s="62">
        <f>IF((H410+I411)&gt;(1.1*Variables!$E$50),(1.1*Variables!$E$50),IF((H410+I411)&gt;0,H410+I411,0))</f>
        <v>4.6886044404133145</v>
      </c>
      <c r="I411" s="64">
        <f t="shared" si="12"/>
        <v>3.6904044404133143</v>
      </c>
      <c r="J411" s="63">
        <f>IF(SUM(E407:E410)&lt;Variables!$B$3,-H410,0)</f>
        <v>0</v>
      </c>
      <c r="K411" s="64">
        <f>IF(AND(H410&lt;Variables!$B$6*Variables!$E$50,OR(SUM(D408:D411)&gt;Variables!$B$5,SUM(E408:E411)&gt;Variables!$B$4)),Variables!$B$6*Variables!$E$50+Variables!$B$7*$G$1*Variables!$E$50*SUM(D408:D411),0)</f>
        <v>1.1430965532322253</v>
      </c>
      <c r="L411" s="64">
        <f>IF(B411="Winter",Variables!$B$8*H410,0)</f>
        <v>0</v>
      </c>
      <c r="M411" s="64">
        <f>IF(AND(B411="Spring",AND(NOT(H410=0),H410&lt;(Variables!$B$9*Variables!$E$50))),(Variables!$B$10*Variables!$E$50+Variables!$B$11*Variables!$E$50*SUM(E408:E411)+$G$1*SUM(D410:D411)*Variables!$E$50*Variables!$B$12),0)</f>
        <v>0</v>
      </c>
      <c r="N411" s="64">
        <f>IF(AND(B411="Spring",AND(SUM(D408:D411)&gt;Variables!$B$13,SUM(D404:D407)&gt;Variables!$B$13)),-Variables!$B$14*Variables!$E$50,0)</f>
        <v>0</v>
      </c>
      <c r="O411" s="64">
        <f>IF(AND(B411="Summer",SUM(C407:D411)&gt;Variables!$B$15),(Variables!$B$16*Variables!$E$50*SUM(C407:C411)+$G$1*Variables!$B$16*Variables!$E$50*SUM(D407:D411)+$G$1*Variables!$E$50*Variables!$B$17*F411),0)</f>
        <v>2.547307887181089</v>
      </c>
      <c r="P411" s="64">
        <f>IF(AND(AND(B411="Autumn",SUM(D410:E411)&gt;0),NOT(H410=0)),Variables!$B$18*Variables!$E$50+Variables!$B$19*Variables!$E$50*SUM(E410:E411)+$G$1*Variables!$B$19*Variables!$E$50*SUM(D410:D411),0)</f>
        <v>0</v>
      </c>
      <c r="Q411" s="64">
        <f>IF(AND(B411="Autumn",AND((E411+E410)&lt;Variables!$B$20,(D410+D411)=0)),-Variables!$B$21*Variables!$E$50,0)</f>
        <v>0</v>
      </c>
      <c r="R411" s="64">
        <f>IF(B411="Autumn",(SUM(F410:F411)*$G$1*Variables!$B$22*Variables!$E$50),0)</f>
        <v>0</v>
      </c>
      <c r="S411" s="64">
        <f>IF(B411="Spring",($G$1*Variables!$E$50*SUM('Guts (option 1)'!F410:F411)*Variables!$B$23),0)</f>
        <v>0</v>
      </c>
      <c r="T411" s="63">
        <f>IF((H410+SUM(J411:Q411))&lt;(Variables!$B$26*Variables!$E$50),$F$1*((Variables!$B$26*Variables!$E$50)-H410-SUM(J411:Q411)),0)</f>
        <v>0</v>
      </c>
      <c r="U411" s="64">
        <f>IF(AND(AND(B411="Autumn",SUM(D408:E411)&gt;Variables!$B$27),SUM(J411:Q411)&lt;Variables!$B$28*H410),$F$1*(Variables!$B$28*H410-SUM(J411:Q411)),0)</f>
        <v>0</v>
      </c>
      <c r="V411" s="96">
        <f>IF(AND((J411+K411)=0,(Q411+T411)=0),$H$1*H411*Variables!$I$23*0.25,0)</f>
        <v>0</v>
      </c>
      <c r="W411" s="97">
        <f>IF(AND((K411+J411)=0,(T411+Q411)=0),$I$1*H411*Variables!$Q$23*0.25,0)</f>
        <v>0</v>
      </c>
      <c r="X411" s="95">
        <f>IF(AND(NOT(K411=0),(H411-H410)&gt;0),(H411-H410)*(Variables!$M$5*$H$1+Variables!$U$5*$I$1),0)+IF(AND(NOT((J411+N411+Q411)=0),(H410-H411)&gt;0),(H410-H411)*(Variables!$M$4*$H$1+Variables!$U$4*$I$1),0)</f>
        <v>-922.60111010332855</v>
      </c>
      <c r="Y411" s="95">
        <f>IF(SUM(T411,U410:U411)&gt;0,H411*Variables!$Y$11*0.25*(1-$J$1),0)</f>
        <v>0</v>
      </c>
      <c r="Z411" s="95">
        <f>IF(T411=0,H411*$J$1*Variables!$Y$5*0.25,0)</f>
        <v>30.475928862686544</v>
      </c>
      <c r="AA411" s="95">
        <f t="shared" si="13"/>
        <v>-892.12518124064195</v>
      </c>
      <c r="AB411" s="91">
        <f>AA411/Variables!$E$49</f>
        <v>-143.89115826461966</v>
      </c>
    </row>
    <row r="412" spans="1:28" x14ac:dyDescent="0.25">
      <c r="A412" s="61">
        <f>'Water runs'!C419</f>
        <v>39599</v>
      </c>
      <c r="B412" s="61" t="str">
        <f>'Water runs'!B419</f>
        <v>Autumn</v>
      </c>
      <c r="C412" s="54">
        <f>'Water runs'!D419/100</f>
        <v>0.7037333333333331</v>
      </c>
      <c r="D412" s="108">
        <f>VLOOKUP(ROW(D412)+4,'Water runs'!$BS$3:$CF$423,MATCH($B$1,Scenarios,0)+1)</f>
        <v>0</v>
      </c>
      <c r="E412" s="54">
        <f>IF(B412=Variables!$D$8,C412-Variables!$E$8,IF(B412=Variables!$D$9,C412-Variables!$E$9,IF(B412=Variables!$D$10,C412-Variables!$E$10,IF(B412=Variables!$D$11,C412-Variables!$E$11,"ELSE"))))</f>
        <v>-0.29090996598639474</v>
      </c>
      <c r="F412" s="108">
        <f>VLOOKUP(ROW(F412)+4,'Water runs'!$CH$3:$CU$423,MATCH($B$1,Scenarios,0)+1)</f>
        <v>0</v>
      </c>
      <c r="G412" s="65">
        <f>H412/Variables!$E$49</f>
        <v>1.6357697507968756</v>
      </c>
      <c r="H412" s="62">
        <f>IF((H411+I412)&gt;(1.1*Variables!$E$50),(1.1*Variables!$E$50),IF((H411+I412)&gt;0,H411+I412,0))</f>
        <v>10.141772454940629</v>
      </c>
      <c r="I412" s="64">
        <f t="shared" si="12"/>
        <v>5.4531680145273134</v>
      </c>
      <c r="J412" s="63">
        <f>IF(SUM(E408:E411)&lt;Variables!$B$3,-H411,0)</f>
        <v>0</v>
      </c>
      <c r="K412" s="64">
        <f>IF(AND(H411&lt;Variables!$B$6*Variables!$E$50,OR(SUM(D409:D412)&gt;Variables!$B$5,SUM(E409:E412)&gt;Variables!$B$4)),Variables!$B$6*Variables!$E$50+Variables!$B$7*$G$1*Variables!$E$50*SUM(D409:D412),0)</f>
        <v>0</v>
      </c>
      <c r="L412" s="64">
        <f>IF(B412="Winter",Variables!$B$8*H411,0)</f>
        <v>0</v>
      </c>
      <c r="M412" s="64">
        <f>IF(AND(B412="Spring",AND(NOT(H411=0),H411&lt;(Variables!$B$9*Variables!$E$50))),(Variables!$B$10*Variables!$E$50+Variables!$B$11*Variables!$E$50*SUM(E409:E412)+$G$1*SUM(D411:D412)*Variables!$E$50*Variables!$B$12),0)</f>
        <v>0</v>
      </c>
      <c r="N412" s="64">
        <f>IF(AND(B412="Spring",AND(SUM(D409:D412)&gt;Variables!$B$13,SUM(D405:D408)&gt;Variables!$B$13)),-Variables!$B$14*Variables!$E$50,0)</f>
        <v>0</v>
      </c>
      <c r="O412" s="64">
        <f>IF(AND(B412="Summer",SUM(C408:D412)&gt;Variables!$B$15),(Variables!$B$16*Variables!$E$50*SUM(C408:C412)+$G$1*Variables!$B$16*Variables!$E$50*SUM(D408:D412)+$G$1*Variables!$E$50*Variables!$B$17*F412),0)</f>
        <v>0</v>
      </c>
      <c r="P412" s="64">
        <f>IF(AND(AND(B412="Autumn",SUM(D411:E412)&gt;0),NOT(H411=0)),Variables!$B$18*Variables!$E$50+Variables!$B$19*Variables!$E$50*SUM(E411:E412)+$G$1*Variables!$B$19*Variables!$E$50*SUM(D411:D412),0)</f>
        <v>5.4531680145273134</v>
      </c>
      <c r="Q412" s="64">
        <f>IF(AND(B412="Autumn",AND((E412+E411)&lt;Variables!$B$20,(D411+D412)=0)),-Variables!$B$21*Variables!$E$50,0)</f>
        <v>0</v>
      </c>
      <c r="R412" s="64">
        <f>IF(B412="Autumn",(SUM(F411:F412)*$G$1*Variables!$B$22*Variables!$E$50),0)</f>
        <v>0</v>
      </c>
      <c r="S412" s="64">
        <f>IF(B412="Spring",($G$1*Variables!$E$50*SUM('Guts (option 1)'!F411:F412)*Variables!$B$23),0)</f>
        <v>0</v>
      </c>
      <c r="T412" s="63">
        <f>IF((H411+SUM(J412:Q412))&lt;(Variables!$B$26*Variables!$E$50),$F$1*((Variables!$B$26*Variables!$E$50)-H411-SUM(J412:Q412)),0)</f>
        <v>0</v>
      </c>
      <c r="U412" s="64">
        <f>IF(AND(AND(B412="Autumn",SUM(D409:E412)&gt;Variables!$B$27),SUM(J412:Q412)&lt;Variables!$B$28*H411),$F$1*(Variables!$B$28*H411-SUM(J412:Q412)),0)</f>
        <v>0</v>
      </c>
      <c r="V412" s="96">
        <f>IF(AND((J412+K412)=0,(Q412+T412)=0),$H$1*H412*Variables!$I$23*0.25,0)</f>
        <v>195.43347647257417</v>
      </c>
      <c r="W412" s="97">
        <f>IF(AND((K412+J412)=0,(T412+Q412)=0),$I$1*H412*Variables!$Q$23*0.25,0)</f>
        <v>204.56715674549366</v>
      </c>
      <c r="X412" s="95">
        <f>IF(AND(NOT(K412=0),(H412-H411)&gt;0),(H412-H411)*(Variables!$M$5*$H$1+Variables!$U$5*$I$1),0)+IF(AND(NOT((J412+N412+Q412)=0),(H411-H412)&gt;0),(H411-H412)*(Variables!$M$4*$H$1+Variables!$U$4*$I$1),0)</f>
        <v>0</v>
      </c>
      <c r="Y412" s="95">
        <f>IF(SUM(T412,U411:U412)&gt;0,H412*Variables!$Y$11*0.25*(1-$J$1),0)</f>
        <v>0</v>
      </c>
      <c r="Z412" s="95">
        <f>IF(T412=0,H412*$J$1*Variables!$Y$5*0.25,0)</f>
        <v>65.921520957114083</v>
      </c>
      <c r="AA412" s="95">
        <f t="shared" si="13"/>
        <v>465.9221541751819</v>
      </c>
      <c r="AB412" s="91">
        <f>AA412/Variables!$E$49</f>
        <v>75.148734544384169</v>
      </c>
    </row>
    <row r="413" spans="1:28" x14ac:dyDescent="0.25">
      <c r="A413" s="61">
        <f>'Water runs'!C420</f>
        <v>39691</v>
      </c>
      <c r="B413" s="61" t="str">
        <f>'Water runs'!B420</f>
        <v>Winter</v>
      </c>
      <c r="C413" s="54">
        <f>'Water runs'!D420/100</f>
        <v>0.52597142857142898</v>
      </c>
      <c r="D413" s="108">
        <f>VLOOKUP(ROW(D413)+4,'Water runs'!$BS$3:$CF$423,MATCH($B$1,Scenarios,0)+1)</f>
        <v>0</v>
      </c>
      <c r="E413" s="54">
        <f>IF(B413=Variables!$D$8,C413-Variables!$E$8,IF(B413=Variables!$D$9,C413-Variables!$E$9,IF(B413=Variables!$D$10,C413-Variables!$E$10,IF(B413=Variables!$D$11,C413-Variables!$E$11,"ELSE"))))</f>
        <v>-4.5796197089946755E-2</v>
      </c>
      <c r="F413" s="108">
        <f>VLOOKUP(ROW(F413)+4,'Water runs'!$CH$3:$CU$423,MATCH($B$1,Scenarios,0)+1)</f>
        <v>0</v>
      </c>
      <c r="G413" s="65">
        <f>H413/Variables!$E$49</f>
        <v>0.82124597928871435</v>
      </c>
      <c r="H413" s="62">
        <f>IF((H412+I413)&gt;(1.1*Variables!$E$50),(1.1*Variables!$E$50),IF((H412+I413)&gt;0,H412+I413,0))</f>
        <v>5.0917250715900293</v>
      </c>
      <c r="I413" s="64">
        <f t="shared" si="12"/>
        <v>-5.0500473833505994</v>
      </c>
      <c r="J413" s="63">
        <f>IF(SUM(E409:E412)&lt;Variables!$B$3,-H412,0)</f>
        <v>0</v>
      </c>
      <c r="K413" s="64">
        <f>IF(AND(H412&lt;Variables!$B$6*Variables!$E$50,OR(SUM(D410:D413)&gt;Variables!$B$5,SUM(E410:E413)&gt;Variables!$B$4)),Variables!$B$6*Variables!$E$50+Variables!$B$7*$G$1*Variables!$E$50*SUM(D410:D413),0)</f>
        <v>0</v>
      </c>
      <c r="L413" s="64">
        <f>IF(B413="Winter",Variables!$B$8*H412,0)</f>
        <v>-5.0500473833505994</v>
      </c>
      <c r="M413" s="64">
        <f>IF(AND(B413="Spring",AND(NOT(H412=0),H412&lt;(Variables!$B$9*Variables!$E$50))),(Variables!$B$10*Variables!$E$50+Variables!$B$11*Variables!$E$50*SUM(E410:E413)+$G$1*SUM(D412:D413)*Variables!$E$50*Variables!$B$12),0)</f>
        <v>0</v>
      </c>
      <c r="N413" s="64">
        <f>IF(AND(B413="Spring",AND(SUM(D410:D413)&gt;Variables!$B$13,SUM(D406:D409)&gt;Variables!$B$13)),-Variables!$B$14*Variables!$E$50,0)</f>
        <v>0</v>
      </c>
      <c r="O413" s="64">
        <f>IF(AND(B413="Summer",SUM(C409:D413)&gt;Variables!$B$15),(Variables!$B$16*Variables!$E$50*SUM(C409:C413)+$G$1*Variables!$B$16*Variables!$E$50*SUM(D409:D413)+$G$1*Variables!$E$50*Variables!$B$17*F413),0)</f>
        <v>0</v>
      </c>
      <c r="P413" s="64">
        <f>IF(AND(AND(B413="Autumn",SUM(D412:E413)&gt;0),NOT(H412=0)),Variables!$B$18*Variables!$E$50+Variables!$B$19*Variables!$E$50*SUM(E412:E413)+$G$1*Variables!$B$19*Variables!$E$50*SUM(D412:D413),0)</f>
        <v>0</v>
      </c>
      <c r="Q413" s="64">
        <f>IF(AND(B413="Autumn",AND((E413+E412)&lt;Variables!$B$20,(D412+D413)=0)),-Variables!$B$21*Variables!$E$50,0)</f>
        <v>0</v>
      </c>
      <c r="R413" s="64">
        <f>IF(B413="Autumn",(SUM(F412:F413)*$G$1*Variables!$B$22*Variables!$E$50),0)</f>
        <v>0</v>
      </c>
      <c r="S413" s="64">
        <f>IF(B413="Spring",($G$1*Variables!$E$50*SUM('Guts (option 1)'!F412:F413)*Variables!$B$23),0)</f>
        <v>0</v>
      </c>
      <c r="T413" s="63">
        <f>IF((H412+SUM(J413:Q413))&lt;(Variables!$B$26*Variables!$E$50),$F$1*((Variables!$B$26*Variables!$E$50)-H412-SUM(J413:Q413)),0)</f>
        <v>0</v>
      </c>
      <c r="U413" s="64">
        <f>IF(AND(AND(B413="Autumn",SUM(D410:E413)&gt;Variables!$B$27),SUM(J413:Q413)&lt;Variables!$B$28*H412),$F$1*(Variables!$B$28*H412-SUM(J413:Q413)),0)</f>
        <v>0</v>
      </c>
      <c r="V413" s="96">
        <f>IF(AND((J413+K413)=0,(Q413+T413)=0),$H$1*H413*Variables!$I$23*0.25,0)</f>
        <v>98.118305888300611</v>
      </c>
      <c r="W413" s="97">
        <f>IF(AND((K413+J413)=0,(T413+Q413)=0),$I$1*H413*Variables!$Q$23*0.25,0)</f>
        <v>102.70391348777457</v>
      </c>
      <c r="X413" s="95">
        <f>IF(AND(NOT(K413=0),(H413-H412)&gt;0),(H413-H412)*(Variables!$M$5*$H$1+Variables!$U$5*$I$1),0)+IF(AND(NOT((J413+N413+Q413)=0),(H412-H413)&gt;0),(H412-H413)*(Variables!$M$4*$H$1+Variables!$U$4*$I$1),0)</f>
        <v>0</v>
      </c>
      <c r="Y413" s="95">
        <f>IF(SUM(T413,U412:U413)&gt;0,H413*Variables!$Y$11*0.25*(1-$J$1),0)</f>
        <v>0</v>
      </c>
      <c r="Z413" s="95">
        <f>IF(T413=0,H413*$J$1*Variables!$Y$5*0.25,0)</f>
        <v>33.096212965335191</v>
      </c>
      <c r="AA413" s="95">
        <f t="shared" si="13"/>
        <v>233.91843234141035</v>
      </c>
      <c r="AB413" s="91">
        <f>AA413/Variables!$E$49</f>
        <v>37.728779409904895</v>
      </c>
    </row>
    <row r="414" spans="1:28" x14ac:dyDescent="0.25">
      <c r="A414" s="61">
        <f>'Water runs'!C421</f>
        <v>39782</v>
      </c>
      <c r="B414" s="61" t="str">
        <f>'Water runs'!B421</f>
        <v>Spring</v>
      </c>
      <c r="C414" s="54">
        <f>'Water runs'!D421/100</f>
        <v>1.1983333333333299</v>
      </c>
      <c r="D414" s="108">
        <f>VLOOKUP(ROW(D414)+4,'Water runs'!$BS$3:$CF$423,MATCH($B$1,Scenarios,0)+1)</f>
        <v>0</v>
      </c>
      <c r="E414" s="54">
        <f>IF(B414=Variables!$D$8,C414-Variables!$E$8,IF(B414=Variables!$D$9,C414-Variables!$E$9,IF(B414=Variables!$D$10,C414-Variables!$E$10,IF(B414=Variables!$D$11,C414-Variables!$E$11,"ELSE"))))</f>
        <v>0.43435112433862078</v>
      </c>
      <c r="F414" s="108">
        <f>VLOOKUP(ROW(F414)+4,'Water runs'!$CH$3:$CU$423,MATCH($B$1,Scenarios,0)+1)</f>
        <v>0</v>
      </c>
      <c r="G414" s="65">
        <f>H414/Variables!$E$49</f>
        <v>0.82124597928871435</v>
      </c>
      <c r="H414" s="62">
        <f>IF((H413+I414)&gt;(1.1*Variables!$E$50),(1.1*Variables!$E$50),IF((H413+I414)&gt;0,H413+I414,0))</f>
        <v>5.0917250715900293</v>
      </c>
      <c r="I414" s="64">
        <f t="shared" si="12"/>
        <v>0</v>
      </c>
      <c r="J414" s="63">
        <f>IF(SUM(E410:E413)&lt;Variables!$B$3,-H413,0)</f>
        <v>0</v>
      </c>
      <c r="K414" s="64">
        <f>IF(AND(H413&lt;Variables!$B$6*Variables!$E$50,OR(SUM(D411:D414)&gt;Variables!$B$5,SUM(E411:E414)&gt;Variables!$B$4)),Variables!$B$6*Variables!$E$50+Variables!$B$7*$G$1*Variables!$E$50*SUM(D411:D414),0)</f>
        <v>0</v>
      </c>
      <c r="L414" s="64">
        <f>IF(B414="Winter",Variables!$B$8*H413,0)</f>
        <v>0</v>
      </c>
      <c r="M414" s="64">
        <f>IF(AND(B414="Spring",AND(NOT(H413=0),H413&lt;(Variables!$B$9*Variables!$E$50))),(Variables!$B$10*Variables!$E$50+Variables!$B$11*Variables!$E$50*SUM(E411:E414)+$G$1*SUM(D413:D414)*Variables!$E$50*Variables!$B$12),0)</f>
        <v>0</v>
      </c>
      <c r="N414" s="64">
        <f>IF(AND(B414="Spring",AND(SUM(D411:D414)&gt;Variables!$B$13,SUM(D407:D410)&gt;Variables!$B$13)),-Variables!$B$14*Variables!$E$50,0)</f>
        <v>0</v>
      </c>
      <c r="O414" s="64">
        <f>IF(AND(B414="Summer",SUM(C410:D414)&gt;Variables!$B$15),(Variables!$B$16*Variables!$E$50*SUM(C410:C414)+$G$1*Variables!$B$16*Variables!$E$50*SUM(D410:D414)+$G$1*Variables!$E$50*Variables!$B$17*F414),0)</f>
        <v>0</v>
      </c>
      <c r="P414" s="64">
        <f>IF(AND(AND(B414="Autumn",SUM(D413:E414)&gt;0),NOT(H413=0)),Variables!$B$18*Variables!$E$50+Variables!$B$19*Variables!$E$50*SUM(E413:E414)+$G$1*Variables!$B$19*Variables!$E$50*SUM(D413:D414),0)</f>
        <v>0</v>
      </c>
      <c r="Q414" s="64">
        <f>IF(AND(B414="Autumn",AND((E414+E413)&lt;Variables!$B$20,(D413+D414)=0)),-Variables!$B$21*Variables!$E$50,0)</f>
        <v>0</v>
      </c>
      <c r="R414" s="64">
        <f>IF(B414="Autumn",(SUM(F413:F414)*$G$1*Variables!$B$22*Variables!$E$50),0)</f>
        <v>0</v>
      </c>
      <c r="S414" s="64">
        <f>IF(B414="Spring",($G$1*Variables!$E$50*SUM('Guts (option 1)'!F413:F414)*Variables!$B$23),0)</f>
        <v>0</v>
      </c>
      <c r="T414" s="63">
        <f>IF((H413+SUM(J414:Q414))&lt;(Variables!$B$26*Variables!$E$50),$F$1*((Variables!$B$26*Variables!$E$50)-H413-SUM(J414:Q414)),0)</f>
        <v>0</v>
      </c>
      <c r="U414" s="64">
        <f>IF(AND(AND(B414="Autumn",SUM(D411:E414)&gt;Variables!$B$27),SUM(J414:Q414)&lt;Variables!$B$28*H413),$F$1*(Variables!$B$28*H413-SUM(J414:Q414)),0)</f>
        <v>0</v>
      </c>
      <c r="V414" s="96">
        <f>IF(AND((J414+K414)=0,(Q414+T414)=0),$H$1*H414*Variables!$I$23*0.25,0)</f>
        <v>98.118305888300611</v>
      </c>
      <c r="W414" s="97">
        <f>IF(AND((K414+J414)=0,(T414+Q414)=0),$I$1*H414*Variables!$Q$23*0.25,0)</f>
        <v>102.70391348777457</v>
      </c>
      <c r="X414" s="95">
        <f>IF(AND(NOT(K414=0),(H414-H413)&gt;0),(H414-H413)*(Variables!$M$5*$H$1+Variables!$U$5*$I$1),0)+IF(AND(NOT((J414+N414+Q414)=0),(H413-H414)&gt;0),(H413-H414)*(Variables!$M$4*$H$1+Variables!$U$4*$I$1),0)</f>
        <v>0</v>
      </c>
      <c r="Y414" s="95">
        <f>IF(SUM(T414,U413:U414)&gt;0,H414*Variables!$Y$11*0.25*(1-$J$1),0)</f>
        <v>0</v>
      </c>
      <c r="Z414" s="95">
        <f>IF(T414=0,H414*$J$1*Variables!$Y$5*0.25,0)</f>
        <v>33.096212965335191</v>
      </c>
      <c r="AA414" s="95">
        <f t="shared" si="13"/>
        <v>233.91843234141035</v>
      </c>
      <c r="AB414" s="91">
        <f>AA414/Variables!$E$49</f>
        <v>37.728779409904895</v>
      </c>
    </row>
    <row r="415" spans="1:28" x14ac:dyDescent="0.25">
      <c r="A415" s="61">
        <f>'Water runs'!C422</f>
        <v>39872</v>
      </c>
      <c r="B415" s="61" t="str">
        <f>'Water runs'!B422</f>
        <v>Summer</v>
      </c>
      <c r="C415" s="54">
        <f>'Water runs'!D422/100</f>
        <v>1.3737142857142899</v>
      </c>
      <c r="D415" s="108">
        <f>VLOOKUP(ROW(D415)+4,'Water runs'!$BS$3:$CF$423,MATCH($B$1,Scenarios,0)+1)</f>
        <v>0</v>
      </c>
      <c r="E415" s="54">
        <f>IF(B415=Variables!$D$8,C415-Variables!$E$8,IF(B415=Variables!$D$9,C415-Variables!$E$9,IF(B415=Variables!$D$10,C415-Variables!$E$10,IF(B415=Variables!$D$11,C415-Variables!$E$11,"ELSE"))))</f>
        <v>0.11534414965986817</v>
      </c>
      <c r="F415" s="108">
        <f>VLOOKUP(ROW(F415)+4,'Water runs'!$CH$3:$CU$423,MATCH($B$1,Scenarios,0)+1)</f>
        <v>0</v>
      </c>
      <c r="G415" s="65">
        <f>H415/Variables!$E$49</f>
        <v>1.2873731790064189</v>
      </c>
      <c r="H415" s="62">
        <f>IF((H414+I415)&gt;(1.1*Variables!$E$50),(1.1*Variables!$E$50),IF((H414+I415)&gt;0,H414+I415,0))</f>
        <v>7.9817137098397977</v>
      </c>
      <c r="I415" s="64">
        <f t="shared" si="12"/>
        <v>2.8899886382497684</v>
      </c>
      <c r="J415" s="63">
        <f>IF(SUM(E411:E414)&lt;Variables!$B$3,-H414,0)</f>
        <v>0</v>
      </c>
      <c r="K415" s="64">
        <f>IF(AND(H414&lt;Variables!$B$6*Variables!$E$50,OR(SUM(D412:D415)&gt;Variables!$B$5,SUM(E412:E415)&gt;Variables!$B$4)),Variables!$B$6*Variables!$E$50+Variables!$B$7*$G$1*Variables!$E$50*SUM(D412:D415),0)</f>
        <v>0</v>
      </c>
      <c r="L415" s="64">
        <f>IF(B415="Winter",Variables!$B$8*H414,0)</f>
        <v>0</v>
      </c>
      <c r="M415" s="64">
        <f>IF(AND(B415="Spring",AND(NOT(H414=0),H414&lt;(Variables!$B$9*Variables!$E$50))),(Variables!$B$10*Variables!$E$50+Variables!$B$11*Variables!$E$50*SUM(E412:E415)+$G$1*SUM(D414:D415)*Variables!$E$50*Variables!$B$12),0)</f>
        <v>0</v>
      </c>
      <c r="N415" s="64">
        <f>IF(AND(B415="Spring",AND(SUM(D412:D415)&gt;Variables!$B$13,SUM(D408:D411)&gt;Variables!$B$13)),-Variables!$B$14*Variables!$E$50,0)</f>
        <v>0</v>
      </c>
      <c r="O415" s="64">
        <f>IF(AND(B415="Summer",SUM(C411:D415)&gt;Variables!$B$15),(Variables!$B$16*Variables!$E$50*SUM(C411:C415)+$G$1*Variables!$B$16*Variables!$E$50*SUM(D411:D415)+$G$1*Variables!$E$50*Variables!$B$17*F415),0)</f>
        <v>2.8899886382497684</v>
      </c>
      <c r="P415" s="64">
        <f>IF(AND(AND(B415="Autumn",SUM(D414:E415)&gt;0),NOT(H414=0)),Variables!$B$18*Variables!$E$50+Variables!$B$19*Variables!$E$50*SUM(E414:E415)+$G$1*Variables!$B$19*Variables!$E$50*SUM(D414:D415),0)</f>
        <v>0</v>
      </c>
      <c r="Q415" s="64">
        <f>IF(AND(B415="Autumn",AND((E415+E414)&lt;Variables!$B$20,(D414+D415)=0)),-Variables!$B$21*Variables!$E$50,0)</f>
        <v>0</v>
      </c>
      <c r="R415" s="64">
        <f>IF(B415="Autumn",(SUM(F414:F415)*$G$1*Variables!$B$22*Variables!$E$50),0)</f>
        <v>0</v>
      </c>
      <c r="S415" s="64">
        <f>IF(B415="Spring",($G$1*Variables!$E$50*SUM('Guts (option 1)'!F414:F415)*Variables!$B$23),0)</f>
        <v>0</v>
      </c>
      <c r="T415" s="63">
        <f>IF((H414+SUM(J415:Q415))&lt;(Variables!$B$26*Variables!$E$50),$F$1*((Variables!$B$26*Variables!$E$50)-H414-SUM(J415:Q415)),0)</f>
        <v>0</v>
      </c>
      <c r="U415" s="64">
        <f>IF(AND(AND(B415="Autumn",SUM(D412:E415)&gt;Variables!$B$27),SUM(J415:Q415)&lt;Variables!$B$28*H414),$F$1*(Variables!$B$28*H414-SUM(J415:Q415)),0)</f>
        <v>0</v>
      </c>
      <c r="V415" s="96">
        <f>IF(AND((J415+K415)=0,(Q415+T415)=0),$H$1*H415*Variables!$I$23*0.25,0)</f>
        <v>153.8088204456694</v>
      </c>
      <c r="W415" s="97">
        <f>IF(AND((K415+J415)=0,(T415+Q415)=0),$I$1*H415*Variables!$Q$23*0.25,0)</f>
        <v>160.99715181275107</v>
      </c>
      <c r="X415" s="95">
        <f>IF(AND(NOT(K415=0),(H415-H414)&gt;0),(H415-H414)*(Variables!$M$5*$H$1+Variables!$U$5*$I$1),0)+IF(AND(NOT((J415+N415+Q415)=0),(H414-H415)&gt;0),(H414-H415)*(Variables!$M$4*$H$1+Variables!$U$4*$I$1),0)</f>
        <v>0</v>
      </c>
      <c r="Y415" s="95">
        <f>IF(SUM(T415,U414:U415)&gt;0,H415*Variables!$Y$11*0.25*(1-$J$1),0)</f>
        <v>0</v>
      </c>
      <c r="Z415" s="95">
        <f>IF(T415=0,H415*$J$1*Variables!$Y$5*0.25,0)</f>
        <v>51.881139113958682</v>
      </c>
      <c r="AA415" s="95">
        <f t="shared" si="13"/>
        <v>366.68711137237915</v>
      </c>
      <c r="AB415" s="91">
        <f>AA415/Variables!$E$49</f>
        <v>59.143082479415988</v>
      </c>
    </row>
    <row r="416" spans="1:28" x14ac:dyDescent="0.25">
      <c r="A416" s="61">
        <f>'Water runs'!C423</f>
        <v>39964</v>
      </c>
      <c r="B416" s="61" t="str">
        <f>'Water runs'!B423</f>
        <v>Autumn</v>
      </c>
      <c r="C416" s="54">
        <f>'Water runs'!D423/100</f>
        <v>0.72128571428571409</v>
      </c>
      <c r="D416" s="108">
        <f>VLOOKUP(ROW(D416)+4,'Water runs'!$BS$3:$CF$423,MATCH($B$1,Scenarios,0)+1)</f>
        <v>0</v>
      </c>
      <c r="E416" s="54">
        <f>IF(B416=Variables!$D$8,C416-Variables!$E$8,IF(B416=Variables!$D$9,C416-Variables!$E$9,IF(B416=Variables!$D$10,C416-Variables!$E$10,IF(B416=Variables!$D$11,C416-Variables!$E$11,"ELSE"))))</f>
        <v>-0.27335758503401375</v>
      </c>
      <c r="F416" s="108">
        <f>VLOOKUP(ROW(F416)+4,'Water runs'!$CH$3:$CU$423,MATCH($B$1,Scenarios,0)+1)</f>
        <v>0</v>
      </c>
      <c r="G416" s="65">
        <f>H416/Variables!$E$49</f>
        <v>1.2873731790064189</v>
      </c>
      <c r="H416" s="62">
        <f>IF((H415+I416)&gt;(1.1*Variables!$E$50),(1.1*Variables!$E$50),IF((H415+I416)&gt;0,H415+I416,0))</f>
        <v>7.9817137098397977</v>
      </c>
      <c r="I416" s="64">
        <f t="shared" si="12"/>
        <v>0</v>
      </c>
      <c r="J416" s="63">
        <f>IF(SUM(E412:E415)&lt;Variables!$B$3,-H415,0)</f>
        <v>0</v>
      </c>
      <c r="K416" s="64">
        <f>IF(AND(H415&lt;Variables!$B$6*Variables!$E$50,OR(SUM(D413:D416)&gt;Variables!$B$5,SUM(E413:E416)&gt;Variables!$B$4)),Variables!$B$6*Variables!$E$50+Variables!$B$7*$G$1*Variables!$E$50*SUM(D413:D416),0)</f>
        <v>0</v>
      </c>
      <c r="L416" s="64">
        <f>IF(B416="Winter",Variables!$B$8*H415,0)</f>
        <v>0</v>
      </c>
      <c r="M416" s="64">
        <f>IF(AND(B416="Spring",AND(NOT(H415=0),H415&lt;(Variables!$B$9*Variables!$E$50))),(Variables!$B$10*Variables!$E$50+Variables!$B$11*Variables!$E$50*SUM(E413:E416)+$G$1*SUM(D415:D416)*Variables!$E$50*Variables!$B$12),0)</f>
        <v>0</v>
      </c>
      <c r="N416" s="64">
        <f>IF(AND(B416="Spring",AND(SUM(D413:D416)&gt;Variables!$B$13,SUM(D409:D412)&gt;Variables!$B$13)),-Variables!$B$14*Variables!$E$50,0)</f>
        <v>0</v>
      </c>
      <c r="O416" s="64">
        <f>IF(AND(B416="Summer",SUM(C412:D416)&gt;Variables!$B$15),(Variables!$B$16*Variables!$E$50*SUM(C412:C416)+$G$1*Variables!$B$16*Variables!$E$50*SUM(D412:D416)+$G$1*Variables!$E$50*Variables!$B$17*F416),0)</f>
        <v>0</v>
      </c>
      <c r="P416" s="64">
        <f>IF(AND(AND(B416="Autumn",SUM(D415:E416)&gt;0),NOT(H415=0)),Variables!$B$18*Variables!$E$50+Variables!$B$19*Variables!$E$50*SUM(E415:E416)+$G$1*Variables!$B$19*Variables!$E$50*SUM(D415:D416),0)</f>
        <v>0</v>
      </c>
      <c r="Q416" s="64">
        <f>IF(AND(B416="Autumn",AND((E416+E415)&lt;Variables!$B$20,(D415+D416)=0)),-Variables!$B$21*Variables!$E$50,0)</f>
        <v>0</v>
      </c>
      <c r="R416" s="64">
        <f>IF(B416="Autumn",(SUM(F415:F416)*$G$1*Variables!$B$22*Variables!$E$50),0)</f>
        <v>0</v>
      </c>
      <c r="S416" s="64">
        <f>IF(B416="Spring",($G$1*Variables!$E$50*SUM('Guts (option 1)'!F415:F416)*Variables!$B$23),0)</f>
        <v>0</v>
      </c>
      <c r="T416" s="63">
        <f>IF((H415+SUM(J416:Q416))&lt;(Variables!$B$26*Variables!$E$50),$F$1*((Variables!$B$26*Variables!$E$50)-H415-SUM(J416:Q416)),0)</f>
        <v>0</v>
      </c>
      <c r="U416" s="64">
        <f>IF(AND(AND(B416="Autumn",SUM(D413:E416)&gt;Variables!$B$27),SUM(J416:Q416)&lt;Variables!$B$28*H415),$F$1*(Variables!$B$28*H415-SUM(J416:Q416)),0)</f>
        <v>0</v>
      </c>
      <c r="V416" s="96">
        <f>IF(AND((J416+K416)=0,(Q416+T416)=0),$H$1*H416*Variables!$I$23*0.25,0)</f>
        <v>153.8088204456694</v>
      </c>
      <c r="W416" s="97">
        <f>IF(AND((K416+J416)=0,(T416+Q416)=0),$I$1*H416*Variables!$Q$23*0.25,0)</f>
        <v>160.99715181275107</v>
      </c>
      <c r="X416" s="95">
        <f>IF(AND(NOT(K416=0),(H416-H415)&gt;0),(H416-H415)*(Variables!$M$5*$H$1+Variables!$U$5*$I$1),0)+IF(AND(NOT((J416+N416+Q416)=0),(H415-H416)&gt;0),(H415-H416)*(Variables!$M$4*$H$1+Variables!$U$4*$I$1),0)</f>
        <v>0</v>
      </c>
      <c r="Y416" s="95">
        <f>IF(SUM(T416,U415:U416)&gt;0,H416*Variables!$Y$11*0.25*(1-$J$1),0)</f>
        <v>0</v>
      </c>
      <c r="Z416" s="95">
        <f>IF(T416=0,H416*$J$1*Variables!$Y$5*0.25,0)</f>
        <v>51.881139113958682</v>
      </c>
      <c r="AA416" s="95">
        <f t="shared" si="13"/>
        <v>366.68711137237915</v>
      </c>
      <c r="AB416" s="91">
        <f>AA416/Variables!$E$49</f>
        <v>59.143082479415988</v>
      </c>
    </row>
    <row r="417" spans="1:28" x14ac:dyDescent="0.25">
      <c r="A417" s="61">
        <f>'Water runs'!C424</f>
        <v>40056</v>
      </c>
      <c r="B417" s="61" t="str">
        <f>'Water runs'!B424</f>
        <v>Winter</v>
      </c>
      <c r="C417" s="54">
        <f>'Water runs'!D424/100</f>
        <v>0.442857142857143</v>
      </c>
      <c r="D417" s="108">
        <f>VLOOKUP(ROW(D417)+4,'Water runs'!$BS$3:$CF$423,MATCH($B$1,Scenarios,0)+1)</f>
        <v>0</v>
      </c>
      <c r="E417" s="54">
        <f>IF(B417=Variables!$D$8,C417-Variables!$E$8,IF(B417=Variables!$D$9,C417-Variables!$E$9,IF(B417=Variables!$D$10,C417-Variables!$E$10,IF(B417=Variables!$D$11,C417-Variables!$E$11,"ELSE"))))</f>
        <v>-0.12891048280423273</v>
      </c>
      <c r="F417" s="108">
        <f>VLOOKUP(ROW(F417)+4,'Water runs'!$CH$3:$CU$423,MATCH($B$1,Scenarios,0)+1)</f>
        <v>0</v>
      </c>
      <c r="G417" s="65">
        <f>H417/Variables!$E$49</f>
        <v>0.64633182426078351</v>
      </c>
      <c r="H417" s="62">
        <f>IF((H416+I417)&gt;(1.1*Variables!$E$50),(1.1*Variables!$E$50),IF((H416+I417)&gt;0,H416+I417,0))</f>
        <v>4.0072573104168576</v>
      </c>
      <c r="I417" s="64">
        <f t="shared" si="12"/>
        <v>-3.9744563994229396</v>
      </c>
      <c r="J417" s="63">
        <f>IF(SUM(E413:E416)&lt;Variables!$B$3,-H416,0)</f>
        <v>0</v>
      </c>
      <c r="K417" s="64">
        <f>IF(AND(H416&lt;Variables!$B$6*Variables!$E$50,OR(SUM(D414:D417)&gt;Variables!$B$5,SUM(E414:E417)&gt;Variables!$B$4)),Variables!$B$6*Variables!$E$50+Variables!$B$7*$G$1*Variables!$E$50*SUM(D414:D417),0)</f>
        <v>0</v>
      </c>
      <c r="L417" s="64">
        <f>IF(B417="Winter",Variables!$B$8*H416,0)</f>
        <v>-3.9744563994229396</v>
      </c>
      <c r="M417" s="64">
        <f>IF(AND(B417="Spring",AND(NOT(H416=0),H416&lt;(Variables!$B$9*Variables!$E$50))),(Variables!$B$10*Variables!$E$50+Variables!$B$11*Variables!$E$50*SUM(E414:E417)+$G$1*SUM(D416:D417)*Variables!$E$50*Variables!$B$12),0)</f>
        <v>0</v>
      </c>
      <c r="N417" s="64">
        <f>IF(AND(B417="Spring",AND(SUM(D414:D417)&gt;Variables!$B$13,SUM(D410:D413)&gt;Variables!$B$13)),-Variables!$B$14*Variables!$E$50,0)</f>
        <v>0</v>
      </c>
      <c r="O417" s="64">
        <f>IF(AND(B417="Summer",SUM(C413:D417)&gt;Variables!$B$15),(Variables!$B$16*Variables!$E$50*SUM(C413:C417)+$G$1*Variables!$B$16*Variables!$E$50*SUM(D413:D417)+$G$1*Variables!$E$50*Variables!$B$17*F417),0)</f>
        <v>0</v>
      </c>
      <c r="P417" s="64">
        <f>IF(AND(AND(B417="Autumn",SUM(D416:E417)&gt;0),NOT(H416=0)),Variables!$B$18*Variables!$E$50+Variables!$B$19*Variables!$E$50*SUM(E416:E417)+$G$1*Variables!$B$19*Variables!$E$50*SUM(D416:D417),0)</f>
        <v>0</v>
      </c>
      <c r="Q417" s="64">
        <f>IF(AND(B417="Autumn",AND((E417+E416)&lt;Variables!$B$20,(D416+D417)=0)),-Variables!$B$21*Variables!$E$50,0)</f>
        <v>0</v>
      </c>
      <c r="R417" s="64">
        <f>IF(B417="Autumn",(SUM(F416:F417)*$G$1*Variables!$B$22*Variables!$E$50),0)</f>
        <v>0</v>
      </c>
      <c r="S417" s="64">
        <f>IF(B417="Spring",($G$1*Variables!$E$50*SUM('Guts (option 1)'!F416:F417)*Variables!$B$23),0)</f>
        <v>0</v>
      </c>
      <c r="T417" s="63">
        <f>IF((H416+SUM(J417:Q417))&lt;(Variables!$B$26*Variables!$E$50),$F$1*((Variables!$B$26*Variables!$E$50)-H416-SUM(J417:Q417)),0)</f>
        <v>0</v>
      </c>
      <c r="U417" s="64">
        <f>IF(AND(AND(B417="Autumn",SUM(D414:E417)&gt;Variables!$B$27),SUM(J417:Q417)&lt;Variables!$B$28*H416),$F$1*(Variables!$B$28*H416-SUM(J417:Q417)),0)</f>
        <v>0</v>
      </c>
      <c r="V417" s="96">
        <f>IF(AND((J417+K417)=0,(Q417+T417)=0),$H$1*H417*Variables!$I$23*0.25,0)</f>
        <v>77.220449460329419</v>
      </c>
      <c r="W417" s="97">
        <f>IF(AND((K417+J417)=0,(T417+Q417)=0),$I$1*H417*Variables!$Q$23*0.25,0)</f>
        <v>80.829385394090821</v>
      </c>
      <c r="X417" s="95">
        <f>IF(AND(NOT(K417=0),(H417-H416)&gt;0),(H417-H416)*(Variables!$M$5*$H$1+Variables!$U$5*$I$1),0)+IF(AND(NOT((J417+N417+Q417)=0),(H416-H417)&gt;0),(H416-H417)*(Variables!$M$4*$H$1+Variables!$U$4*$I$1),0)</f>
        <v>0</v>
      </c>
      <c r="Y417" s="95">
        <f>IF(SUM(T417,U416:U417)&gt;0,H417*Variables!$Y$11*0.25*(1-$J$1),0)</f>
        <v>0</v>
      </c>
      <c r="Z417" s="95">
        <f>IF(T417=0,H417*$J$1*Variables!$Y$5*0.25,0)</f>
        <v>26.047172517709576</v>
      </c>
      <c r="AA417" s="95">
        <f t="shared" si="13"/>
        <v>184.09700737212981</v>
      </c>
      <c r="AB417" s="91">
        <f>AA417/Variables!$E$49</f>
        <v>29.693065705182228</v>
      </c>
    </row>
    <row r="418" spans="1:28" x14ac:dyDescent="0.25">
      <c r="A418" s="61"/>
      <c r="B418" s="61"/>
      <c r="C418" s="54"/>
      <c r="D418" s="108"/>
      <c r="E418" s="54"/>
      <c r="F418" s="54"/>
      <c r="G418" s="65"/>
      <c r="H418" s="62"/>
      <c r="I418" s="64"/>
      <c r="J418" s="63"/>
      <c r="K418" s="64"/>
      <c r="L418" s="64"/>
      <c r="M418" s="64"/>
      <c r="N418" s="64"/>
      <c r="O418" s="64"/>
      <c r="P418" s="64"/>
      <c r="Q418" s="64"/>
      <c r="R418" s="64"/>
      <c r="S418" s="64"/>
      <c r="T418" s="63"/>
      <c r="U418" s="64"/>
      <c r="V418" s="96"/>
      <c r="W418" s="97"/>
      <c r="X418" s="95"/>
      <c r="Y418" s="95"/>
      <c r="Z418" s="95"/>
      <c r="AA418" s="95"/>
      <c r="AB418" s="91"/>
    </row>
    <row r="419" spans="1:28" x14ac:dyDescent="0.25">
      <c r="A419" s="61"/>
      <c r="B419" s="61"/>
      <c r="C419" s="54"/>
      <c r="D419" s="108"/>
      <c r="E419" s="54"/>
      <c r="F419" s="54"/>
      <c r="G419" s="65"/>
      <c r="H419" s="62"/>
      <c r="I419" s="64"/>
      <c r="J419" s="63"/>
      <c r="K419" s="64"/>
      <c r="L419" s="64"/>
      <c r="M419" s="64"/>
      <c r="N419" s="64"/>
      <c r="O419" s="64"/>
      <c r="P419" s="64"/>
      <c r="Q419" s="64"/>
      <c r="R419" s="64"/>
      <c r="S419" s="64"/>
      <c r="T419" s="63"/>
      <c r="U419" s="64"/>
      <c r="V419" s="96"/>
      <c r="W419" s="97"/>
      <c r="X419" s="95"/>
      <c r="Y419" s="95"/>
      <c r="Z419" s="95"/>
      <c r="AA419" s="95"/>
      <c r="AB419" s="91"/>
    </row>
    <row r="420" spans="1:28" x14ac:dyDescent="0.25">
      <c r="A420" s="61"/>
      <c r="B420" s="61"/>
      <c r="C420" s="54"/>
      <c r="D420" s="108"/>
      <c r="E420" s="54"/>
      <c r="F420" s="54"/>
      <c r="G420" s="65"/>
      <c r="H420" s="62"/>
      <c r="I420" s="64"/>
      <c r="J420" s="63"/>
      <c r="K420" s="64"/>
      <c r="L420" s="64"/>
      <c r="M420" s="64"/>
      <c r="N420" s="64"/>
      <c r="O420" s="64"/>
      <c r="P420" s="64"/>
      <c r="Q420" s="64"/>
      <c r="R420" s="64"/>
      <c r="S420" s="64"/>
      <c r="T420" s="63"/>
      <c r="U420" s="64"/>
      <c r="V420" s="96"/>
      <c r="W420" s="97"/>
      <c r="X420" s="95"/>
      <c r="Y420" s="95"/>
      <c r="Z420" s="95"/>
      <c r="AA420" s="95"/>
      <c r="AB420" s="91"/>
    </row>
    <row r="421" spans="1:28" x14ac:dyDescent="0.25">
      <c r="A421" s="61"/>
      <c r="B421" s="61"/>
      <c r="C421" s="54"/>
      <c r="D421" s="108"/>
      <c r="E421" s="54"/>
      <c r="F421" s="54"/>
      <c r="G421" s="65"/>
      <c r="H421" s="62"/>
      <c r="I421" s="64"/>
      <c r="J421" s="63"/>
      <c r="K421" s="64"/>
      <c r="L421" s="64"/>
      <c r="M421" s="64"/>
      <c r="N421" s="64"/>
      <c r="O421" s="64"/>
      <c r="P421" s="64"/>
      <c r="Q421" s="64"/>
      <c r="R421" s="64"/>
      <c r="S421" s="64"/>
      <c r="T421" s="63"/>
      <c r="U421" s="64"/>
      <c r="V421" s="96"/>
      <c r="W421" s="97"/>
      <c r="X421" s="95"/>
      <c r="Y421" s="95"/>
      <c r="Z421" s="95"/>
      <c r="AA421" s="95"/>
      <c r="AB421" s="91"/>
    </row>
    <row r="422" spans="1:28" x14ac:dyDescent="0.25">
      <c r="A422" s="61"/>
      <c r="B422" s="61"/>
      <c r="C422" s="54"/>
      <c r="D422" s="108"/>
      <c r="E422" s="54"/>
      <c r="F422" s="54"/>
      <c r="G422" s="65"/>
      <c r="H422" s="62"/>
      <c r="I422" s="64"/>
      <c r="J422" s="63"/>
      <c r="K422" s="64"/>
      <c r="L422" s="64"/>
      <c r="M422" s="64"/>
      <c r="N422" s="64"/>
      <c r="O422" s="64"/>
      <c r="P422" s="64"/>
      <c r="Q422" s="64"/>
      <c r="R422" s="64"/>
      <c r="S422" s="64"/>
      <c r="T422" s="63"/>
      <c r="U422" s="64"/>
      <c r="V422" s="96"/>
      <c r="W422" s="97"/>
      <c r="X422" s="95"/>
      <c r="Y422" s="95"/>
      <c r="Z422" s="95"/>
      <c r="AA422" s="95"/>
      <c r="AB422" s="91"/>
    </row>
    <row r="423" spans="1:28" x14ac:dyDescent="0.25">
      <c r="A423" s="61"/>
      <c r="B423" s="61"/>
      <c r="C423" s="54"/>
      <c r="D423" s="108"/>
      <c r="E423" s="54"/>
      <c r="F423" s="54"/>
      <c r="G423" s="65"/>
      <c r="H423" s="62"/>
      <c r="I423" s="64"/>
      <c r="J423" s="63"/>
      <c r="K423" s="64"/>
      <c r="L423" s="64"/>
      <c r="M423" s="64"/>
      <c r="N423" s="64"/>
      <c r="O423" s="64"/>
      <c r="P423" s="64"/>
      <c r="Q423" s="64"/>
      <c r="R423" s="64"/>
      <c r="S423" s="64"/>
      <c r="T423" s="63"/>
      <c r="U423" s="64"/>
      <c r="V423" s="96"/>
      <c r="W423" s="97"/>
      <c r="X423" s="95"/>
      <c r="Y423" s="95"/>
      <c r="Z423" s="95"/>
      <c r="AA423" s="95"/>
      <c r="AB423" s="91"/>
    </row>
    <row r="424" spans="1:28" x14ac:dyDescent="0.25">
      <c r="A424" s="61"/>
      <c r="B424" s="61"/>
      <c r="C424" s="54"/>
      <c r="D424" s="108"/>
      <c r="E424" s="54"/>
      <c r="F424" s="54"/>
      <c r="G424" s="65"/>
      <c r="H424" s="62"/>
      <c r="I424" s="64"/>
      <c r="J424" s="63"/>
      <c r="K424" s="64"/>
      <c r="L424" s="64"/>
      <c r="M424" s="64"/>
      <c r="N424" s="64"/>
      <c r="O424" s="64"/>
      <c r="P424" s="64"/>
      <c r="Q424" s="64"/>
      <c r="R424" s="64"/>
      <c r="S424" s="64"/>
      <c r="T424" s="63"/>
      <c r="U424" s="64"/>
      <c r="V424" s="96"/>
      <c r="W424" s="97"/>
      <c r="X424" s="95"/>
      <c r="Y424" s="95"/>
      <c r="Z424" s="95"/>
      <c r="AA424" s="95"/>
      <c r="AB424" s="91"/>
    </row>
    <row r="425" spans="1:28" x14ac:dyDescent="0.25">
      <c r="A425" s="61"/>
      <c r="B425" s="61"/>
      <c r="C425" s="54"/>
      <c r="D425" s="108"/>
      <c r="E425" s="54"/>
      <c r="F425" s="54"/>
      <c r="G425" s="65"/>
      <c r="H425" s="62"/>
      <c r="I425" s="64"/>
      <c r="J425" s="63"/>
      <c r="K425" s="64"/>
      <c r="L425" s="64"/>
      <c r="M425" s="64"/>
      <c r="N425" s="64"/>
      <c r="O425" s="64"/>
      <c r="P425" s="64"/>
      <c r="Q425" s="64"/>
      <c r="R425" s="64"/>
      <c r="S425" s="64"/>
      <c r="T425" s="63"/>
      <c r="U425" s="64"/>
      <c r="V425" s="96"/>
      <c r="W425" s="97"/>
      <c r="X425" s="95"/>
      <c r="Y425" s="95"/>
      <c r="Z425" s="95"/>
      <c r="AA425" s="95"/>
      <c r="AB425" s="91"/>
    </row>
    <row r="426" spans="1:28" x14ac:dyDescent="0.25">
      <c r="A426" s="61"/>
      <c r="B426" s="61"/>
      <c r="C426" s="54"/>
      <c r="D426" s="108"/>
      <c r="E426" s="54"/>
      <c r="F426" s="54"/>
      <c r="G426" s="65"/>
      <c r="H426" s="62"/>
      <c r="I426" s="64"/>
      <c r="J426" s="63"/>
      <c r="K426" s="64"/>
      <c r="L426" s="64"/>
      <c r="M426" s="64"/>
      <c r="N426" s="64"/>
      <c r="O426" s="64"/>
      <c r="P426" s="64"/>
      <c r="Q426" s="64"/>
      <c r="R426" s="64"/>
      <c r="S426" s="64"/>
      <c r="T426" s="63"/>
      <c r="U426" s="64"/>
      <c r="V426" s="96"/>
      <c r="W426" s="97"/>
      <c r="X426" s="95"/>
      <c r="Y426" s="95"/>
      <c r="Z426" s="95"/>
      <c r="AA426" s="95"/>
      <c r="AB426" s="91"/>
    </row>
    <row r="427" spans="1:28" x14ac:dyDescent="0.25">
      <c r="A427" s="61"/>
      <c r="B427" s="61"/>
      <c r="C427" s="54"/>
      <c r="D427" s="108"/>
      <c r="E427" s="54"/>
      <c r="F427" s="54"/>
      <c r="G427" s="65"/>
      <c r="H427" s="62"/>
      <c r="I427" s="64"/>
      <c r="J427" s="63"/>
      <c r="K427" s="64"/>
      <c r="L427" s="64"/>
      <c r="M427" s="64"/>
      <c r="N427" s="64"/>
      <c r="O427" s="64"/>
      <c r="P427" s="64"/>
      <c r="Q427" s="64"/>
      <c r="R427" s="64"/>
      <c r="S427" s="64"/>
      <c r="T427" s="63"/>
      <c r="U427" s="64"/>
      <c r="V427" s="96"/>
      <c r="W427" s="97"/>
      <c r="X427" s="95"/>
      <c r="Y427" s="95"/>
      <c r="Z427" s="95"/>
      <c r="AA427" s="95"/>
      <c r="AB427" s="91"/>
    </row>
    <row r="428" spans="1:28" x14ac:dyDescent="0.25">
      <c r="A428" s="61"/>
      <c r="B428" s="61"/>
      <c r="C428" s="54"/>
      <c r="D428" s="108"/>
      <c r="E428" s="54"/>
      <c r="F428" s="54"/>
      <c r="G428" s="65"/>
      <c r="H428" s="62"/>
      <c r="I428" s="64"/>
      <c r="J428" s="63"/>
      <c r="K428" s="64"/>
      <c r="L428" s="64"/>
      <c r="M428" s="64"/>
      <c r="N428" s="64"/>
      <c r="O428" s="64"/>
      <c r="P428" s="64"/>
      <c r="Q428" s="64"/>
      <c r="R428" s="64"/>
      <c r="S428" s="64"/>
      <c r="T428" s="63"/>
      <c r="U428" s="64"/>
      <c r="V428" s="96"/>
      <c r="W428" s="97"/>
      <c r="X428" s="95"/>
      <c r="Y428" s="95"/>
      <c r="Z428" s="95"/>
      <c r="AA428" s="95"/>
      <c r="AB428" s="91"/>
    </row>
    <row r="429" spans="1:28" x14ac:dyDescent="0.25">
      <c r="A429" s="61"/>
      <c r="B429" s="61"/>
      <c r="C429" s="54"/>
      <c r="D429" s="108"/>
      <c r="E429" s="54"/>
      <c r="F429" s="54"/>
      <c r="G429" s="65"/>
      <c r="H429" s="62"/>
      <c r="I429" s="64"/>
      <c r="J429" s="63"/>
      <c r="K429" s="64"/>
      <c r="L429" s="64"/>
      <c r="M429" s="64"/>
      <c r="N429" s="64"/>
      <c r="O429" s="64"/>
      <c r="P429" s="64"/>
      <c r="Q429" s="64"/>
      <c r="R429" s="64"/>
      <c r="S429" s="64"/>
      <c r="T429" s="63"/>
      <c r="U429" s="64"/>
      <c r="V429" s="96"/>
      <c r="W429" s="97"/>
      <c r="X429" s="95"/>
      <c r="Y429" s="95"/>
      <c r="Z429" s="95"/>
      <c r="AA429" s="95"/>
      <c r="AB429" s="91"/>
    </row>
    <row r="430" spans="1:28" x14ac:dyDescent="0.25">
      <c r="A430" s="61"/>
      <c r="B430" s="61"/>
      <c r="C430" s="54"/>
      <c r="D430" s="108"/>
      <c r="E430" s="54"/>
      <c r="F430" s="54"/>
      <c r="G430" s="65"/>
      <c r="H430" s="62"/>
      <c r="I430" s="64"/>
      <c r="J430" s="63"/>
      <c r="K430" s="64"/>
      <c r="L430" s="64"/>
      <c r="M430" s="64"/>
      <c r="N430" s="64"/>
      <c r="O430" s="64"/>
      <c r="P430" s="64"/>
      <c r="Q430" s="64"/>
      <c r="R430" s="64"/>
      <c r="S430" s="64"/>
      <c r="T430" s="63"/>
      <c r="U430" s="64"/>
      <c r="V430" s="96"/>
      <c r="W430" s="97"/>
      <c r="X430" s="95"/>
      <c r="Y430" s="95"/>
      <c r="Z430" s="95"/>
      <c r="AA430" s="95"/>
      <c r="AB430" s="91"/>
    </row>
    <row r="431" spans="1:28" x14ac:dyDescent="0.25">
      <c r="A431" s="61"/>
      <c r="B431" s="61"/>
      <c r="C431" s="54"/>
      <c r="D431" s="108"/>
      <c r="E431" s="54"/>
      <c r="F431" s="54"/>
      <c r="G431" s="65"/>
      <c r="H431" s="62"/>
      <c r="I431" s="64"/>
      <c r="J431" s="63"/>
      <c r="K431" s="64"/>
      <c r="L431" s="64"/>
      <c r="M431" s="64"/>
      <c r="N431" s="64"/>
      <c r="O431" s="64"/>
      <c r="P431" s="64"/>
      <c r="Q431" s="64"/>
      <c r="R431" s="64"/>
      <c r="S431" s="64"/>
      <c r="T431" s="63"/>
      <c r="U431" s="64"/>
      <c r="V431" s="96"/>
      <c r="W431" s="97"/>
      <c r="X431" s="95"/>
      <c r="Y431" s="95"/>
      <c r="Z431" s="95"/>
      <c r="AA431" s="95"/>
      <c r="AB431" s="91"/>
    </row>
    <row r="432" spans="1:28" x14ac:dyDescent="0.25">
      <c r="A432" s="61"/>
      <c r="B432" s="61"/>
      <c r="C432" s="54"/>
      <c r="D432" s="108"/>
      <c r="E432" s="54"/>
      <c r="F432" s="54"/>
      <c r="G432" s="65"/>
      <c r="H432" s="62"/>
      <c r="I432" s="64"/>
      <c r="J432" s="63"/>
      <c r="K432" s="64"/>
      <c r="L432" s="64"/>
      <c r="M432" s="64"/>
      <c r="N432" s="64"/>
      <c r="O432" s="64"/>
      <c r="P432" s="64"/>
      <c r="Q432" s="64"/>
      <c r="R432" s="64"/>
      <c r="S432" s="64"/>
      <c r="T432" s="63"/>
      <c r="U432" s="64"/>
      <c r="V432" s="96"/>
      <c r="W432" s="97"/>
      <c r="X432" s="95"/>
      <c r="Y432" s="95"/>
      <c r="Z432" s="95"/>
      <c r="AA432" s="95"/>
      <c r="AB432" s="91"/>
    </row>
    <row r="433" spans="1:28" x14ac:dyDescent="0.25">
      <c r="A433" s="61"/>
      <c r="B433" s="61"/>
      <c r="C433" s="54"/>
      <c r="D433" s="108"/>
      <c r="E433" s="54"/>
      <c r="F433" s="54"/>
      <c r="G433" s="65"/>
      <c r="H433" s="62"/>
      <c r="I433" s="64"/>
      <c r="J433" s="63"/>
      <c r="K433" s="64"/>
      <c r="L433" s="64"/>
      <c r="M433" s="64"/>
      <c r="N433" s="64"/>
      <c r="O433" s="64"/>
      <c r="P433" s="64"/>
      <c r="Q433" s="64"/>
      <c r="R433" s="64"/>
      <c r="S433" s="64"/>
      <c r="T433" s="63"/>
      <c r="U433" s="64"/>
      <c r="V433" s="96"/>
      <c r="W433" s="97"/>
      <c r="X433" s="95"/>
      <c r="Y433" s="95"/>
      <c r="Z433" s="95"/>
      <c r="AA433" s="95"/>
      <c r="AB433" s="91"/>
    </row>
    <row r="434" spans="1:28" x14ac:dyDescent="0.25">
      <c r="A434" s="61"/>
      <c r="B434" s="61"/>
      <c r="C434" s="54"/>
      <c r="D434" s="108"/>
      <c r="E434" s="54"/>
      <c r="F434" s="54"/>
      <c r="G434" s="65"/>
      <c r="H434" s="62"/>
      <c r="I434" s="64"/>
      <c r="J434" s="63"/>
      <c r="K434" s="64"/>
      <c r="L434" s="64"/>
      <c r="M434" s="64"/>
      <c r="N434" s="64"/>
      <c r="O434" s="64"/>
      <c r="P434" s="64"/>
      <c r="Q434" s="64"/>
      <c r="R434" s="64"/>
      <c r="S434" s="64"/>
      <c r="T434" s="63"/>
      <c r="U434" s="64"/>
      <c r="V434" s="96"/>
      <c r="W434" s="97"/>
      <c r="X434" s="95"/>
      <c r="Y434" s="95"/>
      <c r="Z434" s="95"/>
      <c r="AA434" s="95"/>
      <c r="AB434" s="91"/>
    </row>
    <row r="435" spans="1:28" x14ac:dyDescent="0.25">
      <c r="A435" s="61"/>
      <c r="B435" s="61"/>
      <c r="C435" s="54"/>
      <c r="D435" s="108"/>
      <c r="E435" s="54"/>
      <c r="F435" s="54"/>
      <c r="G435" s="65"/>
      <c r="H435" s="62"/>
      <c r="I435" s="64"/>
      <c r="J435" s="63"/>
      <c r="K435" s="64"/>
      <c r="L435" s="64"/>
      <c r="M435" s="64"/>
      <c r="N435" s="64"/>
      <c r="O435" s="64"/>
      <c r="P435" s="64"/>
      <c r="Q435" s="64"/>
      <c r="R435" s="64"/>
      <c r="S435" s="64"/>
      <c r="T435" s="63"/>
      <c r="U435" s="64"/>
      <c r="V435" s="96"/>
      <c r="W435" s="97"/>
      <c r="X435" s="95"/>
      <c r="Y435" s="95"/>
      <c r="Z435" s="95"/>
      <c r="AA435" s="95"/>
      <c r="AB435" s="91"/>
    </row>
    <row r="436" spans="1:28" x14ac:dyDescent="0.25">
      <c r="A436" s="61"/>
      <c r="B436" s="61"/>
      <c r="C436" s="54"/>
      <c r="D436" s="108"/>
      <c r="E436" s="54"/>
      <c r="F436" s="54"/>
      <c r="G436" s="65"/>
      <c r="H436" s="62"/>
      <c r="I436" s="64"/>
      <c r="J436" s="63"/>
      <c r="K436" s="64"/>
      <c r="L436" s="64"/>
      <c r="M436" s="64"/>
      <c r="N436" s="64"/>
      <c r="O436" s="64"/>
      <c r="P436" s="64"/>
      <c r="Q436" s="64"/>
      <c r="R436" s="64"/>
      <c r="S436" s="64"/>
      <c r="T436" s="63"/>
      <c r="U436" s="64"/>
      <c r="V436" s="96"/>
      <c r="W436" s="97"/>
      <c r="X436" s="95"/>
      <c r="Y436" s="95"/>
      <c r="Z436" s="95"/>
      <c r="AA436" s="95"/>
      <c r="AB436" s="91"/>
    </row>
    <row r="437" spans="1:28" x14ac:dyDescent="0.25">
      <c r="A437" s="61"/>
      <c r="B437" s="61"/>
      <c r="C437" s="54"/>
      <c r="D437" s="108"/>
      <c r="E437" s="54"/>
      <c r="F437" s="54"/>
      <c r="G437" s="65"/>
      <c r="H437" s="62"/>
      <c r="I437" s="64"/>
      <c r="J437" s="63"/>
      <c r="K437" s="64"/>
      <c r="L437" s="64"/>
      <c r="M437" s="64"/>
      <c r="N437" s="64"/>
      <c r="O437" s="64"/>
      <c r="P437" s="64"/>
      <c r="Q437" s="64"/>
      <c r="R437" s="64"/>
      <c r="S437" s="64"/>
      <c r="T437" s="63"/>
      <c r="U437" s="64"/>
      <c r="V437" s="96"/>
      <c r="W437" s="97"/>
      <c r="X437" s="95"/>
      <c r="Y437" s="95"/>
      <c r="Z437" s="95"/>
      <c r="AA437" s="95"/>
      <c r="AB437" s="91"/>
    </row>
    <row r="438" spans="1:28" x14ac:dyDescent="0.25">
      <c r="A438" s="61"/>
      <c r="B438" s="61"/>
      <c r="C438" s="54"/>
      <c r="D438" s="108"/>
      <c r="E438" s="54"/>
      <c r="F438" s="54"/>
      <c r="G438" s="65"/>
      <c r="H438" s="62"/>
      <c r="I438" s="64"/>
      <c r="J438" s="63"/>
      <c r="K438" s="64"/>
      <c r="L438" s="64"/>
      <c r="M438" s="64"/>
      <c r="N438" s="64"/>
      <c r="O438" s="64"/>
      <c r="P438" s="64"/>
      <c r="Q438" s="64"/>
      <c r="R438" s="64"/>
      <c r="S438" s="64"/>
      <c r="T438" s="63"/>
      <c r="U438" s="64"/>
      <c r="V438" s="96"/>
      <c r="W438" s="97"/>
      <c r="X438" s="95"/>
      <c r="Y438" s="95"/>
      <c r="Z438" s="95"/>
      <c r="AA438" s="95"/>
      <c r="AB438" s="91"/>
    </row>
    <row r="439" spans="1:28" x14ac:dyDescent="0.25">
      <c r="A439" s="61"/>
      <c r="B439" s="61"/>
      <c r="C439" s="54"/>
      <c r="D439" s="108"/>
      <c r="E439" s="54"/>
      <c r="F439" s="54"/>
      <c r="G439" s="65"/>
      <c r="H439" s="62"/>
      <c r="I439" s="64"/>
      <c r="J439" s="63"/>
      <c r="K439" s="64"/>
      <c r="L439" s="64"/>
      <c r="M439" s="64"/>
      <c r="N439" s="64"/>
      <c r="O439" s="64"/>
      <c r="P439" s="64"/>
      <c r="Q439" s="64"/>
      <c r="R439" s="64"/>
      <c r="S439" s="64"/>
      <c r="T439" s="63"/>
      <c r="U439" s="64"/>
      <c r="V439" s="96"/>
      <c r="W439" s="97"/>
      <c r="X439" s="95"/>
      <c r="Y439" s="95"/>
      <c r="Z439" s="95"/>
      <c r="AA439" s="95"/>
      <c r="AB439" s="91"/>
    </row>
    <row r="440" spans="1:28" x14ac:dyDescent="0.25">
      <c r="A440" s="61"/>
      <c r="B440" s="61"/>
      <c r="C440" s="54"/>
      <c r="D440" s="108"/>
      <c r="E440" s="54"/>
      <c r="F440" s="54"/>
      <c r="G440" s="65"/>
      <c r="H440" s="62"/>
      <c r="I440" s="64"/>
      <c r="J440" s="63"/>
      <c r="K440" s="64"/>
      <c r="L440" s="64"/>
      <c r="M440" s="64"/>
      <c r="N440" s="64"/>
      <c r="O440" s="64"/>
      <c r="P440" s="64"/>
      <c r="Q440" s="64"/>
      <c r="R440" s="64"/>
      <c r="S440" s="64"/>
      <c r="T440" s="63"/>
      <c r="U440" s="64"/>
      <c r="V440" s="96"/>
      <c r="W440" s="97"/>
      <c r="X440" s="95"/>
      <c r="Y440" s="95"/>
      <c r="Z440" s="95"/>
      <c r="AA440" s="95"/>
      <c r="AB440" s="91"/>
    </row>
    <row r="441" spans="1:28" x14ac:dyDescent="0.25">
      <c r="A441" s="61"/>
      <c r="B441" s="61"/>
      <c r="C441" s="54"/>
      <c r="D441" s="108"/>
      <c r="E441" s="54"/>
      <c r="F441" s="54"/>
      <c r="G441" s="65"/>
      <c r="H441" s="62"/>
      <c r="I441" s="64"/>
      <c r="J441" s="63"/>
      <c r="K441" s="64"/>
      <c r="L441" s="64"/>
      <c r="M441" s="64"/>
      <c r="N441" s="64"/>
      <c r="O441" s="64"/>
      <c r="P441" s="64"/>
      <c r="Q441" s="64"/>
      <c r="R441" s="64"/>
      <c r="S441" s="64"/>
      <c r="T441" s="63"/>
      <c r="U441" s="64"/>
      <c r="V441" s="96"/>
      <c r="W441" s="97"/>
      <c r="X441" s="95"/>
      <c r="Y441" s="95"/>
      <c r="Z441" s="95"/>
      <c r="AA441" s="95"/>
      <c r="AB441" s="91"/>
    </row>
    <row r="442" spans="1:28" x14ac:dyDescent="0.25">
      <c r="A442" s="61"/>
      <c r="B442" s="61"/>
      <c r="C442" s="54"/>
      <c r="D442" s="108"/>
      <c r="E442" s="54"/>
      <c r="F442" s="54"/>
      <c r="G442" s="65"/>
      <c r="H442" s="62"/>
      <c r="I442" s="64"/>
      <c r="J442" s="63"/>
      <c r="K442" s="64"/>
      <c r="L442" s="64"/>
      <c r="M442" s="64"/>
      <c r="N442" s="64"/>
      <c r="O442" s="64"/>
      <c r="P442" s="64"/>
      <c r="Q442" s="64"/>
      <c r="R442" s="64"/>
      <c r="S442" s="64"/>
      <c r="T442" s="63"/>
      <c r="U442" s="64"/>
      <c r="V442" s="96"/>
      <c r="W442" s="97"/>
      <c r="X442" s="95"/>
      <c r="Y442" s="95"/>
      <c r="Z442" s="95"/>
      <c r="AA442" s="95"/>
      <c r="AB442" s="91"/>
    </row>
    <row r="443" spans="1:28" x14ac:dyDescent="0.25">
      <c r="A443" s="61"/>
      <c r="B443" s="61"/>
      <c r="C443" s="54"/>
      <c r="D443" s="108"/>
      <c r="E443" s="54"/>
      <c r="F443" s="54"/>
      <c r="G443" s="65"/>
      <c r="H443" s="62"/>
      <c r="I443" s="64"/>
      <c r="J443" s="63"/>
      <c r="K443" s="64"/>
      <c r="L443" s="64"/>
      <c r="M443" s="64"/>
      <c r="N443" s="64"/>
      <c r="O443" s="64"/>
      <c r="P443" s="64"/>
      <c r="Q443" s="64"/>
      <c r="R443" s="64"/>
      <c r="S443" s="64"/>
      <c r="T443" s="63"/>
      <c r="U443" s="64"/>
      <c r="V443" s="96"/>
      <c r="W443" s="97"/>
      <c r="X443" s="95"/>
      <c r="Y443" s="95"/>
      <c r="Z443" s="95"/>
      <c r="AA443" s="95"/>
      <c r="AB443" s="91"/>
    </row>
    <row r="444" spans="1:28" x14ac:dyDescent="0.25">
      <c r="A444" s="61"/>
      <c r="B444" s="61"/>
      <c r="C444" s="54"/>
      <c r="D444" s="108"/>
      <c r="E444" s="54"/>
      <c r="F444" s="54"/>
      <c r="G444" s="65"/>
      <c r="H444" s="62"/>
      <c r="I444" s="64"/>
      <c r="J444" s="63"/>
      <c r="K444" s="64"/>
      <c r="L444" s="64"/>
      <c r="M444" s="64"/>
      <c r="N444" s="64"/>
      <c r="O444" s="64"/>
      <c r="P444" s="64"/>
      <c r="Q444" s="64"/>
      <c r="R444" s="64"/>
      <c r="S444" s="64"/>
      <c r="T444" s="63"/>
      <c r="U444" s="64"/>
      <c r="V444" s="96"/>
      <c r="W444" s="97"/>
      <c r="X444" s="95"/>
      <c r="Y444" s="95"/>
      <c r="Z444" s="95"/>
      <c r="AA444" s="95"/>
      <c r="AB444" s="91"/>
    </row>
    <row r="445" spans="1:28" x14ac:dyDescent="0.25">
      <c r="A445" s="61"/>
      <c r="B445" s="61"/>
      <c r="C445" s="54"/>
      <c r="D445" s="108"/>
      <c r="E445" s="54"/>
      <c r="F445" s="54"/>
      <c r="G445" s="65"/>
      <c r="H445" s="62"/>
      <c r="I445" s="64"/>
      <c r="J445" s="63"/>
      <c r="K445" s="64"/>
      <c r="L445" s="64"/>
      <c r="M445" s="64"/>
      <c r="N445" s="64"/>
      <c r="O445" s="64"/>
      <c r="P445" s="64"/>
      <c r="Q445" s="64"/>
      <c r="R445" s="64"/>
      <c r="S445" s="64"/>
      <c r="T445" s="63"/>
      <c r="U445" s="64"/>
      <c r="V445" s="96"/>
      <c r="W445" s="97"/>
      <c r="X445" s="95"/>
      <c r="Y445" s="95"/>
      <c r="Z445" s="95"/>
      <c r="AA445" s="95"/>
      <c r="AB445" s="91"/>
    </row>
    <row r="446" spans="1:28" x14ac:dyDescent="0.25">
      <c r="A446" s="61"/>
      <c r="B446" s="61"/>
      <c r="C446" s="54"/>
      <c r="D446" s="108"/>
      <c r="E446" s="54"/>
      <c r="F446" s="54"/>
      <c r="G446" s="65"/>
      <c r="H446" s="62"/>
      <c r="I446" s="64"/>
      <c r="J446" s="63"/>
      <c r="K446" s="64"/>
      <c r="L446" s="64"/>
      <c r="M446" s="64"/>
      <c r="N446" s="64"/>
      <c r="O446" s="64"/>
      <c r="P446" s="64"/>
      <c r="Q446" s="64"/>
      <c r="R446" s="64"/>
      <c r="S446" s="64"/>
      <c r="T446" s="63"/>
      <c r="U446" s="64"/>
      <c r="V446" s="96"/>
      <c r="W446" s="97"/>
      <c r="X446" s="95"/>
      <c r="Y446" s="95"/>
      <c r="Z446" s="95"/>
      <c r="AA446" s="95"/>
      <c r="AB446" s="91"/>
    </row>
    <row r="447" spans="1:28" x14ac:dyDescent="0.25">
      <c r="A447" s="61"/>
      <c r="B447" s="61"/>
      <c r="C447" s="54"/>
      <c r="D447" s="108"/>
      <c r="E447" s="54"/>
      <c r="F447" s="54"/>
      <c r="G447" s="65"/>
      <c r="H447" s="62"/>
      <c r="I447" s="64"/>
      <c r="J447" s="63"/>
      <c r="K447" s="64"/>
      <c r="L447" s="64"/>
      <c r="M447" s="64"/>
      <c r="N447" s="64"/>
      <c r="O447" s="64"/>
      <c r="P447" s="64"/>
      <c r="Q447" s="64"/>
      <c r="R447" s="64"/>
      <c r="S447" s="64"/>
      <c r="T447" s="63"/>
      <c r="U447" s="64"/>
      <c r="V447" s="96"/>
      <c r="W447" s="97"/>
      <c r="X447" s="95"/>
      <c r="Y447" s="95"/>
      <c r="Z447" s="95"/>
      <c r="AA447" s="95"/>
      <c r="AB447" s="91"/>
    </row>
    <row r="448" spans="1:28" x14ac:dyDescent="0.25">
      <c r="A448" s="61"/>
      <c r="B448" s="61"/>
      <c r="C448" s="54"/>
      <c r="D448" s="108"/>
      <c r="E448" s="54"/>
      <c r="F448" s="54"/>
      <c r="G448" s="65"/>
      <c r="H448" s="62"/>
      <c r="I448" s="64"/>
      <c r="J448" s="63"/>
      <c r="K448" s="64"/>
      <c r="L448" s="64"/>
      <c r="M448" s="64"/>
      <c r="N448" s="64"/>
      <c r="O448" s="64"/>
      <c r="P448" s="64"/>
      <c r="Q448" s="64"/>
      <c r="R448" s="64"/>
      <c r="S448" s="64"/>
      <c r="T448" s="63"/>
      <c r="U448" s="64"/>
      <c r="V448" s="96"/>
      <c r="W448" s="97"/>
      <c r="X448" s="95"/>
      <c r="Y448" s="95"/>
      <c r="Z448" s="95"/>
      <c r="AA448" s="95"/>
      <c r="AB448" s="91"/>
    </row>
    <row r="449" spans="1:28" x14ac:dyDescent="0.25">
      <c r="A449" s="61"/>
      <c r="B449" s="61"/>
      <c r="C449" s="54"/>
      <c r="D449" s="108"/>
      <c r="E449" s="54"/>
      <c r="F449" s="54"/>
      <c r="G449" s="65"/>
      <c r="H449" s="62"/>
      <c r="I449" s="64"/>
      <c r="J449" s="63"/>
      <c r="K449" s="64"/>
      <c r="L449" s="64"/>
      <c r="M449" s="64"/>
      <c r="N449" s="64"/>
      <c r="O449" s="64"/>
      <c r="P449" s="64"/>
      <c r="Q449" s="64"/>
      <c r="R449" s="64"/>
      <c r="S449" s="64"/>
      <c r="T449" s="63"/>
      <c r="U449" s="64"/>
      <c r="V449" s="96"/>
      <c r="W449" s="97"/>
      <c r="X449" s="95"/>
      <c r="Y449" s="95"/>
      <c r="Z449" s="95"/>
      <c r="AA449" s="95"/>
      <c r="AB449" s="91"/>
    </row>
    <row r="450" spans="1:28" x14ac:dyDescent="0.25">
      <c r="A450" s="61"/>
      <c r="B450" s="61"/>
      <c r="C450" s="54"/>
      <c r="D450" s="108"/>
      <c r="E450" s="54"/>
      <c r="F450" s="54"/>
      <c r="G450" s="65"/>
      <c r="H450" s="62"/>
      <c r="I450" s="64"/>
      <c r="J450" s="63"/>
      <c r="K450" s="64"/>
      <c r="L450" s="64"/>
      <c r="M450" s="64"/>
      <c r="N450" s="64"/>
      <c r="O450" s="64"/>
      <c r="P450" s="64"/>
      <c r="Q450" s="64"/>
      <c r="R450" s="64"/>
      <c r="S450" s="64"/>
      <c r="T450" s="63"/>
      <c r="U450" s="64"/>
      <c r="V450" s="96"/>
      <c r="W450" s="97"/>
      <c r="X450" s="95"/>
      <c r="Y450" s="95"/>
      <c r="Z450" s="95"/>
      <c r="AA450" s="95"/>
      <c r="AB450" s="91"/>
    </row>
    <row r="451" spans="1:28" x14ac:dyDescent="0.25">
      <c r="A451" s="61"/>
      <c r="B451" s="61"/>
      <c r="C451" s="54"/>
      <c r="D451" s="108"/>
      <c r="E451" s="54"/>
      <c r="F451" s="54"/>
      <c r="G451" s="65"/>
      <c r="H451" s="62"/>
      <c r="I451" s="64"/>
      <c r="J451" s="63"/>
      <c r="K451" s="64"/>
      <c r="L451" s="64"/>
      <c r="M451" s="64"/>
      <c r="N451" s="64"/>
      <c r="O451" s="64"/>
      <c r="P451" s="64"/>
      <c r="Q451" s="64"/>
      <c r="R451" s="64"/>
      <c r="S451" s="64"/>
      <c r="T451" s="63"/>
      <c r="U451" s="64"/>
      <c r="V451" s="96"/>
      <c r="W451" s="97"/>
      <c r="X451" s="95"/>
      <c r="Y451" s="95"/>
      <c r="Z451" s="95"/>
      <c r="AA451" s="95"/>
      <c r="AB451" s="91"/>
    </row>
    <row r="452" spans="1:28" x14ac:dyDescent="0.25">
      <c r="A452" s="61"/>
      <c r="B452" s="61"/>
      <c r="C452" s="54"/>
      <c r="D452" s="108"/>
      <c r="E452" s="54"/>
      <c r="F452" s="54"/>
      <c r="G452" s="65"/>
      <c r="H452" s="62"/>
      <c r="I452" s="64"/>
      <c r="J452" s="63"/>
      <c r="K452" s="64"/>
      <c r="L452" s="64"/>
      <c r="M452" s="64"/>
      <c r="N452" s="64"/>
      <c r="O452" s="64"/>
      <c r="P452" s="64"/>
      <c r="Q452" s="64"/>
      <c r="R452" s="64"/>
      <c r="S452" s="64"/>
      <c r="T452" s="63"/>
      <c r="U452" s="64"/>
      <c r="V452" s="96"/>
      <c r="W452" s="97"/>
      <c r="X452" s="95"/>
      <c r="Y452" s="95"/>
      <c r="Z452" s="95"/>
      <c r="AA452" s="95"/>
      <c r="AB452" s="91"/>
    </row>
    <row r="453" spans="1:28" x14ac:dyDescent="0.25">
      <c r="A453" s="61"/>
      <c r="B453" s="61"/>
      <c r="C453" s="54"/>
      <c r="D453" s="108"/>
      <c r="E453" s="54"/>
      <c r="F453" s="54"/>
      <c r="G453" s="65"/>
      <c r="H453" s="62"/>
      <c r="I453" s="64"/>
      <c r="J453" s="63"/>
      <c r="K453" s="64"/>
      <c r="L453" s="64"/>
      <c r="M453" s="64"/>
      <c r="N453" s="64"/>
      <c r="O453" s="64"/>
      <c r="P453" s="64"/>
      <c r="Q453" s="64"/>
      <c r="R453" s="64"/>
      <c r="S453" s="64"/>
      <c r="T453" s="63"/>
      <c r="U453" s="64"/>
      <c r="V453" s="96"/>
      <c r="W453" s="97"/>
      <c r="X453" s="95"/>
      <c r="Y453" s="95"/>
      <c r="Z453" s="95"/>
      <c r="AA453" s="95"/>
      <c r="AB453" s="91"/>
    </row>
    <row r="454" spans="1:28" x14ac:dyDescent="0.25">
      <c r="A454" s="61"/>
      <c r="B454" s="61"/>
      <c r="C454" s="54"/>
      <c r="D454" s="108"/>
      <c r="E454" s="54"/>
      <c r="F454" s="54"/>
      <c r="G454" s="65"/>
      <c r="H454" s="62"/>
      <c r="I454" s="64"/>
      <c r="J454" s="63"/>
      <c r="K454" s="64"/>
      <c r="L454" s="64"/>
      <c r="M454" s="64"/>
      <c r="N454" s="64"/>
      <c r="O454" s="64"/>
      <c r="P454" s="64"/>
      <c r="Q454" s="64"/>
      <c r="R454" s="64"/>
      <c r="S454" s="64"/>
      <c r="T454" s="63"/>
      <c r="U454" s="64"/>
      <c r="V454" s="96"/>
      <c r="W454" s="97"/>
      <c r="X454" s="95"/>
      <c r="Y454" s="95"/>
      <c r="Z454" s="95"/>
      <c r="AA454" s="95"/>
      <c r="AB454" s="91"/>
    </row>
    <row r="455" spans="1:28" x14ac:dyDescent="0.25">
      <c r="A455" s="61"/>
      <c r="B455" s="61"/>
      <c r="C455" s="54"/>
      <c r="D455" s="108"/>
      <c r="E455" s="54"/>
      <c r="F455" s="54"/>
      <c r="G455" s="65"/>
      <c r="H455" s="62"/>
      <c r="I455" s="64"/>
      <c r="J455" s="63"/>
      <c r="K455" s="64"/>
      <c r="L455" s="64"/>
      <c r="M455" s="64"/>
      <c r="N455" s="64"/>
      <c r="O455" s="64"/>
      <c r="P455" s="64"/>
      <c r="Q455" s="64"/>
      <c r="R455" s="64"/>
      <c r="S455" s="64"/>
      <c r="T455" s="63"/>
      <c r="U455" s="64"/>
      <c r="V455" s="96"/>
      <c r="W455" s="97"/>
      <c r="X455" s="95"/>
      <c r="Y455" s="95"/>
      <c r="Z455" s="95"/>
      <c r="AA455" s="95"/>
      <c r="AB455" s="91"/>
    </row>
    <row r="456" spans="1:28" x14ac:dyDescent="0.25">
      <c r="A456" s="61"/>
      <c r="B456" s="61"/>
      <c r="C456" s="54"/>
      <c r="D456" s="108"/>
      <c r="E456" s="54"/>
      <c r="F456" s="54"/>
      <c r="G456" s="65"/>
      <c r="H456" s="62"/>
      <c r="I456" s="64"/>
      <c r="J456" s="63"/>
      <c r="K456" s="64"/>
      <c r="L456" s="64"/>
      <c r="M456" s="64"/>
      <c r="N456" s="64"/>
      <c r="O456" s="64"/>
      <c r="P456" s="64"/>
      <c r="Q456" s="64"/>
      <c r="R456" s="64"/>
      <c r="S456" s="64"/>
      <c r="T456" s="63"/>
      <c r="U456" s="64"/>
      <c r="V456" s="96"/>
      <c r="W456" s="97"/>
      <c r="X456" s="95"/>
      <c r="Y456" s="95"/>
      <c r="Z456" s="95"/>
      <c r="AA456" s="95"/>
      <c r="AB456" s="91"/>
    </row>
    <row r="457" spans="1:28" x14ac:dyDescent="0.25">
      <c r="A457" s="61"/>
      <c r="B457" s="61"/>
      <c r="C457" s="54"/>
      <c r="D457" s="108"/>
      <c r="E457" s="54"/>
      <c r="F457" s="54"/>
      <c r="G457" s="65"/>
      <c r="H457" s="62"/>
      <c r="I457" s="64"/>
      <c r="J457" s="63"/>
      <c r="K457" s="64"/>
      <c r="L457" s="64"/>
      <c r="M457" s="64"/>
      <c r="N457" s="64"/>
      <c r="O457" s="64"/>
      <c r="P457" s="64"/>
      <c r="Q457" s="64"/>
      <c r="R457" s="64"/>
      <c r="S457" s="64"/>
      <c r="T457" s="63"/>
      <c r="U457" s="64"/>
      <c r="V457" s="96"/>
      <c r="W457" s="97"/>
      <c r="X457" s="95"/>
      <c r="Y457" s="95"/>
      <c r="Z457" s="95"/>
      <c r="AA457" s="95"/>
      <c r="AB457" s="91"/>
    </row>
    <row r="458" spans="1:28" x14ac:dyDescent="0.25">
      <c r="A458" s="61"/>
      <c r="B458" s="61"/>
      <c r="C458" s="54"/>
      <c r="D458" s="108"/>
      <c r="E458" s="54"/>
      <c r="F458" s="54"/>
      <c r="G458" s="65"/>
      <c r="H458" s="62"/>
      <c r="I458" s="64"/>
      <c r="J458" s="63"/>
      <c r="K458" s="64"/>
      <c r="L458" s="64"/>
      <c r="M458" s="64"/>
      <c r="N458" s="64"/>
      <c r="O458" s="64"/>
      <c r="P458" s="64"/>
      <c r="Q458" s="64"/>
      <c r="R458" s="64"/>
      <c r="S458" s="64"/>
      <c r="T458" s="63"/>
      <c r="U458" s="64"/>
      <c r="V458" s="96"/>
      <c r="W458" s="97"/>
      <c r="X458" s="95"/>
      <c r="Y458" s="95"/>
      <c r="Z458" s="95"/>
      <c r="AA458" s="95"/>
      <c r="AB458" s="91"/>
    </row>
    <row r="459" spans="1:28" x14ac:dyDescent="0.25">
      <c r="A459" s="61"/>
      <c r="B459" s="61"/>
      <c r="C459" s="54"/>
      <c r="D459" s="108"/>
      <c r="E459" s="54"/>
      <c r="F459" s="54"/>
      <c r="G459" s="65"/>
      <c r="H459" s="62"/>
      <c r="I459" s="64"/>
      <c r="J459" s="63"/>
      <c r="K459" s="64"/>
      <c r="L459" s="64"/>
      <c r="M459" s="64"/>
      <c r="N459" s="64"/>
      <c r="O459" s="64"/>
      <c r="P459" s="64"/>
      <c r="Q459" s="64"/>
      <c r="R459" s="64"/>
      <c r="S459" s="64"/>
      <c r="T459" s="63"/>
      <c r="U459" s="64"/>
      <c r="V459" s="96"/>
      <c r="W459" s="97"/>
      <c r="X459" s="95"/>
      <c r="Y459" s="95"/>
      <c r="Z459" s="95"/>
      <c r="AA459" s="95"/>
      <c r="AB459" s="91"/>
    </row>
    <row r="460" spans="1:28" x14ac:dyDescent="0.25">
      <c r="A460" s="61"/>
      <c r="B460" s="61"/>
      <c r="C460" s="54"/>
      <c r="D460" s="108"/>
      <c r="E460" s="54"/>
      <c r="F460" s="54"/>
      <c r="G460" s="65"/>
      <c r="H460" s="62"/>
      <c r="I460" s="64"/>
      <c r="J460" s="63"/>
      <c r="K460" s="64"/>
      <c r="L460" s="64"/>
      <c r="M460" s="64"/>
      <c r="N460" s="64"/>
      <c r="O460" s="64"/>
      <c r="P460" s="64"/>
      <c r="Q460" s="64"/>
      <c r="R460" s="64"/>
      <c r="S460" s="64"/>
      <c r="T460" s="63"/>
      <c r="U460" s="64"/>
      <c r="V460" s="96"/>
      <c r="W460" s="97"/>
      <c r="X460" s="95"/>
      <c r="Y460" s="95"/>
      <c r="Z460" s="95"/>
      <c r="AA460" s="95"/>
      <c r="AB460" s="91"/>
    </row>
    <row r="461" spans="1:28" x14ac:dyDescent="0.25">
      <c r="A461" s="61"/>
      <c r="B461" s="61"/>
      <c r="C461" s="54"/>
      <c r="D461" s="108"/>
      <c r="E461" s="54"/>
      <c r="F461" s="54"/>
      <c r="G461" s="65"/>
      <c r="H461" s="62"/>
      <c r="I461" s="64"/>
      <c r="J461" s="63"/>
      <c r="K461" s="64"/>
      <c r="L461" s="64"/>
      <c r="M461" s="64"/>
      <c r="N461" s="64"/>
      <c r="O461" s="64"/>
      <c r="P461" s="64"/>
      <c r="Q461" s="64"/>
      <c r="R461" s="64"/>
      <c r="S461" s="64"/>
      <c r="T461" s="63"/>
      <c r="U461" s="64"/>
      <c r="V461" s="96"/>
      <c r="W461" s="97"/>
      <c r="X461" s="95"/>
      <c r="Y461" s="95"/>
      <c r="Z461" s="95"/>
      <c r="AA461" s="95"/>
      <c r="AB461" s="91"/>
    </row>
    <row r="462" spans="1:28" x14ac:dyDescent="0.25">
      <c r="A462" s="61"/>
      <c r="B462" s="61"/>
      <c r="C462" s="54"/>
      <c r="D462" s="108"/>
      <c r="E462" s="54"/>
      <c r="F462" s="54"/>
      <c r="G462" s="65"/>
      <c r="H462" s="62"/>
      <c r="I462" s="64"/>
      <c r="J462" s="63"/>
      <c r="K462" s="64"/>
      <c r="L462" s="64"/>
      <c r="M462" s="64"/>
      <c r="N462" s="64"/>
      <c r="O462" s="64"/>
      <c r="P462" s="64"/>
      <c r="Q462" s="64"/>
      <c r="R462" s="64"/>
      <c r="S462" s="64"/>
      <c r="T462" s="63"/>
      <c r="U462" s="64"/>
      <c r="V462" s="96"/>
      <c r="W462" s="97"/>
      <c r="X462" s="95"/>
      <c r="Y462" s="95"/>
      <c r="Z462" s="95"/>
      <c r="AA462" s="95"/>
      <c r="AB462" s="91"/>
    </row>
    <row r="463" spans="1:28" x14ac:dyDescent="0.25">
      <c r="A463" s="61"/>
      <c r="B463" s="61"/>
      <c r="C463" s="54"/>
      <c r="D463" s="108"/>
      <c r="E463" s="54"/>
      <c r="F463" s="54"/>
      <c r="G463" s="65"/>
      <c r="H463" s="62"/>
      <c r="I463" s="64"/>
      <c r="J463" s="63"/>
      <c r="K463" s="64"/>
      <c r="L463" s="64"/>
      <c r="M463" s="64"/>
      <c r="N463" s="64"/>
      <c r="O463" s="64"/>
      <c r="P463" s="64"/>
      <c r="Q463" s="64"/>
      <c r="R463" s="64"/>
      <c r="S463" s="64"/>
      <c r="T463" s="63"/>
      <c r="U463" s="64"/>
      <c r="V463" s="96"/>
      <c r="W463" s="97"/>
      <c r="X463" s="95"/>
      <c r="Y463" s="95"/>
      <c r="Z463" s="95"/>
      <c r="AA463" s="95"/>
      <c r="AB463" s="91"/>
    </row>
    <row r="464" spans="1:28" x14ac:dyDescent="0.25">
      <c r="A464" s="61"/>
      <c r="B464" s="61"/>
      <c r="C464" s="54"/>
      <c r="D464" s="108"/>
      <c r="E464" s="54"/>
      <c r="F464" s="54"/>
      <c r="G464" s="65"/>
      <c r="H464" s="62"/>
      <c r="I464" s="64"/>
      <c r="J464" s="63"/>
      <c r="K464" s="64"/>
      <c r="L464" s="64"/>
      <c r="M464" s="64"/>
      <c r="N464" s="64"/>
      <c r="O464" s="64"/>
      <c r="P464" s="64"/>
      <c r="Q464" s="64"/>
      <c r="R464" s="64"/>
      <c r="S464" s="64"/>
      <c r="T464" s="63"/>
      <c r="U464" s="64"/>
      <c r="V464" s="96"/>
      <c r="W464" s="97"/>
      <c r="X464" s="95"/>
      <c r="Y464" s="95"/>
      <c r="Z464" s="95"/>
      <c r="AA464" s="95"/>
      <c r="AB464" s="91"/>
    </row>
    <row r="465" spans="1:28" x14ac:dyDescent="0.25">
      <c r="A465" s="61"/>
      <c r="B465" s="61"/>
      <c r="C465" s="54"/>
      <c r="D465" s="108"/>
      <c r="E465" s="54"/>
      <c r="F465" s="54"/>
      <c r="G465" s="65"/>
      <c r="H465" s="62"/>
      <c r="I465" s="64"/>
      <c r="J465" s="63"/>
      <c r="K465" s="64"/>
      <c r="L465" s="64"/>
      <c r="M465" s="64"/>
      <c r="N465" s="64"/>
      <c r="O465" s="64"/>
      <c r="P465" s="64"/>
      <c r="Q465" s="64"/>
      <c r="R465" s="64"/>
      <c r="S465" s="64"/>
      <c r="T465" s="63"/>
      <c r="U465" s="64"/>
      <c r="V465" s="96"/>
      <c r="W465" s="97"/>
      <c r="X465" s="95"/>
      <c r="Y465" s="95"/>
      <c r="Z465" s="95"/>
      <c r="AA465" s="95"/>
      <c r="AB465" s="91"/>
    </row>
    <row r="466" spans="1:28" x14ac:dyDescent="0.25">
      <c r="A466" s="61"/>
      <c r="B466" s="61"/>
      <c r="C466" s="54"/>
      <c r="D466" s="108"/>
      <c r="E466" s="54"/>
      <c r="F466" s="54"/>
      <c r="G466" s="65"/>
      <c r="H466" s="62"/>
      <c r="I466" s="64"/>
      <c r="J466" s="63"/>
      <c r="K466" s="64"/>
      <c r="L466" s="64"/>
      <c r="M466" s="64"/>
      <c r="N466" s="64"/>
      <c r="O466" s="64"/>
      <c r="P466" s="64"/>
      <c r="Q466" s="64"/>
      <c r="R466" s="64"/>
      <c r="S466" s="64"/>
      <c r="T466" s="63"/>
      <c r="U466" s="64"/>
      <c r="V466" s="96"/>
      <c r="W466" s="97"/>
      <c r="X466" s="95"/>
      <c r="Y466" s="95"/>
      <c r="Z466" s="95"/>
      <c r="AA466" s="95"/>
      <c r="AB466" s="91"/>
    </row>
    <row r="467" spans="1:28" x14ac:dyDescent="0.25">
      <c r="A467" s="61"/>
      <c r="B467" s="61"/>
      <c r="C467" s="54"/>
      <c r="D467" s="108"/>
      <c r="E467" s="54"/>
      <c r="F467" s="54"/>
      <c r="G467" s="65"/>
      <c r="H467" s="62"/>
      <c r="I467" s="64"/>
      <c r="J467" s="63"/>
      <c r="K467" s="64"/>
      <c r="L467" s="64"/>
      <c r="M467" s="64"/>
      <c r="N467" s="64"/>
      <c r="O467" s="64"/>
      <c r="P467" s="64"/>
      <c r="Q467" s="64"/>
      <c r="R467" s="64"/>
      <c r="S467" s="64"/>
      <c r="T467" s="63"/>
      <c r="U467" s="64"/>
      <c r="V467" s="96"/>
      <c r="W467" s="97"/>
      <c r="X467" s="95"/>
      <c r="Y467" s="95"/>
      <c r="Z467" s="95"/>
      <c r="AA467" s="95"/>
      <c r="AB467" s="91"/>
    </row>
    <row r="468" spans="1:28" x14ac:dyDescent="0.25">
      <c r="A468" s="61"/>
      <c r="B468" s="61"/>
      <c r="C468" s="54"/>
      <c r="D468" s="108"/>
      <c r="E468" s="54"/>
      <c r="F468" s="54"/>
      <c r="G468" s="65"/>
      <c r="H468" s="62"/>
      <c r="I468" s="64"/>
      <c r="J468" s="63"/>
      <c r="K468" s="64"/>
      <c r="L468" s="64"/>
      <c r="M468" s="64"/>
      <c r="N468" s="64"/>
      <c r="O468" s="64"/>
      <c r="P468" s="64"/>
      <c r="Q468" s="64"/>
      <c r="R468" s="64"/>
      <c r="S468" s="64"/>
      <c r="T468" s="63"/>
      <c r="U468" s="64"/>
      <c r="V468" s="96"/>
      <c r="W468" s="97"/>
      <c r="X468" s="95"/>
      <c r="Y468" s="95"/>
      <c r="Z468" s="95"/>
      <c r="AA468" s="95"/>
      <c r="AB468" s="91"/>
    </row>
    <row r="469" spans="1:28" x14ac:dyDescent="0.25">
      <c r="A469" s="61"/>
      <c r="B469" s="61"/>
      <c r="C469" s="54"/>
      <c r="D469" s="108"/>
      <c r="E469" s="54"/>
      <c r="F469" s="54"/>
      <c r="G469" s="65"/>
      <c r="H469" s="62"/>
      <c r="I469" s="64"/>
      <c r="J469" s="63"/>
      <c r="K469" s="64"/>
      <c r="L469" s="64"/>
      <c r="M469" s="64"/>
      <c r="N469" s="64"/>
      <c r="O469" s="64"/>
      <c r="P469" s="64"/>
      <c r="Q469" s="64"/>
      <c r="R469" s="64"/>
      <c r="S469" s="64"/>
      <c r="T469" s="63"/>
      <c r="U469" s="64"/>
      <c r="V469" s="96"/>
      <c r="W469" s="97"/>
      <c r="X469" s="95"/>
      <c r="Y469" s="95"/>
      <c r="Z469" s="95"/>
      <c r="AA469" s="95"/>
      <c r="AB469" s="91"/>
    </row>
    <row r="470" spans="1:28" x14ac:dyDescent="0.25">
      <c r="A470" s="61"/>
      <c r="B470" s="61"/>
      <c r="C470" s="54"/>
      <c r="D470" s="108"/>
      <c r="E470" s="54"/>
      <c r="F470" s="54"/>
      <c r="G470" s="65"/>
      <c r="H470" s="62"/>
      <c r="I470" s="64"/>
      <c r="J470" s="63"/>
      <c r="K470" s="64"/>
      <c r="L470" s="64"/>
      <c r="M470" s="64"/>
      <c r="N470" s="64"/>
      <c r="O470" s="64"/>
      <c r="P470" s="64"/>
      <c r="Q470" s="64"/>
      <c r="R470" s="64"/>
      <c r="S470" s="64"/>
      <c r="T470" s="63"/>
      <c r="U470" s="64"/>
      <c r="V470" s="96"/>
      <c r="W470" s="97"/>
      <c r="X470" s="95"/>
      <c r="Y470" s="95"/>
      <c r="Z470" s="95"/>
      <c r="AA470" s="95"/>
      <c r="AB470" s="91"/>
    </row>
    <row r="471" spans="1:28" x14ac:dyDescent="0.25">
      <c r="A471" s="61"/>
      <c r="B471" s="61"/>
      <c r="C471" s="54"/>
      <c r="D471" s="108"/>
      <c r="E471" s="54"/>
      <c r="F471" s="54"/>
      <c r="G471" s="65"/>
      <c r="H471" s="62"/>
      <c r="I471" s="64"/>
      <c r="J471" s="63"/>
      <c r="K471" s="64"/>
      <c r="L471" s="64"/>
      <c r="M471" s="64"/>
      <c r="N471" s="64"/>
      <c r="O471" s="64"/>
      <c r="P471" s="64"/>
      <c r="Q471" s="64"/>
      <c r="R471" s="64"/>
      <c r="S471" s="64"/>
      <c r="T471" s="63"/>
      <c r="U471" s="64"/>
      <c r="V471" s="96"/>
      <c r="W471" s="97"/>
      <c r="X471" s="95"/>
      <c r="Y471" s="95"/>
      <c r="Z471" s="95"/>
      <c r="AA471" s="95"/>
      <c r="AB471" s="91"/>
    </row>
    <row r="472" spans="1:28" x14ac:dyDescent="0.25">
      <c r="A472" s="61"/>
      <c r="B472" s="61"/>
      <c r="C472" s="54"/>
      <c r="D472" s="108"/>
      <c r="E472" s="54"/>
      <c r="F472" s="54"/>
      <c r="G472" s="65"/>
      <c r="H472" s="62"/>
      <c r="I472" s="64"/>
      <c r="J472" s="63"/>
      <c r="K472" s="64"/>
      <c r="L472" s="64"/>
      <c r="M472" s="64"/>
      <c r="N472" s="64"/>
      <c r="O472" s="64"/>
      <c r="P472" s="64"/>
      <c r="Q472" s="64"/>
      <c r="R472" s="64"/>
      <c r="S472" s="64"/>
      <c r="T472" s="63"/>
      <c r="U472" s="64"/>
      <c r="V472" s="96"/>
      <c r="W472" s="97"/>
      <c r="X472" s="95"/>
      <c r="Y472" s="95"/>
      <c r="Z472" s="95"/>
      <c r="AA472" s="95"/>
      <c r="AB472" s="91"/>
    </row>
    <row r="473" spans="1:28" x14ac:dyDescent="0.25">
      <c r="A473" s="61"/>
      <c r="B473" s="61"/>
      <c r="C473" s="54"/>
      <c r="D473" s="108"/>
      <c r="E473" s="54"/>
      <c r="F473" s="54"/>
      <c r="G473" s="65"/>
      <c r="H473" s="62"/>
      <c r="I473" s="64"/>
      <c r="J473" s="63"/>
      <c r="K473" s="64"/>
      <c r="L473" s="64"/>
      <c r="M473" s="64"/>
      <c r="N473" s="64"/>
      <c r="O473" s="64"/>
      <c r="P473" s="64"/>
      <c r="Q473" s="64"/>
      <c r="R473" s="64"/>
      <c r="S473" s="64"/>
      <c r="T473" s="63"/>
      <c r="U473" s="64"/>
      <c r="V473" s="96"/>
      <c r="W473" s="97"/>
      <c r="X473" s="95"/>
      <c r="Y473" s="95"/>
      <c r="Z473" s="95"/>
      <c r="AA473" s="95"/>
      <c r="AB473" s="91"/>
    </row>
    <row r="474" spans="1:28" x14ac:dyDescent="0.25">
      <c r="A474" s="61"/>
      <c r="B474" s="61"/>
      <c r="C474" s="54"/>
      <c r="D474" s="108"/>
      <c r="E474" s="54"/>
      <c r="F474" s="54"/>
      <c r="G474" s="65"/>
      <c r="H474" s="62"/>
      <c r="I474" s="64"/>
      <c r="J474" s="63"/>
      <c r="K474" s="64"/>
      <c r="L474" s="64"/>
      <c r="M474" s="64"/>
      <c r="N474" s="64"/>
      <c r="O474" s="64"/>
      <c r="P474" s="64"/>
      <c r="Q474" s="64"/>
      <c r="R474" s="64"/>
      <c r="S474" s="64"/>
      <c r="T474" s="63"/>
      <c r="U474" s="64"/>
      <c r="V474" s="96"/>
      <c r="W474" s="97"/>
      <c r="X474" s="95"/>
      <c r="Y474" s="95"/>
      <c r="Z474" s="95"/>
      <c r="AA474" s="95"/>
      <c r="AB474" s="91"/>
    </row>
    <row r="475" spans="1:28" x14ac:dyDescent="0.25">
      <c r="A475" s="61"/>
      <c r="B475" s="61"/>
      <c r="C475" s="54"/>
      <c r="D475" s="108"/>
      <c r="E475" s="54"/>
      <c r="F475" s="54"/>
      <c r="G475" s="65"/>
      <c r="H475" s="62"/>
      <c r="I475" s="64"/>
      <c r="J475" s="63"/>
      <c r="K475" s="64"/>
      <c r="L475" s="64"/>
      <c r="M475" s="64"/>
      <c r="N475" s="64"/>
      <c r="O475" s="64"/>
      <c r="P475" s="64"/>
      <c r="Q475" s="64"/>
      <c r="R475" s="64"/>
      <c r="S475" s="64"/>
      <c r="T475" s="63"/>
      <c r="U475" s="64"/>
      <c r="V475" s="96"/>
      <c r="W475" s="97"/>
      <c r="X475" s="95"/>
      <c r="Y475" s="95"/>
      <c r="Z475" s="95"/>
      <c r="AA475" s="95"/>
      <c r="AB475" s="91"/>
    </row>
    <row r="476" spans="1:28" x14ac:dyDescent="0.25">
      <c r="A476" s="61"/>
      <c r="B476" s="61"/>
      <c r="C476" s="54"/>
      <c r="D476" s="108"/>
      <c r="E476" s="54"/>
      <c r="F476" s="54"/>
      <c r="G476" s="65"/>
      <c r="H476" s="62"/>
      <c r="I476" s="64"/>
      <c r="J476" s="63"/>
      <c r="K476" s="64"/>
      <c r="L476" s="64"/>
      <c r="M476" s="64"/>
      <c r="N476" s="64"/>
      <c r="O476" s="64"/>
      <c r="P476" s="64"/>
      <c r="Q476" s="64"/>
      <c r="R476" s="64"/>
      <c r="S476" s="64"/>
      <c r="T476" s="63"/>
      <c r="U476" s="64"/>
      <c r="V476" s="96"/>
      <c r="W476" s="97"/>
      <c r="X476" s="95"/>
      <c r="Y476" s="95"/>
      <c r="Z476" s="95"/>
      <c r="AA476" s="95"/>
      <c r="AB476" s="91"/>
    </row>
    <row r="477" spans="1:28" x14ac:dyDescent="0.25">
      <c r="A477" s="61"/>
      <c r="B477" s="61"/>
      <c r="C477" s="54"/>
      <c r="D477" s="108"/>
      <c r="E477" s="54"/>
      <c r="F477" s="54"/>
      <c r="G477" s="65"/>
      <c r="H477" s="62"/>
      <c r="I477" s="64"/>
      <c r="J477" s="63"/>
      <c r="K477" s="64"/>
      <c r="L477" s="64"/>
      <c r="M477" s="64"/>
      <c r="N477" s="64"/>
      <c r="O477" s="64"/>
      <c r="P477" s="64"/>
      <c r="Q477" s="64"/>
      <c r="R477" s="64"/>
      <c r="S477" s="64"/>
      <c r="T477" s="63"/>
      <c r="U477" s="64"/>
      <c r="V477" s="96"/>
      <c r="W477" s="97"/>
      <c r="X477" s="95"/>
      <c r="Y477" s="95"/>
      <c r="Z477" s="95"/>
      <c r="AA477" s="95"/>
      <c r="AB477" s="91"/>
    </row>
    <row r="478" spans="1:28" x14ac:dyDescent="0.25">
      <c r="A478" s="61"/>
      <c r="B478" s="61"/>
      <c r="C478" s="54"/>
      <c r="D478" s="108"/>
      <c r="E478" s="54"/>
      <c r="F478" s="54"/>
      <c r="G478" s="65"/>
      <c r="H478" s="62"/>
      <c r="I478" s="64"/>
      <c r="J478" s="63"/>
      <c r="K478" s="64"/>
      <c r="L478" s="64"/>
      <c r="M478" s="64"/>
      <c r="N478" s="64"/>
      <c r="O478" s="64"/>
      <c r="P478" s="64"/>
      <c r="Q478" s="64"/>
      <c r="R478" s="64"/>
      <c r="S478" s="64"/>
      <c r="T478" s="63"/>
      <c r="U478" s="64"/>
      <c r="V478" s="96"/>
      <c r="W478" s="97"/>
      <c r="X478" s="95"/>
      <c r="Y478" s="95"/>
      <c r="Z478" s="95"/>
      <c r="AA478" s="95"/>
      <c r="AB478" s="91"/>
    </row>
    <row r="479" spans="1:28" x14ac:dyDescent="0.25">
      <c r="A479" s="61"/>
      <c r="B479" s="61"/>
      <c r="C479" s="54"/>
      <c r="D479" s="108"/>
      <c r="E479" s="54"/>
      <c r="F479" s="54"/>
      <c r="G479" s="65"/>
      <c r="H479" s="62"/>
      <c r="I479" s="64"/>
      <c r="J479" s="63"/>
      <c r="K479" s="64"/>
      <c r="L479" s="64"/>
      <c r="M479" s="64"/>
      <c r="N479" s="64"/>
      <c r="O479" s="64"/>
      <c r="P479" s="64"/>
      <c r="Q479" s="64"/>
      <c r="R479" s="64"/>
      <c r="S479" s="64"/>
      <c r="T479" s="63"/>
      <c r="U479" s="64"/>
      <c r="V479" s="96"/>
      <c r="W479" s="97"/>
      <c r="X479" s="95"/>
      <c r="Y479" s="95"/>
      <c r="Z479" s="95"/>
      <c r="AA479" s="95"/>
      <c r="AB479" s="91"/>
    </row>
    <row r="480" spans="1:28" x14ac:dyDescent="0.25">
      <c r="A480" s="61"/>
      <c r="B480" s="61"/>
      <c r="C480" s="54"/>
      <c r="D480" s="108"/>
      <c r="E480" s="54"/>
      <c r="F480" s="54"/>
      <c r="G480" s="65"/>
      <c r="H480" s="62"/>
      <c r="I480" s="64"/>
      <c r="J480" s="63"/>
      <c r="K480" s="64"/>
      <c r="L480" s="64"/>
      <c r="M480" s="64"/>
      <c r="N480" s="64"/>
      <c r="O480" s="64"/>
      <c r="P480" s="64"/>
      <c r="Q480" s="64"/>
      <c r="R480" s="64"/>
      <c r="S480" s="64"/>
      <c r="T480" s="63"/>
      <c r="U480" s="64"/>
      <c r="V480" s="96"/>
      <c r="W480" s="97"/>
      <c r="X480" s="95"/>
      <c r="Y480" s="95"/>
      <c r="Z480" s="95"/>
      <c r="AA480" s="95"/>
      <c r="AB480" s="91"/>
    </row>
    <row r="481" spans="1:28" x14ac:dyDescent="0.25">
      <c r="A481" s="61"/>
      <c r="B481" s="61"/>
      <c r="C481" s="54"/>
      <c r="D481" s="108"/>
      <c r="E481" s="54"/>
      <c r="F481" s="54"/>
      <c r="G481" s="65"/>
      <c r="H481" s="62"/>
      <c r="I481" s="64"/>
      <c r="J481" s="63"/>
      <c r="K481" s="64"/>
      <c r="L481" s="64"/>
      <c r="M481" s="64"/>
      <c r="N481" s="64"/>
      <c r="O481" s="64"/>
      <c r="P481" s="64"/>
      <c r="Q481" s="64"/>
      <c r="R481" s="64"/>
      <c r="S481" s="64"/>
      <c r="T481" s="63"/>
      <c r="U481" s="64"/>
      <c r="V481" s="96"/>
      <c r="W481" s="97"/>
      <c r="X481" s="95"/>
      <c r="Y481" s="95"/>
      <c r="Z481" s="95"/>
      <c r="AA481" s="95"/>
      <c r="AB481" s="91"/>
    </row>
    <row r="482" spans="1:28" x14ac:dyDescent="0.25">
      <c r="A482" s="61"/>
      <c r="B482" s="61"/>
      <c r="C482" s="54"/>
      <c r="D482" s="108"/>
      <c r="E482" s="54"/>
      <c r="F482" s="54"/>
      <c r="G482" s="65"/>
      <c r="H482" s="62"/>
      <c r="I482" s="64"/>
      <c r="J482" s="63"/>
      <c r="K482" s="64"/>
      <c r="L482" s="64"/>
      <c r="M482" s="64"/>
      <c r="N482" s="64"/>
      <c r="O482" s="64"/>
      <c r="P482" s="64"/>
      <c r="Q482" s="64"/>
      <c r="R482" s="64"/>
      <c r="S482" s="64"/>
      <c r="T482" s="63"/>
      <c r="U482" s="64"/>
      <c r="V482" s="96"/>
      <c r="W482" s="97"/>
      <c r="X482" s="95"/>
      <c r="Y482" s="95"/>
      <c r="Z482" s="95"/>
      <c r="AA482" s="95"/>
      <c r="AB482" s="91"/>
    </row>
    <row r="483" spans="1:28" x14ac:dyDescent="0.25">
      <c r="A483" s="61"/>
      <c r="B483" s="61"/>
      <c r="C483" s="54"/>
      <c r="D483" s="108"/>
      <c r="E483" s="54"/>
      <c r="F483" s="54"/>
      <c r="G483" s="65"/>
      <c r="H483" s="62"/>
      <c r="I483" s="64"/>
      <c r="J483" s="63"/>
      <c r="K483" s="64"/>
      <c r="L483" s="64"/>
      <c r="M483" s="64"/>
      <c r="N483" s="64"/>
      <c r="O483" s="64"/>
      <c r="P483" s="64"/>
      <c r="Q483" s="64"/>
      <c r="R483" s="64"/>
      <c r="S483" s="64"/>
      <c r="T483" s="63"/>
      <c r="U483" s="64"/>
      <c r="V483" s="96"/>
      <c r="W483" s="97"/>
      <c r="X483" s="95"/>
      <c r="Y483" s="95"/>
      <c r="Z483" s="95"/>
      <c r="AA483" s="95"/>
      <c r="AB483" s="91"/>
    </row>
    <row r="484" spans="1:28" x14ac:dyDescent="0.25">
      <c r="A484" s="61"/>
      <c r="B484" s="61"/>
      <c r="C484" s="54"/>
      <c r="D484" s="108"/>
      <c r="E484" s="54"/>
      <c r="F484" s="54"/>
      <c r="G484" s="65"/>
      <c r="H484" s="62"/>
      <c r="I484" s="64"/>
      <c r="J484" s="63"/>
      <c r="K484" s="64"/>
      <c r="L484" s="64"/>
      <c r="M484" s="64"/>
      <c r="N484" s="64"/>
      <c r="O484" s="64"/>
      <c r="P484" s="64"/>
      <c r="Q484" s="64"/>
      <c r="R484" s="64"/>
      <c r="S484" s="64"/>
      <c r="T484" s="63"/>
      <c r="U484" s="64"/>
      <c r="V484" s="96"/>
      <c r="W484" s="97"/>
      <c r="X484" s="95"/>
      <c r="Y484" s="95"/>
      <c r="Z484" s="95"/>
      <c r="AA484" s="95"/>
      <c r="AB484" s="91"/>
    </row>
    <row r="485" spans="1:28" x14ac:dyDescent="0.25">
      <c r="A485" s="61"/>
      <c r="B485" s="61"/>
      <c r="C485" s="54"/>
      <c r="D485" s="108"/>
      <c r="E485" s="54"/>
      <c r="F485" s="54"/>
      <c r="G485" s="65"/>
      <c r="H485" s="62"/>
      <c r="I485" s="64"/>
      <c r="J485" s="63"/>
      <c r="K485" s="64"/>
      <c r="L485" s="64"/>
      <c r="M485" s="64"/>
      <c r="N485" s="64"/>
      <c r="O485" s="64"/>
      <c r="P485" s="64"/>
      <c r="Q485" s="64"/>
      <c r="R485" s="64"/>
      <c r="S485" s="64"/>
      <c r="T485" s="63"/>
      <c r="U485" s="64"/>
      <c r="V485" s="96"/>
      <c r="W485" s="97"/>
      <c r="X485" s="95"/>
      <c r="Y485" s="95"/>
      <c r="Z485" s="95"/>
      <c r="AA485" s="95"/>
      <c r="AB485" s="91"/>
    </row>
    <row r="486" spans="1:28" x14ac:dyDescent="0.25">
      <c r="A486" s="61"/>
      <c r="B486" s="61"/>
      <c r="C486" s="54"/>
      <c r="D486" s="108"/>
      <c r="E486" s="54"/>
      <c r="F486" s="54"/>
      <c r="G486" s="65"/>
      <c r="H486" s="62"/>
      <c r="I486" s="64"/>
      <c r="J486" s="63"/>
      <c r="K486" s="64"/>
      <c r="L486" s="64"/>
      <c r="M486" s="64"/>
      <c r="N486" s="64"/>
      <c r="O486" s="64"/>
      <c r="P486" s="64"/>
      <c r="Q486" s="64"/>
      <c r="R486" s="64"/>
      <c r="S486" s="64"/>
      <c r="T486" s="63"/>
      <c r="U486" s="64"/>
      <c r="V486" s="96"/>
      <c r="W486" s="97"/>
      <c r="X486" s="95"/>
      <c r="Y486" s="95"/>
      <c r="Z486" s="95"/>
      <c r="AA486" s="95"/>
      <c r="AB486" s="91"/>
    </row>
    <row r="487" spans="1:28" x14ac:dyDescent="0.25">
      <c r="A487" s="61"/>
      <c r="B487" s="61"/>
      <c r="C487" s="54"/>
      <c r="D487" s="108"/>
      <c r="E487" s="54"/>
      <c r="F487" s="54"/>
      <c r="G487" s="65"/>
      <c r="H487" s="62"/>
      <c r="I487" s="64"/>
      <c r="J487" s="63"/>
      <c r="K487" s="64"/>
      <c r="L487" s="64"/>
      <c r="M487" s="64"/>
      <c r="N487" s="64"/>
      <c r="O487" s="64"/>
      <c r="P487" s="64"/>
      <c r="Q487" s="64"/>
      <c r="R487" s="64"/>
      <c r="S487" s="64"/>
      <c r="T487" s="63"/>
      <c r="U487" s="64"/>
      <c r="V487" s="96"/>
      <c r="W487" s="97"/>
      <c r="X487" s="95"/>
      <c r="Y487" s="95"/>
      <c r="Z487" s="95"/>
      <c r="AA487" s="95"/>
      <c r="AB487" s="91"/>
    </row>
    <row r="488" spans="1:28" x14ac:dyDescent="0.25">
      <c r="A488" s="61"/>
      <c r="B488" s="61"/>
      <c r="C488" s="54"/>
      <c r="D488" s="108"/>
      <c r="E488" s="54"/>
      <c r="F488" s="54"/>
      <c r="G488" s="65"/>
      <c r="H488" s="62"/>
      <c r="I488" s="64"/>
      <c r="J488" s="63"/>
      <c r="K488" s="64"/>
      <c r="L488" s="64"/>
      <c r="M488" s="64"/>
      <c r="N488" s="64"/>
      <c r="O488" s="64"/>
      <c r="P488" s="64"/>
      <c r="Q488" s="64"/>
      <c r="R488" s="64"/>
      <c r="S488" s="64"/>
      <c r="T488" s="63"/>
      <c r="U488" s="64"/>
      <c r="V488" s="96"/>
      <c r="W488" s="97"/>
      <c r="X488" s="95"/>
      <c r="Y488" s="95"/>
      <c r="Z488" s="95"/>
      <c r="AA488" s="95"/>
      <c r="AB488" s="91"/>
    </row>
    <row r="489" spans="1:28" x14ac:dyDescent="0.25">
      <c r="A489" s="61"/>
      <c r="B489" s="61"/>
      <c r="C489" s="54"/>
      <c r="D489" s="108"/>
      <c r="E489" s="54"/>
      <c r="F489" s="54"/>
      <c r="G489" s="65"/>
      <c r="H489" s="62"/>
      <c r="I489" s="64"/>
      <c r="J489" s="63"/>
      <c r="K489" s="64"/>
      <c r="L489" s="64"/>
      <c r="M489" s="64"/>
      <c r="N489" s="64"/>
      <c r="O489" s="64"/>
      <c r="P489" s="64"/>
      <c r="Q489" s="64"/>
      <c r="R489" s="64"/>
      <c r="S489" s="64"/>
      <c r="T489" s="63"/>
      <c r="U489" s="64"/>
      <c r="V489" s="96"/>
      <c r="W489" s="97"/>
      <c r="X489" s="95"/>
      <c r="Y489" s="95"/>
      <c r="Z489" s="95"/>
      <c r="AA489" s="95"/>
      <c r="AB489" s="91"/>
    </row>
  </sheetData>
  <sheetProtection selectLockedCells="1" selectUnlockedCells="1"/>
  <conditionalFormatting sqref="V15:AB489">
    <cfRule type="expression" dxfId="2" priority="1">
      <formula>"$S$13&lt;0"</formula>
    </cfRule>
  </conditionalFormatting>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theme="4" tint="-0.249977111117893"/>
  </sheetPr>
  <dimension ref="A1:AC489"/>
  <sheetViews>
    <sheetView workbookViewId="0"/>
  </sheetViews>
  <sheetFormatPr defaultRowHeight="15" x14ac:dyDescent="0.25"/>
  <cols>
    <col min="1" max="1" width="10.7109375" style="13" bestFit="1" customWidth="1"/>
    <col min="2" max="2" width="8.42578125" style="13" customWidth="1"/>
    <col min="3" max="3" width="4.85546875" style="13" bestFit="1" customWidth="1"/>
    <col min="4" max="4" width="6.5703125" style="13" bestFit="1" customWidth="1"/>
    <col min="5" max="5" width="8.5703125" style="13" bestFit="1" customWidth="1"/>
    <col min="6" max="6" width="8.5703125" style="13" customWidth="1"/>
    <col min="7" max="7" width="7.28515625" style="25" bestFit="1" customWidth="1"/>
    <col min="8" max="8" width="6" style="13" bestFit="1" customWidth="1"/>
    <col min="9" max="9" width="10.28515625" style="17" bestFit="1" customWidth="1"/>
    <col min="10" max="10" width="11.28515625" style="25" bestFit="1" customWidth="1"/>
    <col min="11" max="11" width="12.7109375" style="17" bestFit="1" customWidth="1"/>
    <col min="12" max="12" width="11.140625" style="17" bestFit="1" customWidth="1"/>
    <col min="13" max="13" width="12" style="17" bestFit="1" customWidth="1"/>
    <col min="14" max="14" width="12" style="17" customWidth="1"/>
    <col min="15" max="15" width="12.42578125" style="17" bestFit="1" customWidth="1"/>
    <col min="16" max="17" width="13.7109375" style="17" bestFit="1" customWidth="1"/>
    <col min="18" max="19" width="13.7109375" style="17" customWidth="1"/>
    <col min="20" max="20" width="19.28515625" style="25" bestFit="1" customWidth="1"/>
    <col min="21" max="21" width="19.7109375" style="17" bestFit="1" customWidth="1"/>
    <col min="22" max="22" width="13.85546875" style="25" bestFit="1" customWidth="1"/>
    <col min="23" max="23" width="13.5703125" style="17" bestFit="1" customWidth="1"/>
    <col min="24" max="24" width="14.42578125" style="13" bestFit="1" customWidth="1"/>
    <col min="25" max="25" width="19.85546875" style="13" bestFit="1" customWidth="1"/>
    <col min="26" max="26" width="10.28515625" style="13" bestFit="1" customWidth="1"/>
    <col min="27" max="27" width="11.85546875" style="13" bestFit="1" customWidth="1"/>
    <col min="28" max="28" width="11.5703125" style="25" bestFit="1" customWidth="1"/>
    <col min="29" max="31" width="9.140625" style="13"/>
    <col min="32" max="32" width="10.7109375" style="13" bestFit="1" customWidth="1"/>
    <col min="33" max="16384" width="9.140625" style="13"/>
  </cols>
  <sheetData>
    <row r="1" spans="1:28" ht="15.75" thickBot="1" x14ac:dyDescent="0.3">
      <c r="A1" s="133" t="s">
        <v>119</v>
      </c>
      <c r="B1" s="134" t="str">
        <f>'Model comparison'!E3</f>
        <v>Without development</v>
      </c>
      <c r="C1" s="135"/>
      <c r="D1" s="135"/>
      <c r="E1" s="136"/>
      <c r="F1" s="137" t="b">
        <f>'Model comparison'!E4</f>
        <v>1</v>
      </c>
      <c r="G1" s="138">
        <f>'Model comparison'!E5</f>
        <v>0.74</v>
      </c>
      <c r="H1" s="138">
        <f>'Model comparison'!E7</f>
        <v>0.33333333333333331</v>
      </c>
      <c r="I1" s="138">
        <f>'Model comparison'!E8</f>
        <v>0.33333333333333331</v>
      </c>
      <c r="J1" s="139">
        <f>'Model comparison'!E9</f>
        <v>0.33333333333333331</v>
      </c>
    </row>
    <row r="3" spans="1:28" x14ac:dyDescent="0.25">
      <c r="A3" s="5"/>
      <c r="B3" s="5"/>
      <c r="C3" s="7" t="s">
        <v>9</v>
      </c>
      <c r="D3" s="7" t="s">
        <v>0</v>
      </c>
      <c r="E3" s="7" t="s">
        <v>17</v>
      </c>
      <c r="F3" s="7" t="s">
        <v>298</v>
      </c>
      <c r="G3" s="8" t="s">
        <v>107</v>
      </c>
      <c r="H3" s="7" t="s">
        <v>7</v>
      </c>
      <c r="I3" s="9" t="s">
        <v>10</v>
      </c>
      <c r="J3" s="8" t="s">
        <v>11</v>
      </c>
      <c r="K3" s="9" t="s">
        <v>12</v>
      </c>
      <c r="L3" s="9" t="s">
        <v>14</v>
      </c>
      <c r="M3" s="9" t="s">
        <v>13</v>
      </c>
      <c r="N3" s="9" t="s">
        <v>31</v>
      </c>
      <c r="O3" s="9" t="s">
        <v>15</v>
      </c>
      <c r="P3" s="9" t="s">
        <v>16</v>
      </c>
      <c r="Q3" s="9" t="s">
        <v>30</v>
      </c>
      <c r="R3" s="9" t="s">
        <v>299</v>
      </c>
      <c r="S3" s="9" t="s">
        <v>300</v>
      </c>
      <c r="T3" s="8" t="s">
        <v>43</v>
      </c>
      <c r="U3" s="9" t="s">
        <v>44</v>
      </c>
      <c r="V3" s="8" t="s">
        <v>84</v>
      </c>
      <c r="W3" s="9" t="s">
        <v>85</v>
      </c>
      <c r="X3" s="9" t="s">
        <v>68</v>
      </c>
      <c r="Y3" s="9" t="s">
        <v>86</v>
      </c>
      <c r="Z3" s="9" t="s">
        <v>63</v>
      </c>
      <c r="AA3" s="9" t="s">
        <v>69</v>
      </c>
      <c r="AB3" s="8" t="s">
        <v>70</v>
      </c>
    </row>
    <row r="4" spans="1:28" hidden="1" x14ac:dyDescent="0.25">
      <c r="A4" s="61">
        <f>'Water runs'!C11</f>
        <v>2343</v>
      </c>
      <c r="B4" s="61" t="str">
        <f>'Water runs'!B11</f>
        <v>Autumn</v>
      </c>
      <c r="C4" s="54">
        <f>'Water runs'!D11/100</f>
        <v>0.64319999999999988</v>
      </c>
      <c r="D4" s="108">
        <f>VLOOKUP(ROW(D4)+4,'Water runs'!$BS$3:$CF$423,MATCH($B$1,Scenarios,0)+1)</f>
        <v>0.11191537541864939</v>
      </c>
      <c r="E4" s="54">
        <f>IF(B4=Variables!$D$8,C4-Variables!$E$8,IF(B4=Variables!$D$9,C4-Variables!$E$9,IF(B4=Variables!$D$10,C4-Variables!$E$10,IF(B4=Variables!$D$11,C4-Variables!$E$11,"ELSE"))))</f>
        <v>-0.35144329931972795</v>
      </c>
      <c r="F4" s="108">
        <f>VLOOKUP(ROW(F4)+4,'Water runs'!$CH$3:$CU$423,MATCH($B$1,Scenarios,0)+1)</f>
        <v>0</v>
      </c>
      <c r="G4" s="56"/>
      <c r="H4" s="57"/>
      <c r="I4" s="57"/>
      <c r="J4" s="66"/>
      <c r="K4" s="57"/>
      <c r="L4" s="57"/>
      <c r="M4" s="57"/>
      <c r="N4" s="57"/>
      <c r="O4" s="57"/>
      <c r="P4" s="57"/>
      <c r="Q4" s="57"/>
      <c r="R4" s="57"/>
      <c r="S4" s="57"/>
      <c r="T4" s="66"/>
      <c r="U4" s="57"/>
      <c r="V4" s="66"/>
      <c r="W4" s="57"/>
      <c r="X4" s="57"/>
      <c r="Y4" s="57"/>
      <c r="Z4" s="57"/>
      <c r="AA4" s="57"/>
      <c r="AB4" s="68"/>
    </row>
    <row r="5" spans="1:28" hidden="1" x14ac:dyDescent="0.25">
      <c r="A5" s="61">
        <f>'Water runs'!C12</f>
        <v>2435</v>
      </c>
      <c r="B5" s="61" t="str">
        <f>'Water runs'!B12</f>
        <v>Winter</v>
      </c>
      <c r="C5" s="54">
        <f>'Water runs'!D12/100</f>
        <v>0.61060000000000003</v>
      </c>
      <c r="D5" s="108">
        <f>VLOOKUP(ROW(D5)+4,'Water runs'!$BS$3:$CF$423,MATCH($B$1,Scenarios,0)+1)</f>
        <v>0</v>
      </c>
      <c r="E5" s="54">
        <f>IF(B5=Variables!$D$8,C5-Variables!$E$8,IF(B5=Variables!$D$9,C5-Variables!$E$9,IF(B5=Variables!$D$10,C5-Variables!$E$10,IF(B5=Variables!$D$11,C5-Variables!$E$11,"ELSE"))))</f>
        <v>3.8832374338624298E-2</v>
      </c>
      <c r="F5" s="108">
        <f>VLOOKUP(ROW(F5)+4,'Water runs'!$CH$3:$CU$423,MATCH($B$1,Scenarios,0)+1)</f>
        <v>0</v>
      </c>
      <c r="G5" s="58"/>
      <c r="H5" s="17"/>
      <c r="X5" s="17"/>
      <c r="Y5" s="17"/>
      <c r="Z5" s="17"/>
      <c r="AA5" s="17"/>
      <c r="AB5" s="69"/>
    </row>
    <row r="6" spans="1:28" hidden="1" x14ac:dyDescent="0.25">
      <c r="A6" s="61">
        <f>'Water runs'!C13</f>
        <v>2526</v>
      </c>
      <c r="B6" s="61" t="str">
        <f>'Water runs'!B13</f>
        <v>Spring</v>
      </c>
      <c r="C6" s="54">
        <f>'Water runs'!D13/100</f>
        <v>1.4602000000000002</v>
      </c>
      <c r="D6" s="108">
        <f>VLOOKUP(ROW(D6)+4,'Water runs'!$BS$3:$CF$423,MATCH($B$1,Scenarios,0)+1)</f>
        <v>1.2973182685531952E-2</v>
      </c>
      <c r="E6" s="54">
        <f>IF(B6=Variables!$D$8,C6-Variables!$E$8,IF(B6=Variables!$D$9,C6-Variables!$E$9,IF(B6=Variables!$D$10,C6-Variables!$E$10,IF(B6=Variables!$D$11,C6-Variables!$E$11,"ELSE"))))</f>
        <v>0.69621779100529102</v>
      </c>
      <c r="F6" s="108">
        <f>VLOOKUP(ROW(F6)+4,'Water runs'!$CH$3:$CU$423,MATCH($B$1,Scenarios,0)+1)</f>
        <v>0</v>
      </c>
      <c r="G6" s="58"/>
      <c r="H6" s="17"/>
      <c r="X6" s="17"/>
      <c r="Y6" s="17"/>
      <c r="Z6" s="17"/>
      <c r="AA6" s="17"/>
      <c r="AB6" s="69"/>
    </row>
    <row r="7" spans="1:28" hidden="1" x14ac:dyDescent="0.25">
      <c r="A7" s="61">
        <f>'Water runs'!C14</f>
        <v>2616</v>
      </c>
      <c r="B7" s="61" t="str">
        <f>'Water runs'!B14</f>
        <v>Summer</v>
      </c>
      <c r="C7" s="54">
        <f>'Water runs'!D14/100</f>
        <v>1.9091999999999998</v>
      </c>
      <c r="D7" s="108">
        <f>VLOOKUP(ROW(D7)+4,'Water runs'!$BS$3:$CF$423,MATCH($B$1,Scenarios,0)+1)</f>
        <v>4.5812714273272152E-2</v>
      </c>
      <c r="E7" s="54">
        <f>IF(B7=Variables!$D$8,C7-Variables!$E$8,IF(B7=Variables!$D$9,C7-Variables!$E$9,IF(B7=Variables!$D$10,C7-Variables!$E$10,IF(B7=Variables!$D$11,C7-Variables!$E$11,"ELSE"))))</f>
        <v>0.65082986394557807</v>
      </c>
      <c r="F7" s="108">
        <f>VLOOKUP(ROW(F7)+4,'Water runs'!$CH$3:$CU$423,MATCH($B$1,Scenarios,0)+1)</f>
        <v>0</v>
      </c>
      <c r="G7" s="58"/>
      <c r="H7" s="17"/>
      <c r="X7" s="17"/>
      <c r="Y7" s="17"/>
      <c r="Z7" s="17"/>
      <c r="AA7" s="17"/>
      <c r="AB7" s="69"/>
    </row>
    <row r="8" spans="1:28" hidden="1" x14ac:dyDescent="0.25">
      <c r="A8" s="61">
        <f>'Water runs'!C15</f>
        <v>2708</v>
      </c>
      <c r="B8" s="61" t="str">
        <f>'Water runs'!B15</f>
        <v>Autumn</v>
      </c>
      <c r="C8" s="54">
        <f>'Water runs'!D15/100</f>
        <v>0.53560000000000008</v>
      </c>
      <c r="D8" s="108">
        <f>VLOOKUP(ROW(D8)+4,'Water runs'!$BS$3:$CF$423,MATCH($B$1,Scenarios,0)+1)</f>
        <v>1.0722966927687472E-2</v>
      </c>
      <c r="E8" s="54">
        <f>IF(B8=Variables!$D$8,C8-Variables!$E$8,IF(B8=Variables!$D$9,C8-Variables!$E$9,IF(B8=Variables!$D$10,C8-Variables!$E$10,IF(B8=Variables!$D$11,C8-Variables!$E$11,"ELSE"))))</f>
        <v>-0.45904329931972776</v>
      </c>
      <c r="F8" s="108">
        <f>VLOOKUP(ROW(F8)+4,'Water runs'!$CH$3:$CU$423,MATCH($B$1,Scenarios,0)+1)</f>
        <v>0</v>
      </c>
      <c r="G8" s="58"/>
      <c r="H8" s="17"/>
      <c r="X8" s="17"/>
      <c r="Y8" s="17"/>
      <c r="Z8" s="17"/>
      <c r="AA8" s="17"/>
      <c r="AB8" s="69"/>
    </row>
    <row r="9" spans="1:28" hidden="1" x14ac:dyDescent="0.25">
      <c r="A9" s="61">
        <f>'Water runs'!C16</f>
        <v>2800</v>
      </c>
      <c r="B9" s="61" t="str">
        <f>'Water runs'!B16</f>
        <v>Winter</v>
      </c>
      <c r="C9" s="54">
        <f>'Water runs'!D16/100</f>
        <v>0.87340000000000007</v>
      </c>
      <c r="D9" s="108">
        <f>VLOOKUP(ROW(D9)+4,'Water runs'!$BS$3:$CF$423,MATCH($B$1,Scenarios,0)+1)</f>
        <v>0</v>
      </c>
      <c r="E9" s="54">
        <f>IF(B9=Variables!$D$8,C9-Variables!$E$8,IF(B9=Variables!$D$9,C9-Variables!$E$9,IF(B9=Variables!$D$10,C9-Variables!$E$10,IF(B9=Variables!$D$11,C9-Variables!$E$11,"ELSE"))))</f>
        <v>0.30163237433862433</v>
      </c>
      <c r="F9" s="108">
        <f>VLOOKUP(ROW(F9)+4,'Water runs'!$CH$3:$CU$423,MATCH($B$1,Scenarios,0)+1)</f>
        <v>0</v>
      </c>
      <c r="G9" s="58"/>
      <c r="H9" s="17"/>
      <c r="X9" s="17"/>
      <c r="Y9" s="17"/>
      <c r="Z9" s="17"/>
      <c r="AA9" s="17"/>
      <c r="AB9" s="69"/>
    </row>
    <row r="10" spans="1:28" hidden="1" x14ac:dyDescent="0.25">
      <c r="A10" s="61">
        <f>'Water runs'!C17</f>
        <v>2891</v>
      </c>
      <c r="B10" s="61" t="str">
        <f>'Water runs'!B17</f>
        <v>Spring</v>
      </c>
      <c r="C10" s="54">
        <f>'Water runs'!D17/100</f>
        <v>0.57999999999999996</v>
      </c>
      <c r="D10" s="108">
        <f>VLOOKUP(ROW(D10)+4,'Water runs'!$BS$3:$CF$423,MATCH($B$1,Scenarios,0)+1)</f>
        <v>0</v>
      </c>
      <c r="E10" s="54">
        <f>IF(B10=Variables!$D$8,C10-Variables!$E$8,IF(B10=Variables!$D$9,C10-Variables!$E$9,IF(B10=Variables!$D$10,C10-Variables!$E$10,IF(B10=Variables!$D$11,C10-Variables!$E$11,"ELSE"))))</f>
        <v>-0.18398220899470918</v>
      </c>
      <c r="F10" s="108">
        <f>VLOOKUP(ROW(F10)+4,'Water runs'!$CH$3:$CU$423,MATCH($B$1,Scenarios,0)+1)</f>
        <v>0</v>
      </c>
      <c r="G10" s="58"/>
      <c r="H10" s="17"/>
      <c r="X10" s="17"/>
      <c r="Y10" s="17"/>
      <c r="Z10" s="17"/>
      <c r="AA10" s="17"/>
      <c r="AB10" s="69"/>
    </row>
    <row r="11" spans="1:28" hidden="1" x14ac:dyDescent="0.25">
      <c r="A11" s="61">
        <f>'Water runs'!C18</f>
        <v>2981</v>
      </c>
      <c r="B11" s="61" t="str">
        <f>'Water runs'!B18</f>
        <v>Summer</v>
      </c>
      <c r="C11" s="54">
        <f>'Water runs'!D18/100</f>
        <v>1.4974000000000001</v>
      </c>
      <c r="D11" s="108">
        <f>VLOOKUP(ROW(D11)+4,'Water runs'!$BS$3:$CF$423,MATCH($B$1,Scenarios,0)+1)</f>
        <v>4.7104094252527734E-2</v>
      </c>
      <c r="E11" s="54">
        <f>IF(B11=Variables!$D$8,C11-Variables!$E$8,IF(B11=Variables!$D$9,C11-Variables!$E$9,IF(B11=Variables!$D$10,C11-Variables!$E$10,IF(B11=Variables!$D$11,C11-Variables!$E$11,"ELSE"))))</f>
        <v>0.23902986394557835</v>
      </c>
      <c r="F11" s="108">
        <f>VLOOKUP(ROW(F11)+4,'Water runs'!$CH$3:$CU$423,MATCH($B$1,Scenarios,0)+1)</f>
        <v>0</v>
      </c>
      <c r="G11" s="58"/>
      <c r="H11" s="17"/>
      <c r="X11" s="17"/>
      <c r="Y11" s="17"/>
      <c r="Z11" s="17"/>
      <c r="AA11" s="17"/>
      <c r="AB11" s="69"/>
    </row>
    <row r="12" spans="1:28" hidden="1" x14ac:dyDescent="0.25">
      <c r="A12" s="61">
        <f>'Water runs'!C19</f>
        <v>3074</v>
      </c>
      <c r="B12" s="61" t="str">
        <f>'Water runs'!B19</f>
        <v>Autumn</v>
      </c>
      <c r="C12" s="54">
        <f>'Water runs'!D19/100</f>
        <v>0.72120000000000006</v>
      </c>
      <c r="D12" s="108">
        <f>VLOOKUP(ROW(D12)+4,'Water runs'!$BS$3:$CF$423,MATCH($B$1,Scenarios,0)+1)</f>
        <v>0.55934726324040573</v>
      </c>
      <c r="E12" s="54">
        <f>IF(B12=Variables!$D$8,C12-Variables!$E$8,IF(B12=Variables!$D$9,C12-Variables!$E$9,IF(B12=Variables!$D$10,C12-Variables!$E$10,IF(B12=Variables!$D$11,C12-Variables!$E$11,"ELSE"))))</f>
        <v>-0.27344329931972777</v>
      </c>
      <c r="F12" s="108">
        <f>VLOOKUP(ROW(F12)+4,'Water runs'!$CH$3:$CU$423,MATCH($B$1,Scenarios,0)+1)</f>
        <v>0</v>
      </c>
      <c r="G12" s="58"/>
      <c r="H12" s="17"/>
      <c r="X12" s="17"/>
      <c r="Y12" s="17"/>
      <c r="Z12" s="17"/>
      <c r="AA12" s="17"/>
      <c r="AB12" s="69"/>
    </row>
    <row r="13" spans="1:28" hidden="1" x14ac:dyDescent="0.25">
      <c r="A13" s="61">
        <f>'Water runs'!C20</f>
        <v>3166</v>
      </c>
      <c r="B13" s="61" t="str">
        <f>'Water runs'!B20</f>
        <v>Winter</v>
      </c>
      <c r="C13" s="54">
        <f>'Water runs'!D20/100</f>
        <v>0.33539999999999998</v>
      </c>
      <c r="D13" s="108">
        <f>VLOOKUP(ROW(D13)+4,'Water runs'!$BS$3:$CF$423,MATCH($B$1,Scenarios,0)+1)</f>
        <v>0</v>
      </c>
      <c r="E13" s="54">
        <f>IF(B13=Variables!$D$8,C13-Variables!$E$8,IF(B13=Variables!$D$9,C13-Variables!$E$9,IF(B13=Variables!$D$10,C13-Variables!$E$10,IF(B13=Variables!$D$11,C13-Variables!$E$11,"ELSE"))))</f>
        <v>-0.23636762566137576</v>
      </c>
      <c r="F13" s="108">
        <f>VLOOKUP(ROW(F13)+4,'Water runs'!$CH$3:$CU$423,MATCH($B$1,Scenarios,0)+1)</f>
        <v>0</v>
      </c>
      <c r="G13" s="58"/>
      <c r="H13" s="17"/>
      <c r="X13" s="17"/>
      <c r="Y13" s="17"/>
      <c r="Z13" s="17"/>
      <c r="AA13" s="17"/>
      <c r="AB13" s="69"/>
    </row>
    <row r="14" spans="1:28" ht="15.75" hidden="1" thickBot="1" x14ac:dyDescent="0.3">
      <c r="A14" s="61">
        <f>'Water runs'!C21</f>
        <v>3257</v>
      </c>
      <c r="B14" s="61" t="str">
        <f>'Water runs'!B21</f>
        <v>Spring</v>
      </c>
      <c r="C14" s="54">
        <f>'Water runs'!D21/100</f>
        <v>0.55120000000000002</v>
      </c>
      <c r="D14" s="108">
        <f>VLOOKUP(ROW(D14)+4,'Water runs'!$BS$3:$CF$423,MATCH($B$1,Scenarios,0)+1)</f>
        <v>0</v>
      </c>
      <c r="E14" s="54">
        <f>IF(B14=Variables!$D$8,C14-Variables!$E$8,IF(B14=Variables!$D$9,C14-Variables!$E$9,IF(B14=Variables!$D$10,C14-Variables!$E$10,IF(B14=Variables!$D$11,C14-Variables!$E$11,"ELSE"))))</f>
        <v>-0.21278220899470912</v>
      </c>
      <c r="F14" s="108">
        <f>VLOOKUP(ROW(F14)+4,'Water runs'!$CH$3:$CU$423,MATCH($B$1,Scenarios,0)+1)</f>
        <v>0</v>
      </c>
      <c r="G14" s="59"/>
      <c r="H14" s="60"/>
      <c r="I14" s="60"/>
      <c r="J14" s="67"/>
      <c r="K14" s="60"/>
      <c r="L14" s="60"/>
      <c r="M14" s="60"/>
      <c r="N14" s="60"/>
      <c r="O14" s="60"/>
      <c r="P14" s="60"/>
      <c r="Q14" s="60"/>
      <c r="R14" s="60"/>
      <c r="S14" s="60"/>
      <c r="T14" s="67"/>
      <c r="U14" s="60"/>
      <c r="V14" s="67"/>
      <c r="W14" s="60"/>
      <c r="X14" s="17"/>
      <c r="Y14" s="60"/>
      <c r="Z14" s="60"/>
      <c r="AA14" s="60"/>
      <c r="AB14" s="70"/>
    </row>
    <row r="15" spans="1:28" x14ac:dyDescent="0.25">
      <c r="A15" s="61">
        <f>'Water runs'!C22</f>
        <v>3347</v>
      </c>
      <c r="B15" s="61" t="str">
        <f>'Water runs'!B22</f>
        <v>Summer</v>
      </c>
      <c r="C15" s="54">
        <f>'Water runs'!D22/100</f>
        <v>1.774</v>
      </c>
      <c r="D15" s="108">
        <f>VLOOKUP(ROW(D15)+4,'Water runs'!$BS$3:$CF$423,MATCH($B$1,Scenarios,0)+1)</f>
        <v>2.663045629814963E-2</v>
      </c>
      <c r="E15" s="54">
        <f>IF(B15=Variables!$D$8,C15-Variables!$E$8,IF(B15=Variables!$D$9,C15-Variables!$E$9,IF(B15=Variables!$D$10,C15-Variables!$E$10,IF(B15=Variables!$D$11,C15-Variables!$E$11,"ELSE"))))</f>
        <v>0.5156298639455783</v>
      </c>
      <c r="F15" s="108">
        <f>VLOOKUP(ROW(F15)+4,'Water runs'!$CH$3:$CU$423,MATCH($B$1,Scenarios,0)+1)</f>
        <v>0</v>
      </c>
      <c r="G15" s="71">
        <f>H15/Variables!$E$49</f>
        <v>0.5</v>
      </c>
      <c r="H15" s="72">
        <f>Variables!E48</f>
        <v>3.1</v>
      </c>
      <c r="I15" s="73">
        <v>0</v>
      </c>
      <c r="J15" s="74">
        <f>IF(SUM(E11:E14)&lt;Variables!$B$3,-H14,0)</f>
        <v>0</v>
      </c>
      <c r="K15" s="73">
        <f>IF(AND(H14&lt;Variables!$B$6*Variables!$E$50,OR(SUM(D12:D15)&gt;Variables!$B$5,SUM(E12:E15)&gt;Variables!$B$4)),Variables!$B$6*Variables!$E$50+Variables!$B$7*$G$1*Variables!$E$50*SUM(D12:D15),0)</f>
        <v>1.1717173564382932</v>
      </c>
      <c r="L15" s="73">
        <f>IF(B15="Winter",Variables!$B$8*H14,0)</f>
        <v>0</v>
      </c>
      <c r="M15" s="73">
        <f>IF(AND(B15="Spring",AND(NOT(H14=0),H14&lt;(Variables!$B$9*Variables!$E$50))),(Variables!$B$10*Variables!$E$50+Variables!$B$11*Variables!$E$50*SUM(E12:E15)+$G$1*SUM(D14:D15)*Variables!$E$50*Variables!$B$12),0)</f>
        <v>0</v>
      </c>
      <c r="N15" s="73">
        <f>IF(AND(B15="Spring",AND(SUM(D12:D15)&gt;Variables!$B$13,SUM(D8:D11)&gt;Variables!$B$13)),-Variables!$B$14*Variables!$E$50,0)</f>
        <v>0</v>
      </c>
      <c r="O15" s="73">
        <f>IF(AND(B15="Summer",SUM(C11:D15)&gt;Variables!$B$15),(Variables!$B$16*Variables!$E$50*SUM(C11:C15)+$G$1*Variables!$B$16*Variables!$E$50*SUM(D11:D15)+$G$1*Variables!$E$50*Variables!$B$17*F15),0)</f>
        <v>0</v>
      </c>
      <c r="P15" s="73">
        <f>IF(AND(AND(B15="Autumn",SUM(D14:E15)&gt;0),NOT(H14=0)),Variables!$B$18*Variables!$E$50+Variables!$B$19*Variables!$E$50*SUM(E14:E15)+$G$1*Variables!$B$19*Variables!$E$50*SUM(D14:D15),0)</f>
        <v>0</v>
      </c>
      <c r="Q15" s="73">
        <f>IF(AND(B15="Autumn",AND((E15+E14)&lt;Variables!$B$20,(D14+D15)=0)),-Variables!$B$21*Variables!$E$50,0)</f>
        <v>0</v>
      </c>
      <c r="R15" s="73">
        <f>IF(B15="Autumn",(SUM(F14:F15)*$G$1*Variables!$B$22*Variables!$E$50),0)</f>
        <v>0</v>
      </c>
      <c r="S15" s="73">
        <f>IF(B15="Spring",($G$1*Variables!$E$50*SUM('Guts (option 2)'!F14:F15)*Variables!$B$23),0)</f>
        <v>0</v>
      </c>
      <c r="T15" s="74">
        <f>IF((H14+SUM(J15:Q15))&lt;(Variables!$B$26*Variables!$E$50),$F$1*((Variables!$B$26*Variables!$E$50)-H14-SUM(J15:Q15)),0)</f>
        <v>0</v>
      </c>
      <c r="U15" s="73">
        <f>IF(AND(AND(B15="Autumn",SUM(D12:E15)&gt;Variables!$B$27),SUM(J15:Q15)&lt;Variables!$B$28*H14),$F$1*(Variables!$B$28*H14-SUM(J15:Q15)),0)</f>
        <v>0</v>
      </c>
      <c r="V15" s="92">
        <f>IF(AND((J15+K15)=0,(Q15+T15)=0),$H$1*H15*Variables!$I$23*0.25,0)</f>
        <v>0</v>
      </c>
      <c r="W15" s="93">
        <f>IF(AND((K15+J15)=0,(T15+Q15)=0),$I$1*H15*Variables!$Q$23*0.25,0)</f>
        <v>0</v>
      </c>
      <c r="X15" s="94">
        <f>IF(AND(NOT(K15=0),(H15-H14)&gt;0),(H15-H14)*(Variables!$M$5*$H$1+Variables!$U$5*$I$1),0)+IF(AND(NOT((J15+N15+Q15)=0),(H14-H15)&gt;0),(H14-H15)*(Variables!$M$4*$H$1+Variables!$U$4*$I$1),0)</f>
        <v>-258.33333333333331</v>
      </c>
      <c r="Y15" s="94">
        <f>IF(SUM(T15,U14:U15)&gt;0,H15*Variables!$Y$11*0.25*(1-$J$1),0)</f>
        <v>0</v>
      </c>
      <c r="Z15" s="94">
        <f>IF(T15=0,H15*$J$1*Variables!$Y$5*0.25,0)</f>
        <v>6.7166666666666659</v>
      </c>
      <c r="AA15" s="94">
        <f>SUM(V15:Z15)</f>
        <v>-251.61666666666665</v>
      </c>
      <c r="AB15" s="90">
        <f>AA15/Variables!$E$49</f>
        <v>-40.583333333333329</v>
      </c>
    </row>
    <row r="16" spans="1:28" x14ac:dyDescent="0.25">
      <c r="A16" s="61">
        <f>'Water runs'!C23</f>
        <v>3439</v>
      </c>
      <c r="B16" s="61" t="str">
        <f>'Water runs'!B23</f>
        <v>Autumn</v>
      </c>
      <c r="C16" s="54">
        <f>'Water runs'!D23/100</f>
        <v>0.30780000000000002</v>
      </c>
      <c r="D16" s="108">
        <f>VLOOKUP(ROW(D16)+4,'Water runs'!$BS$3:$CF$423,MATCH($B$1,Scenarios,0)+1)</f>
        <v>1.3204380082185925E-2</v>
      </c>
      <c r="E16" s="54">
        <f>IF(B16=Variables!$D$8,C16-Variables!$E$8,IF(B16=Variables!$D$9,C16-Variables!$E$9,IF(B16=Variables!$D$10,C16-Variables!$E$10,IF(B16=Variables!$D$11,C16-Variables!$E$11,"ELSE"))))</f>
        <v>-0.68684329931972776</v>
      </c>
      <c r="F16" s="108">
        <f>VLOOKUP(ROW(F16)+4,'Water runs'!$CH$3:$CU$423,MATCH($B$1,Scenarios,0)+1)</f>
        <v>0</v>
      </c>
      <c r="G16" s="65">
        <f>H16/Variables!$E$49</f>
        <v>0.5</v>
      </c>
      <c r="H16" s="62">
        <f>IF((H15+I16)&gt;(1.1*Variables!$E$50),(1.1*Variables!$E$50),IF((H15+I16)&gt;0,H15+I16,0))</f>
        <v>3.1</v>
      </c>
      <c r="I16" s="64">
        <f>SUM(J16:U16)</f>
        <v>0</v>
      </c>
      <c r="J16" s="63">
        <f>IF(SUM(E12:E15)&lt;Variables!$B$3,-H15,0)</f>
        <v>0</v>
      </c>
      <c r="K16" s="64">
        <f>IF(AND(H15&lt;Variables!$B$6*Variables!$E$50,OR(SUM(D13:D16)&gt;Variables!$B$5,SUM(E13:E16)&gt;Variables!$B$4)),Variables!$B$6*Variables!$E$50+Variables!$B$7*$G$1*Variables!$E$50*SUM(D13:D16),0)</f>
        <v>0</v>
      </c>
      <c r="L16" s="64">
        <f>IF(B16="Winter",Variables!$B$8*H15,0)</f>
        <v>0</v>
      </c>
      <c r="M16" s="64">
        <f>IF(AND(B16="Spring",AND(NOT(H15=0),H15&lt;(Variables!$B$9*Variables!$E$50))),(Variables!$B$10*Variables!$E$50+Variables!$B$11*Variables!$E$50*SUM(E13:E16)+$G$1*SUM(D15:D16)*Variables!$E$50*Variables!$B$12),0)</f>
        <v>0</v>
      </c>
      <c r="N16" s="64">
        <f>IF(AND(B16="Spring",AND(SUM(D13:D16)&gt;Variables!$B$13,SUM(D9:D12)&gt;Variables!$B$13)),-Variables!$B$14*Variables!$E$50,0)</f>
        <v>0</v>
      </c>
      <c r="O16" s="64">
        <f>IF(AND(B16="Summer",SUM(C12:D16)&gt;Variables!$B$15),(Variables!$B$16*Variables!$E$50*SUM(C12:C16)+$G$1*Variables!$B$16*Variables!$E$50*SUM(D12:D16)+$G$1*Variables!$E$50*Variables!$B$17*F16),0)</f>
        <v>0</v>
      </c>
      <c r="P16" s="64">
        <f>IF(AND(AND(B16="Autumn",SUM(D15:E16)&gt;0),NOT(H15=0)),Variables!$B$18*Variables!$E$50+Variables!$B$19*Variables!$E$50*SUM(E15:E16)+$G$1*Variables!$B$19*Variables!$E$50*SUM(D15:D16),0)</f>
        <v>0</v>
      </c>
      <c r="Q16" s="64">
        <f>IF(AND(B16="Autumn",AND((E16+E15)&lt;Variables!$B$20,(D15+D16)=0)),-Variables!$B$21*Variables!$E$50,0)</f>
        <v>0</v>
      </c>
      <c r="R16" s="64">
        <f>IF(B16="Autumn",(SUM(F15:F16)*$G$1*Variables!$B$22*Variables!$E$50),0)</f>
        <v>0</v>
      </c>
      <c r="S16" s="64">
        <f>IF(B16="Spring",($G$1*Variables!$E$50*SUM('Guts (option 2)'!F15:F16)*Variables!$B$23),0)</f>
        <v>0</v>
      </c>
      <c r="T16" s="63">
        <f>IF((H15+SUM(J16:Q16))&lt;(Variables!$B$26*Variables!$E$50),$F$1*((Variables!$B$26*Variables!$E$50)-H15-SUM(J16:Q16)),0)</f>
        <v>0</v>
      </c>
      <c r="U16" s="64">
        <f>IF(AND(AND(B16="Autumn",SUM(D13:E16)&gt;Variables!$B$27),SUM(J16:Q16)&lt;Variables!$B$28*H15),$F$1*(Variables!$B$28*H15-SUM(J16:Q16)),0)</f>
        <v>0</v>
      </c>
      <c r="V16" s="96">
        <f>IF(AND((J16+K16)=0,(Q16+T16)=0),$H$1*H16*Variables!$I$23*0.25,0)</f>
        <v>19.912488333333332</v>
      </c>
      <c r="W16" s="97">
        <f>IF(AND((K16+J16)=0,(T16+Q16)=0),$I$1*H16*Variables!$Q$23*0.25,0)</f>
        <v>20.84310833333333</v>
      </c>
      <c r="X16" s="95">
        <f>IF(AND(NOT(K16=0),(H16-H15)&gt;0),(H16-H15)*(Variables!$M$5*$H$1+Variables!$U$5*$I$1),0)+IF(AND(NOT((J16+N16+Q16)=0),(H15-H16)&gt;0),(H15-H16)*(Variables!$M$4*$H$1+Variables!$U$4*$I$1),0)</f>
        <v>0</v>
      </c>
      <c r="Y16" s="95">
        <f>IF(SUM(T16,U15:U16)&gt;0,H16*Variables!$Y$11*0.25*(1-$J$1),0)</f>
        <v>0</v>
      </c>
      <c r="Z16" s="95">
        <f>IF(T16=0,H16*$J$1*Variables!$Y$5*0.25,0)</f>
        <v>6.7166666666666659</v>
      </c>
      <c r="AA16" s="95">
        <f t="shared" ref="AA16:AA79" si="0">SUM(V16:Z16)</f>
        <v>47.472263333333331</v>
      </c>
      <c r="AB16" s="91">
        <f>AA16/Variables!$E$49</f>
        <v>7.6568166666666659</v>
      </c>
    </row>
    <row r="17" spans="1:29" x14ac:dyDescent="0.25">
      <c r="A17" s="61">
        <f>'Water runs'!C24</f>
        <v>3531</v>
      </c>
      <c r="B17" s="61" t="str">
        <f>'Water runs'!B24</f>
        <v>Winter</v>
      </c>
      <c r="C17" s="54">
        <f>'Water runs'!D24/100</f>
        <v>1.2172000000000001</v>
      </c>
      <c r="D17" s="108">
        <f>VLOOKUP(ROW(D17)+4,'Water runs'!$BS$3:$CF$423,MATCH($B$1,Scenarios,0)+1)</f>
        <v>0</v>
      </c>
      <c r="E17" s="54">
        <f>IF(B17=Variables!$D$8,C17-Variables!$E$8,IF(B17=Variables!$D$9,C17-Variables!$E$9,IF(B17=Variables!$D$10,C17-Variables!$E$10,IF(B17=Variables!$D$11,C17-Variables!$E$11,"ELSE"))))</f>
        <v>0.64543237433862433</v>
      </c>
      <c r="F17" s="108">
        <f>VLOOKUP(ROW(F17)+4,'Water runs'!$CH$3:$CU$423,MATCH($B$1,Scenarios,0)+1)</f>
        <v>0</v>
      </c>
      <c r="G17" s="65">
        <f>H17/Variables!$E$49</f>
        <v>0.25102737683241766</v>
      </c>
      <c r="H17" s="62">
        <f>IF((H16+I17)&gt;(1.1*Variables!$E$50),(1.1*Variables!$E$50),IF((H16+I17)&gt;0,H16+I17,0))</f>
        <v>1.5563697363609894</v>
      </c>
      <c r="I17" s="64">
        <f>SUM(J17:U17)</f>
        <v>-1.5436302636390107</v>
      </c>
      <c r="J17" s="63">
        <f>IF(SUM(E13:E16)&lt;Variables!$B$3,-H16,0)</f>
        <v>0</v>
      </c>
      <c r="K17" s="64">
        <f>IF(AND(H16&lt;Variables!$B$6*Variables!$E$50,OR(SUM(D14:D17)&gt;Variables!$B$5,SUM(E14:E17)&gt;Variables!$B$4)),Variables!$B$6*Variables!$E$50+Variables!$B$7*$G$1*Variables!$E$50*SUM(D14:D17),0)</f>
        <v>0</v>
      </c>
      <c r="L17" s="64">
        <f>IF(B17="Winter",Variables!$B$8*H16,0)</f>
        <v>-1.5436302636390107</v>
      </c>
      <c r="M17" s="64">
        <f>IF(AND(B17="Spring",AND(NOT(H16=0),H16&lt;(Variables!$B$9*Variables!$E$50))),(Variables!$B$10*Variables!$E$50+Variables!$B$11*Variables!$E$50*SUM(E14:E17)+$G$1*SUM(D16:D17)*Variables!$E$50*Variables!$B$12),0)</f>
        <v>0</v>
      </c>
      <c r="N17" s="64">
        <f>IF(AND(B17="Spring",AND(SUM(D14:D17)&gt;Variables!$B$13,SUM(D10:D13)&gt;Variables!$B$13)),-Variables!$B$14*Variables!$E$50,0)</f>
        <v>0</v>
      </c>
      <c r="O17" s="64">
        <f>IF(AND(B17="Summer",SUM(C13:D17)&gt;Variables!$B$15),(Variables!$B$16*Variables!$E$50*SUM(C13:C17)+$G$1*Variables!$B$16*Variables!$E$50*SUM(D13:D17)+$G$1*Variables!$E$50*Variables!$B$17*F17),0)</f>
        <v>0</v>
      </c>
      <c r="P17" s="64">
        <f>IF(AND(AND(B17="Autumn",SUM(D16:E17)&gt;0),NOT(H16=0)),Variables!$B$18*Variables!$E$50+Variables!$B$19*Variables!$E$50*SUM(E16:E17)+$G$1*Variables!$B$19*Variables!$E$50*SUM(D16:D17),0)</f>
        <v>0</v>
      </c>
      <c r="Q17" s="64">
        <f>IF(AND(B17="Autumn",AND((E17+E16)&lt;Variables!$B$20,(D16+D17)=0)),-Variables!$B$21*Variables!$E$50,0)</f>
        <v>0</v>
      </c>
      <c r="R17" s="64">
        <f>IF(B17="Autumn",(SUM(F16:F17)*$G$1*Variables!$B$22*Variables!$E$50),0)</f>
        <v>0</v>
      </c>
      <c r="S17" s="64">
        <f>IF(B17="Spring",($G$1*Variables!$E$50*SUM('Guts (option 2)'!F16:F17)*Variables!$B$23),0)</f>
        <v>0</v>
      </c>
      <c r="T17" s="63">
        <f>IF((H16+SUM(J17:Q17))&lt;(Variables!$B$26*Variables!$E$50),$F$1*((Variables!$B$26*Variables!$E$50)-H16-SUM(J17:Q17)),0)</f>
        <v>0</v>
      </c>
      <c r="U17" s="64">
        <f>IF(AND(AND(B17="Autumn",SUM(D14:E17)&gt;Variables!$B$27),SUM(J17:Q17)&lt;Variables!$B$28*H16),$F$1*(Variables!$B$28*H16-SUM(J17:Q17)),0)</f>
        <v>0</v>
      </c>
      <c r="V17" s="96">
        <f>IF(AND((J17+K17)=0,(Q17+T17)=0),$H$1*H17*Variables!$I$23*0.25,0)</f>
        <v>9.9971594250455738</v>
      </c>
      <c r="W17" s="97">
        <f>IF(AND((K17+J17)=0,(T17+Q17)=0),$I$1*H17*Variables!$Q$23*0.25,0)</f>
        <v>10.464381619901141</v>
      </c>
      <c r="X17" s="95">
        <f>IF(AND(NOT(K17=0),(H17-H16)&gt;0),(H17-H16)*(Variables!$M$5*$H$1+Variables!$U$5*$I$1),0)+IF(AND(NOT((J17+N17+Q17)=0),(H16-H17)&gt;0),(H16-H17)*(Variables!$M$4*$H$1+Variables!$U$4*$I$1),0)</f>
        <v>0</v>
      </c>
      <c r="Y17" s="95">
        <f>IF(SUM(T17,U16:U17)&gt;0,H17*Variables!$Y$11*0.25*(1-$J$1),0)</f>
        <v>0</v>
      </c>
      <c r="Z17" s="95">
        <f>IF(T17=0,H17*$J$1*Variables!$Y$5*0.25,0)</f>
        <v>3.3721344287821435</v>
      </c>
      <c r="AA17" s="95">
        <f t="shared" si="0"/>
        <v>23.833675473728857</v>
      </c>
      <c r="AB17" s="91">
        <f>AA17/Variables!$E$49</f>
        <v>3.8441412054401378</v>
      </c>
    </row>
    <row r="18" spans="1:29" x14ac:dyDescent="0.25">
      <c r="A18" s="61">
        <f>'Water runs'!C25</f>
        <v>3622</v>
      </c>
      <c r="B18" s="61" t="str">
        <f>'Water runs'!B25</f>
        <v>Spring</v>
      </c>
      <c r="C18" s="54">
        <f>'Water runs'!D25/100</f>
        <v>0.34600000000000003</v>
      </c>
      <c r="D18" s="108">
        <f>VLOOKUP(ROW(D18)+4,'Water runs'!$BS$3:$CF$423,MATCH($B$1,Scenarios,0)+1)</f>
        <v>6.3484271451080369E-3</v>
      </c>
      <c r="E18" s="54">
        <f>IF(B18=Variables!$D$8,C18-Variables!$E$8,IF(B18=Variables!$D$9,C18-Variables!$E$9,IF(B18=Variables!$D$10,C18-Variables!$E$10,IF(B18=Variables!$D$11,C18-Variables!$E$11,"ELSE"))))</f>
        <v>-0.41798220899470911</v>
      </c>
      <c r="F18" s="108">
        <f>VLOOKUP(ROW(F18)+4,'Water runs'!$CH$3:$CU$423,MATCH($B$1,Scenarios,0)+1)</f>
        <v>0</v>
      </c>
      <c r="G18" s="65">
        <f>H18/Variables!$E$49</f>
        <v>0.25758396669909145</v>
      </c>
      <c r="H18" s="62">
        <f>IF((H17+I18)&gt;(1.1*Variables!$E$50),(1.1*Variables!$E$50),IF((H17+I18)&gt;0,H17+I18,0))</f>
        <v>1.5970205935343671</v>
      </c>
      <c r="I18" s="64">
        <f t="shared" ref="I18:I81" si="1">SUM(J18:U18)</f>
        <v>4.0650857173377776E-2</v>
      </c>
      <c r="J18" s="63">
        <f>IF(SUM(E14:E17)&lt;Variables!$B$3,-H17,0)</f>
        <v>0</v>
      </c>
      <c r="K18" s="64">
        <f>IF(AND(H17&lt;Variables!$B$6*Variables!$E$50,OR(SUM(D15:D18)&gt;Variables!$B$5,SUM(E15:E18)&gt;Variables!$B$4)),Variables!$B$6*Variables!$E$50+Variables!$B$7*$G$1*Variables!$E$50*SUM(D15:D18),0)</f>
        <v>0</v>
      </c>
      <c r="L18" s="64">
        <f>IF(B18="Winter",Variables!$B$8*H17,0)</f>
        <v>0</v>
      </c>
      <c r="M18" s="64">
        <f>IF(AND(B18="Spring",AND(NOT(H17=0),H17&lt;(Variables!$B$9*Variables!$E$50))),(Variables!$B$10*Variables!$E$50+Variables!$B$11*Variables!$E$50*SUM(E15:E18)+$G$1*SUM(D17:D18)*Variables!$E$50*Variables!$B$12),0)</f>
        <v>4.0650857173377776E-2</v>
      </c>
      <c r="N18" s="64">
        <f>IF(AND(B18="Spring",AND(SUM(D15:D18)&gt;Variables!$B$13,SUM(D11:D14)&gt;Variables!$B$13)),-Variables!$B$14*Variables!$E$50,0)</f>
        <v>0</v>
      </c>
      <c r="O18" s="64">
        <f>IF(AND(B18="Summer",SUM(C14:D18)&gt;Variables!$B$15),(Variables!$B$16*Variables!$E$50*SUM(C14:C18)+$G$1*Variables!$B$16*Variables!$E$50*SUM(D14:D18)+$G$1*Variables!$E$50*Variables!$B$17*F18),0)</f>
        <v>0</v>
      </c>
      <c r="P18" s="64">
        <f>IF(AND(AND(B18="Autumn",SUM(D17:E18)&gt;0),NOT(H17=0)),Variables!$B$18*Variables!$E$50+Variables!$B$19*Variables!$E$50*SUM(E17:E18)+$G$1*Variables!$B$19*Variables!$E$50*SUM(D17:D18),0)</f>
        <v>0</v>
      </c>
      <c r="Q18" s="64">
        <f>IF(AND(B18="Autumn",AND((E18+E17)&lt;Variables!$B$20,(D17+D18)=0)),-Variables!$B$21*Variables!$E$50,0)</f>
        <v>0</v>
      </c>
      <c r="R18" s="64">
        <f>IF(B18="Autumn",(SUM(F17:F18)*$G$1*Variables!$B$22*Variables!$E$50),0)</f>
        <v>0</v>
      </c>
      <c r="S18" s="64">
        <f>IF(B18="Spring",($G$1*Variables!$E$50*SUM('Guts (option 2)'!F17:F18)*Variables!$B$23),0)</f>
        <v>0</v>
      </c>
      <c r="T18" s="63">
        <f>IF((H17+SUM(J18:Q18))&lt;(Variables!$B$26*Variables!$E$50),$F$1*((Variables!$B$26*Variables!$E$50)-H17-SUM(J18:Q18)),0)</f>
        <v>0</v>
      </c>
      <c r="U18" s="64">
        <f>IF(AND(AND(B18="Autumn",SUM(D15:E18)&gt;Variables!$B$27),SUM(J18:Q18)&lt;Variables!$B$28*H17),$F$1*(Variables!$B$28*H17-SUM(J18:Q18)),0)</f>
        <v>0</v>
      </c>
      <c r="V18" s="96">
        <f>IF(AND((J18+K18)=0,(Q18+T18)=0),$H$1*H18*Variables!$I$23*0.25,0)</f>
        <v>10.258275463498762</v>
      </c>
      <c r="W18" s="97">
        <f>IF(AND((K18+J18)=0,(T18+Q18)=0),$I$1*H18*Variables!$Q$23*0.25,0)</f>
        <v>10.737701045677778</v>
      </c>
      <c r="X18" s="95">
        <f>IF(AND(NOT(K18=0),(H18-H17)&gt;0),(H18-H17)*(Variables!$M$5*$H$1+Variables!$U$5*$I$1),0)+IF(AND(NOT((J18+N18+Q18)=0),(H17-H18)&gt;0),(H17-H18)*(Variables!$M$4*$H$1+Variables!$U$4*$I$1),0)</f>
        <v>0</v>
      </c>
      <c r="Y18" s="95">
        <f>IF(SUM(T18,U17:U18)&gt;0,H18*Variables!$Y$11*0.25*(1-$J$1),0)</f>
        <v>0</v>
      </c>
      <c r="Z18" s="95">
        <f>IF(T18=0,H18*$J$1*Variables!$Y$5*0.25,0)</f>
        <v>3.4602112859911287</v>
      </c>
      <c r="AA18" s="95">
        <f t="shared" si="0"/>
        <v>24.456187795167668</v>
      </c>
      <c r="AB18" s="91">
        <f>AA18/Variables!$E$49</f>
        <v>3.9445464185754302</v>
      </c>
    </row>
    <row r="19" spans="1:29" x14ac:dyDescent="0.25">
      <c r="A19" s="61">
        <f>'Water runs'!C26</f>
        <v>3712</v>
      </c>
      <c r="B19" s="61" t="str">
        <f>'Water runs'!B26</f>
        <v>Summer</v>
      </c>
      <c r="C19" s="54">
        <f>'Water runs'!D26/100</f>
        <v>0.86199999999999999</v>
      </c>
      <c r="D19" s="108">
        <f>VLOOKUP(ROW(D19)+4,'Water runs'!$BS$3:$CF$423,MATCH($B$1,Scenarios,0)+1)</f>
        <v>0.3253557035289274</v>
      </c>
      <c r="E19" s="54">
        <f>IF(B19=Variables!$D$8,C19-Variables!$E$8,IF(B19=Variables!$D$9,C19-Variables!$E$9,IF(B19=Variables!$D$10,C19-Variables!$E$10,IF(B19=Variables!$D$11,C19-Variables!$E$11,"ELSE"))))</f>
        <v>-0.39637013605442173</v>
      </c>
      <c r="F19" s="108">
        <f>VLOOKUP(ROW(F19)+4,'Water runs'!$CH$3:$CU$423,MATCH($B$1,Scenarios,0)+1)</f>
        <v>0.45722214744376438</v>
      </c>
      <c r="G19" s="65">
        <f>H19/Variables!$E$49</f>
        <v>0.25758396669909145</v>
      </c>
      <c r="H19" s="62">
        <f>IF((H18+I19)&gt;(1.1*Variables!$E$50),(1.1*Variables!$E$50),IF((H18+I19)&gt;0,H18+I19,0))</f>
        <v>1.5970205935343671</v>
      </c>
      <c r="I19" s="64">
        <f t="shared" si="1"/>
        <v>0</v>
      </c>
      <c r="J19" s="63">
        <f>IF(SUM(E15:E18)&lt;Variables!$B$3,-H18,0)</f>
        <v>0</v>
      </c>
      <c r="K19" s="64">
        <f>IF(AND(H18&lt;Variables!$B$6*Variables!$E$50,OR(SUM(D16:D19)&gt;Variables!$B$5,SUM(E16:E19)&gt;Variables!$B$4)),Variables!$B$6*Variables!$E$50+Variables!$B$7*$G$1*Variables!$E$50*SUM(D16:D19),0)</f>
        <v>0</v>
      </c>
      <c r="L19" s="64">
        <f>IF(B19="Winter",Variables!$B$8*H18,0)</f>
        <v>0</v>
      </c>
      <c r="M19" s="64">
        <f>IF(AND(B19="Spring",AND(NOT(H18=0),H18&lt;(Variables!$B$9*Variables!$E$50))),(Variables!$B$10*Variables!$E$50+Variables!$B$11*Variables!$E$50*SUM(E16:E19)+$G$1*SUM(D18:D19)*Variables!$E$50*Variables!$B$12),0)</f>
        <v>0</v>
      </c>
      <c r="N19" s="64">
        <f>IF(AND(B19="Spring",AND(SUM(D16:D19)&gt;Variables!$B$13,SUM(D12:D15)&gt;Variables!$B$13)),-Variables!$B$14*Variables!$E$50,0)</f>
        <v>0</v>
      </c>
      <c r="O19" s="64">
        <f>IF(AND(B19="Summer",SUM(C15:D19)&gt;Variables!$B$15),(Variables!$B$16*Variables!$E$50*SUM(C15:C19)+$G$1*Variables!$B$16*Variables!$E$50*SUM(D15:D19)+$G$1*Variables!$E$50*Variables!$B$17*F19),0)</f>
        <v>0</v>
      </c>
      <c r="P19" s="64">
        <f>IF(AND(AND(B19="Autumn",SUM(D18:E19)&gt;0),NOT(H18=0)),Variables!$B$18*Variables!$E$50+Variables!$B$19*Variables!$E$50*SUM(E18:E19)+$G$1*Variables!$B$19*Variables!$E$50*SUM(D18:D19),0)</f>
        <v>0</v>
      </c>
      <c r="Q19" s="64">
        <f>IF(AND(B19="Autumn",AND((E19+E18)&lt;Variables!$B$20,(D18+D19)=0)),-Variables!$B$21*Variables!$E$50,0)</f>
        <v>0</v>
      </c>
      <c r="R19" s="64">
        <f>IF(B19="Autumn",(SUM(F18:F19)*$G$1*Variables!$B$22*Variables!$E$50),0)</f>
        <v>0</v>
      </c>
      <c r="S19" s="64">
        <f>IF(B19="Spring",($G$1*Variables!$E$50*SUM('Guts (option 2)'!F18:F19)*Variables!$B$23),0)</f>
        <v>0</v>
      </c>
      <c r="T19" s="63">
        <f>IF((H18+SUM(J19:Q19))&lt;(Variables!$B$26*Variables!$E$50),$F$1*((Variables!$B$26*Variables!$E$50)-H18-SUM(J19:Q19)),0)</f>
        <v>0</v>
      </c>
      <c r="U19" s="64">
        <f>IF(AND(AND(B19="Autumn",SUM(D16:E19)&gt;Variables!$B$27),SUM(J19:Q19)&lt;Variables!$B$28*H18),$F$1*(Variables!$B$28*H18-SUM(J19:Q19)),0)</f>
        <v>0</v>
      </c>
      <c r="V19" s="96">
        <f>IF(AND((J19+K19)=0,(Q19+T19)=0),$H$1*H19*Variables!$I$23*0.25,0)</f>
        <v>10.258275463498762</v>
      </c>
      <c r="W19" s="97">
        <f>IF(AND((K19+J19)=0,(T19+Q19)=0),$I$1*H19*Variables!$Q$23*0.25,0)</f>
        <v>10.737701045677778</v>
      </c>
      <c r="X19" s="95">
        <f>IF(AND(NOT(K19=0),(H19-H18)&gt;0),(H19-H18)*(Variables!$M$5*$H$1+Variables!$U$5*$I$1),0)+IF(AND(NOT((J19+N19+Q19)=0),(H18-H19)&gt;0),(H18-H19)*(Variables!$M$4*$H$1+Variables!$U$4*$I$1),0)</f>
        <v>0</v>
      </c>
      <c r="Y19" s="95">
        <f>IF(SUM(T19,U18:U19)&gt;0,H19*Variables!$Y$11*0.25*(1-$J$1),0)</f>
        <v>0</v>
      </c>
      <c r="Z19" s="95">
        <f>IF(T19=0,H19*$J$1*Variables!$Y$5*0.25,0)</f>
        <v>3.4602112859911287</v>
      </c>
      <c r="AA19" s="95">
        <f t="shared" si="0"/>
        <v>24.456187795167668</v>
      </c>
      <c r="AB19" s="91">
        <f>AA19/Variables!$E$49</f>
        <v>3.9445464185754302</v>
      </c>
      <c r="AC19" s="15"/>
    </row>
    <row r="20" spans="1:29" x14ac:dyDescent="0.25">
      <c r="A20" s="61">
        <f>'Water runs'!C27</f>
        <v>3804</v>
      </c>
      <c r="B20" s="61" t="str">
        <f>'Water runs'!B27</f>
        <v>Autumn</v>
      </c>
      <c r="C20" s="54">
        <f>'Water runs'!D27/100</f>
        <v>0.55359999999999998</v>
      </c>
      <c r="D20" s="108">
        <f>VLOOKUP(ROW(D20)+4,'Water runs'!$BS$3:$CF$423,MATCH($B$1,Scenarios,0)+1)</f>
        <v>0.18273383003824259</v>
      </c>
      <c r="E20" s="54">
        <f>IF(B20=Variables!$D$8,C20-Variables!$E$8,IF(B20=Variables!$D$9,C20-Variables!$E$9,IF(B20=Variables!$D$10,C20-Variables!$E$10,IF(B20=Variables!$D$11,C20-Variables!$E$11,"ELSE"))))</f>
        <v>-0.44104329931972786</v>
      </c>
      <c r="F20" s="108">
        <f>VLOOKUP(ROW(F20)+4,'Water runs'!$CH$3:$CU$423,MATCH($B$1,Scenarios,0)+1)</f>
        <v>0.16200088678453511</v>
      </c>
      <c r="G20" s="65">
        <f>H20/Variables!$E$49</f>
        <v>0.27165544082683929</v>
      </c>
      <c r="H20" s="62">
        <f>IF((H19+I20)&gt;(1.1*Variables!$E$50),(1.1*Variables!$E$50),IF((H19+I20)&gt;0,H19+I20,0))</f>
        <v>1.6842637331264037</v>
      </c>
      <c r="I20" s="64">
        <f t="shared" si="1"/>
        <v>8.7243139592036556E-2</v>
      </c>
      <c r="J20" s="63">
        <f>IF(SUM(E16:E19)&lt;Variables!$B$3,-H19,0)</f>
        <v>0</v>
      </c>
      <c r="K20" s="64">
        <f>IF(AND(H19&lt;Variables!$B$6*Variables!$E$50,OR(SUM(D17:D20)&gt;Variables!$B$5,SUM(E17:E20)&gt;Variables!$B$4)),Variables!$B$6*Variables!$E$50+Variables!$B$7*$G$1*Variables!$E$50*SUM(D17:D20),0)</f>
        <v>0</v>
      </c>
      <c r="L20" s="64">
        <f>IF(B20="Winter",Variables!$B$8*H19,0)</f>
        <v>0</v>
      </c>
      <c r="M20" s="64">
        <f>IF(AND(B20="Spring",AND(NOT(H19=0),H19&lt;(Variables!$B$9*Variables!$E$50))),(Variables!$B$10*Variables!$E$50+Variables!$B$11*Variables!$E$50*SUM(E17:E20)+$G$1*SUM(D19:D20)*Variables!$E$50*Variables!$B$12),0)</f>
        <v>0</v>
      </c>
      <c r="N20" s="64">
        <f>IF(AND(B20="Spring",AND(SUM(D17:D20)&gt;Variables!$B$13,SUM(D13:D16)&gt;Variables!$B$13)),-Variables!$B$14*Variables!$E$50,0)</f>
        <v>0</v>
      </c>
      <c r="O20" s="64">
        <f>IF(AND(B20="Summer",SUM(C16:D20)&gt;Variables!$B$15),(Variables!$B$16*Variables!$E$50*SUM(C16:C20)+$G$1*Variables!$B$16*Variables!$E$50*SUM(D16:D20)+$G$1*Variables!$E$50*Variables!$B$17*F20),0)</f>
        <v>0</v>
      </c>
      <c r="P20" s="64">
        <f>IF(AND(AND(B20="Autumn",SUM(D19:E20)&gt;0),NOT(H19=0)),Variables!$B$18*Variables!$E$50+Variables!$B$19*Variables!$E$50*SUM(E19:E20)+$G$1*Variables!$B$19*Variables!$E$50*SUM(D19:D20),0)</f>
        <v>0</v>
      </c>
      <c r="Q20" s="64">
        <f>IF(AND(B20="Autumn",AND((E20+E19)&lt;Variables!$B$20,(D19+D20)=0)),-Variables!$B$21*Variables!$E$50,0)</f>
        <v>0</v>
      </c>
      <c r="R20" s="64">
        <f>IF(B20="Autumn",(SUM(F19:F20)*$G$1*Variables!$B$22*Variables!$E$50),0)</f>
        <v>8.7243139592036556E-2</v>
      </c>
      <c r="S20" s="64">
        <f>IF(B20="Spring",($G$1*Variables!$E$50*SUM('Guts (option 2)'!F19:F20)*Variables!$B$23),0)</f>
        <v>0</v>
      </c>
      <c r="T20" s="63">
        <f>IF((H19+SUM(J20:Q20))&lt;(Variables!$B$26*Variables!$E$50),$F$1*((Variables!$B$26*Variables!$E$50)-H19-SUM(J20:Q20)),0)</f>
        <v>0</v>
      </c>
      <c r="U20" s="64">
        <f>IF(AND(AND(B20="Autumn",SUM(D17:E20)&gt;Variables!$B$27),SUM(J20:Q20)&lt;Variables!$B$28*H19),$F$1*(Variables!$B$28*H19-SUM(J20:Q20)),0)</f>
        <v>0</v>
      </c>
      <c r="V20" s="96">
        <f>IF(AND((J20+K20)=0,(Q20+T20)=0),$H$1*H20*Variables!$I$23*0.25,0)</f>
        <v>10.818671592301921</v>
      </c>
      <c r="W20" s="97">
        <f>IF(AND((K20+J20)=0,(T20+Q20)=0),$I$1*H20*Variables!$Q$23*0.25,0)</f>
        <v>11.324287564986466</v>
      </c>
      <c r="X20" s="95">
        <f>IF(AND(NOT(K20=0),(H20-H19)&gt;0),(H20-H19)*(Variables!$M$5*$H$1+Variables!$U$5*$I$1),0)+IF(AND(NOT((J20+N20+Q20)=0),(H19-H20)&gt;0),(H19-H20)*(Variables!$M$4*$H$1+Variables!$U$4*$I$1),0)</f>
        <v>0</v>
      </c>
      <c r="Y20" s="95">
        <f>IF(SUM(T20,U19:U20)&gt;0,H20*Variables!$Y$11*0.25*(1-$J$1),0)</f>
        <v>0</v>
      </c>
      <c r="Z20" s="95">
        <f>IF(T20=0,H20*$J$1*Variables!$Y$5*0.25,0)</f>
        <v>3.6492380884405407</v>
      </c>
      <c r="AA20" s="95">
        <f t="shared" si="0"/>
        <v>25.792197245728929</v>
      </c>
      <c r="AB20" s="91">
        <f>AA20/Variables!$E$49</f>
        <v>4.1600318138272465</v>
      </c>
    </row>
    <row r="21" spans="1:29" x14ac:dyDescent="0.25">
      <c r="A21" s="61">
        <f>'Water runs'!C28</f>
        <v>3896</v>
      </c>
      <c r="B21" s="61" t="str">
        <f>'Water runs'!B28</f>
        <v>Winter</v>
      </c>
      <c r="C21" s="54">
        <f>'Water runs'!D28/100</f>
        <v>0.92620000000000002</v>
      </c>
      <c r="D21" s="108">
        <f>VLOOKUP(ROW(D21)+4,'Water runs'!$BS$3:$CF$423,MATCH($B$1,Scenarios,0)+1)</f>
        <v>0.13311665175496243</v>
      </c>
      <c r="E21" s="54">
        <f>IF(B21=Variables!$D$8,C21-Variables!$E$8,IF(B21=Variables!$D$9,C21-Variables!$E$9,IF(B21=Variables!$D$10,C21-Variables!$E$10,IF(B21=Variables!$D$11,C21-Variables!$E$11,"ELSE"))))</f>
        <v>0.35443237433862429</v>
      </c>
      <c r="F21" s="108">
        <f>VLOOKUP(ROW(F21)+4,'Water runs'!$CH$3:$CU$423,MATCH($B$1,Scenarios,0)+1)</f>
        <v>0.10477636402505167</v>
      </c>
      <c r="G21" s="65">
        <f>H21/Variables!$E$49</f>
        <v>0.161</v>
      </c>
      <c r="H21" s="62">
        <f>IF((H20+I21)&gt;(1.1*Variables!$E$50),(1.1*Variables!$E$50),IF((H20+I21)&gt;0,H20+I21,0))</f>
        <v>0.99820000000000009</v>
      </c>
      <c r="I21" s="64">
        <f t="shared" si="1"/>
        <v>-0.68606373312640356</v>
      </c>
      <c r="J21" s="63">
        <f>IF(SUM(E17:E20)&lt;Variables!$B$3,-H20,0)</f>
        <v>0</v>
      </c>
      <c r="K21" s="64">
        <f>IF(AND(H20&lt;Variables!$B$6*Variables!$E$50,OR(SUM(D18:D21)&gt;Variables!$B$5,SUM(E18:E21)&gt;Variables!$B$4)),Variables!$B$6*Variables!$E$50+Variables!$B$7*$G$1*Variables!$E$50*SUM(D18:D21),0)</f>
        <v>0</v>
      </c>
      <c r="L21" s="64">
        <f>IF(B21="Winter",Variables!$B$8*H20,0)</f>
        <v>-0.83867111948501127</v>
      </c>
      <c r="M21" s="64">
        <f>IF(AND(B21="Spring",AND(NOT(H20=0),H20&lt;(Variables!$B$9*Variables!$E$50))),(Variables!$B$10*Variables!$E$50+Variables!$B$11*Variables!$E$50*SUM(E18:E21)+$G$1*SUM(D20:D21)*Variables!$E$50*Variables!$B$12),0)</f>
        <v>0</v>
      </c>
      <c r="N21" s="64">
        <f>IF(AND(B21="Spring",AND(SUM(D18:D21)&gt;Variables!$B$13,SUM(D14:D17)&gt;Variables!$B$13)),-Variables!$B$14*Variables!$E$50,0)</f>
        <v>0</v>
      </c>
      <c r="O21" s="64">
        <f>IF(AND(B21="Summer",SUM(C17:D21)&gt;Variables!$B$15),(Variables!$B$16*Variables!$E$50*SUM(C17:C21)+$G$1*Variables!$B$16*Variables!$E$50*SUM(D17:D21)+$G$1*Variables!$E$50*Variables!$B$17*F21),0)</f>
        <v>0</v>
      </c>
      <c r="P21" s="64">
        <f>IF(AND(AND(B21="Autumn",SUM(D20:E21)&gt;0),NOT(H20=0)),Variables!$B$18*Variables!$E$50+Variables!$B$19*Variables!$E$50*SUM(E20:E21)+$G$1*Variables!$B$19*Variables!$E$50*SUM(D20:D21),0)</f>
        <v>0</v>
      </c>
      <c r="Q21" s="64">
        <f>IF(AND(B21="Autumn",AND((E21+E20)&lt;Variables!$B$20,(D20+D21)=0)),-Variables!$B$21*Variables!$E$50,0)</f>
        <v>0</v>
      </c>
      <c r="R21" s="64">
        <f>IF(B21="Autumn",(SUM(F20:F21)*$G$1*Variables!$B$22*Variables!$E$50),0)</f>
        <v>0</v>
      </c>
      <c r="S21" s="64">
        <f>IF(B21="Spring",($G$1*Variables!$E$50*SUM('Guts (option 2)'!F20:F21)*Variables!$B$23),0)</f>
        <v>0</v>
      </c>
      <c r="T21" s="63">
        <f>IF((H20+SUM(J21:Q21))&lt;(Variables!$B$26*Variables!$E$50),$F$1*((Variables!$B$26*Variables!$E$50)-H20-SUM(J21:Q21)),0)</f>
        <v>0.15260738635860771</v>
      </c>
      <c r="U21" s="64">
        <f>IF(AND(AND(B21="Autumn",SUM(D18:E21)&gt;Variables!$B$27),SUM(J21:Q21)&lt;Variables!$B$28*H20),$F$1*(Variables!$B$28*H20-SUM(J21:Q21)),0)</f>
        <v>0</v>
      </c>
      <c r="V21" s="96">
        <f>IF(AND((J21+K21)=0,(Q21+T21)=0),$H$1*H21*Variables!$I$23*0.25,0)</f>
        <v>0</v>
      </c>
      <c r="W21" s="97">
        <f>IF(AND((K21+J21)=0,(T21+Q21)=0),$I$1*H21*Variables!$Q$23*0.25,0)</f>
        <v>0</v>
      </c>
      <c r="X21" s="95">
        <f>IF(AND(NOT(K21=0),(H21-H20)&gt;0),(H21-H20)*(Variables!$M$5*$H$1+Variables!$U$5*$I$1),0)+IF(AND(NOT((J21+N21+Q21)=0),(H20-H21)&gt;0),(H20-H21)*(Variables!$M$4*$H$1+Variables!$U$4*$I$1),0)</f>
        <v>0</v>
      </c>
      <c r="Y21" s="95">
        <f>IF(SUM(T21,U20:U21)&gt;0,H21*Variables!$Y$11*0.25*(1-$J$1),0)</f>
        <v>-6.9874000000000018</v>
      </c>
      <c r="Z21" s="95">
        <f>IF(T21=0,H21*$J$1*Variables!$Y$5*0.25,0)</f>
        <v>0</v>
      </c>
      <c r="AA21" s="95">
        <f t="shared" si="0"/>
        <v>-6.9874000000000018</v>
      </c>
      <c r="AB21" s="91">
        <f>AA21/Variables!$E$49</f>
        <v>-1.1270000000000002</v>
      </c>
    </row>
    <row r="22" spans="1:29" x14ac:dyDescent="0.25">
      <c r="A22" s="61">
        <f>'Water runs'!C29</f>
        <v>3987</v>
      </c>
      <c r="B22" s="61" t="str">
        <f>'Water runs'!B29</f>
        <v>Spring</v>
      </c>
      <c r="C22" s="54">
        <f>'Water runs'!D29/100</f>
        <v>0.70400000000000007</v>
      </c>
      <c r="D22" s="108">
        <f>VLOOKUP(ROW(D22)+4,'Water runs'!$BS$3:$CF$423,MATCH($B$1,Scenarios,0)+1)</f>
        <v>1.0846483345077949E-2</v>
      </c>
      <c r="E22" s="54">
        <f>IF(B22=Variables!$D$8,C22-Variables!$E$8,IF(B22=Variables!$D$9,C22-Variables!$E$9,IF(B22=Variables!$D$10,C22-Variables!$E$10,IF(B22=Variables!$D$11,C22-Variables!$E$11,"ELSE"))))</f>
        <v>-5.9982208994709074E-2</v>
      </c>
      <c r="F22" s="108">
        <f>VLOOKUP(ROW(F22)+4,'Water runs'!$CH$3:$CU$423,MATCH($B$1,Scenarios,0)+1)</f>
        <v>0</v>
      </c>
      <c r="G22" s="65">
        <f>H22/Variables!$E$49</f>
        <v>0.30166359923390151</v>
      </c>
      <c r="H22" s="62">
        <f>IF((H21+I22)&gt;(1.1*Variables!$E$50),(1.1*Variables!$E$50),IF((H21+I22)&gt;0,H21+I22,0))</f>
        <v>1.8703143152501895</v>
      </c>
      <c r="I22" s="64">
        <f t="shared" si="1"/>
        <v>0.87211431525018956</v>
      </c>
      <c r="J22" s="63">
        <f>IF(SUM(E18:E21)&lt;Variables!$B$3,-H21,0)</f>
        <v>0</v>
      </c>
      <c r="K22" s="64">
        <f>IF(AND(H21&lt;Variables!$B$6*Variables!$E$50,OR(SUM(D19:D22)&gt;Variables!$B$5,SUM(E19:E22)&gt;Variables!$B$4)),Variables!$B$6*Variables!$E$50+Variables!$B$7*$G$1*Variables!$E$50*SUM(D19:D22),0)</f>
        <v>1.1752036029042194</v>
      </c>
      <c r="L22" s="64">
        <f>IF(B22="Winter",Variables!$B$8*H21,0)</f>
        <v>0</v>
      </c>
      <c r="M22" s="64">
        <f>IF(AND(B22="Spring",AND(NOT(H21=0),H21&lt;(Variables!$B$9*Variables!$E$50))),(Variables!$B$10*Variables!$E$50+Variables!$B$11*Variables!$E$50*SUM(E19:E22)+$G$1*SUM(D21:D22)*Variables!$E$50*Variables!$B$12),0)</f>
        <v>-0.31649661521868422</v>
      </c>
      <c r="N22" s="64">
        <f>IF(AND(B22="Spring",AND(SUM(D19:D22)&gt;Variables!$B$13,SUM(D15:D18)&gt;Variables!$B$13)),-Variables!$B$14*Variables!$E$50,0)</f>
        <v>0</v>
      </c>
      <c r="O22" s="64">
        <f>IF(AND(B22="Summer",SUM(C18:D22)&gt;Variables!$B$15),(Variables!$B$16*Variables!$E$50*SUM(C18:C22)+$G$1*Variables!$B$16*Variables!$E$50*SUM(D18:D22)+$G$1*Variables!$E$50*Variables!$B$17*F22),0)</f>
        <v>0</v>
      </c>
      <c r="P22" s="64">
        <f>IF(AND(AND(B22="Autumn",SUM(D21:E22)&gt;0),NOT(H21=0)),Variables!$B$18*Variables!$E$50+Variables!$B$19*Variables!$E$50*SUM(E21:E22)+$G$1*Variables!$B$19*Variables!$E$50*SUM(D21:D22),0)</f>
        <v>0</v>
      </c>
      <c r="Q22" s="64">
        <f>IF(AND(B22="Autumn",AND((E22+E21)&lt;Variables!$B$20,(D21+D22)=0)),-Variables!$B$21*Variables!$E$50,0)</f>
        <v>0</v>
      </c>
      <c r="R22" s="64">
        <f>IF(B22="Autumn",(SUM(F21:F22)*$G$1*Variables!$B$22*Variables!$E$50),0)</f>
        <v>0</v>
      </c>
      <c r="S22" s="64">
        <f>IF(B22="Spring",($G$1*Variables!$E$50*SUM('Guts (option 2)'!F21:F22)*Variables!$B$23),0)</f>
        <v>1.3407327564654372E-2</v>
      </c>
      <c r="T22" s="63">
        <f>IF((H21+SUM(J22:Q22))&lt;(Variables!$B$26*Variables!$E$50),$F$1*((Variables!$B$26*Variables!$E$50)-H21-SUM(J22:Q22)),0)</f>
        <v>0</v>
      </c>
      <c r="U22" s="64">
        <f>IF(AND(AND(B22="Autumn",SUM(D19:E22)&gt;Variables!$B$27),SUM(J22:Q22)&lt;Variables!$B$28*H21),$F$1*(Variables!$B$28*H21-SUM(J22:Q22)),0)</f>
        <v>0</v>
      </c>
      <c r="V22" s="96">
        <f>IF(AND((J22+K22)=0,(Q22+T22)=0),$H$1*H22*Variables!$I$23*0.25,0)</f>
        <v>0</v>
      </c>
      <c r="W22" s="97">
        <f>IF(AND((K22+J22)=0,(T22+Q22)=0),$I$1*H22*Variables!$Q$23*0.25,0)</f>
        <v>0</v>
      </c>
      <c r="X22" s="95">
        <f>IF(AND(NOT(K22=0),(H22-H21)&gt;0),(H22-H21)*(Variables!$M$5*$H$1+Variables!$U$5*$I$1),0)+IF(AND(NOT((J22+N22+Q22)=0),(H21-H22)&gt;0),(H21-H22)*(Variables!$M$4*$H$1+Variables!$U$4*$I$1),0)</f>
        <v>-72.676192937515779</v>
      </c>
      <c r="Y22" s="95">
        <f>IF(SUM(T22,U21:U22)&gt;0,H22*Variables!$Y$11*0.25*(1-$J$1),0)</f>
        <v>0</v>
      </c>
      <c r="Z22" s="95">
        <f>IF(T22=0,H22*$J$1*Variables!$Y$5*0.25,0)</f>
        <v>4.0523476830420773</v>
      </c>
      <c r="AA22" s="95">
        <f t="shared" si="0"/>
        <v>-68.623845254473707</v>
      </c>
      <c r="AB22" s="91">
        <f>AA22/Variables!$E$49</f>
        <v>-11.06836213781834</v>
      </c>
    </row>
    <row r="23" spans="1:29" x14ac:dyDescent="0.25">
      <c r="A23" s="61">
        <f>'Water runs'!C30</f>
        <v>4077</v>
      </c>
      <c r="B23" s="61" t="str">
        <f>'Water runs'!B30</f>
        <v>Summer</v>
      </c>
      <c r="C23" s="54">
        <f>'Water runs'!D30/100</f>
        <v>2.1475999999999997</v>
      </c>
      <c r="D23" s="108">
        <f>VLOOKUP(ROW(D23)+4,'Water runs'!$BS$3:$CF$423,MATCH($B$1,Scenarios,0)+1)</f>
        <v>0.69375371143081099</v>
      </c>
      <c r="E23" s="54">
        <f>IF(B23=Variables!$D$8,C23-Variables!$E$8,IF(B23=Variables!$D$9,C23-Variables!$E$9,IF(B23=Variables!$D$10,C23-Variables!$E$10,IF(B23=Variables!$D$11,C23-Variables!$E$11,"ELSE"))))</f>
        <v>0.88922986394557801</v>
      </c>
      <c r="F23" s="108">
        <f>VLOOKUP(ROW(F23)+4,'Water runs'!$CH$3:$CU$423,MATCH($B$1,Scenarios,0)+1)</f>
        <v>0</v>
      </c>
      <c r="G23" s="65">
        <f>H23/Variables!$E$49</f>
        <v>0.67745204464186126</v>
      </c>
      <c r="H23" s="62">
        <f>IF((H22+I23)&gt;(1.1*Variables!$E$50),(1.1*Variables!$E$50),IF((H22+I23)&gt;0,H22+I23,0))</f>
        <v>4.20020267677954</v>
      </c>
      <c r="I23" s="64">
        <f t="shared" si="1"/>
        <v>2.3298883615293504</v>
      </c>
      <c r="J23" s="63">
        <f>IF(SUM(E19:E22)&lt;Variables!$B$3,-H22,0)</f>
        <v>0</v>
      </c>
      <c r="K23" s="64">
        <f>IF(AND(H22&lt;Variables!$B$6*Variables!$E$50,OR(SUM(D20:D23)&gt;Variables!$B$5,SUM(E20:E23)&gt;Variables!$B$4)),Variables!$B$6*Variables!$E$50+Variables!$B$7*$G$1*Variables!$E$50*SUM(D20:D23),0)</f>
        <v>0</v>
      </c>
      <c r="L23" s="64">
        <f>IF(B23="Winter",Variables!$B$8*H22,0)</f>
        <v>0</v>
      </c>
      <c r="M23" s="64">
        <f>IF(AND(B23="Spring",AND(NOT(H22=0),H22&lt;(Variables!$B$9*Variables!$E$50))),(Variables!$B$10*Variables!$E$50+Variables!$B$11*Variables!$E$50*SUM(E20:E23)+$G$1*SUM(D22:D23)*Variables!$E$50*Variables!$B$12),0)</f>
        <v>0</v>
      </c>
      <c r="N23" s="64">
        <f>IF(AND(B23="Spring",AND(SUM(D20:D23)&gt;Variables!$B$13,SUM(D16:D19)&gt;Variables!$B$13)),-Variables!$B$14*Variables!$E$50,0)</f>
        <v>0</v>
      </c>
      <c r="O23" s="64">
        <f>IF(AND(B23="Summer",SUM(C19:D23)&gt;Variables!$B$15),(Variables!$B$16*Variables!$E$50*SUM(C19:C23)+$G$1*Variables!$B$16*Variables!$E$50*SUM(D19:D23)+$G$1*Variables!$E$50*Variables!$B$17*F23),0)</f>
        <v>2.3298883615293504</v>
      </c>
      <c r="P23" s="64">
        <f>IF(AND(AND(B23="Autumn",SUM(D22:E23)&gt;0),NOT(H22=0)),Variables!$B$18*Variables!$E$50+Variables!$B$19*Variables!$E$50*SUM(E22:E23)+$G$1*Variables!$B$19*Variables!$E$50*SUM(D22:D23),0)</f>
        <v>0</v>
      </c>
      <c r="Q23" s="64">
        <f>IF(AND(B23="Autumn",AND((E23+E22)&lt;Variables!$B$20,(D22+D23)=0)),-Variables!$B$21*Variables!$E$50,0)</f>
        <v>0</v>
      </c>
      <c r="R23" s="64">
        <f>IF(B23="Autumn",(SUM(F22:F23)*$G$1*Variables!$B$22*Variables!$E$50),0)</f>
        <v>0</v>
      </c>
      <c r="S23" s="64">
        <f>IF(B23="Spring",($G$1*Variables!$E$50*SUM('Guts (option 2)'!F22:F23)*Variables!$B$23),0)</f>
        <v>0</v>
      </c>
      <c r="T23" s="63">
        <f>IF((H22+SUM(J23:Q23))&lt;(Variables!$B$26*Variables!$E$50),$F$1*((Variables!$B$26*Variables!$E$50)-H22-SUM(J23:Q23)),0)</f>
        <v>0</v>
      </c>
      <c r="U23" s="64">
        <f>IF(AND(AND(B23="Autumn",SUM(D20:E23)&gt;Variables!$B$27),SUM(J23:Q23)&lt;Variables!$B$28*H22),$F$1*(Variables!$B$28*H22-SUM(J23:Q23)),0)</f>
        <v>0</v>
      </c>
      <c r="V23" s="96">
        <f>IF(AND((J23+K23)=0,(Q23+T23)=0),$H$1*H23*Variables!$I$23*0.25,0)</f>
        <v>26.979511870647752</v>
      </c>
      <c r="W23" s="97">
        <f>IF(AND((K23+J23)=0,(T23+Q23)=0),$I$1*H23*Variables!$Q$23*0.25,0)</f>
        <v>28.240412714216966</v>
      </c>
      <c r="X23" s="95">
        <f>IF(AND(NOT(K23=0),(H23-H22)&gt;0),(H23-H22)*(Variables!$M$5*$H$1+Variables!$U$5*$I$1),0)+IF(AND(NOT((J23+N23+Q23)=0),(H22-H23)&gt;0),(H22-H23)*(Variables!$M$4*$H$1+Variables!$U$4*$I$1),0)</f>
        <v>0</v>
      </c>
      <c r="Y23" s="95">
        <f>IF(SUM(T23,U22:U23)&gt;0,H23*Variables!$Y$11*0.25*(1-$J$1),0)</f>
        <v>0</v>
      </c>
      <c r="Z23" s="95">
        <f>IF(T23=0,H23*$J$1*Variables!$Y$5*0.25,0)</f>
        <v>9.100439133022336</v>
      </c>
      <c r="AA23" s="95">
        <f t="shared" si="0"/>
        <v>64.320363717887048</v>
      </c>
      <c r="AB23" s="91">
        <f>AA23/Variables!$E$49</f>
        <v>10.374252212562427</v>
      </c>
      <c r="AC23" s="15"/>
    </row>
    <row r="24" spans="1:29" x14ac:dyDescent="0.25">
      <c r="A24" s="61">
        <f>'Water runs'!C31</f>
        <v>4169</v>
      </c>
      <c r="B24" s="61" t="str">
        <f>'Water runs'!B31</f>
        <v>Autumn</v>
      </c>
      <c r="C24" s="54">
        <f>'Water runs'!D31/100</f>
        <v>0.82220000000000004</v>
      </c>
      <c r="D24" s="108">
        <f>VLOOKUP(ROW(D24)+4,'Water runs'!$BS$3:$CF$423,MATCH($B$1,Scenarios,0)+1)</f>
        <v>4.8885581041813474E-2</v>
      </c>
      <c r="E24" s="54">
        <f>IF(B24=Variables!$D$8,C24-Variables!$E$8,IF(B24=Variables!$D$9,C24-Variables!$E$9,IF(B24=Variables!$D$10,C24-Variables!$E$10,IF(B24=Variables!$D$11,C24-Variables!$E$11,"ELSE"))))</f>
        <v>-0.17244329931972779</v>
      </c>
      <c r="F24" s="108">
        <f>VLOOKUP(ROW(F24)+4,'Water runs'!$CH$3:$CU$423,MATCH($B$1,Scenarios,0)+1)</f>
        <v>0.858182566766166</v>
      </c>
      <c r="G24" s="65">
        <f>H24/Variables!$E$49</f>
        <v>1.2026924382437634</v>
      </c>
      <c r="H24" s="62">
        <f>IF((H23+I24)&gt;(1.1*Variables!$E$50),(1.1*Variables!$E$50),IF((H23+I24)&gt;0,H23+I24,0))</f>
        <v>7.4566931171113326</v>
      </c>
      <c r="I24" s="64">
        <f t="shared" si="1"/>
        <v>3.2564904403317927</v>
      </c>
      <c r="J24" s="63">
        <f>IF(SUM(E20:E23)&lt;Variables!$B$3,-H23,0)</f>
        <v>0</v>
      </c>
      <c r="K24" s="64">
        <f>IF(AND(H23&lt;Variables!$B$6*Variables!$E$50,OR(SUM(D21:D24)&gt;Variables!$B$5,SUM(E21:E24)&gt;Variables!$B$4)),Variables!$B$6*Variables!$E$50+Variables!$B$7*$G$1*Variables!$E$50*SUM(D21:D24),0)</f>
        <v>0</v>
      </c>
      <c r="L24" s="64">
        <f>IF(B24="Winter",Variables!$B$8*H23,0)</f>
        <v>0</v>
      </c>
      <c r="M24" s="64">
        <f>IF(AND(B24="Spring",AND(NOT(H23=0),H23&lt;(Variables!$B$9*Variables!$E$50))),(Variables!$B$10*Variables!$E$50+Variables!$B$11*Variables!$E$50*SUM(E21:E24)+$G$1*SUM(D23:D24)*Variables!$E$50*Variables!$B$12),0)</f>
        <v>0</v>
      </c>
      <c r="N24" s="64">
        <f>IF(AND(B24="Spring",AND(SUM(D21:D24)&gt;Variables!$B$13,SUM(D17:D20)&gt;Variables!$B$13)),-Variables!$B$14*Variables!$E$50,0)</f>
        <v>0</v>
      </c>
      <c r="O24" s="64">
        <f>IF(AND(B24="Summer",SUM(C20:D24)&gt;Variables!$B$15),(Variables!$B$16*Variables!$E$50*SUM(C20:C24)+$G$1*Variables!$B$16*Variables!$E$50*SUM(D20:D24)+$G$1*Variables!$E$50*Variables!$B$17*F24),0)</f>
        <v>0</v>
      </c>
      <c r="P24" s="64">
        <f>IF(AND(AND(B24="Autumn",SUM(D23:E24)&gt;0),NOT(H23=0)),Variables!$B$18*Variables!$E$50+Variables!$B$19*Variables!$E$50*SUM(E23:E24)+$G$1*Variables!$B$19*Variables!$E$50*SUM(D23:D24),0)</f>
        <v>3.1355799810477003</v>
      </c>
      <c r="Q24" s="64">
        <f>IF(AND(B24="Autumn",AND((E24+E23)&lt;Variables!$B$20,(D23+D24)=0)),-Variables!$B$21*Variables!$E$50,0)</f>
        <v>0</v>
      </c>
      <c r="R24" s="64">
        <f>IF(B24="Autumn",(SUM(F23:F24)*$G$1*Variables!$B$22*Variables!$E$50),0)</f>
        <v>0.12091045928409223</v>
      </c>
      <c r="S24" s="64">
        <f>IF(B24="Spring",($G$1*Variables!$E$50*SUM('Guts (option 2)'!F23:F24)*Variables!$B$23),0)</f>
        <v>0</v>
      </c>
      <c r="T24" s="63">
        <f>IF((H23+SUM(J24:Q24))&lt;(Variables!$B$26*Variables!$E$50),$F$1*((Variables!$B$26*Variables!$E$50)-H23-SUM(J24:Q24)),0)</f>
        <v>0</v>
      </c>
      <c r="U24" s="64">
        <f>IF(AND(AND(B24="Autumn",SUM(D21:E24)&gt;Variables!$B$27),SUM(J24:Q24)&lt;Variables!$B$28*H23),$F$1*(Variables!$B$28*H23-SUM(J24:Q24)),0)</f>
        <v>0</v>
      </c>
      <c r="V24" s="96">
        <f>IF(AND((J24+K24)=0,(Q24+T24)=0),$H$1*H24*Variables!$I$23*0.25,0)</f>
        <v>47.897198290234314</v>
      </c>
      <c r="W24" s="97">
        <f>IF(AND((K24+J24)=0,(T24+Q24)=0),$I$1*H24*Variables!$Q$23*0.25,0)</f>
        <v>50.13569756399113</v>
      </c>
      <c r="X24" s="95">
        <f>IF(AND(NOT(K24=0),(H24-H23)&gt;0),(H24-H23)*(Variables!$M$5*$H$1+Variables!$U$5*$I$1),0)+IF(AND(NOT((J24+N24+Q24)=0),(H23-H24)&gt;0),(H23-H24)*(Variables!$M$4*$H$1+Variables!$U$4*$I$1),0)</f>
        <v>0</v>
      </c>
      <c r="Y24" s="95">
        <f>IF(SUM(T24,U23:U24)&gt;0,H24*Variables!$Y$11*0.25*(1-$J$1),0)</f>
        <v>0</v>
      </c>
      <c r="Z24" s="95">
        <f>IF(T24=0,H24*$J$1*Variables!$Y$5*0.25,0)</f>
        <v>16.156168420407887</v>
      </c>
      <c r="AA24" s="95">
        <f t="shared" si="0"/>
        <v>114.18906427463332</v>
      </c>
      <c r="AB24" s="91">
        <f>AA24/Variables!$E$49</f>
        <v>18.417591012037633</v>
      </c>
    </row>
    <row r="25" spans="1:29" x14ac:dyDescent="0.25">
      <c r="A25" s="61">
        <f>'Water runs'!C32</f>
        <v>4261</v>
      </c>
      <c r="B25" s="61" t="str">
        <f>'Water runs'!B32</f>
        <v>Winter</v>
      </c>
      <c r="C25" s="54">
        <f>'Water runs'!D32/100</f>
        <v>0.05</v>
      </c>
      <c r="D25" s="108">
        <f>VLOOKUP(ROW(D25)+4,'Water runs'!$BS$3:$CF$423,MATCH($B$1,Scenarios,0)+1)</f>
        <v>0</v>
      </c>
      <c r="E25" s="54">
        <f>IF(B25=Variables!$D$8,C25-Variables!$E$8,IF(B25=Variables!$D$9,C25-Variables!$E$9,IF(B25=Variables!$D$10,C25-Variables!$E$10,IF(B25=Variables!$D$11,C25-Variables!$E$11,"ELSE"))))</f>
        <v>-0.52176762566137569</v>
      </c>
      <c r="F25" s="108">
        <f>VLOOKUP(ROW(F25)+4,'Water runs'!$CH$3:$CU$423,MATCH($B$1,Scenarios,0)+1)</f>
        <v>0</v>
      </c>
      <c r="G25" s="65">
        <f>H25/Variables!$E$49</f>
        <v>0.60381745581703272</v>
      </c>
      <c r="H25" s="62">
        <f>IF((H24+I25)&gt;(1.1*Variables!$E$50),(1.1*Variables!$E$50),IF((H24+I25)&gt;0,H24+I25,0))</f>
        <v>3.7436682260656027</v>
      </c>
      <c r="I25" s="64">
        <f t="shared" si="1"/>
        <v>-3.71302489104573</v>
      </c>
      <c r="J25" s="63">
        <f>IF(SUM(E21:E24)&lt;Variables!$B$3,-H24,0)</f>
        <v>0</v>
      </c>
      <c r="K25" s="64">
        <f>IF(AND(H24&lt;Variables!$B$6*Variables!$E$50,OR(SUM(D22:D25)&gt;Variables!$B$5,SUM(E22:E25)&gt;Variables!$B$4)),Variables!$B$6*Variables!$E$50+Variables!$B$7*$G$1*Variables!$E$50*SUM(D22:D25),0)</f>
        <v>0</v>
      </c>
      <c r="L25" s="64">
        <f>IF(B25="Winter",Variables!$B$8*H24,0)</f>
        <v>-3.71302489104573</v>
      </c>
      <c r="M25" s="64">
        <f>IF(AND(B25="Spring",AND(NOT(H24=0),H24&lt;(Variables!$B$9*Variables!$E$50))),(Variables!$B$10*Variables!$E$50+Variables!$B$11*Variables!$E$50*SUM(E22:E25)+$G$1*SUM(D24:D25)*Variables!$E$50*Variables!$B$12),0)</f>
        <v>0</v>
      </c>
      <c r="N25" s="64">
        <f>IF(AND(B25="Spring",AND(SUM(D22:D25)&gt;Variables!$B$13,SUM(D18:D21)&gt;Variables!$B$13)),-Variables!$B$14*Variables!$E$50,0)</f>
        <v>0</v>
      </c>
      <c r="O25" s="64">
        <f>IF(AND(B25="Summer",SUM(C21:D25)&gt;Variables!$B$15),(Variables!$B$16*Variables!$E$50*SUM(C21:C25)+$G$1*Variables!$B$16*Variables!$E$50*SUM(D21:D25)+$G$1*Variables!$E$50*Variables!$B$17*F25),0)</f>
        <v>0</v>
      </c>
      <c r="P25" s="64">
        <f>IF(AND(AND(B25="Autumn",SUM(D24:E25)&gt;0),NOT(H24=0)),Variables!$B$18*Variables!$E$50+Variables!$B$19*Variables!$E$50*SUM(E24:E25)+$G$1*Variables!$B$19*Variables!$E$50*SUM(D24:D25),0)</f>
        <v>0</v>
      </c>
      <c r="Q25" s="64">
        <f>IF(AND(B25="Autumn",AND((E25+E24)&lt;Variables!$B$20,(D24+D25)=0)),-Variables!$B$21*Variables!$E$50,0)</f>
        <v>0</v>
      </c>
      <c r="R25" s="64">
        <f>IF(B25="Autumn",(SUM(F24:F25)*$G$1*Variables!$B$22*Variables!$E$50),0)</f>
        <v>0</v>
      </c>
      <c r="S25" s="64">
        <f>IF(B25="Spring",($G$1*Variables!$E$50*SUM('Guts (option 2)'!F24:F25)*Variables!$B$23),0)</f>
        <v>0</v>
      </c>
      <c r="T25" s="63">
        <f>IF((H24+SUM(J25:Q25))&lt;(Variables!$B$26*Variables!$E$50),$F$1*((Variables!$B$26*Variables!$E$50)-H24-SUM(J25:Q25)),0)</f>
        <v>0</v>
      </c>
      <c r="U25" s="64">
        <f>IF(AND(AND(B25="Autumn",SUM(D22:E25)&gt;Variables!$B$27),SUM(J25:Q25)&lt;Variables!$B$28*H24),$F$1*(Variables!$B$28*H24-SUM(J25:Q25)),0)</f>
        <v>0</v>
      </c>
      <c r="V25" s="96">
        <f>IF(AND((J25+K25)=0,(Q25+T25)=0),$H$1*H25*Variables!$I$23*0.25,0)</f>
        <v>24.047016088839356</v>
      </c>
      <c r="W25" s="97">
        <f>IF(AND((K25+J25)=0,(T25+Q25)=0),$I$1*H25*Variables!$Q$23*0.25,0)</f>
        <v>25.170865290304249</v>
      </c>
      <c r="X25" s="95">
        <f>IF(AND(NOT(K25=0),(H25-H24)&gt;0),(H25-H24)*(Variables!$M$5*$H$1+Variables!$U$5*$I$1),0)+IF(AND(NOT((J25+N25+Q25)=0),(H24-H25)&gt;0),(H24-H25)*(Variables!$M$4*$H$1+Variables!$U$4*$I$1),0)</f>
        <v>0</v>
      </c>
      <c r="Y25" s="95">
        <f>IF(SUM(T25,U24:U25)&gt;0,H25*Variables!$Y$11*0.25*(1-$J$1),0)</f>
        <v>0</v>
      </c>
      <c r="Z25" s="95">
        <f>IF(T25=0,H25*$J$1*Variables!$Y$5*0.25,0)</f>
        <v>8.1112811564754725</v>
      </c>
      <c r="AA25" s="95">
        <f t="shared" si="0"/>
        <v>57.329162535619076</v>
      </c>
      <c r="AB25" s="91">
        <f>AA25/Variables!$E$49</f>
        <v>9.246639118648238</v>
      </c>
    </row>
    <row r="26" spans="1:29" x14ac:dyDescent="0.25">
      <c r="A26" s="61">
        <f>'Water runs'!C33</f>
        <v>4352</v>
      </c>
      <c r="B26" s="61" t="str">
        <f>'Water runs'!B33</f>
        <v>Spring</v>
      </c>
      <c r="C26" s="54">
        <f>'Water runs'!D33/100</f>
        <v>0.35</v>
      </c>
      <c r="D26" s="108">
        <f>VLOOKUP(ROW(D26)+4,'Water runs'!$BS$3:$CF$423,MATCH($B$1,Scenarios,0)+1)</f>
        <v>0</v>
      </c>
      <c r="E26" s="54">
        <f>IF(B26=Variables!$D$8,C26-Variables!$E$8,IF(B26=Variables!$D$9,C26-Variables!$E$9,IF(B26=Variables!$D$10,C26-Variables!$E$10,IF(B26=Variables!$D$11,C26-Variables!$E$11,"ELSE"))))</f>
        <v>-0.41398220899470917</v>
      </c>
      <c r="F26" s="108">
        <f>VLOOKUP(ROW(F26)+4,'Water runs'!$CH$3:$CU$423,MATCH($B$1,Scenarios,0)+1)</f>
        <v>0</v>
      </c>
      <c r="G26" s="65">
        <f>H26/Variables!$E$49</f>
        <v>0.60381745581703272</v>
      </c>
      <c r="H26" s="62">
        <f>IF((H25+I26)&gt;(1.1*Variables!$E$50),(1.1*Variables!$E$50),IF((H25+I26)&gt;0,H25+I26,0))</f>
        <v>3.7436682260656027</v>
      </c>
      <c r="I26" s="64">
        <f t="shared" si="1"/>
        <v>0</v>
      </c>
      <c r="J26" s="63">
        <f>IF(SUM(E22:E25)&lt;Variables!$B$3,-H25,0)</f>
        <v>0</v>
      </c>
      <c r="K26" s="64">
        <f>IF(AND(H25&lt;Variables!$B$6*Variables!$E$50,OR(SUM(D23:D26)&gt;Variables!$B$5,SUM(E23:E26)&gt;Variables!$B$4)),Variables!$B$6*Variables!$E$50+Variables!$B$7*$G$1*Variables!$E$50*SUM(D23:D26),0)</f>
        <v>0</v>
      </c>
      <c r="L26" s="64">
        <f>IF(B26="Winter",Variables!$B$8*H25,0)</f>
        <v>0</v>
      </c>
      <c r="M26" s="64">
        <f>IF(AND(B26="Spring",AND(NOT(H25=0),H25&lt;(Variables!$B$9*Variables!$E$50))),(Variables!$B$10*Variables!$E$50+Variables!$B$11*Variables!$E$50*SUM(E23:E26)+$G$1*SUM(D25:D26)*Variables!$E$50*Variables!$B$12),0)</f>
        <v>0</v>
      </c>
      <c r="N26" s="64">
        <f>IF(AND(B26="Spring",AND(SUM(D23:D26)&gt;Variables!$B$13,SUM(D19:D22)&gt;Variables!$B$13)),-Variables!$B$14*Variables!$E$50,0)</f>
        <v>0</v>
      </c>
      <c r="O26" s="64">
        <f>IF(AND(B26="Summer",SUM(C22:D26)&gt;Variables!$B$15),(Variables!$B$16*Variables!$E$50*SUM(C22:C26)+$G$1*Variables!$B$16*Variables!$E$50*SUM(D22:D26)+$G$1*Variables!$E$50*Variables!$B$17*F26),0)</f>
        <v>0</v>
      </c>
      <c r="P26" s="64">
        <f>IF(AND(AND(B26="Autumn",SUM(D25:E26)&gt;0),NOT(H25=0)),Variables!$B$18*Variables!$E$50+Variables!$B$19*Variables!$E$50*SUM(E25:E26)+$G$1*Variables!$B$19*Variables!$E$50*SUM(D25:D26),0)</f>
        <v>0</v>
      </c>
      <c r="Q26" s="64">
        <f>IF(AND(B26="Autumn",AND((E26+E25)&lt;Variables!$B$20,(D25+D26)=0)),-Variables!$B$21*Variables!$E$50,0)</f>
        <v>0</v>
      </c>
      <c r="R26" s="64">
        <f>IF(B26="Autumn",(SUM(F25:F26)*$G$1*Variables!$B$22*Variables!$E$50),0)</f>
        <v>0</v>
      </c>
      <c r="S26" s="64">
        <f>IF(B26="Spring",($G$1*Variables!$E$50*SUM('Guts (option 2)'!F25:F26)*Variables!$B$23),0)</f>
        <v>0</v>
      </c>
      <c r="T26" s="63">
        <f>IF((H25+SUM(J26:Q26))&lt;(Variables!$B$26*Variables!$E$50),$F$1*((Variables!$B$26*Variables!$E$50)-H25-SUM(J26:Q26)),0)</f>
        <v>0</v>
      </c>
      <c r="U26" s="64">
        <f>IF(AND(AND(B26="Autumn",SUM(D23:E26)&gt;Variables!$B$27),SUM(J26:Q26)&lt;Variables!$B$28*H25),$F$1*(Variables!$B$28*H25-SUM(J26:Q26)),0)</f>
        <v>0</v>
      </c>
      <c r="V26" s="96">
        <f>IF(AND((J26+K26)=0,(Q26+T26)=0),$H$1*H26*Variables!$I$23*0.25,0)</f>
        <v>24.047016088839356</v>
      </c>
      <c r="W26" s="97">
        <f>IF(AND((K26+J26)=0,(T26+Q26)=0),$I$1*H26*Variables!$Q$23*0.25,0)</f>
        <v>25.170865290304249</v>
      </c>
      <c r="X26" s="95">
        <f>IF(AND(NOT(K26=0),(H26-H25)&gt;0),(H26-H25)*(Variables!$M$5*$H$1+Variables!$U$5*$I$1),0)+IF(AND(NOT((J26+N26+Q26)=0),(H25-H26)&gt;0),(H25-H26)*(Variables!$M$4*$H$1+Variables!$U$4*$I$1),0)</f>
        <v>0</v>
      </c>
      <c r="Y26" s="95">
        <f>IF(SUM(T26,U25:U26)&gt;0,H26*Variables!$Y$11*0.25*(1-$J$1),0)</f>
        <v>0</v>
      </c>
      <c r="Z26" s="95">
        <f>IF(T26=0,H26*$J$1*Variables!$Y$5*0.25,0)</f>
        <v>8.1112811564754725</v>
      </c>
      <c r="AA26" s="95">
        <f t="shared" si="0"/>
        <v>57.329162535619076</v>
      </c>
      <c r="AB26" s="91">
        <f>AA26/Variables!$E$49</f>
        <v>9.246639118648238</v>
      </c>
    </row>
    <row r="27" spans="1:29" x14ac:dyDescent="0.25">
      <c r="A27" s="61">
        <f>'Water runs'!C34</f>
        <v>4442</v>
      </c>
      <c r="B27" s="61" t="str">
        <f>'Water runs'!B34</f>
        <v>Summer</v>
      </c>
      <c r="C27" s="54">
        <f>'Water runs'!D34/100</f>
        <v>0.48100000000000004</v>
      </c>
      <c r="D27" s="108">
        <f>VLOOKUP(ROW(D27)+4,'Water runs'!$BS$3:$CF$423,MATCH($B$1,Scenarios,0)+1)</f>
        <v>0</v>
      </c>
      <c r="E27" s="54">
        <f>IF(B27=Variables!$D$8,C27-Variables!$E$8,IF(B27=Variables!$D$9,C27-Variables!$E$9,IF(B27=Variables!$D$10,C27-Variables!$E$10,IF(B27=Variables!$D$11,C27-Variables!$E$11,"ELSE"))))</f>
        <v>-0.77737013605442162</v>
      </c>
      <c r="F27" s="108">
        <f>VLOOKUP(ROW(F27)+4,'Water runs'!$CH$3:$CU$423,MATCH($B$1,Scenarios,0)+1)</f>
        <v>0</v>
      </c>
      <c r="G27" s="65">
        <f>H27/Variables!$E$49</f>
        <v>0.60381745581703272</v>
      </c>
      <c r="H27" s="62">
        <f>IF((H26+I27)&gt;(1.1*Variables!$E$50),(1.1*Variables!$E$50),IF((H26+I27)&gt;0,H26+I27,0))</f>
        <v>3.7436682260656027</v>
      </c>
      <c r="I27" s="64">
        <f t="shared" si="1"/>
        <v>0</v>
      </c>
      <c r="J27" s="63">
        <f>IF(SUM(E23:E26)&lt;Variables!$B$3,-H26,0)</f>
        <v>0</v>
      </c>
      <c r="K27" s="64">
        <f>IF(AND(H26&lt;Variables!$B$6*Variables!$E$50,OR(SUM(D24:D27)&gt;Variables!$B$5,SUM(E24:E27)&gt;Variables!$B$4)),Variables!$B$6*Variables!$E$50+Variables!$B$7*$G$1*Variables!$E$50*SUM(D24:D27),0)</f>
        <v>0</v>
      </c>
      <c r="L27" s="64">
        <f>IF(B27="Winter",Variables!$B$8*H26,0)</f>
        <v>0</v>
      </c>
      <c r="M27" s="64">
        <f>IF(AND(B27="Spring",AND(NOT(H26=0),H26&lt;(Variables!$B$9*Variables!$E$50))),(Variables!$B$10*Variables!$E$50+Variables!$B$11*Variables!$E$50*SUM(E24:E27)+$G$1*SUM(D26:D27)*Variables!$E$50*Variables!$B$12),0)</f>
        <v>0</v>
      </c>
      <c r="N27" s="64">
        <f>IF(AND(B27="Spring",AND(SUM(D24:D27)&gt;Variables!$B$13,SUM(D20:D23)&gt;Variables!$B$13)),-Variables!$B$14*Variables!$E$50,0)</f>
        <v>0</v>
      </c>
      <c r="O27" s="64">
        <f>IF(AND(B27="Summer",SUM(C23:D27)&gt;Variables!$B$15),(Variables!$B$16*Variables!$E$50*SUM(C23:C27)+$G$1*Variables!$B$16*Variables!$E$50*SUM(D23:D27)+$G$1*Variables!$E$50*Variables!$B$17*F27),0)</f>
        <v>0</v>
      </c>
      <c r="P27" s="64">
        <f>IF(AND(AND(B27="Autumn",SUM(D26:E27)&gt;0),NOT(H26=0)),Variables!$B$18*Variables!$E$50+Variables!$B$19*Variables!$E$50*SUM(E26:E27)+$G$1*Variables!$B$19*Variables!$E$50*SUM(D26:D27),0)</f>
        <v>0</v>
      </c>
      <c r="Q27" s="64">
        <f>IF(AND(B27="Autumn",AND((E27+E26)&lt;Variables!$B$20,(D26+D27)=0)),-Variables!$B$21*Variables!$E$50,0)</f>
        <v>0</v>
      </c>
      <c r="R27" s="64">
        <f>IF(B27="Autumn",(SUM(F26:F27)*$G$1*Variables!$B$22*Variables!$E$50),0)</f>
        <v>0</v>
      </c>
      <c r="S27" s="64">
        <f>IF(B27="Spring",($G$1*Variables!$E$50*SUM('Guts (option 2)'!F26:F27)*Variables!$B$23),0)</f>
        <v>0</v>
      </c>
      <c r="T27" s="63">
        <f>IF((H26+SUM(J27:Q27))&lt;(Variables!$B$26*Variables!$E$50),$F$1*((Variables!$B$26*Variables!$E$50)-H26-SUM(J27:Q27)),0)</f>
        <v>0</v>
      </c>
      <c r="U27" s="64">
        <f>IF(AND(AND(B27="Autumn",SUM(D24:E27)&gt;Variables!$B$27),SUM(J27:Q27)&lt;Variables!$B$28*H26),$F$1*(Variables!$B$28*H26-SUM(J27:Q27)),0)</f>
        <v>0</v>
      </c>
      <c r="V27" s="96">
        <f>IF(AND((J27+K27)=0,(Q27+T27)=0),$H$1*H27*Variables!$I$23*0.25,0)</f>
        <v>24.047016088839356</v>
      </c>
      <c r="W27" s="97">
        <f>IF(AND((K27+J27)=0,(T27+Q27)=0),$I$1*H27*Variables!$Q$23*0.25,0)</f>
        <v>25.170865290304249</v>
      </c>
      <c r="X27" s="95">
        <f>IF(AND(NOT(K27=0),(H27-H26)&gt;0),(H27-H26)*(Variables!$M$5*$H$1+Variables!$U$5*$I$1),0)+IF(AND(NOT((J27+N27+Q27)=0),(H26-H27)&gt;0),(H26-H27)*(Variables!$M$4*$H$1+Variables!$U$4*$I$1),0)</f>
        <v>0</v>
      </c>
      <c r="Y27" s="95">
        <f>IF(SUM(T27,U26:U27)&gt;0,H27*Variables!$Y$11*0.25*(1-$J$1),0)</f>
        <v>0</v>
      </c>
      <c r="Z27" s="95">
        <f>IF(T27=0,H27*$J$1*Variables!$Y$5*0.25,0)</f>
        <v>8.1112811564754725</v>
      </c>
      <c r="AA27" s="95">
        <f t="shared" si="0"/>
        <v>57.329162535619076</v>
      </c>
      <c r="AB27" s="91">
        <f>AA27/Variables!$E$49</f>
        <v>9.246639118648238</v>
      </c>
      <c r="AC27" s="15"/>
    </row>
    <row r="28" spans="1:29" x14ac:dyDescent="0.25">
      <c r="A28" s="61">
        <f>'Water runs'!C35</f>
        <v>4535</v>
      </c>
      <c r="B28" s="61" t="str">
        <f>'Water runs'!B35</f>
        <v>Autumn</v>
      </c>
      <c r="C28" s="54">
        <f>'Water runs'!D35/100</f>
        <v>9.7200000000000009E-2</v>
      </c>
      <c r="D28" s="108">
        <f>VLOOKUP(ROW(D28)+4,'Water runs'!$BS$3:$CF$423,MATCH($B$1,Scenarios,0)+1)</f>
        <v>6.8931662166763002E-3</v>
      </c>
      <c r="E28" s="54">
        <f>IF(B28=Variables!$D$8,C28-Variables!$E$8,IF(B28=Variables!$D$9,C28-Variables!$E$9,IF(B28=Variables!$D$10,C28-Variables!$E$10,IF(B28=Variables!$D$11,C28-Variables!$E$11,"ELSE"))))</f>
        <v>-0.89744329931972788</v>
      </c>
      <c r="F28" s="108">
        <f>VLOOKUP(ROW(F28)+4,'Water runs'!$CH$3:$CU$423,MATCH($B$1,Scenarios,0)+1)</f>
        <v>0</v>
      </c>
      <c r="G28" s="65">
        <f>H28/Variables!$E$49</f>
        <v>0.16100000000000003</v>
      </c>
      <c r="H28" s="62">
        <f>IF((H27+I28)&gt;(1.1*Variables!$E$50),(1.1*Variables!$E$50),IF((H27+I28)&gt;0,H27+I28,0))</f>
        <v>0.9982000000000002</v>
      </c>
      <c r="I28" s="64">
        <f t="shared" si="1"/>
        <v>-2.7454682260656025</v>
      </c>
      <c r="J28" s="63">
        <f>IF(SUM(E24:E27)&lt;Variables!$B$3,-H27,0)</f>
        <v>-3.7436682260656027</v>
      </c>
      <c r="K28" s="64">
        <f>IF(AND(H27&lt;Variables!$B$6*Variables!$E$50,OR(SUM(D25:D28)&gt;Variables!$B$5,SUM(E25:E28)&gt;Variables!$B$4)),Variables!$B$6*Variables!$E$50+Variables!$B$7*$G$1*Variables!$E$50*SUM(D25:D28),0)</f>
        <v>0</v>
      </c>
      <c r="L28" s="64">
        <f>IF(B28="Winter",Variables!$B$8*H27,0)</f>
        <v>0</v>
      </c>
      <c r="M28" s="64">
        <f>IF(AND(B28="Spring",AND(NOT(H27=0),H27&lt;(Variables!$B$9*Variables!$E$50))),(Variables!$B$10*Variables!$E$50+Variables!$B$11*Variables!$E$50*SUM(E25:E28)+$G$1*SUM(D27:D28)*Variables!$E$50*Variables!$B$12),0)</f>
        <v>0</v>
      </c>
      <c r="N28" s="64">
        <f>IF(AND(B28="Spring",AND(SUM(D25:D28)&gt;Variables!$B$13,SUM(D21:D24)&gt;Variables!$B$13)),-Variables!$B$14*Variables!$E$50,0)</f>
        <v>0</v>
      </c>
      <c r="O28" s="64">
        <f>IF(AND(B28="Summer",SUM(C24:D28)&gt;Variables!$B$15),(Variables!$B$16*Variables!$E$50*SUM(C24:C28)+$G$1*Variables!$B$16*Variables!$E$50*SUM(D24:D28)+$G$1*Variables!$E$50*Variables!$B$17*F28),0)</f>
        <v>0</v>
      </c>
      <c r="P28" s="64">
        <f>IF(AND(AND(B28="Autumn",SUM(D27:E28)&gt;0),NOT(H27=0)),Variables!$B$18*Variables!$E$50+Variables!$B$19*Variables!$E$50*SUM(E27:E28)+$G$1*Variables!$B$19*Variables!$E$50*SUM(D27:D28),0)</f>
        <v>0</v>
      </c>
      <c r="Q28" s="64">
        <f>IF(AND(B28="Autumn",AND((E28+E27)&lt;Variables!$B$20,(D27+D28)=0)),-Variables!$B$21*Variables!$E$50,0)</f>
        <v>0</v>
      </c>
      <c r="R28" s="64">
        <f>IF(B28="Autumn",(SUM(F27:F28)*$G$1*Variables!$B$22*Variables!$E$50),0)</f>
        <v>0</v>
      </c>
      <c r="S28" s="64">
        <f>IF(B28="Spring",($G$1*Variables!$E$50*SUM('Guts (option 2)'!F27:F28)*Variables!$B$23),0)</f>
        <v>0</v>
      </c>
      <c r="T28" s="63">
        <f>IF((H27+SUM(J28:Q28))&lt;(Variables!$B$26*Variables!$E$50),$F$1*((Variables!$B$26*Variables!$E$50)-H27-SUM(J28:Q28)),0)</f>
        <v>0.9982000000000002</v>
      </c>
      <c r="U28" s="64">
        <f>IF(AND(AND(B28="Autumn",SUM(D25:E28)&gt;Variables!$B$27),SUM(J28:Q28)&lt;Variables!$B$28*H27),$F$1*(Variables!$B$28*H27-SUM(J28:Q28)),0)</f>
        <v>0</v>
      </c>
      <c r="V28" s="96">
        <f>IF(AND((J28+K28)=0,(Q28+T28)=0),$H$1*H28*Variables!$I$23*0.25,0)</f>
        <v>0</v>
      </c>
      <c r="W28" s="97">
        <f>IF(AND((K28+J28)=0,(T28+Q28)=0),$I$1*H28*Variables!$Q$23*0.25,0)</f>
        <v>0</v>
      </c>
      <c r="X28" s="95">
        <f>IF(AND(NOT(K28=0),(H28-H27)&gt;0),(H28-H27)*(Variables!$M$5*$H$1+Variables!$U$5*$I$1),0)+IF(AND(NOT((J28+N28+Q28)=0),(H27-H28)&gt;0),(H27-H28)*(Variables!$M$4*$H$1+Variables!$U$4*$I$1),0)</f>
        <v>114.39450941940009</v>
      </c>
      <c r="Y28" s="95">
        <f>IF(SUM(T28,U27:U28)&gt;0,H28*Variables!$Y$11*0.25*(1-$J$1),0)</f>
        <v>-6.9874000000000018</v>
      </c>
      <c r="Z28" s="95">
        <f>IF(T28=0,H28*$J$1*Variables!$Y$5*0.25,0)</f>
        <v>0</v>
      </c>
      <c r="AA28" s="95">
        <f t="shared" si="0"/>
        <v>107.40710941940009</v>
      </c>
      <c r="AB28" s="91">
        <f>AA28/Variables!$E$49</f>
        <v>17.32372732570969</v>
      </c>
    </row>
    <row r="29" spans="1:29" x14ac:dyDescent="0.25">
      <c r="A29" s="61">
        <f>'Water runs'!C36</f>
        <v>4627</v>
      </c>
      <c r="B29" s="61" t="str">
        <f>'Water runs'!B36</f>
        <v>Winter</v>
      </c>
      <c r="C29" s="54">
        <f>'Water runs'!D36/100</f>
        <v>1.2716000000000001</v>
      </c>
      <c r="D29" s="108">
        <f>VLOOKUP(ROW(D29)+4,'Water runs'!$BS$3:$CF$423,MATCH($B$1,Scenarios,0)+1)</f>
        <v>0.54508349234752451</v>
      </c>
      <c r="E29" s="54">
        <f>IF(B29=Variables!$D$8,C29-Variables!$E$8,IF(B29=Variables!$D$9,C29-Variables!$E$9,IF(B29=Variables!$D$10,C29-Variables!$E$10,IF(B29=Variables!$D$11,C29-Variables!$E$11,"ELSE"))))</f>
        <v>0.69983237433862433</v>
      </c>
      <c r="F29" s="108">
        <f>VLOOKUP(ROW(F29)+4,'Water runs'!$CH$3:$CU$423,MATCH($B$1,Scenarios,0)+1)</f>
        <v>0.69260643393851096</v>
      </c>
      <c r="G29" s="65">
        <f>H29/Variables!$E$49</f>
        <v>0.161</v>
      </c>
      <c r="H29" s="62">
        <f>IF((H28+I29)&gt;(1.1*Variables!$E$50),(1.1*Variables!$E$50),IF((H28+I29)&gt;0,H28+I29,0))</f>
        <v>0.99820000000000009</v>
      </c>
      <c r="I29" s="64">
        <f t="shared" si="1"/>
        <v>-1.1102230246251565E-16</v>
      </c>
      <c r="J29" s="63">
        <f>IF(SUM(E25:E28)&lt;Variables!$B$3,-H28,0)</f>
        <v>-0.9982000000000002</v>
      </c>
      <c r="K29" s="64">
        <f>IF(AND(H28&lt;Variables!$B$6*Variables!$E$50,OR(SUM(D26:D29)&gt;Variables!$B$5,SUM(E26:E29)&gt;Variables!$B$4)),Variables!$B$6*Variables!$E$50+Variables!$B$7*$G$1*Variables!$E$50*SUM(D26:D29),0)</f>
        <v>1.1699233924591643</v>
      </c>
      <c r="L29" s="64">
        <f>IF(B29="Winter",Variables!$B$8*H28,0)</f>
        <v>-0.49704894489176155</v>
      </c>
      <c r="M29" s="64">
        <f>IF(AND(B29="Spring",AND(NOT(H28=0),H28&lt;(Variables!$B$9*Variables!$E$50))),(Variables!$B$10*Variables!$E$50+Variables!$B$11*Variables!$E$50*SUM(E26:E29)+$G$1*SUM(D28:D29)*Variables!$E$50*Variables!$B$12),0)</f>
        <v>0</v>
      </c>
      <c r="N29" s="64">
        <f>IF(AND(B29="Spring",AND(SUM(D26:D29)&gt;Variables!$B$13,SUM(D22:D25)&gt;Variables!$B$13)),-Variables!$B$14*Variables!$E$50,0)</f>
        <v>0</v>
      </c>
      <c r="O29" s="64">
        <f>IF(AND(B29="Summer",SUM(C25:D29)&gt;Variables!$B$15),(Variables!$B$16*Variables!$E$50*SUM(C25:C29)+$G$1*Variables!$B$16*Variables!$E$50*SUM(D25:D29)+$G$1*Variables!$E$50*Variables!$B$17*F29),0)</f>
        <v>0</v>
      </c>
      <c r="P29" s="64">
        <f>IF(AND(AND(B29="Autumn",SUM(D28:E29)&gt;0),NOT(H28=0)),Variables!$B$18*Variables!$E$50+Variables!$B$19*Variables!$E$50*SUM(E28:E29)+$G$1*Variables!$B$19*Variables!$E$50*SUM(D28:D29),0)</f>
        <v>0</v>
      </c>
      <c r="Q29" s="64">
        <f>IF(AND(B29="Autumn",AND((E29+E28)&lt;Variables!$B$20,(D28+D29)=0)),-Variables!$B$21*Variables!$E$50,0)</f>
        <v>0</v>
      </c>
      <c r="R29" s="64">
        <f>IF(B29="Autumn",(SUM(F28:F29)*$G$1*Variables!$B$22*Variables!$E$50),0)</f>
        <v>0</v>
      </c>
      <c r="S29" s="64">
        <f>IF(B29="Spring",($G$1*Variables!$E$50*SUM('Guts (option 2)'!F28:F29)*Variables!$B$23),0)</f>
        <v>0</v>
      </c>
      <c r="T29" s="63">
        <f>IF((H28+SUM(J29:Q29))&lt;(Variables!$B$26*Variables!$E$50),$F$1*((Variables!$B$26*Variables!$E$50)-H28-SUM(J29:Q29)),0)</f>
        <v>0.32532555243259731</v>
      </c>
      <c r="U29" s="64">
        <f>IF(AND(AND(B29="Autumn",SUM(D26:E29)&gt;Variables!$B$27),SUM(J29:Q29)&lt;Variables!$B$28*H28),$F$1*(Variables!$B$28*H28-SUM(J29:Q29)),0)</f>
        <v>0</v>
      </c>
      <c r="V29" s="96">
        <f>IF(AND((J29+K29)=0,(Q29+T29)=0),$H$1*H29*Variables!$I$23*0.25,0)</f>
        <v>0</v>
      </c>
      <c r="W29" s="97">
        <f>IF(AND((K29+J29)=0,(T29+Q29)=0),$I$1*H29*Variables!$Q$23*0.25,0)</f>
        <v>0</v>
      </c>
      <c r="X29" s="95">
        <f>IF(AND(NOT(K29=0),(H29-H28)&gt;0),(H29-H28)*(Variables!$M$5*$H$1+Variables!$U$5*$I$1),0)+IF(AND(NOT((J29+N29+Q29)=0),(H28-H29)&gt;0),(H28-H29)*(Variables!$M$4*$H$1+Variables!$U$4*$I$1),0)</f>
        <v>4.6259292692714853E-15</v>
      </c>
      <c r="Y29" s="95">
        <f>IF(SUM(T29,U28:U29)&gt;0,H29*Variables!$Y$11*0.25*(1-$J$1),0)</f>
        <v>-6.9874000000000018</v>
      </c>
      <c r="Z29" s="95">
        <f>IF(T29=0,H29*$J$1*Variables!$Y$5*0.25,0)</f>
        <v>0</v>
      </c>
      <c r="AA29" s="95">
        <f t="shared" si="0"/>
        <v>-6.9873999999999974</v>
      </c>
      <c r="AB29" s="91">
        <f>AA29/Variables!$E$49</f>
        <v>-1.1269999999999996</v>
      </c>
    </row>
    <row r="30" spans="1:29" x14ac:dyDescent="0.25">
      <c r="A30" s="61">
        <f>'Water runs'!C37</f>
        <v>4718</v>
      </c>
      <c r="B30" s="61" t="str">
        <f>'Water runs'!B37</f>
        <v>Spring</v>
      </c>
      <c r="C30" s="54">
        <f>'Water runs'!D37/100</f>
        <v>0.55100000000000005</v>
      </c>
      <c r="D30" s="108">
        <f>VLOOKUP(ROW(D30)+4,'Water runs'!$BS$3:$CF$423,MATCH($B$1,Scenarios,0)+1)</f>
        <v>0</v>
      </c>
      <c r="E30" s="54">
        <f>IF(B30=Variables!$D$8,C30-Variables!$E$8,IF(B30=Variables!$D$9,C30-Variables!$E$9,IF(B30=Variables!$D$10,C30-Variables!$E$10,IF(B30=Variables!$D$11,C30-Variables!$E$11,"ELSE"))))</f>
        <v>-0.2129822089947091</v>
      </c>
      <c r="F30" s="108">
        <f>VLOOKUP(ROW(F30)+4,'Water runs'!$CH$3:$CU$423,MATCH($B$1,Scenarios,0)+1)</f>
        <v>0</v>
      </c>
      <c r="G30" s="65">
        <f>H30/Variables!$E$49</f>
        <v>0.26604238963772697</v>
      </c>
      <c r="H30" s="62">
        <f>IF((H29+I30)&gt;(1.1*Variables!$E$50),(1.1*Variables!$E$50),IF((H29+I30)&gt;0,H29+I30,0))</f>
        <v>1.6494628157539073</v>
      </c>
      <c r="I30" s="64">
        <f t="shared" si="1"/>
        <v>0.65126281575390721</v>
      </c>
      <c r="J30" s="63">
        <f>IF(SUM(E26:E29)&lt;Variables!$B$3,-H29,0)</f>
        <v>0</v>
      </c>
      <c r="K30" s="64">
        <f>IF(AND(H29&lt;Variables!$B$6*Variables!$E$50,OR(SUM(D27:D30)&gt;Variables!$B$5,SUM(E27:E30)&gt;Variables!$B$4)),Variables!$B$6*Variables!$E$50+Variables!$B$7*$G$1*Variables!$E$50*SUM(D27:D30),0)</f>
        <v>1.1699233924591643</v>
      </c>
      <c r="L30" s="64">
        <f>IF(B30="Winter",Variables!$B$8*H29,0)</f>
        <v>0</v>
      </c>
      <c r="M30" s="64">
        <f>IF(AND(B30="Spring",AND(NOT(H29=0),H29&lt;(Variables!$B$9*Variables!$E$50))),(Variables!$B$10*Variables!$E$50+Variables!$B$11*Variables!$E$50*SUM(E27:E30)+$G$1*SUM(D29:D30)*Variables!$E$50*Variables!$B$12),0)</f>
        <v>-0.60728744803838064</v>
      </c>
      <c r="N30" s="64">
        <f>IF(AND(B30="Spring",AND(SUM(D27:D30)&gt;Variables!$B$13,SUM(D23:D26)&gt;Variables!$B$13)),-Variables!$B$14*Variables!$E$50,0)</f>
        <v>0</v>
      </c>
      <c r="O30" s="64">
        <f>IF(AND(B30="Summer",SUM(C26:D30)&gt;Variables!$B$15),(Variables!$B$16*Variables!$E$50*SUM(C26:C30)+$G$1*Variables!$B$16*Variables!$E$50*SUM(D26:D30)+$G$1*Variables!$E$50*Variables!$B$17*F30),0)</f>
        <v>0</v>
      </c>
      <c r="P30" s="64">
        <f>IF(AND(AND(B30="Autumn",SUM(D29:E30)&gt;0),NOT(H29=0)),Variables!$B$18*Variables!$E$50+Variables!$B$19*Variables!$E$50*SUM(E29:E30)+$G$1*Variables!$B$19*Variables!$E$50*SUM(D29:D30),0)</f>
        <v>0</v>
      </c>
      <c r="Q30" s="64">
        <f>IF(AND(B30="Autumn",AND((E30+E29)&lt;Variables!$B$20,(D29+D30)=0)),-Variables!$B$21*Variables!$E$50,0)</f>
        <v>0</v>
      </c>
      <c r="R30" s="64">
        <f>IF(B30="Autumn",(SUM(F29:F30)*$G$1*Variables!$B$22*Variables!$E$50),0)</f>
        <v>0</v>
      </c>
      <c r="S30" s="64">
        <f>IF(B30="Spring",($G$1*Variables!$E$50*SUM('Guts (option 2)'!F29:F30)*Variables!$B$23),0)</f>
        <v>8.8626871333123511E-2</v>
      </c>
      <c r="T30" s="63">
        <f>IF((H29+SUM(J30:Q30))&lt;(Variables!$B$26*Variables!$E$50),$F$1*((Variables!$B$26*Variables!$E$50)-H29-SUM(J30:Q30)),0)</f>
        <v>0</v>
      </c>
      <c r="U30" s="64">
        <f>IF(AND(AND(B30="Autumn",SUM(D27:E30)&gt;Variables!$B$27),SUM(J30:Q30)&lt;Variables!$B$28*H29),$F$1*(Variables!$B$28*H29-SUM(J30:Q30)),0)</f>
        <v>0</v>
      </c>
      <c r="V30" s="96">
        <f>IF(AND((J30+K30)=0,(Q30+T30)=0),$H$1*H30*Variables!$I$23*0.25,0)</f>
        <v>0</v>
      </c>
      <c r="W30" s="97">
        <f>IF(AND((K30+J30)=0,(T30+Q30)=0),$I$1*H30*Variables!$Q$23*0.25,0)</f>
        <v>0</v>
      </c>
      <c r="X30" s="95">
        <f>IF(AND(NOT(K30=0),(H30-H29)&gt;0),(H30-H29)*(Variables!$M$5*$H$1+Variables!$U$5*$I$1),0)+IF(AND(NOT((J30+N30+Q30)=0),(H29-H30)&gt;0),(H29-H30)*(Variables!$M$4*$H$1+Variables!$U$4*$I$1),0)</f>
        <v>-54.271901312825598</v>
      </c>
      <c r="Y30" s="95">
        <f>IF(SUM(T30,U29:U30)&gt;0,H30*Variables!$Y$11*0.25*(1-$J$1),0)</f>
        <v>0</v>
      </c>
      <c r="Z30" s="95">
        <f>IF(T30=0,H30*$J$1*Variables!$Y$5*0.25,0)</f>
        <v>3.5738361008001327</v>
      </c>
      <c r="AA30" s="95">
        <f t="shared" si="0"/>
        <v>-50.698065212025469</v>
      </c>
      <c r="AB30" s="91">
        <f>AA30/Variables!$E$49</f>
        <v>-8.177107292262173</v>
      </c>
    </row>
    <row r="31" spans="1:29" x14ac:dyDescent="0.25">
      <c r="A31" s="61">
        <f>'Water runs'!C38</f>
        <v>4808</v>
      </c>
      <c r="B31" s="61" t="str">
        <f>'Water runs'!B38</f>
        <v>Summer</v>
      </c>
      <c r="C31" s="54">
        <f>'Water runs'!D38/100</f>
        <v>0.85560000000000003</v>
      </c>
      <c r="D31" s="108">
        <f>VLOOKUP(ROW(D31)+4,'Water runs'!$BS$3:$CF$423,MATCH($B$1,Scenarios,0)+1)</f>
        <v>0</v>
      </c>
      <c r="E31" s="54">
        <f>IF(B31=Variables!$D$8,C31-Variables!$E$8,IF(B31=Variables!$D$9,C31-Variables!$E$9,IF(B31=Variables!$D$10,C31-Variables!$E$10,IF(B31=Variables!$D$11,C31-Variables!$E$11,"ELSE"))))</f>
        <v>-0.40277013605442169</v>
      </c>
      <c r="F31" s="108">
        <f>VLOOKUP(ROW(F31)+4,'Water runs'!$CH$3:$CU$423,MATCH($B$1,Scenarios,0)+1)</f>
        <v>0</v>
      </c>
      <c r="G31" s="65">
        <f>H31/Variables!$E$49</f>
        <v>0.26604238963772697</v>
      </c>
      <c r="H31" s="62">
        <f>IF((H30+I31)&gt;(1.1*Variables!$E$50),(1.1*Variables!$E$50),IF((H30+I31)&gt;0,H30+I31,0))</f>
        <v>1.6494628157539073</v>
      </c>
      <c r="I31" s="64">
        <f t="shared" si="1"/>
        <v>0</v>
      </c>
      <c r="J31" s="63">
        <f>IF(SUM(E27:E30)&lt;Variables!$B$3,-H30,0)</f>
        <v>0</v>
      </c>
      <c r="K31" s="64">
        <f>IF(AND(H30&lt;Variables!$B$6*Variables!$E$50,OR(SUM(D28:D31)&gt;Variables!$B$5,SUM(E28:E31)&gt;Variables!$B$4)),Variables!$B$6*Variables!$E$50+Variables!$B$7*$G$1*Variables!$E$50*SUM(D28:D31),0)</f>
        <v>0</v>
      </c>
      <c r="L31" s="64">
        <f>IF(B31="Winter",Variables!$B$8*H30,0)</f>
        <v>0</v>
      </c>
      <c r="M31" s="64">
        <f>IF(AND(B31="Spring",AND(NOT(H30=0),H30&lt;(Variables!$B$9*Variables!$E$50))),(Variables!$B$10*Variables!$E$50+Variables!$B$11*Variables!$E$50*SUM(E28:E31)+$G$1*SUM(D30:D31)*Variables!$E$50*Variables!$B$12),0)</f>
        <v>0</v>
      </c>
      <c r="N31" s="64">
        <f>IF(AND(B31="Spring",AND(SUM(D28:D31)&gt;Variables!$B$13,SUM(D24:D27)&gt;Variables!$B$13)),-Variables!$B$14*Variables!$E$50,0)</f>
        <v>0</v>
      </c>
      <c r="O31" s="64">
        <f>IF(AND(B31="Summer",SUM(C27:D31)&gt;Variables!$B$15),(Variables!$B$16*Variables!$E$50*SUM(C27:C31)+$G$1*Variables!$B$16*Variables!$E$50*SUM(D27:D31)+$G$1*Variables!$E$50*Variables!$B$17*F31),0)</f>
        <v>0</v>
      </c>
      <c r="P31" s="64">
        <f>IF(AND(AND(B31="Autumn",SUM(D30:E31)&gt;0),NOT(H30=0)),Variables!$B$18*Variables!$E$50+Variables!$B$19*Variables!$E$50*SUM(E30:E31)+$G$1*Variables!$B$19*Variables!$E$50*SUM(D30:D31),0)</f>
        <v>0</v>
      </c>
      <c r="Q31" s="64">
        <f>IF(AND(B31="Autumn",AND((E31+E30)&lt;Variables!$B$20,(D30+D31)=0)),-Variables!$B$21*Variables!$E$50,0)</f>
        <v>0</v>
      </c>
      <c r="R31" s="64">
        <f>IF(B31="Autumn",(SUM(F30:F31)*$G$1*Variables!$B$22*Variables!$E$50),0)</f>
        <v>0</v>
      </c>
      <c r="S31" s="64">
        <f>IF(B31="Spring",($G$1*Variables!$E$50*SUM('Guts (option 2)'!F30:F31)*Variables!$B$23),0)</f>
        <v>0</v>
      </c>
      <c r="T31" s="63">
        <f>IF((H30+SUM(J31:Q31))&lt;(Variables!$B$26*Variables!$E$50),$F$1*((Variables!$B$26*Variables!$E$50)-H30-SUM(J31:Q31)),0)</f>
        <v>0</v>
      </c>
      <c r="U31" s="64">
        <f>IF(AND(AND(B31="Autumn",SUM(D28:E31)&gt;Variables!$B$27),SUM(J31:Q31)&lt;Variables!$B$28*H30),$F$1*(Variables!$B$28*H30-SUM(J31:Q31)),0)</f>
        <v>0</v>
      </c>
      <c r="V31" s="96">
        <f>IF(AND((J31+K31)=0,(Q31+T31)=0),$H$1*H31*Variables!$I$23*0.25,0)</f>
        <v>10.59513195966672</v>
      </c>
      <c r="W31" s="97">
        <f>IF(AND((K31+J31)=0,(T31+Q31)=0),$I$1*H31*Variables!$Q$23*0.25,0)</f>
        <v>11.09030069695604</v>
      </c>
      <c r="X31" s="95">
        <f>IF(AND(NOT(K31=0),(H31-H30)&gt;0),(H31-H30)*(Variables!$M$5*$H$1+Variables!$U$5*$I$1),0)+IF(AND(NOT((J31+N31+Q31)=0),(H30-H31)&gt;0),(H30-H31)*(Variables!$M$4*$H$1+Variables!$U$4*$I$1),0)</f>
        <v>0</v>
      </c>
      <c r="Y31" s="95">
        <f>IF(SUM(T31,U30:U31)&gt;0,H31*Variables!$Y$11*0.25*(1-$J$1),0)</f>
        <v>0</v>
      </c>
      <c r="Z31" s="95">
        <f>IF(T31=0,H31*$J$1*Variables!$Y$5*0.25,0)</f>
        <v>3.5738361008001327</v>
      </c>
      <c r="AA31" s="95">
        <f t="shared" si="0"/>
        <v>25.259268757422891</v>
      </c>
      <c r="AB31" s="91">
        <f>AA31/Variables!$E$49</f>
        <v>4.07407560603595</v>
      </c>
      <c r="AC31" s="15"/>
    </row>
    <row r="32" spans="1:29" x14ac:dyDescent="0.25">
      <c r="A32" s="61">
        <f>'Water runs'!C39</f>
        <v>4900</v>
      </c>
      <c r="B32" s="61" t="str">
        <f>'Water runs'!B39</f>
        <v>Autumn</v>
      </c>
      <c r="C32" s="54">
        <f>'Water runs'!D39/100</f>
        <v>1.6786000000000001</v>
      </c>
      <c r="D32" s="108">
        <f>VLOOKUP(ROW(D32)+4,'Water runs'!$BS$3:$CF$423,MATCH($B$1,Scenarios,0)+1)</f>
        <v>0</v>
      </c>
      <c r="E32" s="54">
        <f>IF(B32=Variables!$D$8,C32-Variables!$E$8,IF(B32=Variables!$D$9,C32-Variables!$E$9,IF(B32=Variables!$D$10,C32-Variables!$E$10,IF(B32=Variables!$D$11,C32-Variables!$E$11,"ELSE"))))</f>
        <v>0.68395670068027226</v>
      </c>
      <c r="F32" s="108">
        <f>VLOOKUP(ROW(F32)+4,'Water runs'!$CH$3:$CU$423,MATCH($B$1,Scenarios,0)+1)</f>
        <v>0</v>
      </c>
      <c r="G32" s="65">
        <f>H32/Variables!$E$49</f>
        <v>0.42431154688040268</v>
      </c>
      <c r="H32" s="62">
        <f>IF((H31+I32)&gt;(1.1*Variables!$E$50),(1.1*Variables!$E$50),IF((H31+I32)&gt;0,H31+I32,0))</f>
        <v>2.6307315906584967</v>
      </c>
      <c r="I32" s="64">
        <f t="shared" si="1"/>
        <v>0.9812687749045893</v>
      </c>
      <c r="J32" s="63">
        <f>IF(SUM(E28:E31)&lt;Variables!$B$3,-H31,0)</f>
        <v>0</v>
      </c>
      <c r="K32" s="64">
        <f>IF(AND(H31&lt;Variables!$B$6*Variables!$E$50,OR(SUM(D29:D32)&gt;Variables!$B$5,SUM(E29:E32)&gt;Variables!$B$4)),Variables!$B$6*Variables!$E$50+Variables!$B$7*$G$1*Variables!$E$50*SUM(D29:D32),0)</f>
        <v>0</v>
      </c>
      <c r="L32" s="64">
        <f>IF(B32="Winter",Variables!$B$8*H31,0)</f>
        <v>0</v>
      </c>
      <c r="M32" s="64">
        <f>IF(AND(B32="Spring",AND(NOT(H31=0),H31&lt;(Variables!$B$9*Variables!$E$50))),(Variables!$B$10*Variables!$E$50+Variables!$B$11*Variables!$E$50*SUM(E29:E32)+$G$1*SUM(D31:D32)*Variables!$E$50*Variables!$B$12),0)</f>
        <v>0</v>
      </c>
      <c r="N32" s="64">
        <f>IF(AND(B32="Spring",AND(SUM(D29:D32)&gt;Variables!$B$13,SUM(D25:D28)&gt;Variables!$B$13)),-Variables!$B$14*Variables!$E$50,0)</f>
        <v>0</v>
      </c>
      <c r="O32" s="64">
        <f>IF(AND(B32="Summer",SUM(C28:D32)&gt;Variables!$B$15),(Variables!$B$16*Variables!$E$50*SUM(C28:C32)+$G$1*Variables!$B$16*Variables!$E$50*SUM(D28:D32)+$G$1*Variables!$E$50*Variables!$B$17*F32),0)</f>
        <v>0</v>
      </c>
      <c r="P32" s="64">
        <f>IF(AND(AND(B32="Autumn",SUM(D31:E32)&gt;0),NOT(H31=0)),Variables!$B$18*Variables!$E$50+Variables!$B$19*Variables!$E$50*SUM(E31:E32)+$G$1*Variables!$B$19*Variables!$E$50*SUM(D31:D32),0)</f>
        <v>0.9812687749045893</v>
      </c>
      <c r="Q32" s="64">
        <f>IF(AND(B32="Autumn",AND((E32+E31)&lt;Variables!$B$20,(D31+D32)=0)),-Variables!$B$21*Variables!$E$50,0)</f>
        <v>0</v>
      </c>
      <c r="R32" s="64">
        <f>IF(B32="Autumn",(SUM(F31:F32)*$G$1*Variables!$B$22*Variables!$E$50),0)</f>
        <v>0</v>
      </c>
      <c r="S32" s="64">
        <f>IF(B32="Spring",($G$1*Variables!$E$50*SUM('Guts (option 2)'!F31:F32)*Variables!$B$23),0)</f>
        <v>0</v>
      </c>
      <c r="T32" s="63">
        <f>IF((H31+SUM(J32:Q32))&lt;(Variables!$B$26*Variables!$E$50),$F$1*((Variables!$B$26*Variables!$E$50)-H31-SUM(J32:Q32)),0)</f>
        <v>0</v>
      </c>
      <c r="U32" s="64">
        <f>IF(AND(AND(B32="Autumn",SUM(D29:E32)&gt;Variables!$B$27),SUM(J32:Q32)&lt;Variables!$B$28*H31),$F$1*(Variables!$B$28*H31-SUM(J32:Q32)),0)</f>
        <v>0</v>
      </c>
      <c r="V32" s="96">
        <f>IF(AND((J32+K32)=0,(Q32+T32)=0),$H$1*H32*Variables!$I$23*0.25,0)</f>
        <v>16.898197453909276</v>
      </c>
      <c r="W32" s="97">
        <f>IF(AND((K32+J32)=0,(T32+Q32)=0),$I$1*H32*Variables!$Q$23*0.25,0)</f>
        <v>17.687943077424954</v>
      </c>
      <c r="X32" s="95">
        <f>IF(AND(NOT(K32=0),(H32-H31)&gt;0),(H32-H31)*(Variables!$M$5*$H$1+Variables!$U$5*$I$1),0)+IF(AND(NOT((J32+N32+Q32)=0),(H31-H32)&gt;0),(H31-H32)*(Variables!$M$4*$H$1+Variables!$U$4*$I$1),0)</f>
        <v>0</v>
      </c>
      <c r="Y32" s="95">
        <f>IF(SUM(T32,U31:U32)&gt;0,H32*Variables!$Y$11*0.25*(1-$J$1),0)</f>
        <v>0</v>
      </c>
      <c r="Z32" s="95">
        <f>IF(T32=0,H32*$J$1*Variables!$Y$5*0.25,0)</f>
        <v>5.6999184464267421</v>
      </c>
      <c r="AA32" s="95">
        <f t="shared" si="0"/>
        <v>40.286058977760973</v>
      </c>
      <c r="AB32" s="91">
        <f>AA32/Variables!$E$49</f>
        <v>6.4977514480259631</v>
      </c>
    </row>
    <row r="33" spans="1:29" x14ac:dyDescent="0.25">
      <c r="A33" s="61">
        <f>'Water runs'!C40</f>
        <v>4992</v>
      </c>
      <c r="B33" s="61" t="str">
        <f>'Water runs'!B40</f>
        <v>Winter</v>
      </c>
      <c r="C33" s="54">
        <f>'Water runs'!D40/100</f>
        <v>0.46279999999999999</v>
      </c>
      <c r="D33" s="108">
        <f>VLOOKUP(ROW(D33)+4,'Water runs'!$BS$3:$CF$423,MATCH($B$1,Scenarios,0)+1)</f>
        <v>8.9359377350572852E-2</v>
      </c>
      <c r="E33" s="54">
        <f>IF(B33=Variables!$D$8,C33-Variables!$E$8,IF(B33=Variables!$D$9,C33-Variables!$E$9,IF(B33=Variables!$D$10,C33-Variables!$E$10,IF(B33=Variables!$D$11,C33-Variables!$E$11,"ELSE"))))</f>
        <v>-0.10896762566137574</v>
      </c>
      <c r="F33" s="108">
        <f>VLOOKUP(ROW(F33)+4,'Water runs'!$CH$3:$CU$423,MATCH($B$1,Scenarios,0)+1)</f>
        <v>6.4377786047395469E-2</v>
      </c>
      <c r="G33" s="65">
        <f>H33/Variables!$E$49</f>
        <v>0.21302762914618575</v>
      </c>
      <c r="H33" s="62">
        <f>IF((H32+I33)&gt;(1.1*Variables!$E$50),(1.1*Variables!$E$50),IF((H32+I33)&gt;0,H32+I33,0))</f>
        <v>1.3207713007063517</v>
      </c>
      <c r="I33" s="64">
        <f t="shared" si="1"/>
        <v>-1.309960289952145</v>
      </c>
      <c r="J33" s="63">
        <f>IF(SUM(E29:E32)&lt;Variables!$B$3,-H32,0)</f>
        <v>0</v>
      </c>
      <c r="K33" s="64">
        <f>IF(AND(H32&lt;Variables!$B$6*Variables!$E$50,OR(SUM(D30:D33)&gt;Variables!$B$5,SUM(E30:E33)&gt;Variables!$B$4)),Variables!$B$6*Variables!$E$50+Variables!$B$7*$G$1*Variables!$E$50*SUM(D30:D33),0)</f>
        <v>0</v>
      </c>
      <c r="L33" s="64">
        <f>IF(B33="Winter",Variables!$B$8*H32,0)</f>
        <v>-1.309960289952145</v>
      </c>
      <c r="M33" s="64">
        <f>IF(AND(B33="Spring",AND(NOT(H32=0),H32&lt;(Variables!$B$9*Variables!$E$50))),(Variables!$B$10*Variables!$E$50+Variables!$B$11*Variables!$E$50*SUM(E30:E33)+$G$1*SUM(D32:D33)*Variables!$E$50*Variables!$B$12),0)</f>
        <v>0</v>
      </c>
      <c r="N33" s="64">
        <f>IF(AND(B33="Spring",AND(SUM(D30:D33)&gt;Variables!$B$13,SUM(D26:D29)&gt;Variables!$B$13)),-Variables!$B$14*Variables!$E$50,0)</f>
        <v>0</v>
      </c>
      <c r="O33" s="64">
        <f>IF(AND(B33="Summer",SUM(C29:D33)&gt;Variables!$B$15),(Variables!$B$16*Variables!$E$50*SUM(C29:C33)+$G$1*Variables!$B$16*Variables!$E$50*SUM(D29:D33)+$G$1*Variables!$E$50*Variables!$B$17*F33),0)</f>
        <v>0</v>
      </c>
      <c r="P33" s="64">
        <f>IF(AND(AND(B33="Autumn",SUM(D32:E33)&gt;0),NOT(H32=0)),Variables!$B$18*Variables!$E$50+Variables!$B$19*Variables!$E$50*SUM(E32:E33)+$G$1*Variables!$B$19*Variables!$E$50*SUM(D32:D33),0)</f>
        <v>0</v>
      </c>
      <c r="Q33" s="64">
        <f>IF(AND(B33="Autumn",AND((E33+E32)&lt;Variables!$B$20,(D32+D33)=0)),-Variables!$B$21*Variables!$E$50,0)</f>
        <v>0</v>
      </c>
      <c r="R33" s="64">
        <f>IF(B33="Autumn",(SUM(F32:F33)*$G$1*Variables!$B$22*Variables!$E$50),0)</f>
        <v>0</v>
      </c>
      <c r="S33" s="64">
        <f>IF(B33="Spring",($G$1*Variables!$E$50*SUM('Guts (option 2)'!F32:F33)*Variables!$B$23),0)</f>
        <v>0</v>
      </c>
      <c r="T33" s="63">
        <f>IF((H32+SUM(J33:Q33))&lt;(Variables!$B$26*Variables!$E$50),$F$1*((Variables!$B$26*Variables!$E$50)-H32-SUM(J33:Q33)),0)</f>
        <v>0</v>
      </c>
      <c r="U33" s="64">
        <f>IF(AND(AND(B33="Autumn",SUM(D30:E33)&gt;Variables!$B$27),SUM(J33:Q33)&lt;Variables!$B$28*H32),$F$1*(Variables!$B$28*H32-SUM(J33:Q33)),0)</f>
        <v>0</v>
      </c>
      <c r="V33" s="96">
        <f>IF(AND((J33+K33)=0,(Q33+T33)=0),$H$1*H33*Variables!$I$23*0.25,0)</f>
        <v>8.4838203601021682</v>
      </c>
      <c r="W33" s="97">
        <f>IF(AND((K33+J33)=0,(T33+Q33)=0),$I$1*H33*Variables!$Q$23*0.25,0)</f>
        <v>8.8803159045742142</v>
      </c>
      <c r="X33" s="95">
        <f>IF(AND(NOT(K33=0),(H33-H32)&gt;0),(H33-H32)*(Variables!$M$5*$H$1+Variables!$U$5*$I$1),0)+IF(AND(NOT((J33+N33+Q33)=0),(H32-H33)&gt;0),(H32-H33)*(Variables!$M$4*$H$1+Variables!$U$4*$I$1),0)</f>
        <v>0</v>
      </c>
      <c r="Y33" s="95">
        <f>IF(SUM(T33,U32:U33)&gt;0,H33*Variables!$Y$11*0.25*(1-$J$1),0)</f>
        <v>0</v>
      </c>
      <c r="Z33" s="95">
        <f>IF(T33=0,H33*$J$1*Variables!$Y$5*0.25,0)</f>
        <v>2.8616711515304285</v>
      </c>
      <c r="AA33" s="95">
        <f t="shared" si="0"/>
        <v>20.225807416206813</v>
      </c>
      <c r="AB33" s="91">
        <f>AA33/Variables!$E$49</f>
        <v>3.2622270026140021</v>
      </c>
    </row>
    <row r="34" spans="1:29" x14ac:dyDescent="0.25">
      <c r="A34" s="61">
        <f>'Water runs'!C41</f>
        <v>5083</v>
      </c>
      <c r="B34" s="61" t="str">
        <f>'Water runs'!B41</f>
        <v>Spring</v>
      </c>
      <c r="C34" s="54">
        <f>'Water runs'!D41/100</f>
        <v>0.15160000000000001</v>
      </c>
      <c r="D34" s="108">
        <f>VLOOKUP(ROW(D34)+4,'Water runs'!$BS$3:$CF$423,MATCH($B$1,Scenarios,0)+1)</f>
        <v>0</v>
      </c>
      <c r="E34" s="54">
        <f>IF(B34=Variables!$D$8,C34-Variables!$E$8,IF(B34=Variables!$D$9,C34-Variables!$E$9,IF(B34=Variables!$D$10,C34-Variables!$E$10,IF(B34=Variables!$D$11,C34-Variables!$E$11,"ELSE"))))</f>
        <v>-0.61238220899470908</v>
      </c>
      <c r="F34" s="108">
        <f>VLOOKUP(ROW(F34)+4,'Water runs'!$CH$3:$CU$423,MATCH($B$1,Scenarios,0)+1)</f>
        <v>0</v>
      </c>
      <c r="G34" s="65">
        <f>H34/Variables!$E$49</f>
        <v>0.17134056367842634</v>
      </c>
      <c r="H34" s="62">
        <f>IF((H33+I34)&gt;(1.1*Variables!$E$50),(1.1*Variables!$E$50),IF((H33+I34)&gt;0,H33+I34,0))</f>
        <v>1.0623114948062433</v>
      </c>
      <c r="I34" s="64">
        <f t="shared" si="1"/>
        <v>-0.25845980590010842</v>
      </c>
      <c r="J34" s="63">
        <f>IF(SUM(E30:E33)&lt;Variables!$B$3,-H33,0)</f>
        <v>0</v>
      </c>
      <c r="K34" s="64">
        <f>IF(AND(H33&lt;Variables!$B$6*Variables!$E$50,OR(SUM(D31:D34)&gt;Variables!$B$5,SUM(E31:E34)&gt;Variables!$B$4)),Variables!$B$6*Variables!$E$50+Variables!$B$7*$G$1*Variables!$E$50*SUM(D31:D34),0)</f>
        <v>0</v>
      </c>
      <c r="L34" s="64">
        <f>IF(B34="Winter",Variables!$B$8*H33,0)</f>
        <v>0</v>
      </c>
      <c r="M34" s="64">
        <f>IF(AND(B34="Spring",AND(NOT(H33=0),H33&lt;(Variables!$B$9*Variables!$E$50))),(Variables!$B$10*Variables!$E$50+Variables!$B$11*Variables!$E$50*SUM(E31:E34)+$G$1*SUM(D33:D34)*Variables!$E$50*Variables!$B$12),0)</f>
        <v>-0.26669767589546628</v>
      </c>
      <c r="N34" s="64">
        <f>IF(AND(B34="Spring",AND(SUM(D31:D34)&gt;Variables!$B$13,SUM(D27:D30)&gt;Variables!$B$13)),-Variables!$B$14*Variables!$E$50,0)</f>
        <v>0</v>
      </c>
      <c r="O34" s="64">
        <f>IF(AND(B34="Summer",SUM(C30:D34)&gt;Variables!$B$15),(Variables!$B$16*Variables!$E$50*SUM(C30:C34)+$G$1*Variables!$B$16*Variables!$E$50*SUM(D30:D34)+$G$1*Variables!$E$50*Variables!$B$17*F34),0)</f>
        <v>0</v>
      </c>
      <c r="P34" s="64">
        <f>IF(AND(AND(B34="Autumn",SUM(D33:E34)&gt;0),NOT(H33=0)),Variables!$B$18*Variables!$E$50+Variables!$B$19*Variables!$E$50*SUM(E33:E34)+$G$1*Variables!$B$19*Variables!$E$50*SUM(D33:D34),0)</f>
        <v>0</v>
      </c>
      <c r="Q34" s="64">
        <f>IF(AND(B34="Autumn",AND((E34+E33)&lt;Variables!$B$20,(D33+D34)=0)),-Variables!$B$21*Variables!$E$50,0)</f>
        <v>0</v>
      </c>
      <c r="R34" s="64">
        <f>IF(B34="Autumn",(SUM(F33:F34)*$G$1*Variables!$B$22*Variables!$E$50),0)</f>
        <v>0</v>
      </c>
      <c r="S34" s="64">
        <f>IF(B34="Spring",($G$1*Variables!$E$50*SUM('Guts (option 2)'!F33:F34)*Variables!$B$23),0)</f>
        <v>8.2378699953578691E-3</v>
      </c>
      <c r="T34" s="63">
        <f>IF((H33+SUM(J34:Q34))&lt;(Variables!$B$26*Variables!$E$50),$F$1*((Variables!$B$26*Variables!$E$50)-H33-SUM(J34:Q34)),0)</f>
        <v>0</v>
      </c>
      <c r="U34" s="64">
        <f>IF(AND(AND(B34="Autumn",SUM(D31:E34)&gt;Variables!$B$27),SUM(J34:Q34)&lt;Variables!$B$28*H33),$F$1*(Variables!$B$28*H33-SUM(J34:Q34)),0)</f>
        <v>0</v>
      </c>
      <c r="V34" s="96">
        <f>IF(AND((J34+K34)=0,(Q34+T34)=0),$H$1*H34*Variables!$I$23*0.25,0)</f>
        <v>6.8236339505468431</v>
      </c>
      <c r="W34" s="97">
        <f>IF(AND((K34+J34)=0,(T34+Q34)=0),$I$1*H34*Variables!$Q$23*0.25,0)</f>
        <v>7.142539861287676</v>
      </c>
      <c r="X34" s="95">
        <f>IF(AND(NOT(K34=0),(H34-H33)&gt;0),(H34-H33)*(Variables!$M$5*$H$1+Variables!$U$5*$I$1),0)+IF(AND(NOT((J34+N34+Q34)=0),(H33-H34)&gt;0),(H33-H34)*(Variables!$M$4*$H$1+Variables!$U$4*$I$1),0)</f>
        <v>0</v>
      </c>
      <c r="Y34" s="95">
        <f>IF(SUM(T34,U33:U34)&gt;0,H34*Variables!$Y$11*0.25*(1-$J$1),0)</f>
        <v>0</v>
      </c>
      <c r="Z34" s="95">
        <f>IF(T34=0,H34*$J$1*Variables!$Y$5*0.25,0)</f>
        <v>2.301674905413527</v>
      </c>
      <c r="AA34" s="95">
        <f t="shared" si="0"/>
        <v>16.267848717248047</v>
      </c>
      <c r="AB34" s="91">
        <f>AA34/Variables!$E$49</f>
        <v>2.623846567298072</v>
      </c>
    </row>
    <row r="35" spans="1:29" x14ac:dyDescent="0.25">
      <c r="A35" s="61">
        <f>'Water runs'!C42</f>
        <v>5173</v>
      </c>
      <c r="B35" s="61" t="str">
        <f>'Water runs'!B42</f>
        <v>Summer</v>
      </c>
      <c r="C35" s="54">
        <f>'Water runs'!D42/100</f>
        <v>1.214</v>
      </c>
      <c r="D35" s="108">
        <f>VLOOKUP(ROW(D35)+4,'Water runs'!$BS$3:$CF$423,MATCH($B$1,Scenarios,0)+1)</f>
        <v>0</v>
      </c>
      <c r="E35" s="54">
        <f>IF(B35=Variables!$D$8,C35-Variables!$E$8,IF(B35=Variables!$D$9,C35-Variables!$E$9,IF(B35=Variables!$D$10,C35-Variables!$E$10,IF(B35=Variables!$D$11,C35-Variables!$E$11,"ELSE"))))</f>
        <v>-4.4370136054421749E-2</v>
      </c>
      <c r="F35" s="108">
        <f>VLOOKUP(ROW(F35)+4,'Water runs'!$CH$3:$CU$423,MATCH($B$1,Scenarios,0)+1)</f>
        <v>0</v>
      </c>
      <c r="G35" s="65">
        <f>H35/Variables!$E$49</f>
        <v>0.35610101197967969</v>
      </c>
      <c r="H35" s="62">
        <f>IF((H34+I35)&gt;(1.1*Variables!$E$50),(1.1*Variables!$E$50),IF((H34+I35)&gt;0,H34+I35,0))</f>
        <v>2.207826274274014</v>
      </c>
      <c r="I35" s="64">
        <f t="shared" si="1"/>
        <v>1.1455147794677709</v>
      </c>
      <c r="J35" s="63">
        <f>IF(SUM(E31:E34)&lt;Variables!$B$3,-H34,0)</f>
        <v>0</v>
      </c>
      <c r="K35" s="64">
        <f>IF(AND(H34&lt;Variables!$B$6*Variables!$E$50,OR(SUM(D32:D35)&gt;Variables!$B$5,SUM(E32:E35)&gt;Variables!$B$4)),Variables!$B$6*Variables!$E$50+Variables!$B$7*$G$1*Variables!$E$50*SUM(D32:D35),0)</f>
        <v>1.1455147794677709</v>
      </c>
      <c r="L35" s="64">
        <f>IF(B35="Winter",Variables!$B$8*H34,0)</f>
        <v>0</v>
      </c>
      <c r="M35" s="64">
        <f>IF(AND(B35="Spring",AND(NOT(H34=0),H34&lt;(Variables!$B$9*Variables!$E$50))),(Variables!$B$10*Variables!$E$50+Variables!$B$11*Variables!$E$50*SUM(E32:E35)+$G$1*SUM(D34:D35)*Variables!$E$50*Variables!$B$12),0)</f>
        <v>0</v>
      </c>
      <c r="N35" s="64">
        <f>IF(AND(B35="Spring",AND(SUM(D32:D35)&gt;Variables!$B$13,SUM(D28:D31)&gt;Variables!$B$13)),-Variables!$B$14*Variables!$E$50,0)</f>
        <v>0</v>
      </c>
      <c r="O35" s="64">
        <f>IF(AND(B35="Summer",SUM(C31:D35)&gt;Variables!$B$15),(Variables!$B$16*Variables!$E$50*SUM(C31:C35)+$G$1*Variables!$B$16*Variables!$E$50*SUM(D31:D35)+$G$1*Variables!$E$50*Variables!$B$17*F35),0)</f>
        <v>0</v>
      </c>
      <c r="P35" s="64">
        <f>IF(AND(AND(B35="Autumn",SUM(D34:E35)&gt;0),NOT(H34=0)),Variables!$B$18*Variables!$E$50+Variables!$B$19*Variables!$E$50*SUM(E34:E35)+$G$1*Variables!$B$19*Variables!$E$50*SUM(D34:D35),0)</f>
        <v>0</v>
      </c>
      <c r="Q35" s="64">
        <f>IF(AND(B35="Autumn",AND((E35+E34)&lt;Variables!$B$20,(D34+D35)=0)),-Variables!$B$21*Variables!$E$50,0)</f>
        <v>0</v>
      </c>
      <c r="R35" s="64">
        <f>IF(B35="Autumn",(SUM(F34:F35)*$G$1*Variables!$B$22*Variables!$E$50),0)</f>
        <v>0</v>
      </c>
      <c r="S35" s="64">
        <f>IF(B35="Spring",($G$1*Variables!$E$50*SUM('Guts (option 2)'!F34:F35)*Variables!$B$23),0)</f>
        <v>0</v>
      </c>
      <c r="T35" s="63">
        <f>IF((H34+SUM(J35:Q35))&lt;(Variables!$B$26*Variables!$E$50),$F$1*((Variables!$B$26*Variables!$E$50)-H34-SUM(J35:Q35)),0)</f>
        <v>0</v>
      </c>
      <c r="U35" s="64">
        <f>IF(AND(AND(B35="Autumn",SUM(D32:E35)&gt;Variables!$B$27),SUM(J35:Q35)&lt;Variables!$B$28*H34),$F$1*(Variables!$B$28*H34-SUM(J35:Q35)),0)</f>
        <v>0</v>
      </c>
      <c r="V35" s="96">
        <f>IF(AND((J35+K35)=0,(Q35+T35)=0),$H$1*H35*Variables!$I$23*0.25,0)</f>
        <v>0</v>
      </c>
      <c r="W35" s="97">
        <f>IF(AND((K35+J35)=0,(T35+Q35)=0),$I$1*H35*Variables!$Q$23*0.25,0)</f>
        <v>0</v>
      </c>
      <c r="X35" s="95">
        <f>IF(AND(NOT(K35=0),(H35-H34)&gt;0),(H35-H34)*(Variables!$M$5*$H$1+Variables!$U$5*$I$1),0)+IF(AND(NOT((J35+N35+Q35)=0),(H34-H35)&gt;0),(H34-H35)*(Variables!$M$4*$H$1+Variables!$U$4*$I$1),0)</f>
        <v>-95.459564955647551</v>
      </c>
      <c r="Y35" s="95">
        <f>IF(SUM(T35,U34:U35)&gt;0,H35*Variables!$Y$11*0.25*(1-$J$1),0)</f>
        <v>0</v>
      </c>
      <c r="Z35" s="95">
        <f>IF(T35=0,H35*$J$1*Variables!$Y$5*0.25,0)</f>
        <v>4.7836235942603631</v>
      </c>
      <c r="AA35" s="95">
        <f t="shared" si="0"/>
        <v>-90.675941361387189</v>
      </c>
      <c r="AB35" s="91">
        <f>AA35/Variables!$E$49</f>
        <v>-14.625151832481805</v>
      </c>
      <c r="AC35" s="15"/>
    </row>
    <row r="36" spans="1:29" x14ac:dyDescent="0.25">
      <c r="A36" s="61">
        <f>'Water runs'!C43</f>
        <v>5265</v>
      </c>
      <c r="B36" s="61" t="str">
        <f>'Water runs'!B43</f>
        <v>Autumn</v>
      </c>
      <c r="C36" s="54">
        <f>'Water runs'!D43/100</f>
        <v>0.56440000000000001</v>
      </c>
      <c r="D36" s="108">
        <f>VLOOKUP(ROW(D36)+4,'Water runs'!$BS$3:$CF$423,MATCH($B$1,Scenarios,0)+1)</f>
        <v>6.1857180183532728E-2</v>
      </c>
      <c r="E36" s="54">
        <f>IF(B36=Variables!$D$8,C36-Variables!$E$8,IF(B36=Variables!$D$9,C36-Variables!$E$9,IF(B36=Variables!$D$10,C36-Variables!$E$10,IF(B36=Variables!$D$11,C36-Variables!$E$11,"ELSE"))))</f>
        <v>-0.43024329931972782</v>
      </c>
      <c r="F36" s="108">
        <f>VLOOKUP(ROW(F36)+4,'Water runs'!$CH$3:$CU$423,MATCH($B$1,Scenarios,0)+1)</f>
        <v>0</v>
      </c>
      <c r="G36" s="65">
        <f>H36/Variables!$E$49</f>
        <v>0.35610101197967969</v>
      </c>
      <c r="H36" s="62">
        <f>IF((H35+I36)&gt;(1.1*Variables!$E$50),(1.1*Variables!$E$50),IF((H35+I36)&gt;0,H35+I36,0))</f>
        <v>2.207826274274014</v>
      </c>
      <c r="I36" s="64">
        <f t="shared" si="1"/>
        <v>0</v>
      </c>
      <c r="J36" s="63">
        <f>IF(SUM(E32:E35)&lt;Variables!$B$3,-H35,0)</f>
        <v>0</v>
      </c>
      <c r="K36" s="64">
        <f>IF(AND(H35&lt;Variables!$B$6*Variables!$E$50,OR(SUM(D33:D36)&gt;Variables!$B$5,SUM(E33:E36)&gt;Variables!$B$4)),Variables!$B$6*Variables!$E$50+Variables!$B$7*$G$1*Variables!$E$50*SUM(D33:D36),0)</f>
        <v>0</v>
      </c>
      <c r="L36" s="64">
        <f>IF(B36="Winter",Variables!$B$8*H35,0)</f>
        <v>0</v>
      </c>
      <c r="M36" s="64">
        <f>IF(AND(B36="Spring",AND(NOT(H35=0),H35&lt;(Variables!$B$9*Variables!$E$50))),(Variables!$B$10*Variables!$E$50+Variables!$B$11*Variables!$E$50*SUM(E33:E36)+$G$1*SUM(D35:D36)*Variables!$E$50*Variables!$B$12),0)</f>
        <v>0</v>
      </c>
      <c r="N36" s="64">
        <f>IF(AND(B36="Spring",AND(SUM(D33:D36)&gt;Variables!$B$13,SUM(D29:D32)&gt;Variables!$B$13)),-Variables!$B$14*Variables!$E$50,0)</f>
        <v>0</v>
      </c>
      <c r="O36" s="64">
        <f>IF(AND(B36="Summer",SUM(C32:D36)&gt;Variables!$B$15),(Variables!$B$16*Variables!$E$50*SUM(C32:C36)+$G$1*Variables!$B$16*Variables!$E$50*SUM(D32:D36)+$G$1*Variables!$E$50*Variables!$B$17*F36),0)</f>
        <v>0</v>
      </c>
      <c r="P36" s="64">
        <f>IF(AND(AND(B36="Autumn",SUM(D35:E36)&gt;0),NOT(H35=0)),Variables!$B$18*Variables!$E$50+Variables!$B$19*Variables!$E$50*SUM(E35:E36)+$G$1*Variables!$B$19*Variables!$E$50*SUM(D35:D36),0)</f>
        <v>0</v>
      </c>
      <c r="Q36" s="64">
        <f>IF(AND(B36="Autumn",AND((E36+E35)&lt;Variables!$B$20,(D35+D36)=0)),-Variables!$B$21*Variables!$E$50,0)</f>
        <v>0</v>
      </c>
      <c r="R36" s="64">
        <f>IF(B36="Autumn",(SUM(F35:F36)*$G$1*Variables!$B$22*Variables!$E$50),0)</f>
        <v>0</v>
      </c>
      <c r="S36" s="64">
        <f>IF(B36="Spring",($G$1*Variables!$E$50*SUM('Guts (option 2)'!F35:F36)*Variables!$B$23),0)</f>
        <v>0</v>
      </c>
      <c r="T36" s="63">
        <f>IF((H35+SUM(J36:Q36))&lt;(Variables!$B$26*Variables!$E$50),$F$1*((Variables!$B$26*Variables!$E$50)-H35-SUM(J36:Q36)),0)</f>
        <v>0</v>
      </c>
      <c r="U36" s="64">
        <f>IF(AND(AND(B36="Autumn",SUM(D33:E36)&gt;Variables!$B$27),SUM(J36:Q36)&lt;Variables!$B$28*H35),$F$1*(Variables!$B$28*H35-SUM(J36:Q36)),0)</f>
        <v>0</v>
      </c>
      <c r="V36" s="96">
        <f>IF(AND((J36+K36)=0,(Q36+T36)=0),$H$1*H36*Variables!$I$23*0.25,0)</f>
        <v>14.18171449306713</v>
      </c>
      <c r="W36" s="97">
        <f>IF(AND((K36+J36)=0,(T36+Q36)=0),$I$1*H36*Variables!$Q$23*0.25,0)</f>
        <v>14.844503940604186</v>
      </c>
      <c r="X36" s="95">
        <f>IF(AND(NOT(K36=0),(H36-H35)&gt;0),(H36-H35)*(Variables!$M$5*$H$1+Variables!$U$5*$I$1),0)+IF(AND(NOT((J36+N36+Q36)=0),(H35-H36)&gt;0),(H35-H36)*(Variables!$M$4*$H$1+Variables!$U$4*$I$1),0)</f>
        <v>0</v>
      </c>
      <c r="Y36" s="95">
        <f>IF(SUM(T36,U35:U36)&gt;0,H36*Variables!$Y$11*0.25*(1-$J$1),0)</f>
        <v>0</v>
      </c>
      <c r="Z36" s="95">
        <f>IF(T36=0,H36*$J$1*Variables!$Y$5*0.25,0)</f>
        <v>4.7836235942603631</v>
      </c>
      <c r="AA36" s="95">
        <f t="shared" si="0"/>
        <v>33.80984202793168</v>
      </c>
      <c r="AB36" s="91">
        <f>AA36/Variables!$E$49</f>
        <v>5.4532003270857548</v>
      </c>
    </row>
    <row r="37" spans="1:29" x14ac:dyDescent="0.25">
      <c r="A37" s="61">
        <f>'Water runs'!C44</f>
        <v>5357</v>
      </c>
      <c r="B37" s="61" t="str">
        <f>'Water runs'!B44</f>
        <v>Winter</v>
      </c>
      <c r="C37" s="54">
        <f>'Water runs'!D44/100</f>
        <v>0.49740000000000001</v>
      </c>
      <c r="D37" s="108">
        <f>VLOOKUP(ROW(D37)+4,'Water runs'!$BS$3:$CF$423,MATCH($B$1,Scenarios,0)+1)</f>
        <v>0</v>
      </c>
      <c r="E37" s="54">
        <f>IF(B37=Variables!$D$8,C37-Variables!$E$8,IF(B37=Variables!$D$9,C37-Variables!$E$9,IF(B37=Variables!$D$10,C37-Variables!$E$10,IF(B37=Variables!$D$11,C37-Variables!$E$11,"ELSE"))))</f>
        <v>-7.4367625661375725E-2</v>
      </c>
      <c r="F37" s="108">
        <f>VLOOKUP(ROW(F37)+4,'Water runs'!$CH$3:$CU$423,MATCH($B$1,Scenarios,0)+1)</f>
        <v>0</v>
      </c>
      <c r="G37" s="65">
        <f>H37/Variables!$E$49</f>
        <v>0.17878220584925661</v>
      </c>
      <c r="H37" s="62">
        <f>IF((H36+I37)&gt;(1.1*Variables!$E$50),(1.1*Variables!$E$50),IF((H36+I37)&gt;0,H36+I37,0))</f>
        <v>1.108449676265391</v>
      </c>
      <c r="I37" s="64">
        <f t="shared" si="1"/>
        <v>-1.099376598008623</v>
      </c>
      <c r="J37" s="63">
        <f>IF(SUM(E33:E36)&lt;Variables!$B$3,-H36,0)</f>
        <v>0</v>
      </c>
      <c r="K37" s="64">
        <f>IF(AND(H36&lt;Variables!$B$6*Variables!$E$50,OR(SUM(D34:D37)&gt;Variables!$B$5,SUM(E34:E37)&gt;Variables!$B$4)),Variables!$B$6*Variables!$E$50+Variables!$B$7*$G$1*Variables!$E$50*SUM(D34:D37),0)</f>
        <v>0</v>
      </c>
      <c r="L37" s="64">
        <f>IF(B37="Winter",Variables!$B$8*H36,0)</f>
        <v>-1.099376598008623</v>
      </c>
      <c r="M37" s="64">
        <f>IF(AND(B37="Spring",AND(NOT(H36=0),H36&lt;(Variables!$B$9*Variables!$E$50))),(Variables!$B$10*Variables!$E$50+Variables!$B$11*Variables!$E$50*SUM(E34:E37)+$G$1*SUM(D36:D37)*Variables!$E$50*Variables!$B$12),0)</f>
        <v>0</v>
      </c>
      <c r="N37" s="64">
        <f>IF(AND(B37="Spring",AND(SUM(D34:D37)&gt;Variables!$B$13,SUM(D30:D33)&gt;Variables!$B$13)),-Variables!$B$14*Variables!$E$50,0)</f>
        <v>0</v>
      </c>
      <c r="O37" s="64">
        <f>IF(AND(B37="Summer",SUM(C33:D37)&gt;Variables!$B$15),(Variables!$B$16*Variables!$E$50*SUM(C33:C37)+$G$1*Variables!$B$16*Variables!$E$50*SUM(D33:D37)+$G$1*Variables!$E$50*Variables!$B$17*F37),0)</f>
        <v>0</v>
      </c>
      <c r="P37" s="64">
        <f>IF(AND(AND(B37="Autumn",SUM(D36:E37)&gt;0),NOT(H36=0)),Variables!$B$18*Variables!$E$50+Variables!$B$19*Variables!$E$50*SUM(E36:E37)+$G$1*Variables!$B$19*Variables!$E$50*SUM(D36:D37),0)</f>
        <v>0</v>
      </c>
      <c r="Q37" s="64">
        <f>IF(AND(B37="Autumn",AND((E37+E36)&lt;Variables!$B$20,(D36+D37)=0)),-Variables!$B$21*Variables!$E$50,0)</f>
        <v>0</v>
      </c>
      <c r="R37" s="64">
        <f>IF(B37="Autumn",(SUM(F36:F37)*$G$1*Variables!$B$22*Variables!$E$50),0)</f>
        <v>0</v>
      </c>
      <c r="S37" s="64">
        <f>IF(B37="Spring",($G$1*Variables!$E$50*SUM('Guts (option 2)'!F36:F37)*Variables!$B$23),0)</f>
        <v>0</v>
      </c>
      <c r="T37" s="63">
        <f>IF((H36+SUM(J37:Q37))&lt;(Variables!$B$26*Variables!$E$50),$F$1*((Variables!$B$26*Variables!$E$50)-H36-SUM(J37:Q37)),0)</f>
        <v>0</v>
      </c>
      <c r="U37" s="64">
        <f>IF(AND(AND(B37="Autumn",SUM(D34:E37)&gt;Variables!$B$27),SUM(J37:Q37)&lt;Variables!$B$28*H36),$F$1*(Variables!$B$28*H36-SUM(J37:Q37)),0)</f>
        <v>0</v>
      </c>
      <c r="V37" s="96">
        <f>IF(AND((J37+K37)=0,(Q37+T37)=0),$H$1*H37*Variables!$I$23*0.25,0)</f>
        <v>7.1199971763618422</v>
      </c>
      <c r="W37" s="97">
        <f>IF(AND((K37+J37)=0,(T37+Q37)=0),$I$1*H37*Variables!$Q$23*0.25,0)</f>
        <v>7.4527537691767112</v>
      </c>
      <c r="X37" s="95">
        <f>IF(AND(NOT(K37=0),(H37-H36)&gt;0),(H37-H36)*(Variables!$M$5*$H$1+Variables!$U$5*$I$1),0)+IF(AND(NOT((J37+N37+Q37)=0),(H36-H37)&gt;0),(H36-H37)*(Variables!$M$4*$H$1+Variables!$U$4*$I$1),0)</f>
        <v>0</v>
      </c>
      <c r="Y37" s="95">
        <f>IF(SUM(T37,U36:U37)&gt;0,H37*Variables!$Y$11*0.25*(1-$J$1),0)</f>
        <v>0</v>
      </c>
      <c r="Z37" s="95">
        <f>IF(T37=0,H37*$J$1*Variables!$Y$5*0.25,0)</f>
        <v>2.4016409652416808</v>
      </c>
      <c r="AA37" s="95">
        <f t="shared" si="0"/>
        <v>16.974391910780234</v>
      </c>
      <c r="AB37" s="91">
        <f>AA37/Variables!$E$49</f>
        <v>2.7378051469000377</v>
      </c>
    </row>
    <row r="38" spans="1:29" x14ac:dyDescent="0.25">
      <c r="A38" s="61">
        <f>'Water runs'!C45</f>
        <v>5448</v>
      </c>
      <c r="B38" s="61" t="str">
        <f>'Water runs'!B45</f>
        <v>Spring</v>
      </c>
      <c r="C38" s="54">
        <f>'Water runs'!D45/100</f>
        <v>0.98580000000000001</v>
      </c>
      <c r="D38" s="108">
        <f>VLOOKUP(ROW(D38)+4,'Water runs'!$BS$3:$CF$423,MATCH($B$1,Scenarios,0)+1)</f>
        <v>0</v>
      </c>
      <c r="E38" s="54">
        <f>IF(B38=Variables!$D$8,C38-Variables!$E$8,IF(B38=Variables!$D$9,C38-Variables!$E$9,IF(B38=Variables!$D$10,C38-Variables!$E$10,IF(B38=Variables!$D$11,C38-Variables!$E$11,"ELSE"))))</f>
        <v>0.22181779100529087</v>
      </c>
      <c r="F38" s="108">
        <f>VLOOKUP(ROW(F38)+4,'Water runs'!$CH$3:$CU$423,MATCH($B$1,Scenarios,0)+1)</f>
        <v>0</v>
      </c>
      <c r="G38" s="65">
        <f>H38/Variables!$E$49</f>
        <v>0.32737016395306018</v>
      </c>
      <c r="H38" s="62">
        <f>IF((H37+I38)&gt;(1.1*Variables!$E$50),(1.1*Variables!$E$50),IF((H37+I38)&gt;0,H37+I38,0))</f>
        <v>2.0296950165089731</v>
      </c>
      <c r="I38" s="64">
        <f t="shared" si="1"/>
        <v>0.92124534024358196</v>
      </c>
      <c r="J38" s="63">
        <f>IF(SUM(E34:E37)&lt;Variables!$B$3,-H37,0)</f>
        <v>0</v>
      </c>
      <c r="K38" s="64">
        <f>IF(AND(H37&lt;Variables!$B$6*Variables!$E$50,OR(SUM(D35:D38)&gt;Variables!$B$5,SUM(E35:E38)&gt;Variables!$B$4)),Variables!$B$6*Variables!$E$50+Variables!$B$7*$G$1*Variables!$E$50*SUM(D35:D38),0)</f>
        <v>1.1440637085408436</v>
      </c>
      <c r="L38" s="64">
        <f>IF(B38="Winter",Variables!$B$8*H37,0)</f>
        <v>0</v>
      </c>
      <c r="M38" s="64">
        <f>IF(AND(B38="Spring",AND(NOT(H37=0),H37&lt;(Variables!$B$9*Variables!$E$50))),(Variables!$B$10*Variables!$E$50+Variables!$B$11*Variables!$E$50*SUM(E35:E38)+$G$1*SUM(D37:D38)*Variables!$E$50*Variables!$B$12),0)</f>
        <v>-0.22281836829726168</v>
      </c>
      <c r="N38" s="64">
        <f>IF(AND(B38="Spring",AND(SUM(D35:D38)&gt;Variables!$B$13,SUM(D31:D34)&gt;Variables!$B$13)),-Variables!$B$14*Variables!$E$50,0)</f>
        <v>0</v>
      </c>
      <c r="O38" s="64">
        <f>IF(AND(B38="Summer",SUM(C34:D38)&gt;Variables!$B$15),(Variables!$B$16*Variables!$E$50*SUM(C34:C38)+$G$1*Variables!$B$16*Variables!$E$50*SUM(D34:D38)+$G$1*Variables!$E$50*Variables!$B$17*F38),0)</f>
        <v>0</v>
      </c>
      <c r="P38" s="64">
        <f>IF(AND(AND(B38="Autumn",SUM(D37:E38)&gt;0),NOT(H37=0)),Variables!$B$18*Variables!$E$50+Variables!$B$19*Variables!$E$50*SUM(E37:E38)+$G$1*Variables!$B$19*Variables!$E$50*SUM(D37:D38),0)</f>
        <v>0</v>
      </c>
      <c r="Q38" s="64">
        <f>IF(AND(B38="Autumn",AND((E38+E37)&lt;Variables!$B$20,(D37+D38)=0)),-Variables!$B$21*Variables!$E$50,0)</f>
        <v>0</v>
      </c>
      <c r="R38" s="64">
        <f>IF(B38="Autumn",(SUM(F37:F38)*$G$1*Variables!$B$22*Variables!$E$50),0)</f>
        <v>0</v>
      </c>
      <c r="S38" s="64">
        <f>IF(B38="Spring",($G$1*Variables!$E$50*SUM('Guts (option 2)'!F37:F38)*Variables!$B$23),0)</f>
        <v>0</v>
      </c>
      <c r="T38" s="63">
        <f>IF((H37+SUM(J38:Q38))&lt;(Variables!$B$26*Variables!$E$50),$F$1*((Variables!$B$26*Variables!$E$50)-H37-SUM(J38:Q38)),0)</f>
        <v>0</v>
      </c>
      <c r="U38" s="64">
        <f>IF(AND(AND(B38="Autumn",SUM(D35:E38)&gt;Variables!$B$27),SUM(J38:Q38)&lt;Variables!$B$28*H37),$F$1*(Variables!$B$28*H37-SUM(J38:Q38)),0)</f>
        <v>0</v>
      </c>
      <c r="V38" s="96">
        <f>IF(AND((J38+K38)=0,(Q38+T38)=0),$H$1*H38*Variables!$I$23*0.25,0)</f>
        <v>0</v>
      </c>
      <c r="W38" s="97">
        <f>IF(AND((K38+J38)=0,(T38+Q38)=0),$I$1*H38*Variables!$Q$23*0.25,0)</f>
        <v>0</v>
      </c>
      <c r="X38" s="95">
        <f>IF(AND(NOT(K38=0),(H38-H37)&gt;0),(H38-H37)*(Variables!$M$5*$H$1+Variables!$U$5*$I$1),0)+IF(AND(NOT((J38+N38+Q38)=0),(H37-H38)&gt;0),(H37-H38)*(Variables!$M$4*$H$1+Variables!$U$4*$I$1),0)</f>
        <v>-76.770445020298496</v>
      </c>
      <c r="Y38" s="95">
        <f>IF(SUM(T38,U37:U38)&gt;0,H38*Variables!$Y$11*0.25*(1-$J$1),0)</f>
        <v>0</v>
      </c>
      <c r="Z38" s="95">
        <f>IF(T38=0,H38*$J$1*Variables!$Y$5*0.25,0)</f>
        <v>4.3976725357694413</v>
      </c>
      <c r="AA38" s="95">
        <f t="shared" si="0"/>
        <v>-72.372772484529051</v>
      </c>
      <c r="AB38" s="91">
        <f>AA38/Variables!$E$49</f>
        <v>-11.673027820085331</v>
      </c>
    </row>
    <row r="39" spans="1:29" x14ac:dyDescent="0.25">
      <c r="A39" s="61">
        <f>'Water runs'!C46</f>
        <v>5538</v>
      </c>
      <c r="B39" s="61" t="str">
        <f>'Water runs'!B46</f>
        <v>Summer</v>
      </c>
      <c r="C39" s="54">
        <f>'Water runs'!D46/100</f>
        <v>0.71439999999999992</v>
      </c>
      <c r="D39" s="108">
        <f>VLOOKUP(ROW(D39)+4,'Water runs'!$BS$3:$CF$423,MATCH($B$1,Scenarios,0)+1)</f>
        <v>0</v>
      </c>
      <c r="E39" s="54">
        <f>IF(B39=Variables!$D$8,C39-Variables!$E$8,IF(B39=Variables!$D$9,C39-Variables!$E$9,IF(B39=Variables!$D$10,C39-Variables!$E$10,IF(B39=Variables!$D$11,C39-Variables!$E$11,"ELSE"))))</f>
        <v>-0.54397013605442179</v>
      </c>
      <c r="F39" s="108">
        <f>VLOOKUP(ROW(F39)+4,'Water runs'!$CH$3:$CU$423,MATCH($B$1,Scenarios,0)+1)</f>
        <v>0</v>
      </c>
      <c r="G39" s="65">
        <f>H39/Variables!$E$49</f>
        <v>0.32737016395306018</v>
      </c>
      <c r="H39" s="62">
        <f>IF((H38+I39)&gt;(1.1*Variables!$E$50),(1.1*Variables!$E$50),IF((H38+I39)&gt;0,H38+I39,0))</f>
        <v>2.0296950165089731</v>
      </c>
      <c r="I39" s="64">
        <f t="shared" si="1"/>
        <v>0</v>
      </c>
      <c r="J39" s="63">
        <f>IF(SUM(E35:E38)&lt;Variables!$B$3,-H38,0)</f>
        <v>0</v>
      </c>
      <c r="K39" s="64">
        <f>IF(AND(H38&lt;Variables!$B$6*Variables!$E$50,OR(SUM(D36:D39)&gt;Variables!$B$5,SUM(E36:E39)&gt;Variables!$B$4)),Variables!$B$6*Variables!$E$50+Variables!$B$7*$G$1*Variables!$E$50*SUM(D36:D39),0)</f>
        <v>0</v>
      </c>
      <c r="L39" s="64">
        <f>IF(B39="Winter",Variables!$B$8*H38,0)</f>
        <v>0</v>
      </c>
      <c r="M39" s="64">
        <f>IF(AND(B39="Spring",AND(NOT(H38=0),H38&lt;(Variables!$B$9*Variables!$E$50))),(Variables!$B$10*Variables!$E$50+Variables!$B$11*Variables!$E$50*SUM(E36:E39)+$G$1*SUM(D38:D39)*Variables!$E$50*Variables!$B$12),0)</f>
        <v>0</v>
      </c>
      <c r="N39" s="64">
        <f>IF(AND(B39="Spring",AND(SUM(D36:D39)&gt;Variables!$B$13,SUM(D32:D35)&gt;Variables!$B$13)),-Variables!$B$14*Variables!$E$50,0)</f>
        <v>0</v>
      </c>
      <c r="O39" s="64">
        <f>IF(AND(B39="Summer",SUM(C35:D39)&gt;Variables!$B$15),(Variables!$B$16*Variables!$E$50*SUM(C35:C39)+$G$1*Variables!$B$16*Variables!$E$50*SUM(D35:D39)+$G$1*Variables!$E$50*Variables!$B$17*F39),0)</f>
        <v>0</v>
      </c>
      <c r="P39" s="64">
        <f>IF(AND(AND(B39="Autumn",SUM(D38:E39)&gt;0),NOT(H38=0)),Variables!$B$18*Variables!$E$50+Variables!$B$19*Variables!$E$50*SUM(E38:E39)+$G$1*Variables!$B$19*Variables!$E$50*SUM(D38:D39),0)</f>
        <v>0</v>
      </c>
      <c r="Q39" s="64">
        <f>IF(AND(B39="Autumn",AND((E39+E38)&lt;Variables!$B$20,(D38+D39)=0)),-Variables!$B$21*Variables!$E$50,0)</f>
        <v>0</v>
      </c>
      <c r="R39" s="64">
        <f>IF(B39="Autumn",(SUM(F38:F39)*$G$1*Variables!$B$22*Variables!$E$50),0)</f>
        <v>0</v>
      </c>
      <c r="S39" s="64">
        <f>IF(B39="Spring",($G$1*Variables!$E$50*SUM('Guts (option 2)'!F38:F39)*Variables!$B$23),0)</f>
        <v>0</v>
      </c>
      <c r="T39" s="63">
        <f>IF((H38+SUM(J39:Q39))&lt;(Variables!$B$26*Variables!$E$50),$F$1*((Variables!$B$26*Variables!$E$50)-H38-SUM(J39:Q39)),0)</f>
        <v>0</v>
      </c>
      <c r="U39" s="64">
        <f>IF(AND(AND(B39="Autumn",SUM(D36:E39)&gt;Variables!$B$27),SUM(J39:Q39)&lt;Variables!$B$28*H38),$F$1*(Variables!$B$28*H38-SUM(J39:Q39)),0)</f>
        <v>0</v>
      </c>
      <c r="V39" s="96">
        <f>IF(AND((J39+K39)=0,(Q39+T39)=0),$H$1*H39*Variables!$I$23*0.25,0)</f>
        <v>13.037509140793464</v>
      </c>
      <c r="W39" s="97">
        <f>IF(AND((K39+J39)=0,(T39+Q39)=0),$I$1*H39*Variables!$Q$23*0.25,0)</f>
        <v>13.646823584749455</v>
      </c>
      <c r="X39" s="95">
        <f>IF(AND(NOT(K39=0),(H39-H38)&gt;0),(H39-H38)*(Variables!$M$5*$H$1+Variables!$U$5*$I$1),0)+IF(AND(NOT((J39+N39+Q39)=0),(H38-H39)&gt;0),(H38-H39)*(Variables!$M$4*$H$1+Variables!$U$4*$I$1),0)</f>
        <v>0</v>
      </c>
      <c r="Y39" s="95">
        <f>IF(SUM(T39,U38:U39)&gt;0,H39*Variables!$Y$11*0.25*(1-$J$1),0)</f>
        <v>0</v>
      </c>
      <c r="Z39" s="95">
        <f>IF(T39=0,H39*$J$1*Variables!$Y$5*0.25,0)</f>
        <v>4.3976725357694413</v>
      </c>
      <c r="AA39" s="95">
        <f t="shared" si="0"/>
        <v>31.082005261312361</v>
      </c>
      <c r="AB39" s="91">
        <f>AA39/Variables!$E$49</f>
        <v>5.0132266550503806</v>
      </c>
      <c r="AC39" s="15"/>
    </row>
    <row r="40" spans="1:29" x14ac:dyDescent="0.25">
      <c r="A40" s="61">
        <f>'Water runs'!C47</f>
        <v>5630</v>
      </c>
      <c r="B40" s="61" t="str">
        <f>'Water runs'!B47</f>
        <v>Autumn</v>
      </c>
      <c r="C40" s="54">
        <f>'Water runs'!D47/100</f>
        <v>0.32520000000000004</v>
      </c>
      <c r="D40" s="108">
        <f>VLOOKUP(ROW(D40)+4,'Water runs'!$BS$3:$CF$423,MATCH($B$1,Scenarios,0)+1)</f>
        <v>0</v>
      </c>
      <c r="E40" s="54">
        <f>IF(B40=Variables!$D$8,C40-Variables!$E$8,IF(B40=Variables!$D$9,C40-Variables!$E$9,IF(B40=Variables!$D$10,C40-Variables!$E$10,IF(B40=Variables!$D$11,C40-Variables!$E$11,"ELSE"))))</f>
        <v>-0.66944329931972779</v>
      </c>
      <c r="F40" s="108">
        <f>VLOOKUP(ROW(F40)+4,'Water runs'!$CH$3:$CU$423,MATCH($B$1,Scenarios,0)+1)</f>
        <v>0</v>
      </c>
      <c r="G40" s="65">
        <f>H40/Variables!$E$49</f>
        <v>0.32737016395306018</v>
      </c>
      <c r="H40" s="62">
        <f>IF((H39+I40)&gt;(1.1*Variables!$E$50),(1.1*Variables!$E$50),IF((H39+I40)&gt;0,H39+I40,0))</f>
        <v>2.0296950165089731</v>
      </c>
      <c r="I40" s="64">
        <f t="shared" si="1"/>
        <v>0</v>
      </c>
      <c r="J40" s="63">
        <f>IF(SUM(E36:E39)&lt;Variables!$B$3,-H39,0)</f>
        <v>0</v>
      </c>
      <c r="K40" s="64">
        <f>IF(AND(H39&lt;Variables!$B$6*Variables!$E$50,OR(SUM(D37:D40)&gt;Variables!$B$5,SUM(E37:E40)&gt;Variables!$B$4)),Variables!$B$6*Variables!$E$50+Variables!$B$7*$G$1*Variables!$E$50*SUM(D37:D40),0)</f>
        <v>0</v>
      </c>
      <c r="L40" s="64">
        <f>IF(B40="Winter",Variables!$B$8*H39,0)</f>
        <v>0</v>
      </c>
      <c r="M40" s="64">
        <f>IF(AND(B40="Spring",AND(NOT(H39=0),H39&lt;(Variables!$B$9*Variables!$E$50))),(Variables!$B$10*Variables!$E$50+Variables!$B$11*Variables!$E$50*SUM(E37:E40)+$G$1*SUM(D39:D40)*Variables!$E$50*Variables!$B$12),0)</f>
        <v>0</v>
      </c>
      <c r="N40" s="64">
        <f>IF(AND(B40="Spring",AND(SUM(D37:D40)&gt;Variables!$B$13,SUM(D33:D36)&gt;Variables!$B$13)),-Variables!$B$14*Variables!$E$50,0)</f>
        <v>0</v>
      </c>
      <c r="O40" s="64">
        <f>IF(AND(B40="Summer",SUM(C36:D40)&gt;Variables!$B$15),(Variables!$B$16*Variables!$E$50*SUM(C36:C40)+$G$1*Variables!$B$16*Variables!$E$50*SUM(D36:D40)+$G$1*Variables!$E$50*Variables!$B$17*F40),0)</f>
        <v>0</v>
      </c>
      <c r="P40" s="64">
        <f>IF(AND(AND(B40="Autumn",SUM(D39:E40)&gt;0),NOT(H39=0)),Variables!$B$18*Variables!$E$50+Variables!$B$19*Variables!$E$50*SUM(E39:E40)+$G$1*Variables!$B$19*Variables!$E$50*SUM(D39:D40),0)</f>
        <v>0</v>
      </c>
      <c r="Q40" s="64">
        <f>IF(AND(B40="Autumn",AND((E40+E39)&lt;Variables!$B$20,(D39+D40)=0)),-Variables!$B$21*Variables!$E$50,0)</f>
        <v>0</v>
      </c>
      <c r="R40" s="64">
        <f>IF(B40="Autumn",(SUM(F39:F40)*$G$1*Variables!$B$22*Variables!$E$50),0)</f>
        <v>0</v>
      </c>
      <c r="S40" s="64">
        <f>IF(B40="Spring",($G$1*Variables!$E$50*SUM('Guts (option 2)'!F39:F40)*Variables!$B$23),0)</f>
        <v>0</v>
      </c>
      <c r="T40" s="63">
        <f>IF((H39+SUM(J40:Q40))&lt;(Variables!$B$26*Variables!$E$50),$F$1*((Variables!$B$26*Variables!$E$50)-H39-SUM(J40:Q40)),0)</f>
        <v>0</v>
      </c>
      <c r="U40" s="64">
        <f>IF(AND(AND(B40="Autumn",SUM(D37:E40)&gt;Variables!$B$27),SUM(J40:Q40)&lt;Variables!$B$28*H39),$F$1*(Variables!$B$28*H39-SUM(J40:Q40)),0)</f>
        <v>0</v>
      </c>
      <c r="V40" s="96">
        <f>IF(AND((J40+K40)=0,(Q40+T40)=0),$H$1*H40*Variables!$I$23*0.25,0)</f>
        <v>13.037509140793464</v>
      </c>
      <c r="W40" s="97">
        <f>IF(AND((K40+J40)=0,(T40+Q40)=0),$I$1*H40*Variables!$Q$23*0.25,0)</f>
        <v>13.646823584749455</v>
      </c>
      <c r="X40" s="95">
        <f>IF(AND(NOT(K40=0),(H40-H39)&gt;0),(H40-H39)*(Variables!$M$5*$H$1+Variables!$U$5*$I$1),0)+IF(AND(NOT((J40+N40+Q40)=0),(H39-H40)&gt;0),(H39-H40)*(Variables!$M$4*$H$1+Variables!$U$4*$I$1),0)</f>
        <v>0</v>
      </c>
      <c r="Y40" s="95">
        <f>IF(SUM(T40,U39:U40)&gt;0,H40*Variables!$Y$11*0.25*(1-$J$1),0)</f>
        <v>0</v>
      </c>
      <c r="Z40" s="95">
        <f>IF(T40=0,H40*$J$1*Variables!$Y$5*0.25,0)</f>
        <v>4.3976725357694413</v>
      </c>
      <c r="AA40" s="95">
        <f t="shared" si="0"/>
        <v>31.082005261312361</v>
      </c>
      <c r="AB40" s="91">
        <f>AA40/Variables!$E$49</f>
        <v>5.0132266550503806</v>
      </c>
    </row>
    <row r="41" spans="1:29" x14ac:dyDescent="0.25">
      <c r="A41" s="61">
        <f>'Water runs'!C48</f>
        <v>5722</v>
      </c>
      <c r="B41" s="61" t="str">
        <f>'Water runs'!B48</f>
        <v>Winter</v>
      </c>
      <c r="C41" s="54">
        <f>'Water runs'!D48/100</f>
        <v>0.41619999999999996</v>
      </c>
      <c r="D41" s="108">
        <f>VLOOKUP(ROW(D41)+4,'Water runs'!$BS$3:$CF$423,MATCH($B$1,Scenarios,0)+1)</f>
        <v>0</v>
      </c>
      <c r="E41" s="54">
        <f>IF(B41=Variables!$D$8,C41-Variables!$E$8,IF(B41=Variables!$D$9,C41-Variables!$E$9,IF(B41=Variables!$D$10,C41-Variables!$E$10,IF(B41=Variables!$D$11,C41-Variables!$E$11,"ELSE"))))</f>
        <v>-0.15556762566137577</v>
      </c>
      <c r="F41" s="108">
        <f>VLOOKUP(ROW(F41)+4,'Water runs'!$CH$3:$CU$423,MATCH($B$1,Scenarios,0)+1)</f>
        <v>0</v>
      </c>
      <c r="G41" s="65">
        <f>H41/Variables!$E$49</f>
        <v>0.16435774702067035</v>
      </c>
      <c r="H41" s="62">
        <f>IF((H40+I41)&gt;(1.1*Variables!$E$50),(1.1*Variables!$E$50),IF((H40+I41)&gt;0,H40+I41,0))</f>
        <v>1.0190180315281563</v>
      </c>
      <c r="I41" s="64">
        <f t="shared" si="1"/>
        <v>-1.0106769849808168</v>
      </c>
      <c r="J41" s="63">
        <f>IF(SUM(E37:E40)&lt;Variables!$B$3,-H40,0)</f>
        <v>0</v>
      </c>
      <c r="K41" s="64">
        <f>IF(AND(H40&lt;Variables!$B$6*Variables!$E$50,OR(SUM(D38:D41)&gt;Variables!$B$5,SUM(E38:E41)&gt;Variables!$B$4)),Variables!$B$6*Variables!$E$50+Variables!$B$7*$G$1*Variables!$E$50*SUM(D38:D41),0)</f>
        <v>0</v>
      </c>
      <c r="L41" s="64">
        <f>IF(B41="Winter",Variables!$B$8*H40,0)</f>
        <v>-1.0106769849808168</v>
      </c>
      <c r="M41" s="64">
        <f>IF(AND(B41="Spring",AND(NOT(H40=0),H40&lt;(Variables!$B$9*Variables!$E$50))),(Variables!$B$10*Variables!$E$50+Variables!$B$11*Variables!$E$50*SUM(E38:E41)+$G$1*SUM(D40:D41)*Variables!$E$50*Variables!$B$12),0)</f>
        <v>0</v>
      </c>
      <c r="N41" s="64">
        <f>IF(AND(B41="Spring",AND(SUM(D38:D41)&gt;Variables!$B$13,SUM(D34:D37)&gt;Variables!$B$13)),-Variables!$B$14*Variables!$E$50,0)</f>
        <v>0</v>
      </c>
      <c r="O41" s="64">
        <f>IF(AND(B41="Summer",SUM(C37:D41)&gt;Variables!$B$15),(Variables!$B$16*Variables!$E$50*SUM(C37:C41)+$G$1*Variables!$B$16*Variables!$E$50*SUM(D37:D41)+$G$1*Variables!$E$50*Variables!$B$17*F41),0)</f>
        <v>0</v>
      </c>
      <c r="P41" s="64">
        <f>IF(AND(AND(B41="Autumn",SUM(D40:E41)&gt;0),NOT(H40=0)),Variables!$B$18*Variables!$E$50+Variables!$B$19*Variables!$E$50*SUM(E40:E41)+$G$1*Variables!$B$19*Variables!$E$50*SUM(D40:D41),0)</f>
        <v>0</v>
      </c>
      <c r="Q41" s="64">
        <f>IF(AND(B41="Autumn",AND((E41+E40)&lt;Variables!$B$20,(D40+D41)=0)),-Variables!$B$21*Variables!$E$50,0)</f>
        <v>0</v>
      </c>
      <c r="R41" s="64">
        <f>IF(B41="Autumn",(SUM(F40:F41)*$G$1*Variables!$B$22*Variables!$E$50),0)</f>
        <v>0</v>
      </c>
      <c r="S41" s="64">
        <f>IF(B41="Spring",($G$1*Variables!$E$50*SUM('Guts (option 2)'!F40:F41)*Variables!$B$23),0)</f>
        <v>0</v>
      </c>
      <c r="T41" s="63">
        <f>IF((H40+SUM(J41:Q41))&lt;(Variables!$B$26*Variables!$E$50),$F$1*((Variables!$B$26*Variables!$E$50)-H40-SUM(J41:Q41)),0)</f>
        <v>0</v>
      </c>
      <c r="U41" s="64">
        <f>IF(AND(AND(B41="Autumn",SUM(D38:E41)&gt;Variables!$B$27),SUM(J41:Q41)&lt;Variables!$B$28*H40),$F$1*(Variables!$B$28*H40-SUM(J41:Q41)),0)</f>
        <v>0</v>
      </c>
      <c r="V41" s="96">
        <f>IF(AND((J41+K41)=0,(Q41+T41)=0),$H$1*H41*Variables!$I$23*0.25,0)</f>
        <v>6.5455434400841011</v>
      </c>
      <c r="W41" s="97">
        <f>IF(AND((K41+J41)=0,(T41+Q41)=0),$I$1*H41*Variables!$Q$23*0.25,0)</f>
        <v>6.8514526531488524</v>
      </c>
      <c r="X41" s="95">
        <f>IF(AND(NOT(K41=0),(H41-H40)&gt;0),(H41-H40)*(Variables!$M$5*$H$1+Variables!$U$5*$I$1),0)+IF(AND(NOT((J41+N41+Q41)=0),(H40-H41)&gt;0),(H40-H41)*(Variables!$M$4*$H$1+Variables!$U$4*$I$1),0)</f>
        <v>0</v>
      </c>
      <c r="Y41" s="95">
        <f>IF(SUM(T41,U40:U41)&gt;0,H41*Variables!$Y$11*0.25*(1-$J$1),0)</f>
        <v>0</v>
      </c>
      <c r="Z41" s="95">
        <f>IF(T41=0,H41*$J$1*Variables!$Y$5*0.25,0)</f>
        <v>2.2078724016443387</v>
      </c>
      <c r="AA41" s="95">
        <f t="shared" si="0"/>
        <v>15.604868494877293</v>
      </c>
      <c r="AB41" s="91">
        <f>AA41/Variables!$E$49</f>
        <v>2.5169142733673051</v>
      </c>
    </row>
    <row r="42" spans="1:29" x14ac:dyDescent="0.25">
      <c r="A42" s="61">
        <f>'Water runs'!C49</f>
        <v>5813</v>
      </c>
      <c r="B42" s="61" t="str">
        <f>'Water runs'!B49</f>
        <v>Spring</v>
      </c>
      <c r="C42" s="54">
        <f>'Water runs'!D49/100</f>
        <v>0.20860000000000001</v>
      </c>
      <c r="D42" s="108">
        <f>VLOOKUP(ROW(D42)+4,'Water runs'!$BS$3:$CF$423,MATCH($B$1,Scenarios,0)+1)</f>
        <v>0</v>
      </c>
      <c r="E42" s="54">
        <f>IF(B42=Variables!$D$8,C42-Variables!$E$8,IF(B42=Variables!$D$9,C42-Variables!$E$9,IF(B42=Variables!$D$10,C42-Variables!$E$10,IF(B42=Variables!$D$11,C42-Variables!$E$11,"ELSE"))))</f>
        <v>-0.55538220899470914</v>
      </c>
      <c r="F42" s="108">
        <f>VLOOKUP(ROW(F42)+4,'Water runs'!$CH$3:$CU$423,MATCH($B$1,Scenarios,0)+1)</f>
        <v>0</v>
      </c>
      <c r="G42" s="65">
        <f>H42/Variables!$E$49</f>
        <v>0.16100000000000003</v>
      </c>
      <c r="H42" s="62">
        <f>IF((H41+I42)&gt;(1.1*Variables!$E$50),(1.1*Variables!$E$50),IF((H41+I42)&gt;0,H41+I42,0))</f>
        <v>0.9982000000000002</v>
      </c>
      <c r="I42" s="64">
        <f t="shared" si="1"/>
        <v>-2.0818031528156089E-2</v>
      </c>
      <c r="J42" s="63">
        <f>IF(SUM(E38:E41)&lt;Variables!$B$3,-H41,0)</f>
        <v>0</v>
      </c>
      <c r="K42" s="64">
        <f>IF(AND(H41&lt;Variables!$B$6*Variables!$E$50,OR(SUM(D39:D42)&gt;Variables!$B$5,SUM(E39:E42)&gt;Variables!$B$4)),Variables!$B$6*Variables!$E$50+Variables!$B$7*$G$1*Variables!$E$50*SUM(D39:D42),0)</f>
        <v>0</v>
      </c>
      <c r="L42" s="64">
        <f>IF(B42="Winter",Variables!$B$8*H41,0)</f>
        <v>0</v>
      </c>
      <c r="M42" s="64">
        <f>IF(AND(B42="Spring",AND(NOT(H41=0),H41&lt;(Variables!$B$9*Variables!$E$50))),(Variables!$B$10*Variables!$E$50+Variables!$B$11*Variables!$E$50*SUM(E39:E42)+$G$1*SUM(D41:D42)*Variables!$E$50*Variables!$B$12),0)</f>
        <v>-1.3106100932408891</v>
      </c>
      <c r="N42" s="64">
        <f>IF(AND(B42="Spring",AND(SUM(D39:D42)&gt;Variables!$B$13,SUM(D35:D38)&gt;Variables!$B$13)),-Variables!$B$14*Variables!$E$50,0)</f>
        <v>0</v>
      </c>
      <c r="O42" s="64">
        <f>IF(AND(B42="Summer",SUM(C38:D42)&gt;Variables!$B$15),(Variables!$B$16*Variables!$E$50*SUM(C38:C42)+$G$1*Variables!$B$16*Variables!$E$50*SUM(D38:D42)+$G$1*Variables!$E$50*Variables!$B$17*F42),0)</f>
        <v>0</v>
      </c>
      <c r="P42" s="64">
        <f>IF(AND(AND(B42="Autumn",SUM(D41:E42)&gt;0),NOT(H41=0)),Variables!$B$18*Variables!$E$50+Variables!$B$19*Variables!$E$50*SUM(E41:E42)+$G$1*Variables!$B$19*Variables!$E$50*SUM(D41:D42),0)</f>
        <v>0</v>
      </c>
      <c r="Q42" s="64">
        <f>IF(AND(B42="Autumn",AND((E42+E41)&lt;Variables!$B$20,(D41+D42)=0)),-Variables!$B$21*Variables!$E$50,0)</f>
        <v>0</v>
      </c>
      <c r="R42" s="64">
        <f>IF(B42="Autumn",(SUM(F41:F42)*$G$1*Variables!$B$22*Variables!$E$50),0)</f>
        <v>0</v>
      </c>
      <c r="S42" s="64">
        <f>IF(B42="Spring",($G$1*Variables!$E$50*SUM('Guts (option 2)'!F41:F42)*Variables!$B$23),0)</f>
        <v>0</v>
      </c>
      <c r="T42" s="63">
        <f>IF((H41+SUM(J42:Q42))&lt;(Variables!$B$26*Variables!$E$50),$F$1*((Variables!$B$26*Variables!$E$50)-H41-SUM(J42:Q42)),0)</f>
        <v>1.289792061712733</v>
      </c>
      <c r="U42" s="64">
        <f>IF(AND(AND(B42="Autumn",SUM(D39:E42)&gt;Variables!$B$27),SUM(J42:Q42)&lt;Variables!$B$28*H41),$F$1*(Variables!$B$28*H41-SUM(J42:Q42)),0)</f>
        <v>0</v>
      </c>
      <c r="V42" s="96">
        <f>IF(AND((J42+K42)=0,(Q42+T42)=0),$H$1*H42*Variables!$I$23*0.25,0)</f>
        <v>0</v>
      </c>
      <c r="W42" s="97">
        <f>IF(AND((K42+J42)=0,(T42+Q42)=0),$I$1*H42*Variables!$Q$23*0.25,0)</f>
        <v>0</v>
      </c>
      <c r="X42" s="95">
        <f>IF(AND(NOT(K42=0),(H42-H41)&gt;0),(H42-H41)*(Variables!$M$5*$H$1+Variables!$U$5*$I$1),0)+IF(AND(NOT((J42+N42+Q42)=0),(H41-H42)&gt;0),(H41-H42)*(Variables!$M$4*$H$1+Variables!$U$4*$I$1),0)</f>
        <v>0</v>
      </c>
      <c r="Y42" s="95">
        <f>IF(SUM(T42,U41:U42)&gt;0,H42*Variables!$Y$11*0.25*(1-$J$1),0)</f>
        <v>-6.9874000000000018</v>
      </c>
      <c r="Z42" s="95">
        <f>IF(T42=0,H42*$J$1*Variables!$Y$5*0.25,0)</f>
        <v>0</v>
      </c>
      <c r="AA42" s="95">
        <f t="shared" si="0"/>
        <v>-6.9874000000000018</v>
      </c>
      <c r="AB42" s="91">
        <f>AA42/Variables!$E$49</f>
        <v>-1.1270000000000002</v>
      </c>
    </row>
    <row r="43" spans="1:29" x14ac:dyDescent="0.25">
      <c r="A43" s="61">
        <f>'Water runs'!C50</f>
        <v>5903</v>
      </c>
      <c r="B43" s="61" t="str">
        <f>'Water runs'!B50</f>
        <v>Summer</v>
      </c>
      <c r="C43" s="54">
        <f>'Water runs'!D50/100</f>
        <v>0.59660000000000002</v>
      </c>
      <c r="D43" s="108">
        <f>VLOOKUP(ROW(D43)+4,'Water runs'!$BS$3:$CF$423,MATCH($B$1,Scenarios,0)+1)</f>
        <v>0</v>
      </c>
      <c r="E43" s="54">
        <f>IF(B43=Variables!$D$8,C43-Variables!$E$8,IF(B43=Variables!$D$9,C43-Variables!$E$9,IF(B43=Variables!$D$10,C43-Variables!$E$10,IF(B43=Variables!$D$11,C43-Variables!$E$11,"ELSE"))))</f>
        <v>-0.6617701360544217</v>
      </c>
      <c r="F43" s="108">
        <f>VLOOKUP(ROW(F43)+4,'Water runs'!$CH$3:$CU$423,MATCH($B$1,Scenarios,0)+1)</f>
        <v>0</v>
      </c>
      <c r="G43" s="65">
        <f>H43/Variables!$E$49</f>
        <v>0.161</v>
      </c>
      <c r="H43" s="62">
        <f>IF((H42+I43)&gt;(1.1*Variables!$E$50),(1.1*Variables!$E$50),IF((H42+I43)&gt;0,H42+I43,0))</f>
        <v>0.99820000000000009</v>
      </c>
      <c r="I43" s="64">
        <f t="shared" si="1"/>
        <v>-1.1102230246251565E-16</v>
      </c>
      <c r="J43" s="63">
        <f>IF(SUM(E39:E42)&lt;Variables!$B$3,-H42,0)</f>
        <v>-0.9982000000000002</v>
      </c>
      <c r="K43" s="64">
        <f>IF(AND(H42&lt;Variables!$B$6*Variables!$E$50,OR(SUM(D40:D43)&gt;Variables!$B$5,SUM(E40:E43)&gt;Variables!$B$4)),Variables!$B$6*Variables!$E$50+Variables!$B$7*$G$1*Variables!$E$50*SUM(D40:D43),0)</f>
        <v>0</v>
      </c>
      <c r="L43" s="64">
        <f>IF(B43="Winter",Variables!$B$8*H42,0)</f>
        <v>0</v>
      </c>
      <c r="M43" s="64">
        <f>IF(AND(B43="Spring",AND(NOT(H42=0),H42&lt;(Variables!$B$9*Variables!$E$50))),(Variables!$B$10*Variables!$E$50+Variables!$B$11*Variables!$E$50*SUM(E40:E43)+$G$1*SUM(D42:D43)*Variables!$E$50*Variables!$B$12),0)</f>
        <v>0</v>
      </c>
      <c r="N43" s="64">
        <f>IF(AND(B43="Spring",AND(SUM(D40:D43)&gt;Variables!$B$13,SUM(D36:D39)&gt;Variables!$B$13)),-Variables!$B$14*Variables!$E$50,0)</f>
        <v>0</v>
      </c>
      <c r="O43" s="64">
        <f>IF(AND(B43="Summer",SUM(C39:D43)&gt;Variables!$B$15),(Variables!$B$16*Variables!$E$50*SUM(C39:C43)+$G$1*Variables!$B$16*Variables!$E$50*SUM(D39:D43)+$G$1*Variables!$E$50*Variables!$B$17*F43),0)</f>
        <v>0</v>
      </c>
      <c r="P43" s="64">
        <f>IF(AND(AND(B43="Autumn",SUM(D42:E43)&gt;0),NOT(H42=0)),Variables!$B$18*Variables!$E$50+Variables!$B$19*Variables!$E$50*SUM(E42:E43)+$G$1*Variables!$B$19*Variables!$E$50*SUM(D42:D43),0)</f>
        <v>0</v>
      </c>
      <c r="Q43" s="64">
        <f>IF(AND(B43="Autumn",AND((E43+E42)&lt;Variables!$B$20,(D42+D43)=0)),-Variables!$B$21*Variables!$E$50,0)</f>
        <v>0</v>
      </c>
      <c r="R43" s="64">
        <f>IF(B43="Autumn",(SUM(F42:F43)*$G$1*Variables!$B$22*Variables!$E$50),0)</f>
        <v>0</v>
      </c>
      <c r="S43" s="64">
        <f>IF(B43="Spring",($G$1*Variables!$E$50*SUM('Guts (option 2)'!F42:F43)*Variables!$B$23),0)</f>
        <v>0</v>
      </c>
      <c r="T43" s="63">
        <f>IF((H42+SUM(J43:Q43))&lt;(Variables!$B$26*Variables!$E$50),$F$1*((Variables!$B$26*Variables!$E$50)-H42-SUM(J43:Q43)),0)</f>
        <v>0.99820000000000009</v>
      </c>
      <c r="U43" s="64">
        <f>IF(AND(AND(B43="Autumn",SUM(D40:E43)&gt;Variables!$B$27),SUM(J43:Q43)&lt;Variables!$B$28*H42),$F$1*(Variables!$B$28*H42-SUM(J43:Q43)),0)</f>
        <v>0</v>
      </c>
      <c r="V43" s="96">
        <f>IF(AND((J43+K43)=0,(Q43+T43)=0),$H$1*H43*Variables!$I$23*0.25,0)</f>
        <v>0</v>
      </c>
      <c r="W43" s="97">
        <f>IF(AND((K43+J43)=0,(T43+Q43)=0),$I$1*H43*Variables!$Q$23*0.25,0)</f>
        <v>0</v>
      </c>
      <c r="X43" s="95">
        <f>IF(AND(NOT(K43=0),(H43-H42)&gt;0),(H43-H42)*(Variables!$M$5*$H$1+Variables!$U$5*$I$1),0)+IF(AND(NOT((J43+N43+Q43)=0),(H42-H43)&gt;0),(H42-H43)*(Variables!$M$4*$H$1+Variables!$U$4*$I$1),0)</f>
        <v>4.6259292692714853E-15</v>
      </c>
      <c r="Y43" s="95">
        <f>IF(SUM(T43,U42:U43)&gt;0,H43*Variables!$Y$11*0.25*(1-$J$1),0)</f>
        <v>-6.9874000000000018</v>
      </c>
      <c r="Z43" s="95">
        <f>IF(T43=0,H43*$J$1*Variables!$Y$5*0.25,0)</f>
        <v>0</v>
      </c>
      <c r="AA43" s="95">
        <f t="shared" si="0"/>
        <v>-6.9873999999999974</v>
      </c>
      <c r="AB43" s="91">
        <f>AA43/Variables!$E$49</f>
        <v>-1.1269999999999996</v>
      </c>
      <c r="AC43" s="15"/>
    </row>
    <row r="44" spans="1:29" x14ac:dyDescent="0.25">
      <c r="A44" s="61">
        <f>'Water runs'!C51</f>
        <v>5996</v>
      </c>
      <c r="B44" s="61" t="str">
        <f>'Water runs'!B51</f>
        <v>Autumn</v>
      </c>
      <c r="C44" s="54">
        <f>'Water runs'!D51/100</f>
        <v>0.56600000000000006</v>
      </c>
      <c r="D44" s="108">
        <f>VLOOKUP(ROW(D44)+4,'Water runs'!$BS$3:$CF$423,MATCH($B$1,Scenarios,0)+1)</f>
        <v>0</v>
      </c>
      <c r="E44" s="54">
        <f>IF(B44=Variables!$D$8,C44-Variables!$E$8,IF(B44=Variables!$D$9,C44-Variables!$E$9,IF(B44=Variables!$D$10,C44-Variables!$E$10,IF(B44=Variables!$D$11,C44-Variables!$E$11,"ELSE"))))</f>
        <v>-0.42864329931972778</v>
      </c>
      <c r="F44" s="108">
        <f>VLOOKUP(ROW(F44)+4,'Water runs'!$CH$3:$CU$423,MATCH($B$1,Scenarios,0)+1)</f>
        <v>0</v>
      </c>
      <c r="G44" s="65">
        <f>H44/Variables!$E$49</f>
        <v>0.161</v>
      </c>
      <c r="H44" s="62">
        <f>IF((H43+I44)&gt;(1.1*Variables!$E$50),(1.1*Variables!$E$50),IF((H43+I44)&gt;0,H43+I44,0))</f>
        <v>0.99820000000000009</v>
      </c>
      <c r="I44" s="64">
        <f t="shared" si="1"/>
        <v>0</v>
      </c>
      <c r="J44" s="63">
        <f>IF(SUM(E40:E43)&lt;Variables!$B$3,-H43,0)</f>
        <v>-0.99820000000000009</v>
      </c>
      <c r="K44" s="64">
        <f>IF(AND(H43&lt;Variables!$B$6*Variables!$E$50,OR(SUM(D41:D44)&gt;Variables!$B$5,SUM(E41:E44)&gt;Variables!$B$4)),Variables!$B$6*Variables!$E$50+Variables!$B$7*$G$1*Variables!$E$50*SUM(D41:D44),0)</f>
        <v>0</v>
      </c>
      <c r="L44" s="64">
        <f>IF(B44="Winter",Variables!$B$8*H43,0)</f>
        <v>0</v>
      </c>
      <c r="M44" s="64">
        <f>IF(AND(B44="Spring",AND(NOT(H43=0),H43&lt;(Variables!$B$9*Variables!$E$50))),(Variables!$B$10*Variables!$E$50+Variables!$B$11*Variables!$E$50*SUM(E41:E44)+$G$1*SUM(D43:D44)*Variables!$E$50*Variables!$B$12),0)</f>
        <v>0</v>
      </c>
      <c r="N44" s="64">
        <f>IF(AND(B44="Spring",AND(SUM(D41:D44)&gt;Variables!$B$13,SUM(D37:D40)&gt;Variables!$B$13)),-Variables!$B$14*Variables!$E$50,0)</f>
        <v>0</v>
      </c>
      <c r="O44" s="64">
        <f>IF(AND(B44="Summer",SUM(C40:D44)&gt;Variables!$B$15),(Variables!$B$16*Variables!$E$50*SUM(C40:C44)+$G$1*Variables!$B$16*Variables!$E$50*SUM(D40:D44)+$G$1*Variables!$E$50*Variables!$B$17*F44),0)</f>
        <v>0</v>
      </c>
      <c r="P44" s="64">
        <f>IF(AND(AND(B44="Autumn",SUM(D43:E44)&gt;0),NOT(H43=0)),Variables!$B$18*Variables!$E$50+Variables!$B$19*Variables!$E$50*SUM(E43:E44)+$G$1*Variables!$B$19*Variables!$E$50*SUM(D43:D44),0)</f>
        <v>0</v>
      </c>
      <c r="Q44" s="64">
        <f>IF(AND(B44="Autumn",AND((E44+E43)&lt;Variables!$B$20,(D43+D44)=0)),-Variables!$B$21*Variables!$E$50,0)</f>
        <v>0</v>
      </c>
      <c r="R44" s="64">
        <f>IF(B44="Autumn",(SUM(F43:F44)*$G$1*Variables!$B$22*Variables!$E$50),0)</f>
        <v>0</v>
      </c>
      <c r="S44" s="64">
        <f>IF(B44="Spring",($G$1*Variables!$E$50*SUM('Guts (option 2)'!F43:F44)*Variables!$B$23),0)</f>
        <v>0</v>
      </c>
      <c r="T44" s="63">
        <f>IF((H43+SUM(J44:Q44))&lt;(Variables!$B$26*Variables!$E$50),$F$1*((Variables!$B$26*Variables!$E$50)-H43-SUM(J44:Q44)),0)</f>
        <v>0.99820000000000009</v>
      </c>
      <c r="U44" s="64">
        <f>IF(AND(AND(B44="Autumn",SUM(D41:E44)&gt;Variables!$B$27),SUM(J44:Q44)&lt;Variables!$B$28*H43),$F$1*(Variables!$B$28*H43-SUM(J44:Q44)),0)</f>
        <v>0</v>
      </c>
      <c r="V44" s="96">
        <f>IF(AND((J44+K44)=0,(Q44+T44)=0),$H$1*H44*Variables!$I$23*0.25,0)</f>
        <v>0</v>
      </c>
      <c r="W44" s="97">
        <f>IF(AND((K44+J44)=0,(T44+Q44)=0),$I$1*H44*Variables!$Q$23*0.25,0)</f>
        <v>0</v>
      </c>
      <c r="X44" s="95">
        <f>IF(AND(NOT(K44=0),(H44-H43)&gt;0),(H44-H43)*(Variables!$M$5*$H$1+Variables!$U$5*$I$1),0)+IF(AND(NOT((J44+N44+Q44)=0),(H43-H44)&gt;0),(H43-H44)*(Variables!$M$4*$H$1+Variables!$U$4*$I$1),0)</f>
        <v>0</v>
      </c>
      <c r="Y44" s="95">
        <f>IF(SUM(T44,U43:U44)&gt;0,H44*Variables!$Y$11*0.25*(1-$J$1),0)</f>
        <v>-6.9874000000000018</v>
      </c>
      <c r="Z44" s="95">
        <f>IF(T44=0,H44*$J$1*Variables!$Y$5*0.25,0)</f>
        <v>0</v>
      </c>
      <c r="AA44" s="95">
        <f t="shared" si="0"/>
        <v>-6.9874000000000018</v>
      </c>
      <c r="AB44" s="91">
        <f>AA44/Variables!$E$49</f>
        <v>-1.1270000000000002</v>
      </c>
    </row>
    <row r="45" spans="1:29" x14ac:dyDescent="0.25">
      <c r="A45" s="61">
        <f>'Water runs'!C52</f>
        <v>6088</v>
      </c>
      <c r="B45" s="61" t="str">
        <f>'Water runs'!B52</f>
        <v>Winter</v>
      </c>
      <c r="C45" s="54">
        <f>'Water runs'!D52/100</f>
        <v>1.4982</v>
      </c>
      <c r="D45" s="108">
        <f>VLOOKUP(ROW(D45)+4,'Water runs'!$BS$3:$CF$423,MATCH($B$1,Scenarios,0)+1)</f>
        <v>4.9789784558864285E-2</v>
      </c>
      <c r="E45" s="54">
        <f>IF(B45=Variables!$D$8,C45-Variables!$E$8,IF(B45=Variables!$D$9,C45-Variables!$E$9,IF(B45=Variables!$D$10,C45-Variables!$E$10,IF(B45=Variables!$D$11,C45-Variables!$E$11,"ELSE"))))</f>
        <v>0.92643237433862424</v>
      </c>
      <c r="F45" s="108">
        <f>VLOOKUP(ROW(F45)+4,'Water runs'!$CH$3:$CU$423,MATCH($B$1,Scenarios,0)+1)</f>
        <v>0</v>
      </c>
      <c r="G45" s="65">
        <f>H45/Variables!$E$49</f>
        <v>0.161</v>
      </c>
      <c r="H45" s="62">
        <f>IF((H44+I45)&gt;(1.1*Variables!$E$50),(1.1*Variables!$E$50),IF((H44+I45)&gt;0,H44+I45,0))</f>
        <v>0.99820000000000009</v>
      </c>
      <c r="I45" s="64">
        <f t="shared" si="1"/>
        <v>0</v>
      </c>
      <c r="J45" s="63">
        <f>IF(SUM(E41:E44)&lt;Variables!$B$3,-H44,0)</f>
        <v>-0.99820000000000009</v>
      </c>
      <c r="K45" s="64">
        <f>IF(AND(H44&lt;Variables!$B$6*Variables!$E$50,OR(SUM(D42:D45)&gt;Variables!$B$5,SUM(E42:E45)&gt;Variables!$B$4)),Variables!$B$6*Variables!$E$50+Variables!$B$7*$G$1*Variables!$E$50*SUM(D42:D45),0)</f>
        <v>0</v>
      </c>
      <c r="L45" s="64">
        <f>IF(B45="Winter",Variables!$B$8*H44,0)</f>
        <v>-0.49704894489176149</v>
      </c>
      <c r="M45" s="64">
        <f>IF(AND(B45="Spring",AND(NOT(H44=0),H44&lt;(Variables!$B$9*Variables!$E$50))),(Variables!$B$10*Variables!$E$50+Variables!$B$11*Variables!$E$50*SUM(E42:E45)+$G$1*SUM(D44:D45)*Variables!$E$50*Variables!$B$12),0)</f>
        <v>0</v>
      </c>
      <c r="N45" s="64">
        <f>IF(AND(B45="Spring",AND(SUM(D42:D45)&gt;Variables!$B$13,SUM(D38:D41)&gt;Variables!$B$13)),-Variables!$B$14*Variables!$E$50,0)</f>
        <v>0</v>
      </c>
      <c r="O45" s="64">
        <f>IF(AND(B45="Summer",SUM(C41:D45)&gt;Variables!$B$15),(Variables!$B$16*Variables!$E$50*SUM(C41:C45)+$G$1*Variables!$B$16*Variables!$E$50*SUM(D41:D45)+$G$1*Variables!$E$50*Variables!$B$17*F45),0)</f>
        <v>0</v>
      </c>
      <c r="P45" s="64">
        <f>IF(AND(AND(B45="Autumn",SUM(D44:E45)&gt;0),NOT(H44=0)),Variables!$B$18*Variables!$E$50+Variables!$B$19*Variables!$E$50*SUM(E44:E45)+$G$1*Variables!$B$19*Variables!$E$50*SUM(D44:D45),0)</f>
        <v>0</v>
      </c>
      <c r="Q45" s="64">
        <f>IF(AND(B45="Autumn",AND((E45+E44)&lt;Variables!$B$20,(D44+D45)=0)),-Variables!$B$21*Variables!$E$50,0)</f>
        <v>0</v>
      </c>
      <c r="R45" s="64">
        <f>IF(B45="Autumn",(SUM(F44:F45)*$G$1*Variables!$B$22*Variables!$E$50),0)</f>
        <v>0</v>
      </c>
      <c r="S45" s="64">
        <f>IF(B45="Spring",($G$1*Variables!$E$50*SUM('Guts (option 2)'!F44:F45)*Variables!$B$23),0)</f>
        <v>0</v>
      </c>
      <c r="T45" s="63">
        <f>IF((H44+SUM(J45:Q45))&lt;(Variables!$B$26*Variables!$E$50),$F$1*((Variables!$B$26*Variables!$E$50)-H44-SUM(J45:Q45)),0)</f>
        <v>1.4952489448917616</v>
      </c>
      <c r="U45" s="64">
        <f>IF(AND(AND(B45="Autumn",SUM(D42:E45)&gt;Variables!$B$27),SUM(J45:Q45)&lt;Variables!$B$28*H44),$F$1*(Variables!$B$28*H44-SUM(J45:Q45)),0)</f>
        <v>0</v>
      </c>
      <c r="V45" s="96">
        <f>IF(AND((J45+K45)=0,(Q45+T45)=0),$H$1*H45*Variables!$I$23*0.25,0)</f>
        <v>0</v>
      </c>
      <c r="W45" s="97">
        <f>IF(AND((K45+J45)=0,(T45+Q45)=0),$I$1*H45*Variables!$Q$23*0.25,0)</f>
        <v>0</v>
      </c>
      <c r="X45" s="95">
        <f>IF(AND(NOT(K45=0),(H45-H44)&gt;0),(H45-H44)*(Variables!$M$5*$H$1+Variables!$U$5*$I$1),0)+IF(AND(NOT((J45+N45+Q45)=0),(H44-H45)&gt;0),(H44-H45)*(Variables!$M$4*$H$1+Variables!$U$4*$I$1),0)</f>
        <v>0</v>
      </c>
      <c r="Y45" s="95">
        <f>IF(SUM(T45,U44:U45)&gt;0,H45*Variables!$Y$11*0.25*(1-$J$1),0)</f>
        <v>-6.9874000000000018</v>
      </c>
      <c r="Z45" s="95">
        <f>IF(T45=0,H45*$J$1*Variables!$Y$5*0.25,0)</f>
        <v>0</v>
      </c>
      <c r="AA45" s="95">
        <f t="shared" si="0"/>
        <v>-6.9874000000000018</v>
      </c>
      <c r="AB45" s="91">
        <f>AA45/Variables!$E$49</f>
        <v>-1.1270000000000002</v>
      </c>
    </row>
    <row r="46" spans="1:29" x14ac:dyDescent="0.25">
      <c r="A46" s="61">
        <f>'Water runs'!C53</f>
        <v>6179</v>
      </c>
      <c r="B46" s="61" t="str">
        <f>'Water runs'!B53</f>
        <v>Spring</v>
      </c>
      <c r="C46" s="54">
        <f>'Water runs'!D53/100</f>
        <v>1.1978</v>
      </c>
      <c r="D46" s="108">
        <f>VLOOKUP(ROW(D46)+4,'Water runs'!$BS$3:$CF$423,MATCH($B$1,Scenarios,0)+1)</f>
        <v>6.1744748572831139E-2</v>
      </c>
      <c r="E46" s="54">
        <f>IF(B46=Variables!$D$8,C46-Variables!$E$8,IF(B46=Variables!$D$9,C46-Variables!$E$9,IF(B46=Variables!$D$10,C46-Variables!$E$10,IF(B46=Variables!$D$11,C46-Variables!$E$11,"ELSE"))))</f>
        <v>0.43381779100529083</v>
      </c>
      <c r="F46" s="108">
        <f>VLOOKUP(ROW(F46)+4,'Water runs'!$CH$3:$CU$423,MATCH($B$1,Scenarios,0)+1)</f>
        <v>0</v>
      </c>
      <c r="G46" s="65">
        <f>H46/Variables!$E$49</f>
        <v>0.38225001686884463</v>
      </c>
      <c r="H46" s="62">
        <f>IF((H45+I46)&gt;(1.1*Variables!$E$50),(1.1*Variables!$E$50),IF((H45+I46)&gt;0,H45+I46,0))</f>
        <v>2.3699501045868367</v>
      </c>
      <c r="I46" s="64">
        <f t="shared" si="1"/>
        <v>1.3717501045868368</v>
      </c>
      <c r="J46" s="63">
        <f>IF(SUM(E42:E45)&lt;Variables!$B$3,-H45,0)</f>
        <v>0</v>
      </c>
      <c r="K46" s="64">
        <f>IF(AND(H45&lt;Variables!$B$6*Variables!$E$50,OR(SUM(D43:D46)&gt;Variables!$B$5,SUM(E43:E46)&gt;Variables!$B$4)),Variables!$B$6*Variables!$E$50+Variables!$B$7*$G$1*Variables!$E$50*SUM(D43:D46),0)</f>
        <v>1.1466847850370945</v>
      </c>
      <c r="L46" s="64">
        <f>IF(B46="Winter",Variables!$B$8*H45,0)</f>
        <v>0</v>
      </c>
      <c r="M46" s="64">
        <f>IF(AND(B46="Spring",AND(NOT(H45=0),H45&lt;(Variables!$B$9*Variables!$E$50))),(Variables!$B$10*Variables!$E$50+Variables!$B$11*Variables!$E$50*SUM(E43:E46)+$G$1*SUM(D45:D46)*Variables!$E$50*Variables!$B$12),0)</f>
        <v>0.22506531954974224</v>
      </c>
      <c r="N46" s="64">
        <f>IF(AND(B46="Spring",AND(SUM(D43:D46)&gt;Variables!$B$13,SUM(D39:D42)&gt;Variables!$B$13)),-Variables!$B$14*Variables!$E$50,0)</f>
        <v>0</v>
      </c>
      <c r="O46" s="64">
        <f>IF(AND(B46="Summer",SUM(C42:D46)&gt;Variables!$B$15),(Variables!$B$16*Variables!$E$50*SUM(C42:C46)+$G$1*Variables!$B$16*Variables!$E$50*SUM(D42:D46)+$G$1*Variables!$E$50*Variables!$B$17*F46),0)</f>
        <v>0</v>
      </c>
      <c r="P46" s="64">
        <f>IF(AND(AND(B46="Autumn",SUM(D45:E46)&gt;0),NOT(H45=0)),Variables!$B$18*Variables!$E$50+Variables!$B$19*Variables!$E$50*SUM(E45:E46)+$G$1*Variables!$B$19*Variables!$E$50*SUM(D45:D46),0)</f>
        <v>0</v>
      </c>
      <c r="Q46" s="64">
        <f>IF(AND(B46="Autumn",AND((E46+E45)&lt;Variables!$B$20,(D45+D46)=0)),-Variables!$B$21*Variables!$E$50,0)</f>
        <v>0</v>
      </c>
      <c r="R46" s="64">
        <f>IF(B46="Autumn",(SUM(F45:F46)*$G$1*Variables!$B$22*Variables!$E$50),0)</f>
        <v>0</v>
      </c>
      <c r="S46" s="64">
        <f>IF(B46="Spring",($G$1*Variables!$E$50*SUM('Guts (option 2)'!F45:F46)*Variables!$B$23),0)</f>
        <v>0</v>
      </c>
      <c r="T46" s="63">
        <f>IF((H45+SUM(J46:Q46))&lt;(Variables!$B$26*Variables!$E$50),$F$1*((Variables!$B$26*Variables!$E$50)-H45-SUM(J46:Q46)),0)</f>
        <v>0</v>
      </c>
      <c r="U46" s="64">
        <f>IF(AND(AND(B46="Autumn",SUM(D43:E46)&gt;Variables!$B$27),SUM(J46:Q46)&lt;Variables!$B$28*H45),$F$1*(Variables!$B$28*H45-SUM(J46:Q46)),0)</f>
        <v>0</v>
      </c>
      <c r="V46" s="96">
        <f>IF(AND((J46+K46)=0,(Q46+T46)=0),$H$1*H46*Variables!$I$23*0.25,0)</f>
        <v>0</v>
      </c>
      <c r="W46" s="97">
        <f>IF(AND((K46+J46)=0,(T46+Q46)=0),$I$1*H46*Variables!$Q$23*0.25,0)</f>
        <v>0</v>
      </c>
      <c r="X46" s="95">
        <f>IF(AND(NOT(K46=0),(H46-H45)&gt;0),(H46-H45)*(Variables!$M$5*$H$1+Variables!$U$5*$I$1),0)+IF(AND(NOT((J46+N46+Q46)=0),(H45-H46)&gt;0),(H45-H46)*(Variables!$M$4*$H$1+Variables!$U$4*$I$1),0)</f>
        <v>-114.31250871556971</v>
      </c>
      <c r="Y46" s="95">
        <f>IF(SUM(T46,U45:U46)&gt;0,H46*Variables!$Y$11*0.25*(1-$J$1),0)</f>
        <v>0</v>
      </c>
      <c r="Z46" s="95">
        <f>IF(T46=0,H46*$J$1*Variables!$Y$5*0.25,0)</f>
        <v>5.1348918932714795</v>
      </c>
      <c r="AA46" s="95">
        <f t="shared" si="0"/>
        <v>-109.17761682229823</v>
      </c>
      <c r="AB46" s="91">
        <f>AA46/Variables!$E$49</f>
        <v>-17.609293035854552</v>
      </c>
    </row>
    <row r="47" spans="1:29" x14ac:dyDescent="0.25">
      <c r="A47" s="61">
        <f>'Water runs'!C54</f>
        <v>6269</v>
      </c>
      <c r="B47" s="61" t="str">
        <f>'Water runs'!B54</f>
        <v>Summer</v>
      </c>
      <c r="C47" s="54">
        <f>'Water runs'!D54/100</f>
        <v>2.0525500000000001</v>
      </c>
      <c r="D47" s="108">
        <f>VLOOKUP(ROW(D47)+4,'Water runs'!$BS$3:$CF$423,MATCH($B$1,Scenarios,0)+1)</f>
        <v>0.24149043143651178</v>
      </c>
      <c r="E47" s="54">
        <f>IF(B47=Variables!$D$8,C47-Variables!$E$8,IF(B47=Variables!$D$9,C47-Variables!$E$9,IF(B47=Variables!$D$10,C47-Variables!$E$10,IF(B47=Variables!$D$11,C47-Variables!$E$11,"ELSE"))))</f>
        <v>0.79417986394557838</v>
      </c>
      <c r="F47" s="108">
        <f>VLOOKUP(ROW(F47)+4,'Water runs'!$CH$3:$CU$423,MATCH($B$1,Scenarios,0)+1)</f>
        <v>0.21977173215939952</v>
      </c>
      <c r="G47" s="65">
        <f>H47/Variables!$E$49</f>
        <v>0.79727770949007182</v>
      </c>
      <c r="H47" s="62">
        <f>IF((H46+I47)&gt;(1.1*Variables!$E$50),(1.1*Variables!$E$50),IF((H46+I47)&gt;0,H46+I47,0))</f>
        <v>4.9431217988384457</v>
      </c>
      <c r="I47" s="64">
        <f t="shared" si="1"/>
        <v>2.5731716942516085</v>
      </c>
      <c r="J47" s="63">
        <f>IF(SUM(E43:E46)&lt;Variables!$B$3,-H46,0)</f>
        <v>0</v>
      </c>
      <c r="K47" s="64">
        <f>IF(AND(H46&lt;Variables!$B$6*Variables!$E$50,OR(SUM(D44:D47)&gt;Variables!$B$5,SUM(E44:E47)&gt;Variables!$B$4)),Variables!$B$6*Variables!$E$50+Variables!$B$7*$G$1*Variables!$E$50*SUM(D44:D47),0)</f>
        <v>0</v>
      </c>
      <c r="L47" s="64">
        <f>IF(B47="Winter",Variables!$B$8*H46,0)</f>
        <v>0</v>
      </c>
      <c r="M47" s="64">
        <f>IF(AND(B47="Spring",AND(NOT(H46=0),H46&lt;(Variables!$B$9*Variables!$E$50))),(Variables!$B$10*Variables!$E$50+Variables!$B$11*Variables!$E$50*SUM(E44:E47)+$G$1*SUM(D46:D47)*Variables!$E$50*Variables!$B$12),0)</f>
        <v>0</v>
      </c>
      <c r="N47" s="64">
        <f>IF(AND(B47="Spring",AND(SUM(D44:D47)&gt;Variables!$B$13,SUM(D40:D43)&gt;Variables!$B$13)),-Variables!$B$14*Variables!$E$50,0)</f>
        <v>0</v>
      </c>
      <c r="O47" s="64">
        <f>IF(AND(B47="Summer",SUM(C43:D47)&gt;Variables!$B$15),(Variables!$B$16*Variables!$E$50*SUM(C43:C47)+$G$1*Variables!$B$16*Variables!$E$50*SUM(D43:D47)+$G$1*Variables!$E$50*Variables!$B$17*F47),0)</f>
        <v>2.5731716942516085</v>
      </c>
      <c r="P47" s="64">
        <f>IF(AND(AND(B47="Autumn",SUM(D46:E47)&gt;0),NOT(H46=0)),Variables!$B$18*Variables!$E$50+Variables!$B$19*Variables!$E$50*SUM(E46:E47)+$G$1*Variables!$B$19*Variables!$E$50*SUM(D46:D47),0)</f>
        <v>0</v>
      </c>
      <c r="Q47" s="64">
        <f>IF(AND(B47="Autumn",AND((E47+E46)&lt;Variables!$B$20,(D46+D47)=0)),-Variables!$B$21*Variables!$E$50,0)</f>
        <v>0</v>
      </c>
      <c r="R47" s="64">
        <f>IF(B47="Autumn",(SUM(F46:F47)*$G$1*Variables!$B$22*Variables!$E$50),0)</f>
        <v>0</v>
      </c>
      <c r="S47" s="64">
        <f>IF(B47="Spring",($G$1*Variables!$E$50*SUM('Guts (option 2)'!F46:F47)*Variables!$B$23),0)</f>
        <v>0</v>
      </c>
      <c r="T47" s="63">
        <f>IF((H46+SUM(J47:Q47))&lt;(Variables!$B$26*Variables!$E$50),$F$1*((Variables!$B$26*Variables!$E$50)-H46-SUM(J47:Q47)),0)</f>
        <v>0</v>
      </c>
      <c r="U47" s="64">
        <f>IF(AND(AND(B47="Autumn",SUM(D44:E47)&gt;Variables!$B$27),SUM(J47:Q47)&lt;Variables!$B$28*H46),$F$1*(Variables!$B$28*H46-SUM(J47:Q47)),0)</f>
        <v>0</v>
      </c>
      <c r="V47" s="96">
        <f>IF(AND((J47+K47)=0,(Q47+T47)=0),$H$1*H47*Variables!$I$23*0.25,0)</f>
        <v>31.751566177295558</v>
      </c>
      <c r="W47" s="97">
        <f>IF(AND((K47+J47)=0,(T47+Q47)=0),$I$1*H47*Variables!$Q$23*0.25,0)</f>
        <v>33.235491341306854</v>
      </c>
      <c r="X47" s="95">
        <f>IF(AND(NOT(K47=0),(H47-H46)&gt;0),(H47-H46)*(Variables!$M$5*$H$1+Variables!$U$5*$I$1),0)+IF(AND(NOT((J47+N47+Q47)=0),(H46-H47)&gt;0),(H46-H47)*(Variables!$M$4*$H$1+Variables!$U$4*$I$1),0)</f>
        <v>0</v>
      </c>
      <c r="Y47" s="95">
        <f>IF(SUM(T47,U46:U47)&gt;0,H47*Variables!$Y$11*0.25*(1-$J$1),0)</f>
        <v>0</v>
      </c>
      <c r="Z47" s="95">
        <f>IF(T47=0,H47*$J$1*Variables!$Y$5*0.25,0)</f>
        <v>10.710097230816633</v>
      </c>
      <c r="AA47" s="95">
        <f t="shared" si="0"/>
        <v>75.697154749419042</v>
      </c>
      <c r="AB47" s="91">
        <f>AA47/Variables!$E$49</f>
        <v>12.209218507970812</v>
      </c>
      <c r="AC47" s="15"/>
    </row>
    <row r="48" spans="1:29" x14ac:dyDescent="0.25">
      <c r="A48" s="61">
        <f>'Water runs'!C55</f>
        <v>6361</v>
      </c>
      <c r="B48" s="61" t="str">
        <f>'Water runs'!B55</f>
        <v>Autumn</v>
      </c>
      <c r="C48" s="54">
        <f>'Water runs'!D55/100</f>
        <v>0.23600000000000002</v>
      </c>
      <c r="D48" s="108">
        <f>VLOOKUP(ROW(D48)+4,'Water runs'!$BS$3:$CF$423,MATCH($B$1,Scenarios,0)+1)</f>
        <v>3.7893411665967269E-2</v>
      </c>
      <c r="E48" s="54">
        <f>IF(B48=Variables!$D$8,C48-Variables!$E$8,IF(B48=Variables!$D$9,C48-Variables!$E$9,IF(B48=Variables!$D$10,C48-Variables!$E$10,IF(B48=Variables!$D$11,C48-Variables!$E$11,"ELSE"))))</f>
        <v>-0.75864329931972785</v>
      </c>
      <c r="F48" s="108">
        <f>VLOOKUP(ROW(F48)+4,'Water runs'!$CH$3:$CU$423,MATCH($B$1,Scenarios,0)+1)</f>
        <v>0</v>
      </c>
      <c r="G48" s="65">
        <f>H48/Variables!$E$49</f>
        <v>1.1610468602947994</v>
      </c>
      <c r="H48" s="62">
        <f>IF((H47+I48)&gt;(1.1*Variables!$E$50),(1.1*Variables!$E$50),IF((H47+I48)&gt;0,H47+I48,0))</f>
        <v>7.1984905338277567</v>
      </c>
      <c r="I48" s="64">
        <f t="shared" si="1"/>
        <v>2.255368734989311</v>
      </c>
      <c r="J48" s="63">
        <f>IF(SUM(E44:E47)&lt;Variables!$B$3,-H47,0)</f>
        <v>0</v>
      </c>
      <c r="K48" s="64">
        <f>IF(AND(H47&lt;Variables!$B$6*Variables!$E$50,OR(SUM(D45:D48)&gt;Variables!$B$5,SUM(E45:E48)&gt;Variables!$B$4)),Variables!$B$6*Variables!$E$50+Variables!$B$7*$G$1*Variables!$E$50*SUM(D45:D48),0)</f>
        <v>0</v>
      </c>
      <c r="L48" s="64">
        <f>IF(B48="Winter",Variables!$B$8*H47,0)</f>
        <v>0</v>
      </c>
      <c r="M48" s="64">
        <f>IF(AND(B48="Spring",AND(NOT(H47=0),H47&lt;(Variables!$B$9*Variables!$E$50))),(Variables!$B$10*Variables!$E$50+Variables!$B$11*Variables!$E$50*SUM(E45:E48)+$G$1*SUM(D47:D48)*Variables!$E$50*Variables!$B$12),0)</f>
        <v>0</v>
      </c>
      <c r="N48" s="64">
        <f>IF(AND(B48="Spring",AND(SUM(D45:D48)&gt;Variables!$B$13,SUM(D41:D44)&gt;Variables!$B$13)),-Variables!$B$14*Variables!$E$50,0)</f>
        <v>0</v>
      </c>
      <c r="O48" s="64">
        <f>IF(AND(B48="Summer",SUM(C44:D48)&gt;Variables!$B$15),(Variables!$B$16*Variables!$E$50*SUM(C44:C48)+$G$1*Variables!$B$16*Variables!$E$50*SUM(D44:D48)+$G$1*Variables!$E$50*Variables!$B$17*F48),0)</f>
        <v>0</v>
      </c>
      <c r="P48" s="64">
        <f>IF(AND(AND(B48="Autumn",SUM(D47:E48)&gt;0),NOT(H47=0)),Variables!$B$18*Variables!$E$50+Variables!$B$19*Variables!$E$50*SUM(E47:E48)+$G$1*Variables!$B$19*Variables!$E$50*SUM(D47:D48),0)</f>
        <v>0.8961900808150689</v>
      </c>
      <c r="Q48" s="64">
        <f>IF(AND(B48="Autumn",AND((E48+E47)&lt;Variables!$B$20,(D47+D48)=0)),-Variables!$B$21*Variables!$E$50,0)</f>
        <v>0</v>
      </c>
      <c r="R48" s="64">
        <f>IF(B48="Autumn",(SUM(F47:F48)*$G$1*Variables!$B$22*Variables!$E$50),0)</f>
        <v>3.0963925512010448E-2</v>
      </c>
      <c r="S48" s="64">
        <f>IF(B48="Spring",($G$1*Variables!$E$50*SUM('Guts (option 2)'!F47:F48)*Variables!$B$23),0)</f>
        <v>0</v>
      </c>
      <c r="T48" s="63">
        <f>IF((H47+SUM(J48:Q48))&lt;(Variables!$B$26*Variables!$E$50),$F$1*((Variables!$B$26*Variables!$E$50)-H47-SUM(J48:Q48)),0)</f>
        <v>0</v>
      </c>
      <c r="U48" s="64">
        <f>IF(AND(AND(B48="Autumn",SUM(D45:E48)&gt;Variables!$B$27),SUM(J48:Q48)&lt;Variables!$B$28*H47),$F$1*(Variables!$B$28*H47-SUM(J48:Q48)),0)</f>
        <v>1.3282147286622317</v>
      </c>
      <c r="V48" s="96">
        <f>IF(AND((J48+K48)=0,(Q48+T48)=0),$H$1*H48*Variables!$I$23*0.25,0)</f>
        <v>46.238664120146979</v>
      </c>
      <c r="W48" s="97">
        <f>IF(AND((K48+J48)=0,(T48+Q48)=0),$I$1*H48*Variables!$Q$23*0.25,0)</f>
        <v>48.399650978402065</v>
      </c>
      <c r="X48" s="95">
        <f>IF(AND(NOT(K48=0),(H48-H47)&gt;0),(H48-H47)*(Variables!$M$5*$H$1+Variables!$U$5*$I$1),0)+IF(AND(NOT((J48+N48+Q48)=0),(H47-H48)&gt;0),(H47-H48)*(Variables!$M$4*$H$1+Variables!$U$4*$I$1),0)</f>
        <v>0</v>
      </c>
      <c r="Y48" s="95">
        <f>IF(SUM(T48,U47:U48)&gt;0,H48*Variables!$Y$11*0.25*(1-$J$1),0)</f>
        <v>-50.389433736794295</v>
      </c>
      <c r="Z48" s="95">
        <f>IF(T48=0,H48*$J$1*Variables!$Y$5*0.25,0)</f>
        <v>15.596729489960138</v>
      </c>
      <c r="AA48" s="95">
        <f t="shared" si="0"/>
        <v>59.845610851714888</v>
      </c>
      <c r="AB48" s="91">
        <f>AA48/Variables!$E$49</f>
        <v>9.6525178793088529</v>
      </c>
    </row>
    <row r="49" spans="1:29" x14ac:dyDescent="0.25">
      <c r="A49" s="61">
        <f>'Water runs'!C56</f>
        <v>6453</v>
      </c>
      <c r="B49" s="61" t="str">
        <f>'Water runs'!B56</f>
        <v>Winter</v>
      </c>
      <c r="C49" s="54">
        <f>'Water runs'!D56/100</f>
        <v>0.53125</v>
      </c>
      <c r="D49" s="108">
        <f>VLOOKUP(ROW(D49)+4,'Water runs'!$BS$3:$CF$423,MATCH($B$1,Scenarios,0)+1)</f>
        <v>0</v>
      </c>
      <c r="E49" s="54">
        <f>IF(B49=Variables!$D$8,C49-Variables!$E$8,IF(B49=Variables!$D$9,C49-Variables!$E$9,IF(B49=Variables!$D$10,C49-Variables!$E$10,IF(B49=Variables!$D$11,C49-Variables!$E$11,"ELSE"))))</f>
        <v>-4.0517625661375734E-2</v>
      </c>
      <c r="F49" s="108">
        <f>VLOOKUP(ROW(F49)+4,'Water runs'!$CH$3:$CU$423,MATCH($B$1,Scenarios,0)+1)</f>
        <v>0</v>
      </c>
      <c r="G49" s="65">
        <f>H49/Variables!$E$49</f>
        <v>0.582909095438636</v>
      </c>
      <c r="H49" s="62">
        <f>IF((H48+I49)&gt;(1.1*Variables!$E$50),(1.1*Variables!$E$50),IF((H48+I49)&gt;0,H48+I49,0))</f>
        <v>3.6140363917195431</v>
      </c>
      <c r="I49" s="64">
        <f t="shared" si="1"/>
        <v>-3.5844541421082137</v>
      </c>
      <c r="J49" s="63">
        <f>IF(SUM(E45:E48)&lt;Variables!$B$3,-H48,0)</f>
        <v>0</v>
      </c>
      <c r="K49" s="64">
        <f>IF(AND(H48&lt;Variables!$B$6*Variables!$E$50,OR(SUM(D46:D49)&gt;Variables!$B$5,SUM(E46:E49)&gt;Variables!$B$4)),Variables!$B$6*Variables!$E$50+Variables!$B$7*$G$1*Variables!$E$50*SUM(D46:D49),0)</f>
        <v>0</v>
      </c>
      <c r="L49" s="64">
        <f>IF(B49="Winter",Variables!$B$8*H48,0)</f>
        <v>-3.5844541421082137</v>
      </c>
      <c r="M49" s="64">
        <f>IF(AND(B49="Spring",AND(NOT(H48=0),H48&lt;(Variables!$B$9*Variables!$E$50))),(Variables!$B$10*Variables!$E$50+Variables!$B$11*Variables!$E$50*SUM(E46:E49)+$G$1*SUM(D48:D49)*Variables!$E$50*Variables!$B$12),0)</f>
        <v>0</v>
      </c>
      <c r="N49" s="64">
        <f>IF(AND(B49="Spring",AND(SUM(D46:D49)&gt;Variables!$B$13,SUM(D42:D45)&gt;Variables!$B$13)),-Variables!$B$14*Variables!$E$50,0)</f>
        <v>0</v>
      </c>
      <c r="O49" s="64">
        <f>IF(AND(B49="Summer",SUM(C45:D49)&gt;Variables!$B$15),(Variables!$B$16*Variables!$E$50*SUM(C45:C49)+$G$1*Variables!$B$16*Variables!$E$50*SUM(D45:D49)+$G$1*Variables!$E$50*Variables!$B$17*F49),0)</f>
        <v>0</v>
      </c>
      <c r="P49" s="64">
        <f>IF(AND(AND(B49="Autumn",SUM(D48:E49)&gt;0),NOT(H48=0)),Variables!$B$18*Variables!$E$50+Variables!$B$19*Variables!$E$50*SUM(E48:E49)+$G$1*Variables!$B$19*Variables!$E$50*SUM(D48:D49),0)</f>
        <v>0</v>
      </c>
      <c r="Q49" s="64">
        <f>IF(AND(B49="Autumn",AND((E49+E48)&lt;Variables!$B$20,(D48+D49)=0)),-Variables!$B$21*Variables!$E$50,0)</f>
        <v>0</v>
      </c>
      <c r="R49" s="64">
        <f>IF(B49="Autumn",(SUM(F48:F49)*$G$1*Variables!$B$22*Variables!$E$50),0)</f>
        <v>0</v>
      </c>
      <c r="S49" s="64">
        <f>IF(B49="Spring",($G$1*Variables!$E$50*SUM('Guts (option 2)'!F48:F49)*Variables!$B$23),0)</f>
        <v>0</v>
      </c>
      <c r="T49" s="63">
        <f>IF((H48+SUM(J49:Q49))&lt;(Variables!$B$26*Variables!$E$50),$F$1*((Variables!$B$26*Variables!$E$50)-H48-SUM(J49:Q49)),0)</f>
        <v>0</v>
      </c>
      <c r="U49" s="64">
        <f>IF(AND(AND(B49="Autumn",SUM(D46:E49)&gt;Variables!$B$27),SUM(J49:Q49)&lt;Variables!$B$28*H48),$F$1*(Variables!$B$28*H48-SUM(J49:Q49)),0)</f>
        <v>0</v>
      </c>
      <c r="V49" s="96">
        <f>IF(AND((J49+K49)=0,(Q49+T49)=0),$H$1*H49*Variables!$I$23*0.25,0)</f>
        <v>23.214341124631449</v>
      </c>
      <c r="W49" s="97">
        <f>IF(AND((K49+J49)=0,(T49+Q49)=0),$I$1*H49*Variables!$Q$23*0.25,0)</f>
        <v>24.299274849425654</v>
      </c>
      <c r="X49" s="95">
        <f>IF(AND(NOT(K49=0),(H49-H48)&gt;0),(H49-H48)*(Variables!$M$5*$H$1+Variables!$U$5*$I$1),0)+IF(AND(NOT((J49+N49+Q49)=0),(H48-H49)&gt;0),(H48-H49)*(Variables!$M$4*$H$1+Variables!$U$4*$I$1),0)</f>
        <v>0</v>
      </c>
      <c r="Y49" s="95">
        <f>IF(SUM(T49,U48:U49)&gt;0,H49*Variables!$Y$11*0.25*(1-$J$1),0)</f>
        <v>-25.298254742036807</v>
      </c>
      <c r="Z49" s="95">
        <f>IF(T49=0,H49*$J$1*Variables!$Y$5*0.25,0)</f>
        <v>7.8304121820590096</v>
      </c>
      <c r="AA49" s="95">
        <f t="shared" si="0"/>
        <v>30.045773414079306</v>
      </c>
      <c r="AB49" s="91">
        <f>AA49/Variables!$E$49</f>
        <v>4.8460924861418233</v>
      </c>
    </row>
    <row r="50" spans="1:29" x14ac:dyDescent="0.25">
      <c r="A50" s="61">
        <f>'Water runs'!C57</f>
        <v>6544</v>
      </c>
      <c r="B50" s="61" t="str">
        <f>'Water runs'!B57</f>
        <v>Spring</v>
      </c>
      <c r="C50" s="54">
        <f>'Water runs'!D57/100</f>
        <v>1.32555</v>
      </c>
      <c r="D50" s="108">
        <f>VLOOKUP(ROW(D50)+4,'Water runs'!$BS$3:$CF$423,MATCH($B$1,Scenarios,0)+1)</f>
        <v>0.20852500811566205</v>
      </c>
      <c r="E50" s="54">
        <f>IF(B50=Variables!$D$8,C50-Variables!$E$8,IF(B50=Variables!$D$9,C50-Variables!$E$9,IF(B50=Variables!$D$10,C50-Variables!$E$10,IF(B50=Variables!$D$11,C50-Variables!$E$11,"ELSE"))))</f>
        <v>0.56156779100529086</v>
      </c>
      <c r="F50" s="108">
        <f>VLOOKUP(ROW(F50)+4,'Water runs'!$CH$3:$CU$423,MATCH($B$1,Scenarios,0)+1)</f>
        <v>0.19666386907259756</v>
      </c>
      <c r="G50" s="65">
        <f>H50/Variables!$E$49</f>
        <v>0.5869680275382676</v>
      </c>
      <c r="H50" s="62">
        <f>IF((H49+I50)&gt;(1.1*Variables!$E$50),(1.1*Variables!$E$50),IF((H49+I50)&gt;0,H49+I50,0))</f>
        <v>3.6392017707372593</v>
      </c>
      <c r="I50" s="64">
        <f t="shared" si="1"/>
        <v>2.5165379017716066E-2</v>
      </c>
      <c r="J50" s="63">
        <f>IF(SUM(E46:E49)&lt;Variables!$B$3,-H49,0)</f>
        <v>0</v>
      </c>
      <c r="K50" s="64">
        <f>IF(AND(H49&lt;Variables!$B$6*Variables!$E$50,OR(SUM(D47:D50)&gt;Variables!$B$5,SUM(E47:E50)&gt;Variables!$B$4)),Variables!$B$6*Variables!$E$50+Variables!$B$7*$G$1*Variables!$E$50*SUM(D47:D50),0)</f>
        <v>0</v>
      </c>
      <c r="L50" s="64">
        <f>IF(B50="Winter",Variables!$B$8*H49,0)</f>
        <v>0</v>
      </c>
      <c r="M50" s="64">
        <f>IF(AND(B50="Spring",AND(NOT(H49=0),H49&lt;(Variables!$B$9*Variables!$E$50))),(Variables!$B$10*Variables!$E$50+Variables!$B$11*Variables!$E$50*SUM(E47:E50)+$G$1*SUM(D49:D50)*Variables!$E$50*Variables!$B$12),0)</f>
        <v>0</v>
      </c>
      <c r="N50" s="64">
        <f>IF(AND(B50="Spring",AND(SUM(D47:D50)&gt;Variables!$B$13,SUM(D43:D46)&gt;Variables!$B$13)),-Variables!$B$14*Variables!$E$50,0)</f>
        <v>0</v>
      </c>
      <c r="O50" s="64">
        <f>IF(AND(B50="Summer",SUM(C46:D50)&gt;Variables!$B$15),(Variables!$B$16*Variables!$E$50*SUM(C46:C50)+$G$1*Variables!$B$16*Variables!$E$50*SUM(D46:D50)+$G$1*Variables!$E$50*Variables!$B$17*F50),0)</f>
        <v>0</v>
      </c>
      <c r="P50" s="64">
        <f>IF(AND(AND(B50="Autumn",SUM(D49:E50)&gt;0),NOT(H49=0)),Variables!$B$18*Variables!$E$50+Variables!$B$19*Variables!$E$50*SUM(E49:E50)+$G$1*Variables!$B$19*Variables!$E$50*SUM(D49:D50),0)</f>
        <v>0</v>
      </c>
      <c r="Q50" s="64">
        <f>IF(AND(B50="Autumn",AND((E50+E49)&lt;Variables!$B$20,(D49+D50)=0)),-Variables!$B$21*Variables!$E$50,0)</f>
        <v>0</v>
      </c>
      <c r="R50" s="64">
        <f>IF(B50="Autumn",(SUM(F49:F50)*$G$1*Variables!$B$22*Variables!$E$50),0)</f>
        <v>0</v>
      </c>
      <c r="S50" s="64">
        <f>IF(B50="Spring",($G$1*Variables!$E$50*SUM('Guts (option 2)'!F49:F50)*Variables!$B$23),0)</f>
        <v>2.5165379017716066E-2</v>
      </c>
      <c r="T50" s="63">
        <f>IF((H49+SUM(J50:Q50))&lt;(Variables!$B$26*Variables!$E$50),$F$1*((Variables!$B$26*Variables!$E$50)-H49-SUM(J50:Q50)),0)</f>
        <v>0</v>
      </c>
      <c r="U50" s="64">
        <f>IF(AND(AND(B50="Autumn",SUM(D47:E50)&gt;Variables!$B$27),SUM(J50:Q50)&lt;Variables!$B$28*H49),$F$1*(Variables!$B$28*H49-SUM(J50:Q50)),0)</f>
        <v>0</v>
      </c>
      <c r="V50" s="96">
        <f>IF(AND((J50+K50)=0,(Q50+T50)=0),$H$1*H50*Variables!$I$23*0.25,0)</f>
        <v>23.375988000790866</v>
      </c>
      <c r="W50" s="97">
        <f>IF(AND((K50+J50)=0,(T50+Q50)=0),$I$1*H50*Variables!$Q$23*0.25,0)</f>
        <v>24.468476372366187</v>
      </c>
      <c r="X50" s="95">
        <f>IF(AND(NOT(K50=0),(H50-H49)&gt;0),(H50-H49)*(Variables!$M$5*$H$1+Variables!$U$5*$I$1),0)+IF(AND(NOT((J50+N50+Q50)=0),(H49-H50)&gt;0),(H49-H50)*(Variables!$M$4*$H$1+Variables!$U$4*$I$1),0)</f>
        <v>0</v>
      </c>
      <c r="Y50" s="95">
        <f>IF(SUM(T50,U49:U50)&gt;0,H50*Variables!$Y$11*0.25*(1-$J$1),0)</f>
        <v>0</v>
      </c>
      <c r="Z50" s="95">
        <f>IF(T50=0,H50*$J$1*Variables!$Y$5*0.25,0)</f>
        <v>7.884937169930728</v>
      </c>
      <c r="AA50" s="95">
        <f t="shared" si="0"/>
        <v>55.729401543087782</v>
      </c>
      <c r="AB50" s="91">
        <f>AA50/Variables!$E$49</f>
        <v>8.9886131521109327</v>
      </c>
    </row>
    <row r="51" spans="1:29" x14ac:dyDescent="0.25">
      <c r="A51" s="61">
        <f>'Water runs'!C58</f>
        <v>6634</v>
      </c>
      <c r="B51" s="61" t="str">
        <f>'Water runs'!B58</f>
        <v>Summer</v>
      </c>
      <c r="C51" s="54">
        <f>'Water runs'!D58/100</f>
        <v>1.1772499999999999</v>
      </c>
      <c r="D51" s="108">
        <f>VLOOKUP(ROW(D51)+4,'Water runs'!$BS$3:$CF$423,MATCH($B$1,Scenarios,0)+1)</f>
        <v>3.0063579284079843E-2</v>
      </c>
      <c r="E51" s="54">
        <f>IF(B51=Variables!$D$8,C51-Variables!$E$8,IF(B51=Variables!$D$9,C51-Variables!$E$9,IF(B51=Variables!$D$10,C51-Variables!$E$10,IF(B51=Variables!$D$11,C51-Variables!$E$11,"ELSE"))))</f>
        <v>-8.112013605442181E-2</v>
      </c>
      <c r="F51" s="108">
        <f>VLOOKUP(ROW(F51)+4,'Water runs'!$CH$3:$CU$423,MATCH($B$1,Scenarios,0)+1)</f>
        <v>0</v>
      </c>
      <c r="G51" s="65">
        <f>H51/Variables!$E$49</f>
        <v>0.5869680275382676</v>
      </c>
      <c r="H51" s="62">
        <f>IF((H50+I51)&gt;(1.1*Variables!$E$50),(1.1*Variables!$E$50),IF((H50+I51)&gt;0,H50+I51,0))</f>
        <v>3.6392017707372593</v>
      </c>
      <c r="I51" s="64">
        <f t="shared" si="1"/>
        <v>0</v>
      </c>
      <c r="J51" s="63">
        <f>IF(SUM(E47:E50)&lt;Variables!$B$3,-H50,0)</f>
        <v>0</v>
      </c>
      <c r="K51" s="64">
        <f>IF(AND(H50&lt;Variables!$B$6*Variables!$E$50,OR(SUM(D48:D51)&gt;Variables!$B$5,SUM(E48:E51)&gt;Variables!$B$4)),Variables!$B$6*Variables!$E$50+Variables!$B$7*$G$1*Variables!$E$50*SUM(D48:D51),0)</f>
        <v>0</v>
      </c>
      <c r="L51" s="64">
        <f>IF(B51="Winter",Variables!$B$8*H50,0)</f>
        <v>0</v>
      </c>
      <c r="M51" s="64">
        <f>IF(AND(B51="Spring",AND(NOT(H50=0),H50&lt;(Variables!$B$9*Variables!$E$50))),(Variables!$B$10*Variables!$E$50+Variables!$B$11*Variables!$E$50*SUM(E48:E51)+$G$1*SUM(D50:D51)*Variables!$E$50*Variables!$B$12),0)</f>
        <v>0</v>
      </c>
      <c r="N51" s="64">
        <f>IF(AND(B51="Spring",AND(SUM(D48:D51)&gt;Variables!$B$13,SUM(D44:D47)&gt;Variables!$B$13)),-Variables!$B$14*Variables!$E$50,0)</f>
        <v>0</v>
      </c>
      <c r="O51" s="64">
        <f>IF(AND(B51="Summer",SUM(C47:D51)&gt;Variables!$B$15),(Variables!$B$16*Variables!$E$50*SUM(C47:C51)+$G$1*Variables!$B$16*Variables!$E$50*SUM(D47:D51)+$G$1*Variables!$E$50*Variables!$B$17*F51),0)</f>
        <v>0</v>
      </c>
      <c r="P51" s="64">
        <f>IF(AND(AND(B51="Autumn",SUM(D50:E51)&gt;0),NOT(H50=0)),Variables!$B$18*Variables!$E$50+Variables!$B$19*Variables!$E$50*SUM(E50:E51)+$G$1*Variables!$B$19*Variables!$E$50*SUM(D50:D51),0)</f>
        <v>0</v>
      </c>
      <c r="Q51" s="64">
        <f>IF(AND(B51="Autumn",AND((E51+E50)&lt;Variables!$B$20,(D50+D51)=0)),-Variables!$B$21*Variables!$E$50,0)</f>
        <v>0</v>
      </c>
      <c r="R51" s="64">
        <f>IF(B51="Autumn",(SUM(F50:F51)*$G$1*Variables!$B$22*Variables!$E$50),0)</f>
        <v>0</v>
      </c>
      <c r="S51" s="64">
        <f>IF(B51="Spring",($G$1*Variables!$E$50*SUM('Guts (option 2)'!F50:F51)*Variables!$B$23),0)</f>
        <v>0</v>
      </c>
      <c r="T51" s="63">
        <f>IF((H50+SUM(J51:Q51))&lt;(Variables!$B$26*Variables!$E$50),$F$1*((Variables!$B$26*Variables!$E$50)-H50-SUM(J51:Q51)),0)</f>
        <v>0</v>
      </c>
      <c r="U51" s="64">
        <f>IF(AND(AND(B51="Autumn",SUM(D48:E51)&gt;Variables!$B$27),SUM(J51:Q51)&lt;Variables!$B$28*H50),$F$1*(Variables!$B$28*H50-SUM(J51:Q51)),0)</f>
        <v>0</v>
      </c>
      <c r="V51" s="96">
        <f>IF(AND((J51+K51)=0,(Q51+T51)=0),$H$1*H51*Variables!$I$23*0.25,0)</f>
        <v>23.375988000790866</v>
      </c>
      <c r="W51" s="97">
        <f>IF(AND((K51+J51)=0,(T51+Q51)=0),$I$1*H51*Variables!$Q$23*0.25,0)</f>
        <v>24.468476372366187</v>
      </c>
      <c r="X51" s="95">
        <f>IF(AND(NOT(K51=0),(H51-H50)&gt;0),(H51-H50)*(Variables!$M$5*$H$1+Variables!$U$5*$I$1),0)+IF(AND(NOT((J51+N51+Q51)=0),(H50-H51)&gt;0),(H50-H51)*(Variables!$M$4*$H$1+Variables!$U$4*$I$1),0)</f>
        <v>0</v>
      </c>
      <c r="Y51" s="95">
        <f>IF(SUM(T51,U50:U51)&gt;0,H51*Variables!$Y$11*0.25*(1-$J$1),0)</f>
        <v>0</v>
      </c>
      <c r="Z51" s="95">
        <f>IF(T51=0,H51*$J$1*Variables!$Y$5*0.25,0)</f>
        <v>7.884937169930728</v>
      </c>
      <c r="AA51" s="95">
        <f t="shared" si="0"/>
        <v>55.729401543087782</v>
      </c>
      <c r="AB51" s="91">
        <f>AA51/Variables!$E$49</f>
        <v>8.9886131521109327</v>
      </c>
      <c r="AC51" s="15"/>
    </row>
    <row r="52" spans="1:29" x14ac:dyDescent="0.25">
      <c r="A52" s="61">
        <f>'Water runs'!C59</f>
        <v>6726</v>
      </c>
      <c r="B52" s="61" t="str">
        <f>'Water runs'!B59</f>
        <v>Autumn</v>
      </c>
      <c r="C52" s="54">
        <f>'Water runs'!D59/100</f>
        <v>0.25340000000000001</v>
      </c>
      <c r="D52" s="108">
        <f>VLOOKUP(ROW(D52)+4,'Water runs'!$BS$3:$CF$423,MATCH($B$1,Scenarios,0)+1)</f>
        <v>0</v>
      </c>
      <c r="E52" s="54">
        <f>IF(B52=Variables!$D$8,C52-Variables!$E$8,IF(B52=Variables!$D$9,C52-Variables!$E$9,IF(B52=Variables!$D$10,C52-Variables!$E$10,IF(B52=Variables!$D$11,C52-Variables!$E$11,"ELSE"))))</f>
        <v>-0.74124329931972777</v>
      </c>
      <c r="F52" s="108">
        <f>VLOOKUP(ROW(F52)+4,'Water runs'!$CH$3:$CU$423,MATCH($B$1,Scenarios,0)+1)</f>
        <v>0</v>
      </c>
      <c r="G52" s="65">
        <f>H52/Variables!$E$49</f>
        <v>0.5869680275382676</v>
      </c>
      <c r="H52" s="62">
        <f>IF((H51+I52)&gt;(1.1*Variables!$E$50),(1.1*Variables!$E$50),IF((H51+I52)&gt;0,H51+I52,0))</f>
        <v>3.6392017707372593</v>
      </c>
      <c r="I52" s="64">
        <f t="shared" si="1"/>
        <v>0</v>
      </c>
      <c r="J52" s="63">
        <f>IF(SUM(E48:E51)&lt;Variables!$B$3,-H51,0)</f>
        <v>0</v>
      </c>
      <c r="K52" s="64">
        <f>IF(AND(H51&lt;Variables!$B$6*Variables!$E$50,OR(SUM(D49:D52)&gt;Variables!$B$5,SUM(E49:E52)&gt;Variables!$B$4)),Variables!$B$6*Variables!$E$50+Variables!$B$7*$G$1*Variables!$E$50*SUM(D49:D52),0)</f>
        <v>0</v>
      </c>
      <c r="L52" s="64">
        <f>IF(B52="Winter",Variables!$B$8*H51,0)</f>
        <v>0</v>
      </c>
      <c r="M52" s="64">
        <f>IF(AND(B52="Spring",AND(NOT(H51=0),H51&lt;(Variables!$B$9*Variables!$E$50))),(Variables!$B$10*Variables!$E$50+Variables!$B$11*Variables!$E$50*SUM(E49:E52)+$G$1*SUM(D51:D52)*Variables!$E$50*Variables!$B$12),0)</f>
        <v>0</v>
      </c>
      <c r="N52" s="64">
        <f>IF(AND(B52="Spring",AND(SUM(D49:D52)&gt;Variables!$B$13,SUM(D45:D48)&gt;Variables!$B$13)),-Variables!$B$14*Variables!$E$50,0)</f>
        <v>0</v>
      </c>
      <c r="O52" s="64">
        <f>IF(AND(B52="Summer",SUM(C48:D52)&gt;Variables!$B$15),(Variables!$B$16*Variables!$E$50*SUM(C48:C52)+$G$1*Variables!$B$16*Variables!$E$50*SUM(D48:D52)+$G$1*Variables!$E$50*Variables!$B$17*F52),0)</f>
        <v>0</v>
      </c>
      <c r="P52" s="64">
        <f>IF(AND(AND(B52="Autumn",SUM(D51:E52)&gt;0),NOT(H51=0)),Variables!$B$18*Variables!$E$50+Variables!$B$19*Variables!$E$50*SUM(E51:E52)+$G$1*Variables!$B$19*Variables!$E$50*SUM(D51:D52),0)</f>
        <v>0</v>
      </c>
      <c r="Q52" s="64">
        <f>IF(AND(B52="Autumn",AND((E52+E51)&lt;Variables!$B$20,(D51+D52)=0)),-Variables!$B$21*Variables!$E$50,0)</f>
        <v>0</v>
      </c>
      <c r="R52" s="64">
        <f>IF(B52="Autumn",(SUM(F51:F52)*$G$1*Variables!$B$22*Variables!$E$50),0)</f>
        <v>0</v>
      </c>
      <c r="S52" s="64">
        <f>IF(B52="Spring",($G$1*Variables!$E$50*SUM('Guts (option 2)'!F51:F52)*Variables!$B$23),0)</f>
        <v>0</v>
      </c>
      <c r="T52" s="63">
        <f>IF((H51+SUM(J52:Q52))&lt;(Variables!$B$26*Variables!$E$50),$F$1*((Variables!$B$26*Variables!$E$50)-H51-SUM(J52:Q52)),0)</f>
        <v>0</v>
      </c>
      <c r="U52" s="64">
        <f>IF(AND(AND(B52="Autumn",SUM(D49:E52)&gt;Variables!$B$27),SUM(J52:Q52)&lt;Variables!$B$28*H51),$F$1*(Variables!$B$28*H51-SUM(J52:Q52)),0)</f>
        <v>0</v>
      </c>
      <c r="V52" s="96">
        <f>IF(AND((J52+K52)=0,(Q52+T52)=0),$H$1*H52*Variables!$I$23*0.25,0)</f>
        <v>23.375988000790866</v>
      </c>
      <c r="W52" s="97">
        <f>IF(AND((K52+J52)=0,(T52+Q52)=0),$I$1*H52*Variables!$Q$23*0.25,0)</f>
        <v>24.468476372366187</v>
      </c>
      <c r="X52" s="95">
        <f>IF(AND(NOT(K52=0),(H52-H51)&gt;0),(H52-H51)*(Variables!$M$5*$H$1+Variables!$U$5*$I$1),0)+IF(AND(NOT((J52+N52+Q52)=0),(H51-H52)&gt;0),(H51-H52)*(Variables!$M$4*$H$1+Variables!$U$4*$I$1),0)</f>
        <v>0</v>
      </c>
      <c r="Y52" s="95">
        <f>IF(SUM(T52,U51:U52)&gt;0,H52*Variables!$Y$11*0.25*(1-$J$1),0)</f>
        <v>0</v>
      </c>
      <c r="Z52" s="95">
        <f>IF(T52=0,H52*$J$1*Variables!$Y$5*0.25,0)</f>
        <v>7.884937169930728</v>
      </c>
      <c r="AA52" s="95">
        <f t="shared" si="0"/>
        <v>55.729401543087782</v>
      </c>
      <c r="AB52" s="91">
        <f>AA52/Variables!$E$49</f>
        <v>8.9886131521109327</v>
      </c>
    </row>
    <row r="53" spans="1:29" x14ac:dyDescent="0.25">
      <c r="A53" s="61">
        <f>'Water runs'!C60</f>
        <v>6818</v>
      </c>
      <c r="B53" s="61" t="str">
        <f>'Water runs'!B60</f>
        <v>Winter</v>
      </c>
      <c r="C53" s="54">
        <f>'Water runs'!D60/100</f>
        <v>0.97900000000000009</v>
      </c>
      <c r="D53" s="108">
        <f>VLOOKUP(ROW(D53)+4,'Water runs'!$BS$3:$CF$423,MATCH($B$1,Scenarios,0)+1)</f>
        <v>0</v>
      </c>
      <c r="E53" s="54">
        <f>IF(B53=Variables!$D$8,C53-Variables!$E$8,IF(B53=Variables!$D$9,C53-Variables!$E$9,IF(B53=Variables!$D$10,C53-Variables!$E$10,IF(B53=Variables!$D$11,C53-Variables!$E$11,"ELSE"))))</f>
        <v>0.40723237433862436</v>
      </c>
      <c r="F53" s="108">
        <f>VLOOKUP(ROW(F53)+4,'Water runs'!$CH$3:$CU$423,MATCH($B$1,Scenarios,0)+1)</f>
        <v>0</v>
      </c>
      <c r="G53" s="65">
        <f>H53/Variables!$E$49</f>
        <v>0.29469008847485917</v>
      </c>
      <c r="H53" s="62">
        <f>IF((H52+I53)&gt;(1.1*Variables!$E$50),(1.1*Variables!$E$50),IF((H52+I53)&gt;0,H52+I53,0))</f>
        <v>1.827078548544127</v>
      </c>
      <c r="I53" s="64">
        <f t="shared" si="1"/>
        <v>-1.8121232221931323</v>
      </c>
      <c r="J53" s="63">
        <f>IF(SUM(E49:E52)&lt;Variables!$B$3,-H52,0)</f>
        <v>0</v>
      </c>
      <c r="K53" s="64">
        <f>IF(AND(H52&lt;Variables!$B$6*Variables!$E$50,OR(SUM(D50:D53)&gt;Variables!$B$5,SUM(E50:E53)&gt;Variables!$B$4)),Variables!$B$6*Variables!$E$50+Variables!$B$7*$G$1*Variables!$E$50*SUM(D50:D53),0)</f>
        <v>0</v>
      </c>
      <c r="L53" s="64">
        <f>IF(B53="Winter",Variables!$B$8*H52,0)</f>
        <v>-1.8121232221931323</v>
      </c>
      <c r="M53" s="64">
        <f>IF(AND(B53="Spring",AND(NOT(H52=0),H52&lt;(Variables!$B$9*Variables!$E$50))),(Variables!$B$10*Variables!$E$50+Variables!$B$11*Variables!$E$50*SUM(E50:E53)+$G$1*SUM(D52:D53)*Variables!$E$50*Variables!$B$12),0)</f>
        <v>0</v>
      </c>
      <c r="N53" s="64">
        <f>IF(AND(B53="Spring",AND(SUM(D50:D53)&gt;Variables!$B$13,SUM(D46:D49)&gt;Variables!$B$13)),-Variables!$B$14*Variables!$E$50,0)</f>
        <v>0</v>
      </c>
      <c r="O53" s="64">
        <f>IF(AND(B53="Summer",SUM(C49:D53)&gt;Variables!$B$15),(Variables!$B$16*Variables!$E$50*SUM(C49:C53)+$G$1*Variables!$B$16*Variables!$E$50*SUM(D49:D53)+$G$1*Variables!$E$50*Variables!$B$17*F53),0)</f>
        <v>0</v>
      </c>
      <c r="P53" s="64">
        <f>IF(AND(AND(B53="Autumn",SUM(D52:E53)&gt;0),NOT(H52=0)),Variables!$B$18*Variables!$E$50+Variables!$B$19*Variables!$E$50*SUM(E52:E53)+$G$1*Variables!$B$19*Variables!$E$50*SUM(D52:D53),0)</f>
        <v>0</v>
      </c>
      <c r="Q53" s="64">
        <f>IF(AND(B53="Autumn",AND((E53+E52)&lt;Variables!$B$20,(D52+D53)=0)),-Variables!$B$21*Variables!$E$50,0)</f>
        <v>0</v>
      </c>
      <c r="R53" s="64">
        <f>IF(B53="Autumn",(SUM(F52:F53)*$G$1*Variables!$B$22*Variables!$E$50),0)</f>
        <v>0</v>
      </c>
      <c r="S53" s="64">
        <f>IF(B53="Spring",($G$1*Variables!$E$50*SUM('Guts (option 2)'!F52:F53)*Variables!$B$23),0)</f>
        <v>0</v>
      </c>
      <c r="T53" s="63">
        <f>IF((H52+SUM(J53:Q53))&lt;(Variables!$B$26*Variables!$E$50),$F$1*((Variables!$B$26*Variables!$E$50)-H52-SUM(J53:Q53)),0)</f>
        <v>0</v>
      </c>
      <c r="U53" s="64">
        <f>IF(AND(AND(B53="Autumn",SUM(D50:E53)&gt;Variables!$B$27),SUM(J53:Q53)&lt;Variables!$B$28*H52),$F$1*(Variables!$B$28*H52-SUM(J53:Q53)),0)</f>
        <v>0</v>
      </c>
      <c r="V53" s="96">
        <f>IF(AND((J53+K53)=0,(Q53+T53)=0),$H$1*H53*Variables!$I$23*0.25,0)</f>
        <v>11.736025897409203</v>
      </c>
      <c r="W53" s="97">
        <f>IF(AND((K53+J53)=0,(T53+Q53)=0),$I$1*H53*Variables!$Q$23*0.25,0)</f>
        <v>12.284514877682149</v>
      </c>
      <c r="X53" s="95">
        <f>IF(AND(NOT(K53=0),(H53-H52)&gt;0),(H53-H52)*(Variables!$M$5*$H$1+Variables!$U$5*$I$1),0)+IF(AND(NOT((J53+N53+Q53)=0),(H52-H53)&gt;0),(H52-H53)*(Variables!$M$4*$H$1+Variables!$U$4*$I$1),0)</f>
        <v>0</v>
      </c>
      <c r="Y53" s="95">
        <f>IF(SUM(T53,U52:U53)&gt;0,H53*Variables!$Y$11*0.25*(1-$J$1),0)</f>
        <v>0</v>
      </c>
      <c r="Z53" s="95">
        <f>IF(T53=0,H53*$J$1*Variables!$Y$5*0.25,0)</f>
        <v>3.9586701885122753</v>
      </c>
      <c r="AA53" s="95">
        <f t="shared" si="0"/>
        <v>27.979210963603627</v>
      </c>
      <c r="AB53" s="91">
        <f>AA53/Variables!$E$49</f>
        <v>4.5127759618715526</v>
      </c>
    </row>
    <row r="54" spans="1:29" x14ac:dyDescent="0.25">
      <c r="A54" s="61">
        <f>'Water runs'!C61</f>
        <v>6909</v>
      </c>
      <c r="B54" s="61" t="str">
        <f>'Water runs'!B61</f>
        <v>Spring</v>
      </c>
      <c r="C54" s="54">
        <f>'Water runs'!D61/100</f>
        <v>0.24879999999999999</v>
      </c>
      <c r="D54" s="108">
        <f>VLOOKUP(ROW(D54)+4,'Water runs'!$BS$3:$CF$423,MATCH($B$1,Scenarios,0)+1)</f>
        <v>0</v>
      </c>
      <c r="E54" s="54">
        <f>IF(B54=Variables!$D$8,C54-Variables!$E$8,IF(B54=Variables!$D$9,C54-Variables!$E$9,IF(B54=Variables!$D$10,C54-Variables!$E$10,IF(B54=Variables!$D$11,C54-Variables!$E$11,"ELSE"))))</f>
        <v>-0.51518220899470912</v>
      </c>
      <c r="F54" s="108">
        <f>VLOOKUP(ROW(F54)+4,'Water runs'!$CH$3:$CU$423,MATCH($B$1,Scenarios,0)+1)</f>
        <v>0</v>
      </c>
      <c r="G54" s="65">
        <f>H54/Variables!$E$49</f>
        <v>0.19249642327607028</v>
      </c>
      <c r="H54" s="62">
        <f>IF((H53+I54)&gt;(1.1*Variables!$E$50),(1.1*Variables!$E$50),IF((H53+I54)&gt;0,H53+I54,0))</f>
        <v>1.1934778243116357</v>
      </c>
      <c r="I54" s="64">
        <f t="shared" si="1"/>
        <v>-0.63360072423249125</v>
      </c>
      <c r="J54" s="63">
        <f>IF(SUM(E50:E53)&lt;Variables!$B$3,-H53,0)</f>
        <v>0</v>
      </c>
      <c r="K54" s="64">
        <f>IF(AND(H53&lt;Variables!$B$6*Variables!$E$50,OR(SUM(D51:D54)&gt;Variables!$B$5,SUM(E51:E54)&gt;Variables!$B$4)),Variables!$B$6*Variables!$E$50+Variables!$B$7*$G$1*Variables!$E$50*SUM(D51:D54),0)</f>
        <v>0</v>
      </c>
      <c r="L54" s="64">
        <f>IF(B54="Winter",Variables!$B$8*H53,0)</f>
        <v>0</v>
      </c>
      <c r="M54" s="64">
        <f>IF(AND(B54="Spring",AND(NOT(H53=0),H53&lt;(Variables!$B$9*Variables!$E$50))),(Variables!$B$10*Variables!$E$50+Variables!$B$11*Variables!$E$50*SUM(E51:E54)+$G$1*SUM(D53:D54)*Variables!$E$50*Variables!$B$12),0)</f>
        <v>-0.63360072423249125</v>
      </c>
      <c r="N54" s="64">
        <f>IF(AND(B54="Spring",AND(SUM(D51:D54)&gt;Variables!$B$13,SUM(D47:D50)&gt;Variables!$B$13)),-Variables!$B$14*Variables!$E$50,0)</f>
        <v>0</v>
      </c>
      <c r="O54" s="64">
        <f>IF(AND(B54="Summer",SUM(C50:D54)&gt;Variables!$B$15),(Variables!$B$16*Variables!$E$50*SUM(C50:C54)+$G$1*Variables!$B$16*Variables!$E$50*SUM(D50:D54)+$G$1*Variables!$E$50*Variables!$B$17*F54),0)</f>
        <v>0</v>
      </c>
      <c r="P54" s="64">
        <f>IF(AND(AND(B54="Autumn",SUM(D53:E54)&gt;0),NOT(H53=0)),Variables!$B$18*Variables!$E$50+Variables!$B$19*Variables!$E$50*SUM(E53:E54)+$G$1*Variables!$B$19*Variables!$E$50*SUM(D53:D54),0)</f>
        <v>0</v>
      </c>
      <c r="Q54" s="64">
        <f>IF(AND(B54="Autumn",AND((E54+E53)&lt;Variables!$B$20,(D53+D54)=0)),-Variables!$B$21*Variables!$E$50,0)</f>
        <v>0</v>
      </c>
      <c r="R54" s="64">
        <f>IF(B54="Autumn",(SUM(F53:F54)*$G$1*Variables!$B$22*Variables!$E$50),0)</f>
        <v>0</v>
      </c>
      <c r="S54" s="64">
        <f>IF(B54="Spring",($G$1*Variables!$E$50*SUM('Guts (option 2)'!F53:F54)*Variables!$B$23),0)</f>
        <v>0</v>
      </c>
      <c r="T54" s="63">
        <f>IF((H53+SUM(J54:Q54))&lt;(Variables!$B$26*Variables!$E$50),$F$1*((Variables!$B$26*Variables!$E$50)-H53-SUM(J54:Q54)),0)</f>
        <v>0</v>
      </c>
      <c r="U54" s="64">
        <f>IF(AND(AND(B54="Autumn",SUM(D51:E54)&gt;Variables!$B$27),SUM(J54:Q54)&lt;Variables!$B$28*H53),$F$1*(Variables!$B$28*H53-SUM(J54:Q54)),0)</f>
        <v>0</v>
      </c>
      <c r="V54" s="96">
        <f>IF(AND((J54+K54)=0,(Q54+T54)=0),$H$1*H54*Variables!$I$23*0.25,0)</f>
        <v>7.6661655653862892</v>
      </c>
      <c r="W54" s="97">
        <f>IF(AND((K54+J54)=0,(T54+Q54)=0),$I$1*H54*Variables!$Q$23*0.25,0)</f>
        <v>8.0244476082446408</v>
      </c>
      <c r="X54" s="95">
        <f>IF(AND(NOT(K54=0),(H54-H53)&gt;0),(H54-H53)*(Variables!$M$5*$H$1+Variables!$U$5*$I$1),0)+IF(AND(NOT((J54+N54+Q54)=0),(H53-H54)&gt;0),(H53-H54)*(Variables!$M$4*$H$1+Variables!$U$4*$I$1),0)</f>
        <v>0</v>
      </c>
      <c r="Y54" s="95">
        <f>IF(SUM(T54,U53:U54)&gt;0,H54*Variables!$Y$11*0.25*(1-$J$1),0)</f>
        <v>0</v>
      </c>
      <c r="Z54" s="95">
        <f>IF(T54=0,H54*$J$1*Variables!$Y$5*0.25,0)</f>
        <v>2.5858686193418774</v>
      </c>
      <c r="AA54" s="95">
        <f t="shared" si="0"/>
        <v>18.276481792972806</v>
      </c>
      <c r="AB54" s="91">
        <f>AA54/Variables!$E$49</f>
        <v>2.9478196440278719</v>
      </c>
    </row>
    <row r="55" spans="1:29" x14ac:dyDescent="0.25">
      <c r="A55" s="61">
        <f>'Water runs'!C62</f>
        <v>6999</v>
      </c>
      <c r="B55" s="61" t="str">
        <f>'Water runs'!B62</f>
        <v>Summer</v>
      </c>
      <c r="C55" s="54">
        <f>'Water runs'!D62/100</f>
        <v>0.6018</v>
      </c>
      <c r="D55" s="108">
        <f>VLOOKUP(ROW(D55)+4,'Water runs'!$BS$3:$CF$423,MATCH($B$1,Scenarios,0)+1)</f>
        <v>0</v>
      </c>
      <c r="E55" s="54">
        <f>IF(B55=Variables!$D$8,C55-Variables!$E$8,IF(B55=Variables!$D$9,C55-Variables!$E$9,IF(B55=Variables!$D$10,C55-Variables!$E$10,IF(B55=Variables!$D$11,C55-Variables!$E$11,"ELSE"))))</f>
        <v>-0.65657013605442172</v>
      </c>
      <c r="F55" s="108">
        <f>VLOOKUP(ROW(F55)+4,'Water runs'!$CH$3:$CU$423,MATCH($B$1,Scenarios,0)+1)</f>
        <v>0</v>
      </c>
      <c r="G55" s="65">
        <f>H55/Variables!$E$49</f>
        <v>0.19249642327607028</v>
      </c>
      <c r="H55" s="62">
        <f>IF((H54+I55)&gt;(1.1*Variables!$E$50),(1.1*Variables!$E$50),IF((H54+I55)&gt;0,H54+I55,0))</f>
        <v>1.1934778243116357</v>
      </c>
      <c r="I55" s="64">
        <f t="shared" si="1"/>
        <v>0</v>
      </c>
      <c r="J55" s="63">
        <f>IF(SUM(E51:E54)&lt;Variables!$B$3,-H54,0)</f>
        <v>0</v>
      </c>
      <c r="K55" s="64">
        <f>IF(AND(H54&lt;Variables!$B$6*Variables!$E$50,OR(SUM(D52:D55)&gt;Variables!$B$5,SUM(E52:E55)&gt;Variables!$B$4)),Variables!$B$6*Variables!$E$50+Variables!$B$7*$G$1*Variables!$E$50*SUM(D52:D55),0)</f>
        <v>0</v>
      </c>
      <c r="L55" s="64">
        <f>IF(B55="Winter",Variables!$B$8*H54,0)</f>
        <v>0</v>
      </c>
      <c r="M55" s="64">
        <f>IF(AND(B55="Spring",AND(NOT(H54=0),H54&lt;(Variables!$B$9*Variables!$E$50))),(Variables!$B$10*Variables!$E$50+Variables!$B$11*Variables!$E$50*SUM(E52:E55)+$G$1*SUM(D54:D55)*Variables!$E$50*Variables!$B$12),0)</f>
        <v>0</v>
      </c>
      <c r="N55" s="64">
        <f>IF(AND(B55="Spring",AND(SUM(D52:D55)&gt;Variables!$B$13,SUM(D48:D51)&gt;Variables!$B$13)),-Variables!$B$14*Variables!$E$50,0)</f>
        <v>0</v>
      </c>
      <c r="O55" s="64">
        <f>IF(AND(B55="Summer",SUM(C51:D55)&gt;Variables!$B$15),(Variables!$B$16*Variables!$E$50*SUM(C51:C55)+$G$1*Variables!$B$16*Variables!$E$50*SUM(D51:D55)+$G$1*Variables!$E$50*Variables!$B$17*F55),0)</f>
        <v>0</v>
      </c>
      <c r="P55" s="64">
        <f>IF(AND(AND(B55="Autumn",SUM(D54:E55)&gt;0),NOT(H54=0)),Variables!$B$18*Variables!$E$50+Variables!$B$19*Variables!$E$50*SUM(E54:E55)+$G$1*Variables!$B$19*Variables!$E$50*SUM(D54:D55),0)</f>
        <v>0</v>
      </c>
      <c r="Q55" s="64">
        <f>IF(AND(B55="Autumn",AND((E55+E54)&lt;Variables!$B$20,(D54+D55)=0)),-Variables!$B$21*Variables!$E$50,0)</f>
        <v>0</v>
      </c>
      <c r="R55" s="64">
        <f>IF(B55="Autumn",(SUM(F54:F55)*$G$1*Variables!$B$22*Variables!$E$50),0)</f>
        <v>0</v>
      </c>
      <c r="S55" s="64">
        <f>IF(B55="Spring",($G$1*Variables!$E$50*SUM('Guts (option 2)'!F54:F55)*Variables!$B$23),0)</f>
        <v>0</v>
      </c>
      <c r="T55" s="63">
        <f>IF((H54+SUM(J55:Q55))&lt;(Variables!$B$26*Variables!$E$50),$F$1*((Variables!$B$26*Variables!$E$50)-H54-SUM(J55:Q55)),0)</f>
        <v>0</v>
      </c>
      <c r="U55" s="64">
        <f>IF(AND(AND(B55="Autumn",SUM(D52:E55)&gt;Variables!$B$27),SUM(J55:Q55)&lt;Variables!$B$28*H54),$F$1*(Variables!$B$28*H54-SUM(J55:Q55)),0)</f>
        <v>0</v>
      </c>
      <c r="V55" s="96">
        <f>IF(AND((J55+K55)=0,(Q55+T55)=0),$H$1*H55*Variables!$I$23*0.25,0)</f>
        <v>7.6661655653862892</v>
      </c>
      <c r="W55" s="97">
        <f>IF(AND((K55+J55)=0,(T55+Q55)=0),$I$1*H55*Variables!$Q$23*0.25,0)</f>
        <v>8.0244476082446408</v>
      </c>
      <c r="X55" s="95">
        <f>IF(AND(NOT(K55=0),(H55-H54)&gt;0),(H55-H54)*(Variables!$M$5*$H$1+Variables!$U$5*$I$1),0)+IF(AND(NOT((J55+N55+Q55)=0),(H54-H55)&gt;0),(H54-H55)*(Variables!$M$4*$H$1+Variables!$U$4*$I$1),0)</f>
        <v>0</v>
      </c>
      <c r="Y55" s="95">
        <f>IF(SUM(T55,U54:U55)&gt;0,H55*Variables!$Y$11*0.25*(1-$J$1),0)</f>
        <v>0</v>
      </c>
      <c r="Z55" s="95">
        <f>IF(T55=0,H55*$J$1*Variables!$Y$5*0.25,0)</f>
        <v>2.5858686193418774</v>
      </c>
      <c r="AA55" s="95">
        <f t="shared" si="0"/>
        <v>18.276481792972806</v>
      </c>
      <c r="AB55" s="91">
        <f>AA55/Variables!$E$49</f>
        <v>2.9478196440278719</v>
      </c>
      <c r="AC55" s="15"/>
    </row>
    <row r="56" spans="1:29" x14ac:dyDescent="0.25">
      <c r="A56" s="61">
        <f>'Water runs'!C63</f>
        <v>7091</v>
      </c>
      <c r="B56" s="61" t="str">
        <f>'Water runs'!B63</f>
        <v>Autumn</v>
      </c>
      <c r="C56" s="54">
        <f>'Water runs'!D63/100</f>
        <v>0.9516</v>
      </c>
      <c r="D56" s="108">
        <f>VLOOKUP(ROW(D56)+4,'Water runs'!$BS$3:$CF$423,MATCH($B$1,Scenarios,0)+1)</f>
        <v>0</v>
      </c>
      <c r="E56" s="54">
        <f>IF(B56=Variables!$D$8,C56-Variables!$E$8,IF(B56=Variables!$D$9,C56-Variables!$E$9,IF(B56=Variables!$D$10,C56-Variables!$E$10,IF(B56=Variables!$D$11,C56-Variables!$E$11,"ELSE"))))</f>
        <v>-4.3043299319727835E-2</v>
      </c>
      <c r="F56" s="108">
        <f>VLOOKUP(ROW(F56)+4,'Water runs'!$CH$3:$CU$423,MATCH($B$1,Scenarios,0)+1)</f>
        <v>0</v>
      </c>
      <c r="G56" s="65">
        <f>H56/Variables!$E$49</f>
        <v>0.19249642327607028</v>
      </c>
      <c r="H56" s="62">
        <f>IF((H55+I56)&gt;(1.1*Variables!$E$50),(1.1*Variables!$E$50),IF((H55+I56)&gt;0,H55+I56,0))</f>
        <v>1.1934778243116357</v>
      </c>
      <c r="I56" s="64">
        <f t="shared" si="1"/>
        <v>0</v>
      </c>
      <c r="J56" s="63">
        <f>IF(SUM(E52:E55)&lt;Variables!$B$3,-H55,0)</f>
        <v>0</v>
      </c>
      <c r="K56" s="64">
        <f>IF(AND(H55&lt;Variables!$B$6*Variables!$E$50,OR(SUM(D53:D56)&gt;Variables!$B$5,SUM(E53:E56)&gt;Variables!$B$4)),Variables!$B$6*Variables!$E$50+Variables!$B$7*$G$1*Variables!$E$50*SUM(D53:D56),0)</f>
        <v>0</v>
      </c>
      <c r="L56" s="64">
        <f>IF(B56="Winter",Variables!$B$8*H55,0)</f>
        <v>0</v>
      </c>
      <c r="M56" s="64">
        <f>IF(AND(B56="Spring",AND(NOT(H55=0),H55&lt;(Variables!$B$9*Variables!$E$50))),(Variables!$B$10*Variables!$E$50+Variables!$B$11*Variables!$E$50*SUM(E53:E56)+$G$1*SUM(D55:D56)*Variables!$E$50*Variables!$B$12),0)</f>
        <v>0</v>
      </c>
      <c r="N56" s="64">
        <f>IF(AND(B56="Spring",AND(SUM(D53:D56)&gt;Variables!$B$13,SUM(D49:D52)&gt;Variables!$B$13)),-Variables!$B$14*Variables!$E$50,0)</f>
        <v>0</v>
      </c>
      <c r="O56" s="64">
        <f>IF(AND(B56="Summer",SUM(C52:D56)&gt;Variables!$B$15),(Variables!$B$16*Variables!$E$50*SUM(C52:C56)+$G$1*Variables!$B$16*Variables!$E$50*SUM(D52:D56)+$G$1*Variables!$E$50*Variables!$B$17*F56),0)</f>
        <v>0</v>
      </c>
      <c r="P56" s="64">
        <f>IF(AND(AND(B56="Autumn",SUM(D55:E56)&gt;0),NOT(H55=0)),Variables!$B$18*Variables!$E$50+Variables!$B$19*Variables!$E$50*SUM(E55:E56)+$G$1*Variables!$B$19*Variables!$E$50*SUM(D55:D56),0)</f>
        <v>0</v>
      </c>
      <c r="Q56" s="64">
        <f>IF(AND(B56="Autumn",AND((E56+E55)&lt;Variables!$B$20,(D55+D56)=0)),-Variables!$B$21*Variables!$E$50,0)</f>
        <v>0</v>
      </c>
      <c r="R56" s="64">
        <f>IF(B56="Autumn",(SUM(F55:F56)*$G$1*Variables!$B$22*Variables!$E$50),0)</f>
        <v>0</v>
      </c>
      <c r="S56" s="64">
        <f>IF(B56="Spring",($G$1*Variables!$E$50*SUM('Guts (option 2)'!F55:F56)*Variables!$B$23),0)</f>
        <v>0</v>
      </c>
      <c r="T56" s="63">
        <f>IF((H55+SUM(J56:Q56))&lt;(Variables!$B$26*Variables!$E$50),$F$1*((Variables!$B$26*Variables!$E$50)-H55-SUM(J56:Q56)),0)</f>
        <v>0</v>
      </c>
      <c r="U56" s="64">
        <f>IF(AND(AND(B56="Autumn",SUM(D53:E56)&gt;Variables!$B$27),SUM(J56:Q56)&lt;Variables!$B$28*H55),$F$1*(Variables!$B$28*H55-SUM(J56:Q56)),0)</f>
        <v>0</v>
      </c>
      <c r="V56" s="96">
        <f>IF(AND((J56+K56)=0,(Q56+T56)=0),$H$1*H56*Variables!$I$23*0.25,0)</f>
        <v>7.6661655653862892</v>
      </c>
      <c r="W56" s="97">
        <f>IF(AND((K56+J56)=0,(T56+Q56)=0),$I$1*H56*Variables!$Q$23*0.25,0)</f>
        <v>8.0244476082446408</v>
      </c>
      <c r="X56" s="95">
        <f>IF(AND(NOT(K56=0),(H56-H55)&gt;0),(H56-H55)*(Variables!$M$5*$H$1+Variables!$U$5*$I$1),0)+IF(AND(NOT((J56+N56+Q56)=0),(H55-H56)&gt;0),(H55-H56)*(Variables!$M$4*$H$1+Variables!$U$4*$I$1),0)</f>
        <v>0</v>
      </c>
      <c r="Y56" s="95">
        <f>IF(SUM(T56,U55:U56)&gt;0,H56*Variables!$Y$11*0.25*(1-$J$1),0)</f>
        <v>0</v>
      </c>
      <c r="Z56" s="95">
        <f>IF(T56=0,H56*$J$1*Variables!$Y$5*0.25,0)</f>
        <v>2.5858686193418774</v>
      </c>
      <c r="AA56" s="95">
        <f t="shared" si="0"/>
        <v>18.276481792972806</v>
      </c>
      <c r="AB56" s="91">
        <f>AA56/Variables!$E$49</f>
        <v>2.9478196440278719</v>
      </c>
    </row>
    <row r="57" spans="1:29" x14ac:dyDescent="0.25">
      <c r="A57" s="61">
        <f>'Water runs'!C64</f>
        <v>7183</v>
      </c>
      <c r="B57" s="61" t="str">
        <f>'Water runs'!B64</f>
        <v>Winter</v>
      </c>
      <c r="C57" s="54">
        <f>'Water runs'!D64/100</f>
        <v>0.30260000000000004</v>
      </c>
      <c r="D57" s="108">
        <f>VLOOKUP(ROW(D57)+4,'Water runs'!$BS$3:$CF$423,MATCH($B$1,Scenarios,0)+1)</f>
        <v>0</v>
      </c>
      <c r="E57" s="54">
        <f>IF(B57=Variables!$D$8,C57-Variables!$E$8,IF(B57=Variables!$D$9,C57-Variables!$E$9,IF(B57=Variables!$D$10,C57-Variables!$E$10,IF(B57=Variables!$D$11,C57-Variables!$E$11,"ELSE"))))</f>
        <v>-0.2691676256613757</v>
      </c>
      <c r="F57" s="108">
        <f>VLOOKUP(ROW(F57)+4,'Water runs'!$CH$3:$CU$423,MATCH($B$1,Scenarios,0)+1)</f>
        <v>0</v>
      </c>
      <c r="G57" s="65">
        <f>H57/Variables!$E$49</f>
        <v>0.161</v>
      </c>
      <c r="H57" s="62">
        <f>IF((H56+I57)&gt;(1.1*Variables!$E$50),(1.1*Variables!$E$50),IF((H56+I57)&gt;0,H56+I57,0))</f>
        <v>0.99820000000000009</v>
      </c>
      <c r="I57" s="64">
        <f t="shared" si="1"/>
        <v>-0.19527782431163565</v>
      </c>
      <c r="J57" s="63">
        <f>IF(SUM(E53:E56)&lt;Variables!$B$3,-H56,0)</f>
        <v>0</v>
      </c>
      <c r="K57" s="64">
        <f>IF(AND(H56&lt;Variables!$B$6*Variables!$E$50,OR(SUM(D54:D57)&gt;Variables!$B$5,SUM(E54:E57)&gt;Variables!$B$4)),Variables!$B$6*Variables!$E$50+Variables!$B$7*$G$1*Variables!$E$50*SUM(D54:D57),0)</f>
        <v>0</v>
      </c>
      <c r="L57" s="64">
        <f>IF(B57="Winter",Variables!$B$8*H56,0)</f>
        <v>-0.59428660922241394</v>
      </c>
      <c r="M57" s="64">
        <f>IF(AND(B57="Spring",AND(NOT(H56=0),H56&lt;(Variables!$B$9*Variables!$E$50))),(Variables!$B$10*Variables!$E$50+Variables!$B$11*Variables!$E$50*SUM(E54:E57)+$G$1*SUM(D56:D57)*Variables!$E$50*Variables!$B$12),0)</f>
        <v>0</v>
      </c>
      <c r="N57" s="64">
        <f>IF(AND(B57="Spring",AND(SUM(D54:D57)&gt;Variables!$B$13,SUM(D50:D53)&gt;Variables!$B$13)),-Variables!$B$14*Variables!$E$50,0)</f>
        <v>0</v>
      </c>
      <c r="O57" s="64">
        <f>IF(AND(B57="Summer",SUM(C53:D57)&gt;Variables!$B$15),(Variables!$B$16*Variables!$E$50*SUM(C53:C57)+$G$1*Variables!$B$16*Variables!$E$50*SUM(D53:D57)+$G$1*Variables!$E$50*Variables!$B$17*F57),0)</f>
        <v>0</v>
      </c>
      <c r="P57" s="64">
        <f>IF(AND(AND(B57="Autumn",SUM(D56:E57)&gt;0),NOT(H56=0)),Variables!$B$18*Variables!$E$50+Variables!$B$19*Variables!$E$50*SUM(E56:E57)+$G$1*Variables!$B$19*Variables!$E$50*SUM(D56:D57),0)</f>
        <v>0</v>
      </c>
      <c r="Q57" s="64">
        <f>IF(AND(B57="Autumn",AND((E57+E56)&lt;Variables!$B$20,(D56+D57)=0)),-Variables!$B$21*Variables!$E$50,0)</f>
        <v>0</v>
      </c>
      <c r="R57" s="64">
        <f>IF(B57="Autumn",(SUM(F56:F57)*$G$1*Variables!$B$22*Variables!$E$50),0)</f>
        <v>0</v>
      </c>
      <c r="S57" s="64">
        <f>IF(B57="Spring",($G$1*Variables!$E$50*SUM('Guts (option 2)'!F56:F57)*Variables!$B$23),0)</f>
        <v>0</v>
      </c>
      <c r="T57" s="63">
        <f>IF((H56+SUM(J57:Q57))&lt;(Variables!$B$26*Variables!$E$50),$F$1*((Variables!$B$26*Variables!$E$50)-H56-SUM(J57:Q57)),0)</f>
        <v>0.39900878491077829</v>
      </c>
      <c r="U57" s="64">
        <f>IF(AND(AND(B57="Autumn",SUM(D54:E57)&gt;Variables!$B$27),SUM(J57:Q57)&lt;Variables!$B$28*H56),$F$1*(Variables!$B$28*H56-SUM(J57:Q57)),0)</f>
        <v>0</v>
      </c>
      <c r="V57" s="96">
        <f>IF(AND((J57+K57)=0,(Q57+T57)=0),$H$1*H57*Variables!$I$23*0.25,0)</f>
        <v>0</v>
      </c>
      <c r="W57" s="97">
        <f>IF(AND((K57+J57)=0,(T57+Q57)=0),$I$1*H57*Variables!$Q$23*0.25,0)</f>
        <v>0</v>
      </c>
      <c r="X57" s="95">
        <f>IF(AND(NOT(K57=0),(H57-H56)&gt;0),(H57-H56)*(Variables!$M$5*$H$1+Variables!$U$5*$I$1),0)+IF(AND(NOT((J57+N57+Q57)=0),(H56-H57)&gt;0),(H56-H57)*(Variables!$M$4*$H$1+Variables!$U$4*$I$1),0)</f>
        <v>0</v>
      </c>
      <c r="Y57" s="95">
        <f>IF(SUM(T57,U56:U57)&gt;0,H57*Variables!$Y$11*0.25*(1-$J$1),0)</f>
        <v>-6.9874000000000018</v>
      </c>
      <c r="Z57" s="95">
        <f>IF(T57=0,H57*$J$1*Variables!$Y$5*0.25,0)</f>
        <v>0</v>
      </c>
      <c r="AA57" s="95">
        <f t="shared" si="0"/>
        <v>-6.9874000000000018</v>
      </c>
      <c r="AB57" s="91">
        <f>AA57/Variables!$E$49</f>
        <v>-1.1270000000000002</v>
      </c>
    </row>
    <row r="58" spans="1:29" x14ac:dyDescent="0.25">
      <c r="A58" s="61">
        <f>'Water runs'!C65</f>
        <v>7274</v>
      </c>
      <c r="B58" s="61" t="str">
        <f>'Water runs'!B65</f>
        <v>Spring</v>
      </c>
      <c r="C58" s="54">
        <f>'Water runs'!D65/100</f>
        <v>4.4400000000000002E-2</v>
      </c>
      <c r="D58" s="108">
        <f>VLOOKUP(ROW(D58)+4,'Water runs'!$BS$3:$CF$423,MATCH($B$1,Scenarios,0)+1)</f>
        <v>0</v>
      </c>
      <c r="E58" s="54">
        <f>IF(B58=Variables!$D$8,C58-Variables!$E$8,IF(B58=Variables!$D$9,C58-Variables!$E$9,IF(B58=Variables!$D$10,C58-Variables!$E$10,IF(B58=Variables!$D$11,C58-Variables!$E$11,"ELSE"))))</f>
        <v>-0.71958220899470915</v>
      </c>
      <c r="F58" s="108">
        <f>VLOOKUP(ROW(F58)+4,'Water runs'!$CH$3:$CU$423,MATCH($B$1,Scenarios,0)+1)</f>
        <v>0</v>
      </c>
      <c r="G58" s="65">
        <f>H58/Variables!$E$49</f>
        <v>0.161</v>
      </c>
      <c r="H58" s="62">
        <f>IF((H57+I58)&gt;(1.1*Variables!$E$50),(1.1*Variables!$E$50),IF((H57+I58)&gt;0,H57+I58,0))</f>
        <v>0.99820000000000009</v>
      </c>
      <c r="I58" s="64">
        <f t="shared" si="1"/>
        <v>0</v>
      </c>
      <c r="J58" s="63">
        <f>IF(SUM(E54:E57)&lt;Variables!$B$3,-H57,0)</f>
        <v>0</v>
      </c>
      <c r="K58" s="64">
        <f>IF(AND(H57&lt;Variables!$B$6*Variables!$E$50,OR(SUM(D55:D58)&gt;Variables!$B$5,SUM(E55:E58)&gt;Variables!$B$4)),Variables!$B$6*Variables!$E$50+Variables!$B$7*$G$1*Variables!$E$50*SUM(D55:D58),0)</f>
        <v>0</v>
      </c>
      <c r="L58" s="64">
        <f>IF(B58="Winter",Variables!$B$8*H57,0)</f>
        <v>0</v>
      </c>
      <c r="M58" s="64">
        <f>IF(AND(B58="Spring",AND(NOT(H57=0),H57&lt;(Variables!$B$9*Variables!$E$50))),(Variables!$B$10*Variables!$E$50+Variables!$B$11*Variables!$E$50*SUM(E55:E58)+$G$1*SUM(D57:D58)*Variables!$E$50*Variables!$B$12),0)</f>
        <v>-1.1498795353353692</v>
      </c>
      <c r="N58" s="64">
        <f>IF(AND(B58="Spring",AND(SUM(D55:D58)&gt;Variables!$B$13,SUM(D51:D54)&gt;Variables!$B$13)),-Variables!$B$14*Variables!$E$50,0)</f>
        <v>0</v>
      </c>
      <c r="O58" s="64">
        <f>IF(AND(B58="Summer",SUM(C54:D58)&gt;Variables!$B$15),(Variables!$B$16*Variables!$E$50*SUM(C54:C58)+$G$1*Variables!$B$16*Variables!$E$50*SUM(D54:D58)+$G$1*Variables!$E$50*Variables!$B$17*F58),0)</f>
        <v>0</v>
      </c>
      <c r="P58" s="64">
        <f>IF(AND(AND(B58="Autumn",SUM(D57:E58)&gt;0),NOT(H57=0)),Variables!$B$18*Variables!$E$50+Variables!$B$19*Variables!$E$50*SUM(E57:E58)+$G$1*Variables!$B$19*Variables!$E$50*SUM(D57:D58),0)</f>
        <v>0</v>
      </c>
      <c r="Q58" s="64">
        <f>IF(AND(B58="Autumn",AND((E58+E57)&lt;Variables!$B$20,(D57+D58)=0)),-Variables!$B$21*Variables!$E$50,0)</f>
        <v>0</v>
      </c>
      <c r="R58" s="64">
        <f>IF(B58="Autumn",(SUM(F57:F58)*$G$1*Variables!$B$22*Variables!$E$50),0)</f>
        <v>0</v>
      </c>
      <c r="S58" s="64">
        <f>IF(B58="Spring",($G$1*Variables!$E$50*SUM('Guts (option 2)'!F57:F58)*Variables!$B$23),0)</f>
        <v>0</v>
      </c>
      <c r="T58" s="63">
        <f>IF((H57+SUM(J58:Q58))&lt;(Variables!$B$26*Variables!$E$50),$F$1*((Variables!$B$26*Variables!$E$50)-H57-SUM(J58:Q58)),0)</f>
        <v>1.1498795353353692</v>
      </c>
      <c r="U58" s="64">
        <f>IF(AND(AND(B58="Autumn",SUM(D55:E58)&gt;Variables!$B$27),SUM(J58:Q58)&lt;Variables!$B$28*H57),$F$1*(Variables!$B$28*H57-SUM(J58:Q58)),0)</f>
        <v>0</v>
      </c>
      <c r="V58" s="96">
        <f>IF(AND((J58+K58)=0,(Q58+T58)=0),$H$1*H58*Variables!$I$23*0.25,0)</f>
        <v>0</v>
      </c>
      <c r="W58" s="97">
        <f>IF(AND((K58+J58)=0,(T58+Q58)=0),$I$1*H58*Variables!$Q$23*0.25,0)</f>
        <v>0</v>
      </c>
      <c r="X58" s="95">
        <f>IF(AND(NOT(K58=0),(H58-H57)&gt;0),(H58-H57)*(Variables!$M$5*$H$1+Variables!$U$5*$I$1),0)+IF(AND(NOT((J58+N58+Q58)=0),(H57-H58)&gt;0),(H57-H58)*(Variables!$M$4*$H$1+Variables!$U$4*$I$1),0)</f>
        <v>0</v>
      </c>
      <c r="Y58" s="95">
        <f>IF(SUM(T58,U57:U58)&gt;0,H58*Variables!$Y$11*0.25*(1-$J$1),0)</f>
        <v>-6.9874000000000018</v>
      </c>
      <c r="Z58" s="95">
        <f>IF(T58=0,H58*$J$1*Variables!$Y$5*0.25,0)</f>
        <v>0</v>
      </c>
      <c r="AA58" s="95">
        <f t="shared" si="0"/>
        <v>-6.9874000000000018</v>
      </c>
      <c r="AB58" s="91">
        <f>AA58/Variables!$E$49</f>
        <v>-1.1270000000000002</v>
      </c>
    </row>
    <row r="59" spans="1:29" x14ac:dyDescent="0.25">
      <c r="A59" s="61">
        <f>'Water runs'!C66</f>
        <v>7364</v>
      </c>
      <c r="B59" s="61" t="str">
        <f>'Water runs'!B66</f>
        <v>Summer</v>
      </c>
      <c r="C59" s="54">
        <f>'Water runs'!D66/100</f>
        <v>0.73799999999999999</v>
      </c>
      <c r="D59" s="108">
        <f>VLOOKUP(ROW(D59)+4,'Water runs'!$BS$3:$CF$423,MATCH($B$1,Scenarios,0)+1)</f>
        <v>3.1795184443265581E-2</v>
      </c>
      <c r="E59" s="54">
        <f>IF(B59=Variables!$D$8,C59-Variables!$E$8,IF(B59=Variables!$D$9,C59-Variables!$E$9,IF(B59=Variables!$D$10,C59-Variables!$E$10,IF(B59=Variables!$D$11,C59-Variables!$E$11,"ELSE"))))</f>
        <v>-0.52037013605442173</v>
      </c>
      <c r="F59" s="108">
        <f>VLOOKUP(ROW(F59)+4,'Water runs'!$CH$3:$CU$423,MATCH($B$1,Scenarios,0)+1)</f>
        <v>0</v>
      </c>
      <c r="G59" s="65">
        <f>H59/Variables!$E$49</f>
        <v>0.161</v>
      </c>
      <c r="H59" s="62">
        <f>IF((H58+I59)&gt;(1.1*Variables!$E$50),(1.1*Variables!$E$50),IF((H58+I59)&gt;0,H58+I59,0))</f>
        <v>0.99820000000000009</v>
      </c>
      <c r="I59" s="64">
        <f t="shared" si="1"/>
        <v>0</v>
      </c>
      <c r="J59" s="63">
        <f>IF(SUM(E55:E58)&lt;Variables!$B$3,-H58,0)</f>
        <v>-0.99820000000000009</v>
      </c>
      <c r="K59" s="64">
        <f>IF(AND(H58&lt;Variables!$B$6*Variables!$E$50,OR(SUM(D56:D59)&gt;Variables!$B$5,SUM(E56:E59)&gt;Variables!$B$4)),Variables!$B$6*Variables!$E$50+Variables!$B$7*$G$1*Variables!$E$50*SUM(D56:D59),0)</f>
        <v>0</v>
      </c>
      <c r="L59" s="64">
        <f>IF(B59="Winter",Variables!$B$8*H58,0)</f>
        <v>0</v>
      </c>
      <c r="M59" s="64">
        <f>IF(AND(B59="Spring",AND(NOT(H58=0),H58&lt;(Variables!$B$9*Variables!$E$50))),(Variables!$B$10*Variables!$E$50+Variables!$B$11*Variables!$E$50*SUM(E56:E59)+$G$1*SUM(D58:D59)*Variables!$E$50*Variables!$B$12),0)</f>
        <v>0</v>
      </c>
      <c r="N59" s="64">
        <f>IF(AND(B59="Spring",AND(SUM(D56:D59)&gt;Variables!$B$13,SUM(D52:D55)&gt;Variables!$B$13)),-Variables!$B$14*Variables!$E$50,0)</f>
        <v>0</v>
      </c>
      <c r="O59" s="64">
        <f>IF(AND(B59="Summer",SUM(C55:D59)&gt;Variables!$B$15),(Variables!$B$16*Variables!$E$50*SUM(C55:C59)+$G$1*Variables!$B$16*Variables!$E$50*SUM(D55:D59)+$G$1*Variables!$E$50*Variables!$B$17*F59),0)</f>
        <v>0</v>
      </c>
      <c r="P59" s="64">
        <f>IF(AND(AND(B59="Autumn",SUM(D58:E59)&gt;0),NOT(H58=0)),Variables!$B$18*Variables!$E$50+Variables!$B$19*Variables!$E$50*SUM(E58:E59)+$G$1*Variables!$B$19*Variables!$E$50*SUM(D58:D59),0)</f>
        <v>0</v>
      </c>
      <c r="Q59" s="64">
        <f>IF(AND(B59="Autumn",AND((E59+E58)&lt;Variables!$B$20,(D58+D59)=0)),-Variables!$B$21*Variables!$E$50,0)</f>
        <v>0</v>
      </c>
      <c r="R59" s="64">
        <f>IF(B59="Autumn",(SUM(F58:F59)*$G$1*Variables!$B$22*Variables!$E$50),0)</f>
        <v>0</v>
      </c>
      <c r="S59" s="64">
        <f>IF(B59="Spring",($G$1*Variables!$E$50*SUM('Guts (option 2)'!F58:F59)*Variables!$B$23),0)</f>
        <v>0</v>
      </c>
      <c r="T59" s="63">
        <f>IF((H58+SUM(J59:Q59))&lt;(Variables!$B$26*Variables!$E$50),$F$1*((Variables!$B$26*Variables!$E$50)-H58-SUM(J59:Q59)),0)</f>
        <v>0.99820000000000009</v>
      </c>
      <c r="U59" s="64">
        <f>IF(AND(AND(B59="Autumn",SUM(D56:E59)&gt;Variables!$B$27),SUM(J59:Q59)&lt;Variables!$B$28*H58),$F$1*(Variables!$B$28*H58-SUM(J59:Q59)),0)</f>
        <v>0</v>
      </c>
      <c r="V59" s="96">
        <f>IF(AND((J59+K59)=0,(Q59+T59)=0),$H$1*H59*Variables!$I$23*0.25,0)</f>
        <v>0</v>
      </c>
      <c r="W59" s="97">
        <f>IF(AND((K59+J59)=0,(T59+Q59)=0),$I$1*H59*Variables!$Q$23*0.25,0)</f>
        <v>0</v>
      </c>
      <c r="X59" s="95">
        <f>IF(AND(NOT(K59=0),(H59-H58)&gt;0),(H59-H58)*(Variables!$M$5*$H$1+Variables!$U$5*$I$1),0)+IF(AND(NOT((J59+N59+Q59)=0),(H58-H59)&gt;0),(H58-H59)*(Variables!$M$4*$H$1+Variables!$U$4*$I$1),0)</f>
        <v>0</v>
      </c>
      <c r="Y59" s="95">
        <f>IF(SUM(T59,U58:U59)&gt;0,H59*Variables!$Y$11*0.25*(1-$J$1),0)</f>
        <v>-6.9874000000000018</v>
      </c>
      <c r="Z59" s="95">
        <f>IF(T59=0,H59*$J$1*Variables!$Y$5*0.25,0)</f>
        <v>0</v>
      </c>
      <c r="AA59" s="95">
        <f t="shared" si="0"/>
        <v>-6.9874000000000018</v>
      </c>
      <c r="AB59" s="91">
        <f>AA59/Variables!$E$49</f>
        <v>-1.1270000000000002</v>
      </c>
    </row>
    <row r="60" spans="1:29" x14ac:dyDescent="0.25">
      <c r="A60" s="61">
        <f>'Water runs'!C67</f>
        <v>7457</v>
      </c>
      <c r="B60" s="61" t="str">
        <f>'Water runs'!B67</f>
        <v>Autumn</v>
      </c>
      <c r="C60" s="54">
        <f>'Water runs'!D67/100</f>
        <v>0.25679999999999997</v>
      </c>
      <c r="D60" s="108">
        <f>VLOOKUP(ROW(D60)+4,'Water runs'!$BS$3:$CF$423,MATCH($B$1,Scenarios,0)+1)</f>
        <v>0</v>
      </c>
      <c r="E60" s="54">
        <f>IF(B60=Variables!$D$8,C60-Variables!$E$8,IF(B60=Variables!$D$9,C60-Variables!$E$9,IF(B60=Variables!$D$10,C60-Variables!$E$10,IF(B60=Variables!$D$11,C60-Variables!$E$11,"ELSE"))))</f>
        <v>-0.73784329931972792</v>
      </c>
      <c r="F60" s="108">
        <f>VLOOKUP(ROW(F60)+4,'Water runs'!$CH$3:$CU$423,MATCH($B$1,Scenarios,0)+1)</f>
        <v>0</v>
      </c>
      <c r="G60" s="65">
        <f>H60/Variables!$E$49</f>
        <v>0.161</v>
      </c>
      <c r="H60" s="62">
        <f>IF((H59+I60)&gt;(1.1*Variables!$E$50),(1.1*Variables!$E$50),IF((H59+I60)&gt;0,H59+I60,0))</f>
        <v>0.99820000000000009</v>
      </c>
      <c r="I60" s="64">
        <f t="shared" si="1"/>
        <v>0</v>
      </c>
      <c r="J60" s="63">
        <f>IF(SUM(E56:E59)&lt;Variables!$B$3,-H59,0)</f>
        <v>0</v>
      </c>
      <c r="K60" s="64">
        <f>IF(AND(H59&lt;Variables!$B$6*Variables!$E$50,OR(SUM(D57:D60)&gt;Variables!$B$5,SUM(E57:E60)&gt;Variables!$B$4)),Variables!$B$6*Variables!$E$50+Variables!$B$7*$G$1*Variables!$E$50*SUM(D57:D60),0)</f>
        <v>0</v>
      </c>
      <c r="L60" s="64">
        <f>IF(B60="Winter",Variables!$B$8*H59,0)</f>
        <v>0</v>
      </c>
      <c r="M60" s="64">
        <f>IF(AND(B60="Spring",AND(NOT(H59=0),H59&lt;(Variables!$B$9*Variables!$E$50))),(Variables!$B$10*Variables!$E$50+Variables!$B$11*Variables!$E$50*SUM(E57:E60)+$G$1*SUM(D59:D60)*Variables!$E$50*Variables!$B$12),0)</f>
        <v>0</v>
      </c>
      <c r="N60" s="64">
        <f>IF(AND(B60="Spring",AND(SUM(D57:D60)&gt;Variables!$B$13,SUM(D53:D56)&gt;Variables!$B$13)),-Variables!$B$14*Variables!$E$50,0)</f>
        <v>0</v>
      </c>
      <c r="O60" s="64">
        <f>IF(AND(B60="Summer",SUM(C56:D60)&gt;Variables!$B$15),(Variables!$B$16*Variables!$E$50*SUM(C56:C60)+$G$1*Variables!$B$16*Variables!$E$50*SUM(D56:D60)+$G$1*Variables!$E$50*Variables!$B$17*F60),0)</f>
        <v>0</v>
      </c>
      <c r="P60" s="64">
        <f>IF(AND(AND(B60="Autumn",SUM(D59:E60)&gt;0),NOT(H59=0)),Variables!$B$18*Variables!$E$50+Variables!$B$19*Variables!$E$50*SUM(E59:E60)+$G$1*Variables!$B$19*Variables!$E$50*SUM(D59:D60),0)</f>
        <v>0</v>
      </c>
      <c r="Q60" s="64">
        <f>IF(AND(B60="Autumn",AND((E60+E59)&lt;Variables!$B$20,(D59+D60)=0)),-Variables!$B$21*Variables!$E$50,0)</f>
        <v>0</v>
      </c>
      <c r="R60" s="64">
        <f>IF(B60="Autumn",(SUM(F59:F60)*$G$1*Variables!$B$22*Variables!$E$50),0)</f>
        <v>0</v>
      </c>
      <c r="S60" s="64">
        <f>IF(B60="Spring",($G$1*Variables!$E$50*SUM('Guts (option 2)'!F59:F60)*Variables!$B$23),0)</f>
        <v>0</v>
      </c>
      <c r="T60" s="63">
        <f>IF((H59+SUM(J60:Q60))&lt;(Variables!$B$26*Variables!$E$50),$F$1*((Variables!$B$26*Variables!$E$50)-H59-SUM(J60:Q60)),0)</f>
        <v>0</v>
      </c>
      <c r="U60" s="64">
        <f>IF(AND(AND(B60="Autumn",SUM(D57:E60)&gt;Variables!$B$27),SUM(J60:Q60)&lt;Variables!$B$28*H59),$F$1*(Variables!$B$28*H59-SUM(J60:Q60)),0)</f>
        <v>0</v>
      </c>
      <c r="V60" s="96">
        <f>IF(AND((J60+K60)=0,(Q60+T60)=0),$H$1*H60*Variables!$I$23*0.25,0)</f>
        <v>6.4118212433333337</v>
      </c>
      <c r="W60" s="97">
        <f>IF(AND((K60+J60)=0,(T60+Q60)=0),$I$1*H60*Variables!$Q$23*0.25,0)</f>
        <v>6.7114808833333326</v>
      </c>
      <c r="X60" s="95">
        <f>IF(AND(NOT(K60=0),(H60-H59)&gt;0),(H60-H59)*(Variables!$M$5*$H$1+Variables!$U$5*$I$1),0)+IF(AND(NOT((J60+N60+Q60)=0),(H59-H60)&gt;0),(H59-H60)*(Variables!$M$4*$H$1+Variables!$U$4*$I$1),0)</f>
        <v>0</v>
      </c>
      <c r="Y60" s="95">
        <f>IF(SUM(T60,U59:U60)&gt;0,H60*Variables!$Y$11*0.25*(1-$J$1),0)</f>
        <v>0</v>
      </c>
      <c r="Z60" s="95">
        <f>IF(T60=0,H60*$J$1*Variables!$Y$5*0.25,0)</f>
        <v>2.1627666666666667</v>
      </c>
      <c r="AA60" s="95">
        <f t="shared" si="0"/>
        <v>15.286068793333332</v>
      </c>
      <c r="AB60" s="91">
        <f>AA60/Variables!$E$49</f>
        <v>2.4654949666666663</v>
      </c>
    </row>
    <row r="61" spans="1:29" x14ac:dyDescent="0.25">
      <c r="A61" s="61">
        <f>'Water runs'!C68</f>
        <v>7549</v>
      </c>
      <c r="B61" s="61" t="str">
        <f>'Water runs'!B68</f>
        <v>Winter</v>
      </c>
      <c r="C61" s="54">
        <f>'Water runs'!D68/100</f>
        <v>2.37995</v>
      </c>
      <c r="D61" s="108">
        <f>VLOOKUP(ROW(D61)+4,'Water runs'!$BS$3:$CF$423,MATCH($B$1,Scenarios,0)+1)</f>
        <v>0.16007806870996602</v>
      </c>
      <c r="E61" s="54">
        <f>IF(B61=Variables!$D$8,C61-Variables!$E$8,IF(B61=Variables!$D$9,C61-Variables!$E$9,IF(B61=Variables!$D$10,C61-Variables!$E$10,IF(B61=Variables!$D$11,C61-Variables!$E$11,"ELSE"))))</f>
        <v>1.8081823743386243</v>
      </c>
      <c r="F61" s="108">
        <f>VLOOKUP(ROW(F61)+4,'Water runs'!$CH$3:$CU$423,MATCH($B$1,Scenarios,0)+1)</f>
        <v>7.9151853933918714E-2</v>
      </c>
      <c r="G61" s="65">
        <f>H61/Variables!$E$49</f>
        <v>0.161</v>
      </c>
      <c r="H61" s="62">
        <f>IF((H60+I61)&gt;(1.1*Variables!$E$50),(1.1*Variables!$E$50),IF((H60+I61)&gt;0,H60+I61,0))</f>
        <v>0.99820000000000009</v>
      </c>
      <c r="I61" s="64">
        <f t="shared" si="1"/>
        <v>0</v>
      </c>
      <c r="J61" s="63">
        <f>IF(SUM(E57:E60)&lt;Variables!$B$3,-H60,0)</f>
        <v>-0.99820000000000009</v>
      </c>
      <c r="K61" s="64">
        <f>IF(AND(H60&lt;Variables!$B$6*Variables!$E$50,OR(SUM(D58:D61)&gt;Variables!$B$5,SUM(E58:E61)&gt;Variables!$B$4)),Variables!$B$6*Variables!$E$50+Variables!$B$7*$G$1*Variables!$E$50*SUM(D58:D61),0)</f>
        <v>1.1509236165828709</v>
      </c>
      <c r="L61" s="64">
        <f>IF(B61="Winter",Variables!$B$8*H60,0)</f>
        <v>-0.49704894489176149</v>
      </c>
      <c r="M61" s="64">
        <f>IF(AND(B61="Spring",AND(NOT(H60=0),H60&lt;(Variables!$B$9*Variables!$E$50))),(Variables!$B$10*Variables!$E$50+Variables!$B$11*Variables!$E$50*SUM(E58:E61)+$G$1*SUM(D60:D61)*Variables!$E$50*Variables!$B$12),0)</f>
        <v>0</v>
      </c>
      <c r="N61" s="64">
        <f>IF(AND(B61="Spring",AND(SUM(D58:D61)&gt;Variables!$B$13,SUM(D54:D57)&gt;Variables!$B$13)),-Variables!$B$14*Variables!$E$50,0)</f>
        <v>0</v>
      </c>
      <c r="O61" s="64">
        <f>IF(AND(B61="Summer",SUM(C57:D61)&gt;Variables!$B$15),(Variables!$B$16*Variables!$E$50*SUM(C57:C61)+$G$1*Variables!$B$16*Variables!$E$50*SUM(D57:D61)+$G$1*Variables!$E$50*Variables!$B$17*F61),0)</f>
        <v>0</v>
      </c>
      <c r="P61" s="64">
        <f>IF(AND(AND(B61="Autumn",SUM(D60:E61)&gt;0),NOT(H60=0)),Variables!$B$18*Variables!$E$50+Variables!$B$19*Variables!$E$50*SUM(E60:E61)+$G$1*Variables!$B$19*Variables!$E$50*SUM(D60:D61),0)</f>
        <v>0</v>
      </c>
      <c r="Q61" s="64">
        <f>IF(AND(B61="Autumn",AND((E61+E60)&lt;Variables!$B$20,(D60+D61)=0)),-Variables!$B$21*Variables!$E$50,0)</f>
        <v>0</v>
      </c>
      <c r="R61" s="64">
        <f>IF(B61="Autumn",(SUM(F60:F61)*$G$1*Variables!$B$22*Variables!$E$50),0)</f>
        <v>0</v>
      </c>
      <c r="S61" s="64">
        <f>IF(B61="Spring",($G$1*Variables!$E$50*SUM('Guts (option 2)'!F60:F61)*Variables!$B$23),0)</f>
        <v>0</v>
      </c>
      <c r="T61" s="63">
        <f>IF((H60+SUM(J61:Q61))&lt;(Variables!$B$26*Variables!$E$50),$F$1*((Variables!$B$26*Variables!$E$50)-H60-SUM(J61:Q61)),0)</f>
        <v>0.34432532830889068</v>
      </c>
      <c r="U61" s="64">
        <f>IF(AND(AND(B61="Autumn",SUM(D58:E61)&gt;Variables!$B$27),SUM(J61:Q61)&lt;Variables!$B$28*H60),$F$1*(Variables!$B$28*H60-SUM(J61:Q61)),0)</f>
        <v>0</v>
      </c>
      <c r="V61" s="96">
        <f>IF(AND((J61+K61)=0,(Q61+T61)=0),$H$1*H61*Variables!$I$23*0.25,0)</f>
        <v>0</v>
      </c>
      <c r="W61" s="97">
        <f>IF(AND((K61+J61)=0,(T61+Q61)=0),$I$1*H61*Variables!$Q$23*0.25,0)</f>
        <v>0</v>
      </c>
      <c r="X61" s="95">
        <f>IF(AND(NOT(K61=0),(H61-H60)&gt;0),(H61-H60)*(Variables!$M$5*$H$1+Variables!$U$5*$I$1),0)+IF(AND(NOT((J61+N61+Q61)=0),(H60-H61)&gt;0),(H60-H61)*(Variables!$M$4*$H$1+Variables!$U$4*$I$1),0)</f>
        <v>0</v>
      </c>
      <c r="Y61" s="95">
        <f>IF(SUM(T61,U60:U61)&gt;0,H61*Variables!$Y$11*0.25*(1-$J$1),0)</f>
        <v>-6.9874000000000018</v>
      </c>
      <c r="Z61" s="95">
        <f>IF(T61=0,H61*$J$1*Variables!$Y$5*0.25,0)</f>
        <v>0</v>
      </c>
      <c r="AA61" s="95">
        <f t="shared" si="0"/>
        <v>-6.9874000000000018</v>
      </c>
      <c r="AB61" s="91">
        <f>AA61/Variables!$E$49</f>
        <v>-1.1270000000000002</v>
      </c>
    </row>
    <row r="62" spans="1:29" x14ac:dyDescent="0.25">
      <c r="A62" s="61">
        <f>'Water runs'!C69</f>
        <v>7640</v>
      </c>
      <c r="B62" s="61" t="str">
        <f>'Water runs'!B69</f>
        <v>Spring</v>
      </c>
      <c r="C62" s="54">
        <f>'Water runs'!D69/100</f>
        <v>0.70299999999999996</v>
      </c>
      <c r="D62" s="108">
        <f>VLOOKUP(ROW(D62)+4,'Water runs'!$BS$3:$CF$423,MATCH($B$1,Scenarios,0)+1)</f>
        <v>0</v>
      </c>
      <c r="E62" s="54">
        <f>IF(B62=Variables!$D$8,C62-Variables!$E$8,IF(B62=Variables!$D$9,C62-Variables!$E$9,IF(B62=Variables!$D$10,C62-Variables!$E$10,IF(B62=Variables!$D$11,C62-Variables!$E$11,"ELSE"))))</f>
        <v>-6.0982208994709186E-2</v>
      </c>
      <c r="F62" s="108">
        <f>VLOOKUP(ROW(F62)+4,'Water runs'!$CH$3:$CU$423,MATCH($B$1,Scenarios,0)+1)</f>
        <v>0</v>
      </c>
      <c r="G62" s="65">
        <f>H62/Variables!$E$49</f>
        <v>0.41153914589081375</v>
      </c>
      <c r="H62" s="62">
        <f>IF((H61+I62)&gt;(1.1*Variables!$E$50),(1.1*Variables!$E$50),IF((H61+I62)&gt;0,H61+I62,0))</f>
        <v>2.5515427045230452</v>
      </c>
      <c r="I62" s="64">
        <f t="shared" si="1"/>
        <v>1.5533427045230452</v>
      </c>
      <c r="J62" s="63">
        <f>IF(SUM(E58:E61)&lt;Variables!$B$3,-H61,0)</f>
        <v>0</v>
      </c>
      <c r="K62" s="64">
        <f>IF(AND(H61&lt;Variables!$B$6*Variables!$E$50,OR(SUM(D59:D62)&gt;Variables!$B$5,SUM(E59:E62)&gt;Variables!$B$4)),Variables!$B$6*Variables!$E$50+Variables!$B$7*$G$1*Variables!$E$50*SUM(D59:D62),0)</f>
        <v>1.1509236165828709</v>
      </c>
      <c r="L62" s="64">
        <f>IF(B62="Winter",Variables!$B$8*H61,0)</f>
        <v>0</v>
      </c>
      <c r="M62" s="64">
        <f>IF(AND(B62="Spring",AND(NOT(H61=0),H61&lt;(Variables!$B$9*Variables!$E$50))),(Variables!$B$10*Variables!$E$50+Variables!$B$11*Variables!$E$50*SUM(E59:E62)+$G$1*SUM(D61:D62)*Variables!$E$50*Variables!$B$12),0)</f>
        <v>0.39229070790984599</v>
      </c>
      <c r="N62" s="64">
        <f>IF(AND(B62="Spring",AND(SUM(D59:D62)&gt;Variables!$B$13,SUM(D55:D58)&gt;Variables!$B$13)),-Variables!$B$14*Variables!$E$50,0)</f>
        <v>0</v>
      </c>
      <c r="O62" s="64">
        <f>IF(AND(B62="Summer",SUM(C58:D62)&gt;Variables!$B$15),(Variables!$B$16*Variables!$E$50*SUM(C58:C62)+$G$1*Variables!$B$16*Variables!$E$50*SUM(D58:D62)+$G$1*Variables!$E$50*Variables!$B$17*F62),0)</f>
        <v>0</v>
      </c>
      <c r="P62" s="64">
        <f>IF(AND(AND(B62="Autumn",SUM(D61:E62)&gt;0),NOT(H61=0)),Variables!$B$18*Variables!$E$50+Variables!$B$19*Variables!$E$50*SUM(E61:E62)+$G$1*Variables!$B$19*Variables!$E$50*SUM(D61:D62),0)</f>
        <v>0</v>
      </c>
      <c r="Q62" s="64">
        <f>IF(AND(B62="Autumn",AND((E62+E61)&lt;Variables!$B$20,(D61+D62)=0)),-Variables!$B$21*Variables!$E$50,0)</f>
        <v>0</v>
      </c>
      <c r="R62" s="64">
        <f>IF(B62="Autumn",(SUM(F61:F62)*$G$1*Variables!$B$22*Variables!$E$50),0)</f>
        <v>0</v>
      </c>
      <c r="S62" s="64">
        <f>IF(B62="Spring",($G$1*Variables!$E$50*SUM('Guts (option 2)'!F61:F62)*Variables!$B$23),0)</f>
        <v>1.0128380030328137E-2</v>
      </c>
      <c r="T62" s="63">
        <f>IF((H61+SUM(J62:Q62))&lt;(Variables!$B$26*Variables!$E$50),$F$1*((Variables!$B$26*Variables!$E$50)-H61-SUM(J62:Q62)),0)</f>
        <v>0</v>
      </c>
      <c r="U62" s="64">
        <f>IF(AND(AND(B62="Autumn",SUM(D59:E62)&gt;Variables!$B$27),SUM(J62:Q62)&lt;Variables!$B$28*H61),$F$1*(Variables!$B$28*H61-SUM(J62:Q62)),0)</f>
        <v>0</v>
      </c>
      <c r="V62" s="96">
        <f>IF(AND((J62+K62)=0,(Q62+T62)=0),$H$1*H62*Variables!$I$23*0.25,0)</f>
        <v>0</v>
      </c>
      <c r="W62" s="97">
        <f>IF(AND((K62+J62)=0,(T62+Q62)=0),$I$1*H62*Variables!$Q$23*0.25,0)</f>
        <v>0</v>
      </c>
      <c r="X62" s="95">
        <f>IF(AND(NOT(K62=0),(H62-H61)&gt;0),(H62-H61)*(Variables!$M$5*$H$1+Variables!$U$5*$I$1),0)+IF(AND(NOT((J62+N62+Q62)=0),(H61-H62)&gt;0),(H61-H62)*(Variables!$M$4*$H$1+Variables!$U$4*$I$1),0)</f>
        <v>-129.4452253769204</v>
      </c>
      <c r="Y62" s="95">
        <f>IF(SUM(T62,U61:U62)&gt;0,H62*Variables!$Y$11*0.25*(1-$J$1),0)</f>
        <v>0</v>
      </c>
      <c r="Z62" s="95">
        <f>IF(T62=0,H62*$J$1*Variables!$Y$5*0.25,0)</f>
        <v>5.5283425264665977</v>
      </c>
      <c r="AA62" s="95">
        <f t="shared" si="0"/>
        <v>-123.9168828504538</v>
      </c>
      <c r="AB62" s="91">
        <f>AA62/Variables!$E$49</f>
        <v>-19.986594008137711</v>
      </c>
    </row>
    <row r="63" spans="1:29" x14ac:dyDescent="0.25">
      <c r="A63" s="61">
        <f>'Water runs'!C70</f>
        <v>7730</v>
      </c>
      <c r="B63" s="61" t="str">
        <f>'Water runs'!B70</f>
        <v>Summer</v>
      </c>
      <c r="C63" s="54">
        <f>'Water runs'!D70/100</f>
        <v>1.3653999999999999</v>
      </c>
      <c r="D63" s="108">
        <f>VLOOKUP(ROW(D63)+4,'Water runs'!$BS$3:$CF$423,MATCH($B$1,Scenarios,0)+1)</f>
        <v>0</v>
      </c>
      <c r="E63" s="54">
        <f>IF(B63=Variables!$D$8,C63-Variables!$E$8,IF(B63=Variables!$D$9,C63-Variables!$E$9,IF(B63=Variables!$D$10,C63-Variables!$E$10,IF(B63=Variables!$D$11,C63-Variables!$E$11,"ELSE"))))</f>
        <v>0.10702986394557823</v>
      </c>
      <c r="F63" s="108">
        <f>VLOOKUP(ROW(F63)+4,'Water runs'!$CH$3:$CU$423,MATCH($B$1,Scenarios,0)+1)</f>
        <v>0</v>
      </c>
      <c r="G63" s="65">
        <f>H63/Variables!$E$49</f>
        <v>0.41153914589081375</v>
      </c>
      <c r="H63" s="62">
        <f>IF((H62+I63)&gt;(1.1*Variables!$E$50),(1.1*Variables!$E$50),IF((H62+I63)&gt;0,H62+I63,0))</f>
        <v>2.5515427045230452</v>
      </c>
      <c r="I63" s="64">
        <f t="shared" si="1"/>
        <v>0</v>
      </c>
      <c r="J63" s="63">
        <f>IF(SUM(E59:E62)&lt;Variables!$B$3,-H62,0)</f>
        <v>0</v>
      </c>
      <c r="K63" s="64">
        <f>IF(AND(H62&lt;Variables!$B$6*Variables!$E$50,OR(SUM(D60:D63)&gt;Variables!$B$5,SUM(E60:E63)&gt;Variables!$B$4)),Variables!$B$6*Variables!$E$50+Variables!$B$7*$G$1*Variables!$E$50*SUM(D60:D63),0)</f>
        <v>0</v>
      </c>
      <c r="L63" s="64">
        <f>IF(B63="Winter",Variables!$B$8*H62,0)</f>
        <v>0</v>
      </c>
      <c r="M63" s="64">
        <f>IF(AND(B63="Spring",AND(NOT(H62=0),H62&lt;(Variables!$B$9*Variables!$E$50))),(Variables!$B$10*Variables!$E$50+Variables!$B$11*Variables!$E$50*SUM(E60:E63)+$G$1*SUM(D62:D63)*Variables!$E$50*Variables!$B$12),0)</f>
        <v>0</v>
      </c>
      <c r="N63" s="64">
        <f>IF(AND(B63="Spring",AND(SUM(D60:D63)&gt;Variables!$B$13,SUM(D56:D59)&gt;Variables!$B$13)),-Variables!$B$14*Variables!$E$50,0)</f>
        <v>0</v>
      </c>
      <c r="O63" s="64">
        <f>IF(AND(B63="Summer",SUM(C59:D63)&gt;Variables!$B$15),(Variables!$B$16*Variables!$E$50*SUM(C59:C63)+$G$1*Variables!$B$16*Variables!$E$50*SUM(D59:D63)+$G$1*Variables!$E$50*Variables!$B$17*F63),0)</f>
        <v>0</v>
      </c>
      <c r="P63" s="64">
        <f>IF(AND(AND(B63="Autumn",SUM(D62:E63)&gt;0),NOT(H62=0)),Variables!$B$18*Variables!$E$50+Variables!$B$19*Variables!$E$50*SUM(E62:E63)+$G$1*Variables!$B$19*Variables!$E$50*SUM(D62:D63),0)</f>
        <v>0</v>
      </c>
      <c r="Q63" s="64">
        <f>IF(AND(B63="Autumn",AND((E63+E62)&lt;Variables!$B$20,(D62+D63)=0)),-Variables!$B$21*Variables!$E$50,0)</f>
        <v>0</v>
      </c>
      <c r="R63" s="64">
        <f>IF(B63="Autumn",(SUM(F62:F63)*$G$1*Variables!$B$22*Variables!$E$50),0)</f>
        <v>0</v>
      </c>
      <c r="S63" s="64">
        <f>IF(B63="Spring",($G$1*Variables!$E$50*SUM('Guts (option 2)'!F62:F63)*Variables!$B$23),0)</f>
        <v>0</v>
      </c>
      <c r="T63" s="63">
        <f>IF((H62+SUM(J63:Q63))&lt;(Variables!$B$26*Variables!$E$50),$F$1*((Variables!$B$26*Variables!$E$50)-H62-SUM(J63:Q63)),0)</f>
        <v>0</v>
      </c>
      <c r="U63" s="64">
        <f>IF(AND(AND(B63="Autumn",SUM(D60:E63)&gt;Variables!$B$27),SUM(J63:Q63)&lt;Variables!$B$28*H62),$F$1*(Variables!$B$28*H62-SUM(J63:Q63)),0)</f>
        <v>0</v>
      </c>
      <c r="V63" s="96">
        <f>IF(AND((J63+K63)=0,(Q63+T63)=0),$H$1*H63*Variables!$I$23*0.25,0)</f>
        <v>16.389536882521586</v>
      </c>
      <c r="W63" s="97">
        <f>IF(AND((K63+J63)=0,(T63+Q63)=0),$I$1*H63*Variables!$Q$23*0.25,0)</f>
        <v>17.155510002419405</v>
      </c>
      <c r="X63" s="95">
        <f>IF(AND(NOT(K63=0),(H63-H62)&gt;0),(H63-H62)*(Variables!$M$5*$H$1+Variables!$U$5*$I$1),0)+IF(AND(NOT((J63+N63+Q63)=0),(H62-H63)&gt;0),(H62-H63)*(Variables!$M$4*$H$1+Variables!$U$4*$I$1),0)</f>
        <v>0</v>
      </c>
      <c r="Y63" s="95">
        <f>IF(SUM(T63,U62:U63)&gt;0,H63*Variables!$Y$11*0.25*(1-$J$1),0)</f>
        <v>0</v>
      </c>
      <c r="Z63" s="95">
        <f>IF(T63=0,H63*$J$1*Variables!$Y$5*0.25,0)</f>
        <v>5.5283425264665977</v>
      </c>
      <c r="AA63" s="95">
        <f t="shared" si="0"/>
        <v>39.073389411407582</v>
      </c>
      <c r="AB63" s="91">
        <f>AA63/Variables!$E$49</f>
        <v>6.3021595824850936</v>
      </c>
    </row>
    <row r="64" spans="1:29" x14ac:dyDescent="0.25">
      <c r="A64" s="61">
        <f>'Water runs'!C71</f>
        <v>7822</v>
      </c>
      <c r="B64" s="61" t="str">
        <f>'Water runs'!B71</f>
        <v>Autumn</v>
      </c>
      <c r="C64" s="54">
        <f>'Water runs'!D71/100</f>
        <v>1.7924</v>
      </c>
      <c r="D64" s="108">
        <f>VLOOKUP(ROW(D64)+4,'Water runs'!$BS$3:$CF$423,MATCH($B$1,Scenarios,0)+1)</f>
        <v>0</v>
      </c>
      <c r="E64" s="54">
        <f>IF(B64=Variables!$D$8,C64-Variables!$E$8,IF(B64=Variables!$D$9,C64-Variables!$E$9,IF(B64=Variables!$D$10,C64-Variables!$E$10,IF(B64=Variables!$D$11,C64-Variables!$E$11,"ELSE"))))</f>
        <v>0.79775670068027216</v>
      </c>
      <c r="F64" s="108">
        <f>VLOOKUP(ROW(F64)+4,'Water runs'!$CH$3:$CU$423,MATCH($B$1,Scenarios,0)+1)</f>
        <v>0</v>
      </c>
      <c r="G64" s="65">
        <f>H64/Variables!$E$49</f>
        <v>0.78975585867210796</v>
      </c>
      <c r="H64" s="62">
        <f>IF((H63+I64)&gt;(1.1*Variables!$E$50),(1.1*Variables!$E$50),IF((H63+I64)&gt;0,H63+I64,0))</f>
        <v>4.8964863237670695</v>
      </c>
      <c r="I64" s="64">
        <f t="shared" si="1"/>
        <v>2.3449436192440243</v>
      </c>
      <c r="J64" s="63">
        <f>IF(SUM(E60:E63)&lt;Variables!$B$3,-H63,0)</f>
        <v>0</v>
      </c>
      <c r="K64" s="64">
        <f>IF(AND(H63&lt;Variables!$B$6*Variables!$E$50,OR(SUM(D61:D64)&gt;Variables!$B$5,SUM(E61:E64)&gt;Variables!$B$4)),Variables!$B$6*Variables!$E$50+Variables!$B$7*$G$1*Variables!$E$50*SUM(D61:D64),0)</f>
        <v>0</v>
      </c>
      <c r="L64" s="64">
        <f>IF(B64="Winter",Variables!$B$8*H63,0)</f>
        <v>0</v>
      </c>
      <c r="M64" s="64">
        <f>IF(AND(B64="Spring",AND(NOT(H63=0),H63&lt;(Variables!$B$9*Variables!$E$50))),(Variables!$B$10*Variables!$E$50+Variables!$B$11*Variables!$E$50*SUM(E61:E64)+$G$1*SUM(D63:D64)*Variables!$E$50*Variables!$B$12),0)</f>
        <v>0</v>
      </c>
      <c r="N64" s="64">
        <f>IF(AND(B64="Spring",AND(SUM(D61:D64)&gt;Variables!$B$13,SUM(D57:D60)&gt;Variables!$B$13)),-Variables!$B$14*Variables!$E$50,0)</f>
        <v>0</v>
      </c>
      <c r="O64" s="64">
        <f>IF(AND(B64="Summer",SUM(C60:D64)&gt;Variables!$B$15),(Variables!$B$16*Variables!$E$50*SUM(C60:C64)+$G$1*Variables!$B$16*Variables!$E$50*SUM(D60:D64)+$G$1*Variables!$E$50*Variables!$B$17*F64),0)</f>
        <v>0</v>
      </c>
      <c r="P64" s="64">
        <f>IF(AND(AND(B64="Autumn",SUM(D63:E64)&gt;0),NOT(H63=0)),Variables!$B$18*Variables!$E$50+Variables!$B$19*Variables!$E$50*SUM(E63:E64)+$G$1*Variables!$B$19*Variables!$E$50*SUM(D63:D64),0)</f>
        <v>2.3449436192440243</v>
      </c>
      <c r="Q64" s="64">
        <f>IF(AND(B64="Autumn",AND((E64+E63)&lt;Variables!$B$20,(D63+D64)=0)),-Variables!$B$21*Variables!$E$50,0)</f>
        <v>0</v>
      </c>
      <c r="R64" s="64">
        <f>IF(B64="Autumn",(SUM(F63:F64)*$G$1*Variables!$B$22*Variables!$E$50),0)</f>
        <v>0</v>
      </c>
      <c r="S64" s="64">
        <f>IF(B64="Spring",($G$1*Variables!$E$50*SUM('Guts (option 2)'!F63:F64)*Variables!$B$23),0)</f>
        <v>0</v>
      </c>
      <c r="T64" s="63">
        <f>IF((H63+SUM(J64:Q64))&lt;(Variables!$B$26*Variables!$E$50),$F$1*((Variables!$B$26*Variables!$E$50)-H63-SUM(J64:Q64)),0)</f>
        <v>0</v>
      </c>
      <c r="U64" s="64">
        <f>IF(AND(AND(B64="Autumn",SUM(D61:E64)&gt;Variables!$B$27),SUM(J64:Q64)&lt;Variables!$B$28*H63),$F$1*(Variables!$B$28*H63-SUM(J64:Q64)),0)</f>
        <v>0</v>
      </c>
      <c r="V64" s="96">
        <f>IF(AND((J64+K64)=0,(Q64+T64)=0),$H$1*H64*Variables!$I$23*0.25,0)</f>
        <v>31.452008643980001</v>
      </c>
      <c r="W64" s="97">
        <f>IF(AND((K64+J64)=0,(T64+Q64)=0),$I$1*H64*Variables!$Q$23*0.25,0)</f>
        <v>32.921933838374869</v>
      </c>
      <c r="X64" s="95">
        <f>IF(AND(NOT(K64=0),(H64-H63)&gt;0),(H64-H63)*(Variables!$M$5*$H$1+Variables!$U$5*$I$1),0)+IF(AND(NOT((J64+N64+Q64)=0),(H63-H64)&gt;0),(H63-H64)*(Variables!$M$4*$H$1+Variables!$U$4*$I$1),0)</f>
        <v>0</v>
      </c>
      <c r="Y64" s="95">
        <f>IF(SUM(T64,U63:U64)&gt;0,H64*Variables!$Y$11*0.25*(1-$J$1),0)</f>
        <v>0</v>
      </c>
      <c r="Z64" s="95">
        <f>IF(T64=0,H64*$J$1*Variables!$Y$5*0.25,0)</f>
        <v>10.609053701495316</v>
      </c>
      <c r="AA64" s="95">
        <f t="shared" si="0"/>
        <v>74.982996183850176</v>
      </c>
      <c r="AB64" s="91">
        <f>AA64/Variables!$E$49</f>
        <v>12.09403164255648</v>
      </c>
    </row>
    <row r="65" spans="1:28" x14ac:dyDescent="0.25">
      <c r="A65" s="61">
        <f>'Water runs'!C72</f>
        <v>7914</v>
      </c>
      <c r="B65" s="61" t="str">
        <f>'Water runs'!B72</f>
        <v>Winter</v>
      </c>
      <c r="C65" s="54">
        <f>'Water runs'!D72/100</f>
        <v>1.9356</v>
      </c>
      <c r="D65" s="108">
        <f>VLOOKUP(ROW(D65)+4,'Water runs'!$BS$3:$CF$423,MATCH($B$1,Scenarios,0)+1)</f>
        <v>0.5214871059945051</v>
      </c>
      <c r="E65" s="54">
        <f>IF(B65=Variables!$D$8,C65-Variables!$E$8,IF(B65=Variables!$D$9,C65-Variables!$E$9,IF(B65=Variables!$D$10,C65-Variables!$E$10,IF(B65=Variables!$D$11,C65-Variables!$E$11,"ELSE"))))</f>
        <v>1.3638323743386243</v>
      </c>
      <c r="F65" s="108">
        <f>VLOOKUP(ROW(F65)+4,'Water runs'!$CH$3:$CU$423,MATCH($B$1,Scenarios,0)+1)</f>
        <v>1.5590087807504414</v>
      </c>
      <c r="G65" s="65">
        <f>H65/Variables!$E$49</f>
        <v>0.39650068308098557</v>
      </c>
      <c r="H65" s="62">
        <f>IF((H64+I65)&gt;(1.1*Variables!$E$50),(1.1*Variables!$E$50),IF((H64+I65)&gt;0,H64+I65,0))</f>
        <v>2.4583042351021107</v>
      </c>
      <c r="I65" s="64">
        <f t="shared" si="1"/>
        <v>-2.4381820886649588</v>
      </c>
      <c r="J65" s="63">
        <f>IF(SUM(E61:E64)&lt;Variables!$B$3,-H64,0)</f>
        <v>0</v>
      </c>
      <c r="K65" s="64">
        <f>IF(AND(H64&lt;Variables!$B$6*Variables!$E$50,OR(SUM(D62:D65)&gt;Variables!$B$5,SUM(E62:E65)&gt;Variables!$B$4)),Variables!$B$6*Variables!$E$50+Variables!$B$7*$G$1*Variables!$E$50*SUM(D62:D65),0)</f>
        <v>0</v>
      </c>
      <c r="L65" s="64">
        <f>IF(B65="Winter",Variables!$B$8*H64,0)</f>
        <v>-2.4381820886649588</v>
      </c>
      <c r="M65" s="64">
        <f>IF(AND(B65="Spring",AND(NOT(H64=0),H64&lt;(Variables!$B$9*Variables!$E$50))),(Variables!$B$10*Variables!$E$50+Variables!$B$11*Variables!$E$50*SUM(E62:E65)+$G$1*SUM(D64:D65)*Variables!$E$50*Variables!$B$12),0)</f>
        <v>0</v>
      </c>
      <c r="N65" s="64">
        <f>IF(AND(B65="Spring",AND(SUM(D62:D65)&gt;Variables!$B$13,SUM(D58:D61)&gt;Variables!$B$13)),-Variables!$B$14*Variables!$E$50,0)</f>
        <v>0</v>
      </c>
      <c r="O65" s="64">
        <f>IF(AND(B65="Summer",SUM(C61:D65)&gt;Variables!$B$15),(Variables!$B$16*Variables!$E$50*SUM(C61:C65)+$G$1*Variables!$B$16*Variables!$E$50*SUM(D61:D65)+$G$1*Variables!$E$50*Variables!$B$17*F65),0)</f>
        <v>0</v>
      </c>
      <c r="P65" s="64">
        <f>IF(AND(AND(B65="Autumn",SUM(D64:E65)&gt;0),NOT(H64=0)),Variables!$B$18*Variables!$E$50+Variables!$B$19*Variables!$E$50*SUM(E64:E65)+$G$1*Variables!$B$19*Variables!$E$50*SUM(D64:D65),0)</f>
        <v>0</v>
      </c>
      <c r="Q65" s="64">
        <f>IF(AND(B65="Autumn",AND((E65+E64)&lt;Variables!$B$20,(D64+D65)=0)),-Variables!$B$21*Variables!$E$50,0)</f>
        <v>0</v>
      </c>
      <c r="R65" s="64">
        <f>IF(B65="Autumn",(SUM(F64:F65)*$G$1*Variables!$B$22*Variables!$E$50),0)</f>
        <v>0</v>
      </c>
      <c r="S65" s="64">
        <f>IF(B65="Spring",($G$1*Variables!$E$50*SUM('Guts (option 2)'!F64:F65)*Variables!$B$23),0)</f>
        <v>0</v>
      </c>
      <c r="T65" s="63">
        <f>IF((H64+SUM(J65:Q65))&lt;(Variables!$B$26*Variables!$E$50),$F$1*((Variables!$B$26*Variables!$E$50)-H64-SUM(J65:Q65)),0)</f>
        <v>0</v>
      </c>
      <c r="U65" s="64">
        <f>IF(AND(AND(B65="Autumn",SUM(D62:E65)&gt;Variables!$B$27),SUM(J65:Q65)&lt;Variables!$B$28*H64),$F$1*(Variables!$B$28*H64-SUM(J65:Q65)),0)</f>
        <v>0</v>
      </c>
      <c r="V65" s="96">
        <f>IF(AND((J65+K65)=0,(Q65+T65)=0),$H$1*H65*Variables!$I$23*0.25,0)</f>
        <v>15.790630452017647</v>
      </c>
      <c r="W65" s="97">
        <f>IF(AND((K65+J65)=0,(T65+Q65)=0),$I$1*H65*Variables!$Q$23*0.25,0)</f>
        <v>16.5286133833953</v>
      </c>
      <c r="X65" s="95">
        <f>IF(AND(NOT(K65=0),(H65-H64)&gt;0),(H65-H64)*(Variables!$M$5*$H$1+Variables!$U$5*$I$1),0)+IF(AND(NOT((J65+N65+Q65)=0),(H64-H65)&gt;0),(H64-H65)*(Variables!$M$4*$H$1+Variables!$U$4*$I$1),0)</f>
        <v>0</v>
      </c>
      <c r="Y65" s="95">
        <f>IF(SUM(T65,U64:U65)&gt;0,H65*Variables!$Y$11*0.25*(1-$J$1),0)</f>
        <v>0</v>
      </c>
      <c r="Z65" s="95">
        <f>IF(T65=0,H65*$J$1*Variables!$Y$5*0.25,0)</f>
        <v>5.3263258427212401</v>
      </c>
      <c r="AA65" s="95">
        <f t="shared" si="0"/>
        <v>37.645569678134187</v>
      </c>
      <c r="AB65" s="91">
        <f>AA65/Variables!$E$49</f>
        <v>6.0718660771184174</v>
      </c>
    </row>
    <row r="66" spans="1:28" x14ac:dyDescent="0.25">
      <c r="A66" s="61">
        <f>'Water runs'!C73</f>
        <v>8005</v>
      </c>
      <c r="B66" s="61" t="str">
        <f>'Water runs'!B73</f>
        <v>Spring</v>
      </c>
      <c r="C66" s="54">
        <f>'Water runs'!D73/100</f>
        <v>1.0287999999999999</v>
      </c>
      <c r="D66" s="108">
        <f>VLOOKUP(ROW(D66)+4,'Water runs'!$BS$3:$CF$423,MATCH($B$1,Scenarios,0)+1)</f>
        <v>0</v>
      </c>
      <c r="E66" s="54">
        <f>IF(B66=Variables!$D$8,C66-Variables!$E$8,IF(B66=Variables!$D$9,C66-Variables!$E$9,IF(B66=Variables!$D$10,C66-Variables!$E$10,IF(B66=Variables!$D$11,C66-Variables!$E$11,"ELSE"))))</f>
        <v>0.26481779100529079</v>
      </c>
      <c r="F66" s="108">
        <f>VLOOKUP(ROW(F66)+4,'Water runs'!$CH$3:$CU$423,MATCH($B$1,Scenarios,0)+1)</f>
        <v>0</v>
      </c>
      <c r="G66" s="65">
        <f>H66/Variables!$E$49</f>
        <v>0.42867695833498054</v>
      </c>
      <c r="H66" s="62">
        <f>IF((H65+I66)&gt;(1.1*Variables!$E$50),(1.1*Variables!$E$50),IF((H65+I66)&gt;0,H65+I66,0))</f>
        <v>2.6577971416768795</v>
      </c>
      <c r="I66" s="64">
        <f t="shared" si="1"/>
        <v>0.19949290657476876</v>
      </c>
      <c r="J66" s="63">
        <f>IF(SUM(E62:E65)&lt;Variables!$B$3,-H65,0)</f>
        <v>0</v>
      </c>
      <c r="K66" s="64">
        <f>IF(AND(H65&lt;Variables!$B$6*Variables!$E$50,OR(SUM(D63:D66)&gt;Variables!$B$5,SUM(E63:E66)&gt;Variables!$B$4)),Variables!$B$6*Variables!$E$50+Variables!$B$7*$G$1*Variables!$E$50*SUM(D63:D66),0)</f>
        <v>0</v>
      </c>
      <c r="L66" s="64">
        <f>IF(B66="Winter",Variables!$B$8*H65,0)</f>
        <v>0</v>
      </c>
      <c r="M66" s="64">
        <f>IF(AND(B66="Spring",AND(NOT(H65=0),H65&lt;(Variables!$B$9*Variables!$E$50))),(Variables!$B$10*Variables!$E$50+Variables!$B$11*Variables!$E$50*SUM(E63:E66)+$G$1*SUM(D65:D66)*Variables!$E$50*Variables!$B$12),0)</f>
        <v>0</v>
      </c>
      <c r="N66" s="64">
        <f>IF(AND(B66="Spring",AND(SUM(D63:D66)&gt;Variables!$B$13,SUM(D59:D62)&gt;Variables!$B$13)),-Variables!$B$14*Variables!$E$50,0)</f>
        <v>0</v>
      </c>
      <c r="O66" s="64">
        <f>IF(AND(B66="Summer",SUM(C62:D66)&gt;Variables!$B$15),(Variables!$B$16*Variables!$E$50*SUM(C62:C66)+$G$1*Variables!$B$16*Variables!$E$50*SUM(D62:D66)+$G$1*Variables!$E$50*Variables!$B$17*F66),0)</f>
        <v>0</v>
      </c>
      <c r="P66" s="64">
        <f>IF(AND(AND(B66="Autumn",SUM(D65:E66)&gt;0),NOT(H65=0)),Variables!$B$18*Variables!$E$50+Variables!$B$19*Variables!$E$50*SUM(E65:E66)+$G$1*Variables!$B$19*Variables!$E$50*SUM(D65:D66),0)</f>
        <v>0</v>
      </c>
      <c r="Q66" s="64">
        <f>IF(AND(B66="Autumn",AND((E66+E65)&lt;Variables!$B$20,(D65+D66)=0)),-Variables!$B$21*Variables!$E$50,0)</f>
        <v>0</v>
      </c>
      <c r="R66" s="64">
        <f>IF(B66="Autumn",(SUM(F65:F66)*$G$1*Variables!$B$22*Variables!$E$50),0)</f>
        <v>0</v>
      </c>
      <c r="S66" s="64">
        <f>IF(B66="Spring",($G$1*Variables!$E$50*SUM('Guts (option 2)'!F65:F66)*Variables!$B$23),0)</f>
        <v>0.19949290657476876</v>
      </c>
      <c r="T66" s="63">
        <f>IF((H65+SUM(J66:Q66))&lt;(Variables!$B$26*Variables!$E$50),$F$1*((Variables!$B$26*Variables!$E$50)-H65-SUM(J66:Q66)),0)</f>
        <v>0</v>
      </c>
      <c r="U66" s="64">
        <f>IF(AND(AND(B66="Autumn",SUM(D63:E66)&gt;Variables!$B$27),SUM(J66:Q66)&lt;Variables!$B$28*H65),$F$1*(Variables!$B$28*H65-SUM(J66:Q66)),0)</f>
        <v>0</v>
      </c>
      <c r="V66" s="96">
        <f>IF(AND((J66+K66)=0,(Q66+T66)=0),$H$1*H66*Variables!$I$23*0.25,0)</f>
        <v>17.072049863228241</v>
      </c>
      <c r="W66" s="97">
        <f>IF(AND((K66+J66)=0,(T66+Q66)=0),$I$1*H66*Variables!$Q$23*0.25,0)</f>
        <v>17.869920565159639</v>
      </c>
      <c r="X66" s="95">
        <f>IF(AND(NOT(K66=0),(H66-H65)&gt;0),(H66-H65)*(Variables!$M$5*$H$1+Variables!$U$5*$I$1),0)+IF(AND(NOT((J66+N66+Q66)=0),(H65-H66)&gt;0),(H65-H66)*(Variables!$M$4*$H$1+Variables!$U$4*$I$1),0)</f>
        <v>0</v>
      </c>
      <c r="Y66" s="95">
        <f>IF(SUM(T66,U65:U66)&gt;0,H66*Variables!$Y$11*0.25*(1-$J$1),0)</f>
        <v>0</v>
      </c>
      <c r="Z66" s="95">
        <f>IF(T66=0,H66*$J$1*Variables!$Y$5*0.25,0)</f>
        <v>5.7585604736332385</v>
      </c>
      <c r="AA66" s="95">
        <f t="shared" si="0"/>
        <v>40.700530902021114</v>
      </c>
      <c r="AB66" s="91">
        <f>AA66/Variables!$E$49</f>
        <v>6.5646017583905021</v>
      </c>
    </row>
    <row r="67" spans="1:28" x14ac:dyDescent="0.25">
      <c r="A67" s="61">
        <f>'Water runs'!C74</f>
        <v>8095</v>
      </c>
      <c r="B67" s="61" t="str">
        <f>'Water runs'!B74</f>
        <v>Summer</v>
      </c>
      <c r="C67" s="54">
        <f>'Water runs'!D74/100</f>
        <v>1.4490000000000001</v>
      </c>
      <c r="D67" s="108">
        <f>VLOOKUP(ROW(D67)+4,'Water runs'!$BS$3:$CF$423,MATCH($B$1,Scenarios,0)+1)</f>
        <v>0.60098417247959213</v>
      </c>
      <c r="E67" s="54">
        <f>IF(B67=Variables!$D$8,C67-Variables!$E$8,IF(B67=Variables!$D$9,C67-Variables!$E$9,IF(B67=Variables!$D$10,C67-Variables!$E$10,IF(B67=Variables!$D$11,C67-Variables!$E$11,"ELSE"))))</f>
        <v>0.19062986394557835</v>
      </c>
      <c r="F67" s="108">
        <f>VLOOKUP(ROW(F67)+4,'Water runs'!$CH$3:$CU$423,MATCH($B$1,Scenarios,0)+1)</f>
        <v>0.53890212907465618</v>
      </c>
      <c r="G67" s="65">
        <f>H67/Variables!$E$49</f>
        <v>1.0375370344546584</v>
      </c>
      <c r="H67" s="62">
        <f>IF((H66+I67)&gt;(1.1*Variables!$E$50),(1.1*Variables!$E$50),IF((H66+I67)&gt;0,H66+I67,0))</f>
        <v>6.4327296136188821</v>
      </c>
      <c r="I67" s="64">
        <f t="shared" si="1"/>
        <v>3.774932471942003</v>
      </c>
      <c r="J67" s="63">
        <f>IF(SUM(E63:E66)&lt;Variables!$B$3,-H66,0)</f>
        <v>0</v>
      </c>
      <c r="K67" s="64">
        <f>IF(AND(H66&lt;Variables!$B$6*Variables!$E$50,OR(SUM(D64:D67)&gt;Variables!$B$5,SUM(E64:E67)&gt;Variables!$B$4)),Variables!$B$6*Variables!$E$50+Variables!$B$7*$G$1*Variables!$E$50*SUM(D64:D67),0)</f>
        <v>0</v>
      </c>
      <c r="L67" s="64">
        <f>IF(B67="Winter",Variables!$B$8*H66,0)</f>
        <v>0</v>
      </c>
      <c r="M67" s="64">
        <f>IF(AND(B67="Spring",AND(NOT(H66=0),H66&lt;(Variables!$B$9*Variables!$E$50))),(Variables!$B$10*Variables!$E$50+Variables!$B$11*Variables!$E$50*SUM(E64:E67)+$G$1*SUM(D66:D67)*Variables!$E$50*Variables!$B$12),0)</f>
        <v>0</v>
      </c>
      <c r="N67" s="64">
        <f>IF(AND(B67="Spring",AND(SUM(D64:D67)&gt;Variables!$B$13,SUM(D60:D63)&gt;Variables!$B$13)),-Variables!$B$14*Variables!$E$50,0)</f>
        <v>0</v>
      </c>
      <c r="O67" s="64">
        <f>IF(AND(B67="Summer",SUM(C63:D67)&gt;Variables!$B$15),(Variables!$B$16*Variables!$E$50*SUM(C63:C67)+$G$1*Variables!$B$16*Variables!$E$50*SUM(D63:D67)+$G$1*Variables!$E$50*Variables!$B$17*F67),0)</f>
        <v>3.774932471942003</v>
      </c>
      <c r="P67" s="64">
        <f>IF(AND(AND(B67="Autumn",SUM(D66:E67)&gt;0),NOT(H66=0)),Variables!$B$18*Variables!$E$50+Variables!$B$19*Variables!$E$50*SUM(E66:E67)+$G$1*Variables!$B$19*Variables!$E$50*SUM(D66:D67),0)</f>
        <v>0</v>
      </c>
      <c r="Q67" s="64">
        <f>IF(AND(B67="Autumn",AND((E67+E66)&lt;Variables!$B$20,(D66+D67)=0)),-Variables!$B$21*Variables!$E$50,0)</f>
        <v>0</v>
      </c>
      <c r="R67" s="64">
        <f>IF(B67="Autumn",(SUM(F66:F67)*$G$1*Variables!$B$22*Variables!$E$50),0)</f>
        <v>0</v>
      </c>
      <c r="S67" s="64">
        <f>IF(B67="Spring",($G$1*Variables!$E$50*SUM('Guts (option 2)'!F66:F67)*Variables!$B$23),0)</f>
        <v>0</v>
      </c>
      <c r="T67" s="63">
        <f>IF((H66+SUM(J67:Q67))&lt;(Variables!$B$26*Variables!$E$50),$F$1*((Variables!$B$26*Variables!$E$50)-H66-SUM(J67:Q67)),0)</f>
        <v>0</v>
      </c>
      <c r="U67" s="64">
        <f>IF(AND(AND(B67="Autumn",SUM(D64:E67)&gt;Variables!$B$27),SUM(J67:Q67)&lt;Variables!$B$28*H66),$F$1*(Variables!$B$28*H66-SUM(J67:Q67)),0)</f>
        <v>0</v>
      </c>
      <c r="V67" s="96">
        <f>IF(AND((J67+K67)=0,(Q67+T67)=0),$H$1*H67*Variables!$I$23*0.25,0)</f>
        <v>41.3198881879593</v>
      </c>
      <c r="W67" s="97">
        <f>IF(AND((K67+J67)=0,(T67+Q67)=0),$I$1*H67*Variables!$Q$23*0.25,0)</f>
        <v>43.250993617967687</v>
      </c>
      <c r="X67" s="95">
        <f>IF(AND(NOT(K67=0),(H67-H66)&gt;0),(H67-H66)*(Variables!$M$5*$H$1+Variables!$U$5*$I$1),0)+IF(AND(NOT((J67+N67+Q67)=0),(H66-H67)&gt;0),(H66-H67)*(Variables!$M$4*$H$1+Variables!$U$4*$I$1),0)</f>
        <v>0</v>
      </c>
      <c r="Y67" s="95">
        <f>IF(SUM(T67,U66:U67)&gt;0,H67*Variables!$Y$11*0.25*(1-$J$1),0)</f>
        <v>0</v>
      </c>
      <c r="Z67" s="95">
        <f>IF(T67=0,H67*$J$1*Variables!$Y$5*0.25,0)</f>
        <v>13.937580829507578</v>
      </c>
      <c r="AA67" s="95">
        <f t="shared" si="0"/>
        <v>98.508462635434569</v>
      </c>
      <c r="AB67" s="91">
        <f>AA67/Variables!$E$49</f>
        <v>15.888461715392673</v>
      </c>
    </row>
    <row r="68" spans="1:28" x14ac:dyDescent="0.25">
      <c r="A68" s="61">
        <f>'Water runs'!C75</f>
        <v>8187</v>
      </c>
      <c r="B68" s="61" t="str">
        <f>'Water runs'!B75</f>
        <v>Autumn</v>
      </c>
      <c r="C68" s="54">
        <f>'Water runs'!D75/100</f>
        <v>5.6000000000000008E-3</v>
      </c>
      <c r="D68" s="108">
        <f>VLOOKUP(ROW(D68)+4,'Water runs'!$BS$3:$CF$423,MATCH($B$1,Scenarios,0)+1)</f>
        <v>0</v>
      </c>
      <c r="E68" s="54">
        <f>IF(B68=Variables!$D$8,C68-Variables!$E$8,IF(B68=Variables!$D$9,C68-Variables!$E$9,IF(B68=Variables!$D$10,C68-Variables!$E$10,IF(B68=Variables!$D$11,C68-Variables!$E$11,"ELSE"))))</f>
        <v>-0.98904329931972779</v>
      </c>
      <c r="F68" s="108">
        <f>VLOOKUP(ROW(F68)+4,'Water runs'!$CH$3:$CU$423,MATCH($B$1,Scenarios,0)+1)</f>
        <v>0</v>
      </c>
      <c r="G68" s="65">
        <f>H68/Variables!$E$49</f>
        <v>1.5166749294234294</v>
      </c>
      <c r="H68" s="62">
        <f>IF((H67+I68)&gt;(1.1*Variables!$E$50),(1.1*Variables!$E$50),IF((H67+I68)&gt;0,H67+I68,0))</f>
        <v>9.4033845624252628</v>
      </c>
      <c r="I68" s="64">
        <f t="shared" si="1"/>
        <v>2.9706549488063798</v>
      </c>
      <c r="J68" s="63">
        <f>IF(SUM(E64:E67)&lt;Variables!$B$3,-H67,0)</f>
        <v>0</v>
      </c>
      <c r="K68" s="64">
        <f>IF(AND(H67&lt;Variables!$B$6*Variables!$E$50,OR(SUM(D65:D68)&gt;Variables!$B$5,SUM(E65:E68)&gt;Variables!$B$4)),Variables!$B$6*Variables!$E$50+Variables!$B$7*$G$1*Variables!$E$50*SUM(D65:D68),0)</f>
        <v>0</v>
      </c>
      <c r="L68" s="64">
        <f>IF(B68="Winter",Variables!$B$8*H67,0)</f>
        <v>0</v>
      </c>
      <c r="M68" s="64">
        <f>IF(AND(B68="Spring",AND(NOT(H67=0),H67&lt;(Variables!$B$9*Variables!$E$50))),(Variables!$B$10*Variables!$E$50+Variables!$B$11*Variables!$E$50*SUM(E65:E68)+$G$1*SUM(D67:D68)*Variables!$E$50*Variables!$B$12),0)</f>
        <v>0</v>
      </c>
      <c r="N68" s="64">
        <f>IF(AND(B68="Spring",AND(SUM(D65:D68)&gt;Variables!$B$13,SUM(D61:D64)&gt;Variables!$B$13)),-Variables!$B$14*Variables!$E$50,0)</f>
        <v>0</v>
      </c>
      <c r="O68" s="64">
        <f>IF(AND(B68="Summer",SUM(C64:D68)&gt;Variables!$B$15),(Variables!$B$16*Variables!$E$50*SUM(C64:C68)+$G$1*Variables!$B$16*Variables!$E$50*SUM(D64:D68)+$G$1*Variables!$E$50*Variables!$B$17*F68),0)</f>
        <v>0</v>
      </c>
      <c r="P68" s="64">
        <f>IF(AND(AND(B68="Autumn",SUM(D67:E68)&gt;0),NOT(H67=0)),Variables!$B$18*Variables!$E$50+Variables!$B$19*Variables!$E$50*SUM(E67:E68)+$G$1*Variables!$B$19*Variables!$E$50*SUM(D67:D68),0)</f>
        <v>0</v>
      </c>
      <c r="Q68" s="64">
        <f>IF(AND(B68="Autumn",AND((E68+E67)&lt;Variables!$B$20,(D67+D68)=0)),-Variables!$B$21*Variables!$E$50,0)</f>
        <v>0</v>
      </c>
      <c r="R68" s="64">
        <f>IF(B68="Autumn",(SUM(F67:F68)*$G$1*Variables!$B$22*Variables!$E$50),0)</f>
        <v>7.5926622677883013E-2</v>
      </c>
      <c r="S68" s="64">
        <f>IF(B68="Spring",($G$1*Variables!$E$50*SUM('Guts (option 2)'!F67:F68)*Variables!$B$23),0)</f>
        <v>0</v>
      </c>
      <c r="T68" s="63">
        <f>IF((H67+SUM(J68:Q68))&lt;(Variables!$B$26*Variables!$E$50),$F$1*((Variables!$B$26*Variables!$E$50)-H67-SUM(J68:Q68)),0)</f>
        <v>0</v>
      </c>
      <c r="U68" s="64">
        <f>IF(AND(AND(B68="Autumn",SUM(D65:E68)&gt;Variables!$B$27),SUM(J68:Q68)&lt;Variables!$B$28*H67),$F$1*(Variables!$B$28*H67-SUM(J68:Q68)),0)</f>
        <v>2.8947283261284968</v>
      </c>
      <c r="V68" s="96">
        <f>IF(AND((J68+K68)=0,(Q68+T68)=0),$H$1*H68*Variables!$I$23*0.25,0)</f>
        <v>60.401543675206391</v>
      </c>
      <c r="W68" s="97">
        <f>IF(AND((K68+J68)=0,(T68+Q68)=0),$I$1*H68*Variables!$Q$23*0.25,0)</f>
        <v>63.224439720846448</v>
      </c>
      <c r="X68" s="95">
        <f>IF(AND(NOT(K68=0),(H68-H67)&gt;0),(H68-H67)*(Variables!$M$5*$H$1+Variables!$U$5*$I$1),0)+IF(AND(NOT((J68+N68+Q68)=0),(H67-H68)&gt;0),(H67-H68)*(Variables!$M$4*$H$1+Variables!$U$4*$I$1),0)</f>
        <v>0</v>
      </c>
      <c r="Y68" s="95">
        <f>IF(SUM(T68,U67:U68)&gt;0,H68*Variables!$Y$11*0.25*(1-$J$1),0)</f>
        <v>-65.823691936976857</v>
      </c>
      <c r="Z68" s="95">
        <f>IF(T68=0,H68*$J$1*Variables!$Y$5*0.25,0)</f>
        <v>20.373999885254737</v>
      </c>
      <c r="AA68" s="95">
        <f t="shared" si="0"/>
        <v>78.176291344330721</v>
      </c>
      <c r="AB68" s="91">
        <f>AA68/Variables!$E$49</f>
        <v>12.6090792490856</v>
      </c>
    </row>
    <row r="69" spans="1:28" x14ac:dyDescent="0.25">
      <c r="A69" s="61">
        <f>'Water runs'!C76</f>
        <v>8279</v>
      </c>
      <c r="B69" s="61" t="str">
        <f>'Water runs'!B76</f>
        <v>Winter</v>
      </c>
      <c r="C69" s="54">
        <f>'Water runs'!D76/100</f>
        <v>0.18820000000000001</v>
      </c>
      <c r="D69" s="108">
        <f>VLOOKUP(ROW(D69)+4,'Water runs'!$BS$3:$CF$423,MATCH($B$1,Scenarios,0)+1)</f>
        <v>0</v>
      </c>
      <c r="E69" s="54">
        <f>IF(B69=Variables!$D$8,C69-Variables!$E$8,IF(B69=Variables!$D$9,C69-Variables!$E$9,IF(B69=Variables!$D$10,C69-Variables!$E$10,IF(B69=Variables!$D$11,C69-Variables!$E$11,"ELSE"))))</f>
        <v>-0.3835676256613757</v>
      </c>
      <c r="F69" s="108">
        <f>VLOOKUP(ROW(F69)+4,'Water runs'!$CH$3:$CU$423,MATCH($B$1,Scenarios,0)+1)</f>
        <v>0</v>
      </c>
      <c r="G69" s="65">
        <f>H69/Variables!$E$49</f>
        <v>0.76145385808131127</v>
      </c>
      <c r="H69" s="62">
        <f>IF((H68+I69)&gt;(1.1*Variables!$E$50),(1.1*Variables!$E$50),IF((H68+I69)&gt;0,H68+I69,0))</f>
        <v>4.7210139201041299</v>
      </c>
      <c r="I69" s="64">
        <f t="shared" si="1"/>
        <v>-4.6823706423211329</v>
      </c>
      <c r="J69" s="63">
        <f>IF(SUM(E65:E68)&lt;Variables!$B$3,-H68,0)</f>
        <v>0</v>
      </c>
      <c r="K69" s="64">
        <f>IF(AND(H68&lt;Variables!$B$6*Variables!$E$50,OR(SUM(D66:D69)&gt;Variables!$B$5,SUM(E66:E69)&gt;Variables!$B$4)),Variables!$B$6*Variables!$E$50+Variables!$B$7*$G$1*Variables!$E$50*SUM(D66:D69),0)</f>
        <v>0</v>
      </c>
      <c r="L69" s="64">
        <f>IF(B69="Winter",Variables!$B$8*H68,0)</f>
        <v>-4.6823706423211329</v>
      </c>
      <c r="M69" s="64">
        <f>IF(AND(B69="Spring",AND(NOT(H68=0),H68&lt;(Variables!$B$9*Variables!$E$50))),(Variables!$B$10*Variables!$E$50+Variables!$B$11*Variables!$E$50*SUM(E66:E69)+$G$1*SUM(D68:D69)*Variables!$E$50*Variables!$B$12),0)</f>
        <v>0</v>
      </c>
      <c r="N69" s="64">
        <f>IF(AND(B69="Spring",AND(SUM(D66:D69)&gt;Variables!$B$13,SUM(D62:D65)&gt;Variables!$B$13)),-Variables!$B$14*Variables!$E$50,0)</f>
        <v>0</v>
      </c>
      <c r="O69" s="64">
        <f>IF(AND(B69="Summer",SUM(C65:D69)&gt;Variables!$B$15),(Variables!$B$16*Variables!$E$50*SUM(C65:C69)+$G$1*Variables!$B$16*Variables!$E$50*SUM(D65:D69)+$G$1*Variables!$E$50*Variables!$B$17*F69),0)</f>
        <v>0</v>
      </c>
      <c r="P69" s="64">
        <f>IF(AND(AND(B69="Autumn",SUM(D68:E69)&gt;0),NOT(H68=0)),Variables!$B$18*Variables!$E$50+Variables!$B$19*Variables!$E$50*SUM(E68:E69)+$G$1*Variables!$B$19*Variables!$E$50*SUM(D68:D69),0)</f>
        <v>0</v>
      </c>
      <c r="Q69" s="64">
        <f>IF(AND(B69="Autumn",AND((E69+E68)&lt;Variables!$B$20,(D68+D69)=0)),-Variables!$B$21*Variables!$E$50,0)</f>
        <v>0</v>
      </c>
      <c r="R69" s="64">
        <f>IF(B69="Autumn",(SUM(F68:F69)*$G$1*Variables!$B$22*Variables!$E$50),0)</f>
        <v>0</v>
      </c>
      <c r="S69" s="64">
        <f>IF(B69="Spring",($G$1*Variables!$E$50*SUM('Guts (option 2)'!F68:F69)*Variables!$B$23),0)</f>
        <v>0</v>
      </c>
      <c r="T69" s="63">
        <f>IF((H68+SUM(J69:Q69))&lt;(Variables!$B$26*Variables!$E$50),$F$1*((Variables!$B$26*Variables!$E$50)-H68-SUM(J69:Q69)),0)</f>
        <v>0</v>
      </c>
      <c r="U69" s="64">
        <f>IF(AND(AND(B69="Autumn",SUM(D66:E69)&gt;Variables!$B$27),SUM(J69:Q69)&lt;Variables!$B$28*H68),$F$1*(Variables!$B$28*H68-SUM(J69:Q69)),0)</f>
        <v>0</v>
      </c>
      <c r="V69" s="96">
        <f>IF(AND((J69+K69)=0,(Q69+T69)=0),$H$1*H69*Variables!$I$23*0.25,0)</f>
        <v>30.324882130831533</v>
      </c>
      <c r="W69" s="97">
        <f>IF(AND((K69+J69)=0,(T69+Q69)=0),$I$1*H69*Variables!$Q$23*0.25,0)</f>
        <v>31.742130509646788</v>
      </c>
      <c r="X69" s="95">
        <f>IF(AND(NOT(K69=0),(H69-H68)&gt;0),(H69-H68)*(Variables!$M$5*$H$1+Variables!$U$5*$I$1),0)+IF(AND(NOT((J69+N69+Q69)=0),(H68-H69)&gt;0),(H68-H69)*(Variables!$M$4*$H$1+Variables!$U$4*$I$1),0)</f>
        <v>0</v>
      </c>
      <c r="Y69" s="95">
        <f>IF(SUM(T69,U68:U69)&gt;0,H69*Variables!$Y$11*0.25*(1-$J$1),0)</f>
        <v>-33.047097440728912</v>
      </c>
      <c r="Z69" s="95">
        <f>IF(T69=0,H69*$J$1*Variables!$Y$5*0.25,0)</f>
        <v>10.228863493558947</v>
      </c>
      <c r="AA69" s="95">
        <f t="shared" si="0"/>
        <v>39.24877869330836</v>
      </c>
      <c r="AB69" s="91">
        <f>AA69/Variables!$E$49</f>
        <v>6.3304481763400577</v>
      </c>
    </row>
    <row r="70" spans="1:28" x14ac:dyDescent="0.25">
      <c r="A70" s="61">
        <f>'Water runs'!C77</f>
        <v>8370</v>
      </c>
      <c r="B70" s="61" t="str">
        <f>'Water runs'!B77</f>
        <v>Spring</v>
      </c>
      <c r="C70" s="54">
        <f>'Water runs'!D77/100</f>
        <v>0.45439999999999997</v>
      </c>
      <c r="D70" s="108">
        <f>VLOOKUP(ROW(D70)+4,'Water runs'!$BS$3:$CF$423,MATCH($B$1,Scenarios,0)+1)</f>
        <v>0</v>
      </c>
      <c r="E70" s="54">
        <f>IF(B70=Variables!$D$8,C70-Variables!$E$8,IF(B70=Variables!$D$9,C70-Variables!$E$9,IF(B70=Variables!$D$10,C70-Variables!$E$10,IF(B70=Variables!$D$11,C70-Variables!$E$11,"ELSE"))))</f>
        <v>-0.30958220899470917</v>
      </c>
      <c r="F70" s="108">
        <f>VLOOKUP(ROW(F70)+4,'Water runs'!$CH$3:$CU$423,MATCH($B$1,Scenarios,0)+1)</f>
        <v>0</v>
      </c>
      <c r="G70" s="65">
        <f>H70/Variables!$E$49</f>
        <v>0.76145385808131127</v>
      </c>
      <c r="H70" s="62">
        <f>IF((H69+I70)&gt;(1.1*Variables!$E$50),(1.1*Variables!$E$50),IF((H69+I70)&gt;0,H69+I70,0))</f>
        <v>4.7210139201041299</v>
      </c>
      <c r="I70" s="64">
        <f t="shared" si="1"/>
        <v>0</v>
      </c>
      <c r="J70" s="63">
        <f>IF(SUM(E66:E69)&lt;Variables!$B$3,-H69,0)</f>
        <v>0</v>
      </c>
      <c r="K70" s="64">
        <f>IF(AND(H69&lt;Variables!$B$6*Variables!$E$50,OR(SUM(D67:D70)&gt;Variables!$B$5,SUM(E67:E70)&gt;Variables!$B$4)),Variables!$B$6*Variables!$E$50+Variables!$B$7*$G$1*Variables!$E$50*SUM(D67:D70),0)</f>
        <v>0</v>
      </c>
      <c r="L70" s="64">
        <f>IF(B70="Winter",Variables!$B$8*H69,0)</f>
        <v>0</v>
      </c>
      <c r="M70" s="64">
        <f>IF(AND(B70="Spring",AND(NOT(H69=0),H69&lt;(Variables!$B$9*Variables!$E$50))),(Variables!$B$10*Variables!$E$50+Variables!$B$11*Variables!$E$50*SUM(E67:E70)+$G$1*SUM(D69:D70)*Variables!$E$50*Variables!$B$12),0)</f>
        <v>0</v>
      </c>
      <c r="N70" s="64">
        <f>IF(AND(B70="Spring",AND(SUM(D67:D70)&gt;Variables!$B$13,SUM(D63:D66)&gt;Variables!$B$13)),-Variables!$B$14*Variables!$E$50,0)</f>
        <v>0</v>
      </c>
      <c r="O70" s="64">
        <f>IF(AND(B70="Summer",SUM(C66:D70)&gt;Variables!$B$15),(Variables!$B$16*Variables!$E$50*SUM(C66:C70)+$G$1*Variables!$B$16*Variables!$E$50*SUM(D66:D70)+$G$1*Variables!$E$50*Variables!$B$17*F70),0)</f>
        <v>0</v>
      </c>
      <c r="P70" s="64">
        <f>IF(AND(AND(B70="Autumn",SUM(D69:E70)&gt;0),NOT(H69=0)),Variables!$B$18*Variables!$E$50+Variables!$B$19*Variables!$E$50*SUM(E69:E70)+$G$1*Variables!$B$19*Variables!$E$50*SUM(D69:D70),0)</f>
        <v>0</v>
      </c>
      <c r="Q70" s="64">
        <f>IF(AND(B70="Autumn",AND((E70+E69)&lt;Variables!$B$20,(D69+D70)=0)),-Variables!$B$21*Variables!$E$50,0)</f>
        <v>0</v>
      </c>
      <c r="R70" s="64">
        <f>IF(B70="Autumn",(SUM(F69:F70)*$G$1*Variables!$B$22*Variables!$E$50),0)</f>
        <v>0</v>
      </c>
      <c r="S70" s="64">
        <f>IF(B70="Spring",($G$1*Variables!$E$50*SUM('Guts (option 2)'!F69:F70)*Variables!$B$23),0)</f>
        <v>0</v>
      </c>
      <c r="T70" s="63">
        <f>IF((H69+SUM(J70:Q70))&lt;(Variables!$B$26*Variables!$E$50),$F$1*((Variables!$B$26*Variables!$E$50)-H69-SUM(J70:Q70)),0)</f>
        <v>0</v>
      </c>
      <c r="U70" s="64">
        <f>IF(AND(AND(B70="Autumn",SUM(D67:E70)&gt;Variables!$B$27),SUM(J70:Q70)&lt;Variables!$B$28*H69),$F$1*(Variables!$B$28*H69-SUM(J70:Q70)),0)</f>
        <v>0</v>
      </c>
      <c r="V70" s="96">
        <f>IF(AND((J70+K70)=0,(Q70+T70)=0),$H$1*H70*Variables!$I$23*0.25,0)</f>
        <v>30.324882130831533</v>
      </c>
      <c r="W70" s="97">
        <f>IF(AND((K70+J70)=0,(T70+Q70)=0),$I$1*H70*Variables!$Q$23*0.25,0)</f>
        <v>31.742130509646788</v>
      </c>
      <c r="X70" s="95">
        <f>IF(AND(NOT(K70=0),(H70-H69)&gt;0),(H70-H69)*(Variables!$M$5*$H$1+Variables!$U$5*$I$1),0)+IF(AND(NOT((J70+N70+Q70)=0),(H69-H70)&gt;0),(H69-H70)*(Variables!$M$4*$H$1+Variables!$U$4*$I$1),0)</f>
        <v>0</v>
      </c>
      <c r="Y70" s="95">
        <f>IF(SUM(T70,U69:U70)&gt;0,H70*Variables!$Y$11*0.25*(1-$J$1),0)</f>
        <v>0</v>
      </c>
      <c r="Z70" s="95">
        <f>IF(T70=0,H70*$J$1*Variables!$Y$5*0.25,0)</f>
        <v>10.228863493558947</v>
      </c>
      <c r="AA70" s="95">
        <f t="shared" si="0"/>
        <v>72.295876134037272</v>
      </c>
      <c r="AB70" s="91">
        <f>AA70/Variables!$E$49</f>
        <v>11.660625182909238</v>
      </c>
    </row>
    <row r="71" spans="1:28" x14ac:dyDescent="0.25">
      <c r="A71" s="61">
        <f>'Water runs'!C78</f>
        <v>8460</v>
      </c>
      <c r="B71" s="61" t="str">
        <f>'Water runs'!B78</f>
        <v>Summer</v>
      </c>
      <c r="C71" s="54">
        <f>'Water runs'!D78/100</f>
        <v>0.86719999999999997</v>
      </c>
      <c r="D71" s="108">
        <f>VLOOKUP(ROW(D71)+4,'Water runs'!$BS$3:$CF$423,MATCH($B$1,Scenarios,0)+1)</f>
        <v>4.0958360715445093E-3</v>
      </c>
      <c r="E71" s="54">
        <f>IF(B71=Variables!$D$8,C71-Variables!$E$8,IF(B71=Variables!$D$9,C71-Variables!$E$9,IF(B71=Variables!$D$10,C71-Variables!$E$10,IF(B71=Variables!$D$11,C71-Variables!$E$11,"ELSE"))))</f>
        <v>-0.39117013605442175</v>
      </c>
      <c r="F71" s="108">
        <f>VLOOKUP(ROW(F71)+4,'Water runs'!$CH$3:$CU$423,MATCH($B$1,Scenarios,0)+1)</f>
        <v>0</v>
      </c>
      <c r="G71" s="65">
        <f>H71/Variables!$E$49</f>
        <v>0.76145385808131127</v>
      </c>
      <c r="H71" s="62">
        <f>IF((H70+I71)&gt;(1.1*Variables!$E$50),(1.1*Variables!$E$50),IF((H70+I71)&gt;0,H70+I71,0))</f>
        <v>4.7210139201041299</v>
      </c>
      <c r="I71" s="64">
        <f t="shared" si="1"/>
        <v>0</v>
      </c>
      <c r="J71" s="63">
        <f>IF(SUM(E67:E70)&lt;Variables!$B$3,-H70,0)</f>
        <v>0</v>
      </c>
      <c r="K71" s="64">
        <f>IF(AND(H70&lt;Variables!$B$6*Variables!$E$50,OR(SUM(D68:D71)&gt;Variables!$B$5,SUM(E68:E71)&gt;Variables!$B$4)),Variables!$B$6*Variables!$E$50+Variables!$B$7*$G$1*Variables!$E$50*SUM(D68:D71),0)</f>
        <v>0</v>
      </c>
      <c r="L71" s="64">
        <f>IF(B71="Winter",Variables!$B$8*H70,0)</f>
        <v>0</v>
      </c>
      <c r="M71" s="64">
        <f>IF(AND(B71="Spring",AND(NOT(H70=0),H70&lt;(Variables!$B$9*Variables!$E$50))),(Variables!$B$10*Variables!$E$50+Variables!$B$11*Variables!$E$50*SUM(E68:E71)+$G$1*SUM(D70:D71)*Variables!$E$50*Variables!$B$12),0)</f>
        <v>0</v>
      </c>
      <c r="N71" s="64">
        <f>IF(AND(B71="Spring",AND(SUM(D68:D71)&gt;Variables!$B$13,SUM(D64:D67)&gt;Variables!$B$13)),-Variables!$B$14*Variables!$E$50,0)</f>
        <v>0</v>
      </c>
      <c r="O71" s="64">
        <f>IF(AND(B71="Summer",SUM(C67:D71)&gt;Variables!$B$15),(Variables!$B$16*Variables!$E$50*SUM(C67:C71)+$G$1*Variables!$B$16*Variables!$E$50*SUM(D67:D71)+$G$1*Variables!$E$50*Variables!$B$17*F71),0)</f>
        <v>0</v>
      </c>
      <c r="P71" s="64">
        <f>IF(AND(AND(B71="Autumn",SUM(D70:E71)&gt;0),NOT(H70=0)),Variables!$B$18*Variables!$E$50+Variables!$B$19*Variables!$E$50*SUM(E70:E71)+$G$1*Variables!$B$19*Variables!$E$50*SUM(D70:D71),0)</f>
        <v>0</v>
      </c>
      <c r="Q71" s="64">
        <f>IF(AND(B71="Autumn",AND((E71+E70)&lt;Variables!$B$20,(D70+D71)=0)),-Variables!$B$21*Variables!$E$50,0)</f>
        <v>0</v>
      </c>
      <c r="R71" s="64">
        <f>IF(B71="Autumn",(SUM(F70:F71)*$G$1*Variables!$B$22*Variables!$E$50),0)</f>
        <v>0</v>
      </c>
      <c r="S71" s="64">
        <f>IF(B71="Spring",($G$1*Variables!$E$50*SUM('Guts (option 2)'!F70:F71)*Variables!$B$23),0)</f>
        <v>0</v>
      </c>
      <c r="T71" s="63">
        <f>IF((H70+SUM(J71:Q71))&lt;(Variables!$B$26*Variables!$E$50),$F$1*((Variables!$B$26*Variables!$E$50)-H70-SUM(J71:Q71)),0)</f>
        <v>0</v>
      </c>
      <c r="U71" s="64">
        <f>IF(AND(AND(B71="Autumn",SUM(D68:E71)&gt;Variables!$B$27),SUM(J71:Q71)&lt;Variables!$B$28*H70),$F$1*(Variables!$B$28*H70-SUM(J71:Q71)),0)</f>
        <v>0</v>
      </c>
      <c r="V71" s="96">
        <f>IF(AND((J71+K71)=0,(Q71+T71)=0),$H$1*H71*Variables!$I$23*0.25,0)</f>
        <v>30.324882130831533</v>
      </c>
      <c r="W71" s="97">
        <f>IF(AND((K71+J71)=0,(T71+Q71)=0),$I$1*H71*Variables!$Q$23*0.25,0)</f>
        <v>31.742130509646788</v>
      </c>
      <c r="X71" s="95">
        <f>IF(AND(NOT(K71=0),(H71-H70)&gt;0),(H71-H70)*(Variables!$M$5*$H$1+Variables!$U$5*$I$1),0)+IF(AND(NOT((J71+N71+Q71)=0),(H70-H71)&gt;0),(H70-H71)*(Variables!$M$4*$H$1+Variables!$U$4*$I$1),0)</f>
        <v>0</v>
      </c>
      <c r="Y71" s="95">
        <f>IF(SUM(T71,U70:U71)&gt;0,H71*Variables!$Y$11*0.25*(1-$J$1),0)</f>
        <v>0</v>
      </c>
      <c r="Z71" s="95">
        <f>IF(T71=0,H71*$J$1*Variables!$Y$5*0.25,0)</f>
        <v>10.228863493558947</v>
      </c>
      <c r="AA71" s="95">
        <f t="shared" si="0"/>
        <v>72.295876134037272</v>
      </c>
      <c r="AB71" s="91">
        <f>AA71/Variables!$E$49</f>
        <v>11.660625182909238</v>
      </c>
    </row>
    <row r="72" spans="1:28" x14ac:dyDescent="0.25">
      <c r="A72" s="61">
        <f>'Water runs'!C79</f>
        <v>8552</v>
      </c>
      <c r="B72" s="61" t="str">
        <f>'Water runs'!B79</f>
        <v>Autumn</v>
      </c>
      <c r="C72" s="54">
        <f>'Water runs'!D79/100</f>
        <v>0</v>
      </c>
      <c r="D72" s="108">
        <f>VLOOKUP(ROW(D72)+4,'Water runs'!$BS$3:$CF$423,MATCH($B$1,Scenarios,0)+1)</f>
        <v>0</v>
      </c>
      <c r="E72" s="54">
        <f>IF(B72=Variables!$D$8,C72-Variables!$E$8,IF(B72=Variables!$D$9,C72-Variables!$E$9,IF(B72=Variables!$D$10,C72-Variables!$E$10,IF(B72=Variables!$D$11,C72-Variables!$E$11,"ELSE"))))</f>
        <v>-0.99464329931972784</v>
      </c>
      <c r="F72" s="108">
        <f>VLOOKUP(ROW(F72)+4,'Water runs'!$CH$3:$CU$423,MATCH($B$1,Scenarios,0)+1)</f>
        <v>0</v>
      </c>
      <c r="G72" s="65">
        <f>H72/Variables!$E$49</f>
        <v>0.16100000000000003</v>
      </c>
      <c r="H72" s="62">
        <f>IF((H71+I72)&gt;(1.1*Variables!$E$50),(1.1*Variables!$E$50),IF((H71+I72)&gt;0,H71+I72,0))</f>
        <v>0.9982000000000002</v>
      </c>
      <c r="I72" s="64">
        <f t="shared" si="1"/>
        <v>-3.7228139201041297</v>
      </c>
      <c r="J72" s="63">
        <f>IF(SUM(E68:E71)&lt;Variables!$B$3,-H71,0)</f>
        <v>-4.7210139201041299</v>
      </c>
      <c r="K72" s="64">
        <f>IF(AND(H71&lt;Variables!$B$6*Variables!$E$50,OR(SUM(D69:D72)&gt;Variables!$B$5,SUM(E69:E72)&gt;Variables!$B$4)),Variables!$B$6*Variables!$E$50+Variables!$B$7*$G$1*Variables!$E$50*SUM(D69:D72),0)</f>
        <v>0</v>
      </c>
      <c r="L72" s="64">
        <f>IF(B72="Winter",Variables!$B$8*H71,0)</f>
        <v>0</v>
      </c>
      <c r="M72" s="64">
        <f>IF(AND(B72="Spring",AND(NOT(H71=0),H71&lt;(Variables!$B$9*Variables!$E$50))),(Variables!$B$10*Variables!$E$50+Variables!$B$11*Variables!$E$50*SUM(E69:E72)+$G$1*SUM(D71:D72)*Variables!$E$50*Variables!$B$12),0)</f>
        <v>0</v>
      </c>
      <c r="N72" s="64">
        <f>IF(AND(B72="Spring",AND(SUM(D69:D72)&gt;Variables!$B$13,SUM(D65:D68)&gt;Variables!$B$13)),-Variables!$B$14*Variables!$E$50,0)</f>
        <v>0</v>
      </c>
      <c r="O72" s="64">
        <f>IF(AND(B72="Summer",SUM(C68:D72)&gt;Variables!$B$15),(Variables!$B$16*Variables!$E$50*SUM(C68:C72)+$G$1*Variables!$B$16*Variables!$E$50*SUM(D68:D72)+$G$1*Variables!$E$50*Variables!$B$17*F72),0)</f>
        <v>0</v>
      </c>
      <c r="P72" s="64">
        <f>IF(AND(AND(B72="Autumn",SUM(D71:E72)&gt;0),NOT(H71=0)),Variables!$B$18*Variables!$E$50+Variables!$B$19*Variables!$E$50*SUM(E71:E72)+$G$1*Variables!$B$19*Variables!$E$50*SUM(D71:D72),0)</f>
        <v>0</v>
      </c>
      <c r="Q72" s="64">
        <f>IF(AND(B72="Autumn",AND((E72+E71)&lt;Variables!$B$20,(D71+D72)=0)),-Variables!$B$21*Variables!$E$50,0)</f>
        <v>0</v>
      </c>
      <c r="R72" s="64">
        <f>IF(B72="Autumn",(SUM(F71:F72)*$G$1*Variables!$B$22*Variables!$E$50),0)</f>
        <v>0</v>
      </c>
      <c r="S72" s="64">
        <f>IF(B72="Spring",($G$1*Variables!$E$50*SUM('Guts (option 2)'!F71:F72)*Variables!$B$23),0)</f>
        <v>0</v>
      </c>
      <c r="T72" s="63">
        <f>IF((H71+SUM(J72:Q72))&lt;(Variables!$B$26*Variables!$E$50),$F$1*((Variables!$B$26*Variables!$E$50)-H71-SUM(J72:Q72)),0)</f>
        <v>0.9982000000000002</v>
      </c>
      <c r="U72" s="64">
        <f>IF(AND(AND(B72="Autumn",SUM(D69:E72)&gt;Variables!$B$27),SUM(J72:Q72)&lt;Variables!$B$28*H71),$F$1*(Variables!$B$28*H71-SUM(J72:Q72)),0)</f>
        <v>0</v>
      </c>
      <c r="V72" s="96">
        <f>IF(AND((J72+K72)=0,(Q72+T72)=0),$H$1*H72*Variables!$I$23*0.25,0)</f>
        <v>0</v>
      </c>
      <c r="W72" s="97">
        <f>IF(AND((K72+J72)=0,(T72+Q72)=0),$I$1*H72*Variables!$Q$23*0.25,0)</f>
        <v>0</v>
      </c>
      <c r="X72" s="95">
        <f>IF(AND(NOT(K72=0),(H72-H71)&gt;0),(H72-H71)*(Variables!$M$5*$H$1+Variables!$U$5*$I$1),0)+IF(AND(NOT((J72+N72+Q72)=0),(H71-H72)&gt;0),(H71-H72)*(Variables!$M$4*$H$1+Variables!$U$4*$I$1),0)</f>
        <v>155.1172466710054</v>
      </c>
      <c r="Y72" s="95">
        <f>IF(SUM(T72,U71:U72)&gt;0,H72*Variables!$Y$11*0.25*(1-$J$1),0)</f>
        <v>-6.9874000000000018</v>
      </c>
      <c r="Z72" s="95">
        <f>IF(T72=0,H72*$J$1*Variables!$Y$5*0.25,0)</f>
        <v>0</v>
      </c>
      <c r="AA72" s="95">
        <f t="shared" si="0"/>
        <v>148.1298466710054</v>
      </c>
      <c r="AB72" s="91">
        <f>AA72/Variables!$E$49</f>
        <v>23.891910753387965</v>
      </c>
    </row>
    <row r="73" spans="1:28" x14ac:dyDescent="0.25">
      <c r="A73" s="61">
        <f>'Water runs'!C80</f>
        <v>8644</v>
      </c>
      <c r="B73" s="61" t="str">
        <f>'Water runs'!B80</f>
        <v>Winter</v>
      </c>
      <c r="C73" s="54">
        <f>'Water runs'!D80/100</f>
        <v>0.50700000000000001</v>
      </c>
      <c r="D73" s="108">
        <f>VLOOKUP(ROW(D73)+4,'Water runs'!$BS$3:$CF$423,MATCH($B$1,Scenarios,0)+1)</f>
        <v>0</v>
      </c>
      <c r="E73" s="54">
        <f>IF(B73=Variables!$D$8,C73-Variables!$E$8,IF(B73=Variables!$D$9,C73-Variables!$E$9,IF(B73=Variables!$D$10,C73-Variables!$E$10,IF(B73=Variables!$D$11,C73-Variables!$E$11,"ELSE"))))</f>
        <v>-6.4767625661375727E-2</v>
      </c>
      <c r="F73" s="108">
        <f>VLOOKUP(ROW(F73)+4,'Water runs'!$CH$3:$CU$423,MATCH($B$1,Scenarios,0)+1)</f>
        <v>0</v>
      </c>
      <c r="G73" s="65">
        <f>H73/Variables!$E$49</f>
        <v>0.16100000000000003</v>
      </c>
      <c r="H73" s="62">
        <f>IF((H72+I73)&gt;(1.1*Variables!$E$50),(1.1*Variables!$E$50),IF((H72+I73)&gt;0,H72+I73,0))</f>
        <v>0.9982000000000002</v>
      </c>
      <c r="I73" s="64">
        <f t="shared" si="1"/>
        <v>0</v>
      </c>
      <c r="J73" s="63">
        <f>IF(SUM(E69:E72)&lt;Variables!$B$3,-H72,0)</f>
        <v>-0.9982000000000002</v>
      </c>
      <c r="K73" s="64">
        <f>IF(AND(H72&lt;Variables!$B$6*Variables!$E$50,OR(SUM(D70:D73)&gt;Variables!$B$5,SUM(E70:E73)&gt;Variables!$B$4)),Variables!$B$6*Variables!$E$50+Variables!$B$7*$G$1*Variables!$E$50*SUM(D70:D73),0)</f>
        <v>0</v>
      </c>
      <c r="L73" s="64">
        <f>IF(B73="Winter",Variables!$B$8*H72,0)</f>
        <v>-0.49704894489176155</v>
      </c>
      <c r="M73" s="64">
        <f>IF(AND(B73="Spring",AND(NOT(H72=0),H72&lt;(Variables!$B$9*Variables!$E$50))),(Variables!$B$10*Variables!$E$50+Variables!$B$11*Variables!$E$50*SUM(E70:E73)+$G$1*SUM(D72:D73)*Variables!$E$50*Variables!$B$12),0)</f>
        <v>0</v>
      </c>
      <c r="N73" s="64">
        <f>IF(AND(B73="Spring",AND(SUM(D70:D73)&gt;Variables!$B$13,SUM(D66:D69)&gt;Variables!$B$13)),-Variables!$B$14*Variables!$E$50,0)</f>
        <v>0</v>
      </c>
      <c r="O73" s="64">
        <f>IF(AND(B73="Summer",SUM(C69:D73)&gt;Variables!$B$15),(Variables!$B$16*Variables!$E$50*SUM(C69:C73)+$G$1*Variables!$B$16*Variables!$E$50*SUM(D69:D73)+$G$1*Variables!$E$50*Variables!$B$17*F73),0)</f>
        <v>0</v>
      </c>
      <c r="P73" s="64">
        <f>IF(AND(AND(B73="Autumn",SUM(D72:E73)&gt;0),NOT(H72=0)),Variables!$B$18*Variables!$E$50+Variables!$B$19*Variables!$E$50*SUM(E72:E73)+$G$1*Variables!$B$19*Variables!$E$50*SUM(D72:D73),0)</f>
        <v>0</v>
      </c>
      <c r="Q73" s="64">
        <f>IF(AND(B73="Autumn",AND((E73+E72)&lt;Variables!$B$20,(D72+D73)=0)),-Variables!$B$21*Variables!$E$50,0)</f>
        <v>0</v>
      </c>
      <c r="R73" s="64">
        <f>IF(B73="Autumn",(SUM(F72:F73)*$G$1*Variables!$B$22*Variables!$E$50),0)</f>
        <v>0</v>
      </c>
      <c r="S73" s="64">
        <f>IF(B73="Spring",($G$1*Variables!$E$50*SUM('Guts (option 2)'!F72:F73)*Variables!$B$23),0)</f>
        <v>0</v>
      </c>
      <c r="T73" s="63">
        <f>IF((H72+SUM(J73:Q73))&lt;(Variables!$B$26*Variables!$E$50),$F$1*((Variables!$B$26*Variables!$E$50)-H72-SUM(J73:Q73)),0)</f>
        <v>1.4952489448917619</v>
      </c>
      <c r="U73" s="64">
        <f>IF(AND(AND(B73="Autumn",SUM(D70:E73)&gt;Variables!$B$27),SUM(J73:Q73)&lt;Variables!$B$28*H72),$F$1*(Variables!$B$28*H72-SUM(J73:Q73)),0)</f>
        <v>0</v>
      </c>
      <c r="V73" s="96">
        <f>IF(AND((J73+K73)=0,(Q73+T73)=0),$H$1*H73*Variables!$I$23*0.25,0)</f>
        <v>0</v>
      </c>
      <c r="W73" s="97">
        <f>IF(AND((K73+J73)=0,(T73+Q73)=0),$I$1*H73*Variables!$Q$23*0.25,0)</f>
        <v>0</v>
      </c>
      <c r="X73" s="95">
        <f>IF(AND(NOT(K73=0),(H73-H72)&gt;0),(H73-H72)*(Variables!$M$5*$H$1+Variables!$U$5*$I$1),0)+IF(AND(NOT((J73+N73+Q73)=0),(H72-H73)&gt;0),(H72-H73)*(Variables!$M$4*$H$1+Variables!$U$4*$I$1),0)</f>
        <v>0</v>
      </c>
      <c r="Y73" s="95">
        <f>IF(SUM(T73,U72:U73)&gt;0,H73*Variables!$Y$11*0.25*(1-$J$1),0)</f>
        <v>-6.9874000000000018</v>
      </c>
      <c r="Z73" s="95">
        <f>IF(T73=0,H73*$J$1*Variables!$Y$5*0.25,0)</f>
        <v>0</v>
      </c>
      <c r="AA73" s="95">
        <f t="shared" si="0"/>
        <v>-6.9874000000000018</v>
      </c>
      <c r="AB73" s="91">
        <f>AA73/Variables!$E$49</f>
        <v>-1.1270000000000002</v>
      </c>
    </row>
    <row r="74" spans="1:28" x14ac:dyDescent="0.25">
      <c r="A74" s="61">
        <f>'Water runs'!C81</f>
        <v>8735</v>
      </c>
      <c r="B74" s="61" t="str">
        <f>'Water runs'!B81</f>
        <v>Spring</v>
      </c>
      <c r="C74" s="54">
        <f>'Water runs'!D81/100</f>
        <v>0.59219999999999995</v>
      </c>
      <c r="D74" s="108">
        <f>VLOOKUP(ROW(D74)+4,'Water runs'!$BS$3:$CF$423,MATCH($B$1,Scenarios,0)+1)</f>
        <v>0</v>
      </c>
      <c r="E74" s="54">
        <f>IF(B74=Variables!$D$8,C74-Variables!$E$8,IF(B74=Variables!$D$9,C74-Variables!$E$9,IF(B74=Variables!$D$10,C74-Variables!$E$10,IF(B74=Variables!$D$11,C74-Variables!$E$11,"ELSE"))))</f>
        <v>-0.1717822089947092</v>
      </c>
      <c r="F74" s="108">
        <f>VLOOKUP(ROW(F74)+4,'Water runs'!$CH$3:$CU$423,MATCH($B$1,Scenarios,0)+1)</f>
        <v>0</v>
      </c>
      <c r="G74" s="65">
        <f>H74/Variables!$E$49</f>
        <v>0.16100000000000003</v>
      </c>
      <c r="H74" s="62">
        <f>IF((H73+I74)&gt;(1.1*Variables!$E$50),(1.1*Variables!$E$50),IF((H73+I74)&gt;0,H73+I74,0))</f>
        <v>0.9982000000000002</v>
      </c>
      <c r="I74" s="64">
        <f t="shared" si="1"/>
        <v>0</v>
      </c>
      <c r="J74" s="63">
        <f>IF(SUM(E70:E73)&lt;Variables!$B$3,-H73,0)</f>
        <v>-0.9982000000000002</v>
      </c>
      <c r="K74" s="64">
        <f>IF(AND(H73&lt;Variables!$B$6*Variables!$E$50,OR(SUM(D71:D74)&gt;Variables!$B$5,SUM(E71:E74)&gt;Variables!$B$4)),Variables!$B$6*Variables!$E$50+Variables!$B$7*$G$1*Variables!$E$50*SUM(D71:D74),0)</f>
        <v>0</v>
      </c>
      <c r="L74" s="64">
        <f>IF(B74="Winter",Variables!$B$8*H73,0)</f>
        <v>0</v>
      </c>
      <c r="M74" s="64">
        <f>IF(AND(B74="Spring",AND(NOT(H73=0),H73&lt;(Variables!$B$9*Variables!$E$50))),(Variables!$B$10*Variables!$E$50+Variables!$B$11*Variables!$E$50*SUM(E71:E74)+$G$1*SUM(D73:D74)*Variables!$E$50*Variables!$B$12),0)</f>
        <v>-1.1049294640567069</v>
      </c>
      <c r="N74" s="64">
        <f>IF(AND(B74="Spring",AND(SUM(D71:D74)&gt;Variables!$B$13,SUM(D67:D70)&gt;Variables!$B$13)),-Variables!$B$14*Variables!$E$50,0)</f>
        <v>0</v>
      </c>
      <c r="O74" s="64">
        <f>IF(AND(B74="Summer",SUM(C70:D74)&gt;Variables!$B$15),(Variables!$B$16*Variables!$E$50*SUM(C70:C74)+$G$1*Variables!$B$16*Variables!$E$50*SUM(D70:D74)+$G$1*Variables!$E$50*Variables!$B$17*F74),0)</f>
        <v>0</v>
      </c>
      <c r="P74" s="64">
        <f>IF(AND(AND(B74="Autumn",SUM(D73:E74)&gt;0),NOT(H73=0)),Variables!$B$18*Variables!$E$50+Variables!$B$19*Variables!$E$50*SUM(E73:E74)+$G$1*Variables!$B$19*Variables!$E$50*SUM(D73:D74),0)</f>
        <v>0</v>
      </c>
      <c r="Q74" s="64">
        <f>IF(AND(B74="Autumn",AND((E74+E73)&lt;Variables!$B$20,(D73+D74)=0)),-Variables!$B$21*Variables!$E$50,0)</f>
        <v>0</v>
      </c>
      <c r="R74" s="64">
        <f>IF(B74="Autumn",(SUM(F73:F74)*$G$1*Variables!$B$22*Variables!$E$50),0)</f>
        <v>0</v>
      </c>
      <c r="S74" s="64">
        <f>IF(B74="Spring",($G$1*Variables!$E$50*SUM('Guts (option 2)'!F73:F74)*Variables!$B$23),0)</f>
        <v>0</v>
      </c>
      <c r="T74" s="63">
        <f>IF((H73+SUM(J74:Q74))&lt;(Variables!$B$26*Variables!$E$50),$F$1*((Variables!$B$26*Variables!$E$50)-H73-SUM(J74:Q74)),0)</f>
        <v>2.1031294640567069</v>
      </c>
      <c r="U74" s="64">
        <f>IF(AND(AND(B74="Autumn",SUM(D71:E74)&gt;Variables!$B$27),SUM(J74:Q74)&lt;Variables!$B$28*H73),$F$1*(Variables!$B$28*H73-SUM(J74:Q74)),0)</f>
        <v>0</v>
      </c>
      <c r="V74" s="96">
        <f>IF(AND((J74+K74)=0,(Q74+T74)=0),$H$1*H74*Variables!$I$23*0.25,0)</f>
        <v>0</v>
      </c>
      <c r="W74" s="97">
        <f>IF(AND((K74+J74)=0,(T74+Q74)=0),$I$1*H74*Variables!$Q$23*0.25,0)</f>
        <v>0</v>
      </c>
      <c r="X74" s="95">
        <f>IF(AND(NOT(K74=0),(H74-H73)&gt;0),(H74-H73)*(Variables!$M$5*$H$1+Variables!$U$5*$I$1),0)+IF(AND(NOT((J74+N74+Q74)=0),(H73-H74)&gt;0),(H73-H74)*(Variables!$M$4*$H$1+Variables!$U$4*$I$1),0)</f>
        <v>0</v>
      </c>
      <c r="Y74" s="95">
        <f>IF(SUM(T74,U73:U74)&gt;0,H74*Variables!$Y$11*0.25*(1-$J$1),0)</f>
        <v>-6.9874000000000018</v>
      </c>
      <c r="Z74" s="95">
        <f>IF(T74=0,H74*$J$1*Variables!$Y$5*0.25,0)</f>
        <v>0</v>
      </c>
      <c r="AA74" s="95">
        <f t="shared" si="0"/>
        <v>-6.9874000000000018</v>
      </c>
      <c r="AB74" s="91">
        <f>AA74/Variables!$E$49</f>
        <v>-1.1270000000000002</v>
      </c>
    </row>
    <row r="75" spans="1:28" x14ac:dyDescent="0.25">
      <c r="A75" s="61">
        <f>'Water runs'!C82</f>
        <v>8825</v>
      </c>
      <c r="B75" s="61" t="str">
        <f>'Water runs'!B82</f>
        <v>Summer</v>
      </c>
      <c r="C75" s="54">
        <f>'Water runs'!D82/100</f>
        <v>1.587</v>
      </c>
      <c r="D75" s="108">
        <f>VLOOKUP(ROW(D75)+4,'Water runs'!$BS$3:$CF$423,MATCH($B$1,Scenarios,0)+1)</f>
        <v>4.7065297429116623E-2</v>
      </c>
      <c r="E75" s="54">
        <f>IF(B75=Variables!$D$8,C75-Variables!$E$8,IF(B75=Variables!$D$9,C75-Variables!$E$9,IF(B75=Variables!$D$10,C75-Variables!$E$10,IF(B75=Variables!$D$11,C75-Variables!$E$11,"ELSE"))))</f>
        <v>0.32862986394557825</v>
      </c>
      <c r="F75" s="108">
        <f>VLOOKUP(ROW(F75)+4,'Water runs'!$CH$3:$CU$423,MATCH($B$1,Scenarios,0)+1)</f>
        <v>0</v>
      </c>
      <c r="G75" s="65">
        <f>H75/Variables!$E$49</f>
        <v>0.16100000000000003</v>
      </c>
      <c r="H75" s="62">
        <f>IF((H74+I75)&gt;(1.1*Variables!$E$50),(1.1*Variables!$E$50),IF((H74+I75)&gt;0,H74+I75,0))</f>
        <v>0.9982000000000002</v>
      </c>
      <c r="I75" s="64">
        <f t="shared" si="1"/>
        <v>0</v>
      </c>
      <c r="J75" s="63">
        <f>IF(SUM(E71:E74)&lt;Variables!$B$3,-H74,0)</f>
        <v>0</v>
      </c>
      <c r="K75" s="64">
        <f>IF(AND(H74&lt;Variables!$B$6*Variables!$E$50,OR(SUM(D72:D75)&gt;Variables!$B$5,SUM(E72:E75)&gt;Variables!$B$4)),Variables!$B$6*Variables!$E$50+Variables!$B$7*$G$1*Variables!$E$50*SUM(D72:D75),0)</f>
        <v>0</v>
      </c>
      <c r="L75" s="64">
        <f>IF(B75="Winter",Variables!$B$8*H74,0)</f>
        <v>0</v>
      </c>
      <c r="M75" s="64">
        <f>IF(AND(B75="Spring",AND(NOT(H74=0),H74&lt;(Variables!$B$9*Variables!$E$50))),(Variables!$B$10*Variables!$E$50+Variables!$B$11*Variables!$E$50*SUM(E72:E75)+$G$1*SUM(D74:D75)*Variables!$E$50*Variables!$B$12),0)</f>
        <v>0</v>
      </c>
      <c r="N75" s="64">
        <f>IF(AND(B75="Spring",AND(SUM(D72:D75)&gt;Variables!$B$13,SUM(D68:D71)&gt;Variables!$B$13)),-Variables!$B$14*Variables!$E$50,0)</f>
        <v>0</v>
      </c>
      <c r="O75" s="64">
        <f>IF(AND(B75="Summer",SUM(C71:D75)&gt;Variables!$B$15),(Variables!$B$16*Variables!$E$50*SUM(C71:C75)+$G$1*Variables!$B$16*Variables!$E$50*SUM(D71:D75)+$G$1*Variables!$E$50*Variables!$B$17*F75),0)</f>
        <v>0</v>
      </c>
      <c r="P75" s="64">
        <f>IF(AND(AND(B75="Autumn",SUM(D74:E75)&gt;0),NOT(H74=0)),Variables!$B$18*Variables!$E$50+Variables!$B$19*Variables!$E$50*SUM(E74:E75)+$G$1*Variables!$B$19*Variables!$E$50*SUM(D74:D75),0)</f>
        <v>0</v>
      </c>
      <c r="Q75" s="64">
        <f>IF(AND(B75="Autumn",AND((E75+E74)&lt;Variables!$B$20,(D74+D75)=0)),-Variables!$B$21*Variables!$E$50,0)</f>
        <v>0</v>
      </c>
      <c r="R75" s="64">
        <f>IF(B75="Autumn",(SUM(F74:F75)*$G$1*Variables!$B$22*Variables!$E$50),0)</f>
        <v>0</v>
      </c>
      <c r="S75" s="64">
        <f>IF(B75="Spring",($G$1*Variables!$E$50*SUM('Guts (option 2)'!F74:F75)*Variables!$B$23),0)</f>
        <v>0</v>
      </c>
      <c r="T75" s="63">
        <f>IF((H74+SUM(J75:Q75))&lt;(Variables!$B$26*Variables!$E$50),$F$1*((Variables!$B$26*Variables!$E$50)-H74-SUM(J75:Q75)),0)</f>
        <v>0</v>
      </c>
      <c r="U75" s="64">
        <f>IF(AND(AND(B75="Autumn",SUM(D72:E75)&gt;Variables!$B$27),SUM(J75:Q75)&lt;Variables!$B$28*H74),$F$1*(Variables!$B$28*H74-SUM(J75:Q75)),0)</f>
        <v>0</v>
      </c>
      <c r="V75" s="96">
        <f>IF(AND((J75+K75)=0,(Q75+T75)=0),$H$1*H75*Variables!$I$23*0.25,0)</f>
        <v>6.4118212433333346</v>
      </c>
      <c r="W75" s="97">
        <f>IF(AND((K75+J75)=0,(T75+Q75)=0),$I$1*H75*Variables!$Q$23*0.25,0)</f>
        <v>6.7114808833333335</v>
      </c>
      <c r="X75" s="95">
        <f>IF(AND(NOT(K75=0),(H75-H74)&gt;0),(H75-H74)*(Variables!$M$5*$H$1+Variables!$U$5*$I$1),0)+IF(AND(NOT((J75+N75+Q75)=0),(H74-H75)&gt;0),(H74-H75)*(Variables!$M$4*$H$1+Variables!$U$4*$I$1),0)</f>
        <v>0</v>
      </c>
      <c r="Y75" s="95">
        <f>IF(SUM(T75,U74:U75)&gt;0,H75*Variables!$Y$11*0.25*(1-$J$1),0)</f>
        <v>0</v>
      </c>
      <c r="Z75" s="95">
        <f>IF(T75=0,H75*$J$1*Variables!$Y$5*0.25,0)</f>
        <v>2.1627666666666672</v>
      </c>
      <c r="AA75" s="95">
        <f t="shared" si="0"/>
        <v>15.286068793333335</v>
      </c>
      <c r="AB75" s="91">
        <f>AA75/Variables!$E$49</f>
        <v>2.4654949666666668</v>
      </c>
    </row>
    <row r="76" spans="1:28" x14ac:dyDescent="0.25">
      <c r="A76" s="61">
        <f>'Water runs'!C83</f>
        <v>8918</v>
      </c>
      <c r="B76" s="61" t="str">
        <f>'Water runs'!B83</f>
        <v>Autumn</v>
      </c>
      <c r="C76" s="54">
        <f>'Water runs'!D83/100</f>
        <v>0.62740000000000007</v>
      </c>
      <c r="D76" s="108">
        <f>VLOOKUP(ROW(D76)+4,'Water runs'!$BS$3:$CF$423,MATCH($B$1,Scenarios,0)+1)</f>
        <v>0.10353763687756831</v>
      </c>
      <c r="E76" s="54">
        <f>IF(B76=Variables!$D$8,C76-Variables!$E$8,IF(B76=Variables!$D$9,C76-Variables!$E$9,IF(B76=Variables!$D$10,C76-Variables!$E$10,IF(B76=Variables!$D$11,C76-Variables!$E$11,"ELSE"))))</f>
        <v>-0.36724329931972777</v>
      </c>
      <c r="F76" s="108">
        <f>VLOOKUP(ROW(F76)+4,'Water runs'!$CH$3:$CU$423,MATCH($B$1,Scenarios,0)+1)</f>
        <v>0</v>
      </c>
      <c r="G76" s="65">
        <f>H76/Variables!$E$49</f>
        <v>0.43106311135257153</v>
      </c>
      <c r="H76" s="62">
        <f>IF((H75+I76)&gt;(1.1*Variables!$E$50),(1.1*Variables!$E$50),IF((H75+I76)&gt;0,H75+I76,0))</f>
        <v>2.6725912903859435</v>
      </c>
      <c r="I76" s="64">
        <f t="shared" si="1"/>
        <v>1.674391290385943</v>
      </c>
      <c r="J76" s="63">
        <f>IF(SUM(E72:E75)&lt;Variables!$B$3,-H75,0)</f>
        <v>0</v>
      </c>
      <c r="K76" s="64">
        <f>IF(AND(H75&lt;Variables!$B$6*Variables!$E$50,OR(SUM(D73:D76)&gt;Variables!$B$5,SUM(E73:E76)&gt;Variables!$B$4)),Variables!$B$6*Variables!$E$50+Variables!$B$7*$G$1*Variables!$E$50*SUM(D73:D76),0)</f>
        <v>1.1487461120198894</v>
      </c>
      <c r="L76" s="64">
        <f>IF(B76="Winter",Variables!$B$8*H75,0)</f>
        <v>0</v>
      </c>
      <c r="M76" s="64">
        <f>IF(AND(B76="Spring",AND(NOT(H75=0),H75&lt;(Variables!$B$9*Variables!$E$50))),(Variables!$B$10*Variables!$E$50+Variables!$B$11*Variables!$E$50*SUM(E73:E76)+$G$1*SUM(D75:D76)*Variables!$E$50*Variables!$B$12),0)</f>
        <v>0</v>
      </c>
      <c r="N76" s="64">
        <f>IF(AND(B76="Spring",AND(SUM(D73:D76)&gt;Variables!$B$13,SUM(D69:D72)&gt;Variables!$B$13)),-Variables!$B$14*Variables!$E$50,0)</f>
        <v>0</v>
      </c>
      <c r="O76" s="64">
        <f>IF(AND(B76="Summer",SUM(C72:D76)&gt;Variables!$B$15),(Variables!$B$16*Variables!$E$50*SUM(C72:C76)+$G$1*Variables!$B$16*Variables!$E$50*SUM(D72:D76)+$G$1*Variables!$E$50*Variables!$B$17*F76),0)</f>
        <v>0</v>
      </c>
      <c r="P76" s="64">
        <f>IF(AND(AND(B76="Autumn",SUM(D75:E76)&gt;0),NOT(H75=0)),Variables!$B$18*Variables!$E$50+Variables!$B$19*Variables!$E$50*SUM(E75:E76)+$G$1*Variables!$B$19*Variables!$E$50*SUM(D75:D76),0)</f>
        <v>0.52564517836605362</v>
      </c>
      <c r="Q76" s="64">
        <f>IF(AND(B76="Autumn",AND((E76+E75)&lt;Variables!$B$20,(D75+D76)=0)),-Variables!$B$21*Variables!$E$50,0)</f>
        <v>0</v>
      </c>
      <c r="R76" s="64">
        <f>IF(B76="Autumn",(SUM(F75:F76)*$G$1*Variables!$B$22*Variables!$E$50),0)</f>
        <v>0</v>
      </c>
      <c r="S76" s="64">
        <f>IF(B76="Spring",($G$1*Variables!$E$50*SUM('Guts (option 2)'!F75:F76)*Variables!$B$23),0)</f>
        <v>0</v>
      </c>
      <c r="T76" s="63">
        <f>IF((H75+SUM(J76:Q76))&lt;(Variables!$B$26*Variables!$E$50),$F$1*((Variables!$B$26*Variables!$E$50)-H75-SUM(J76:Q76)),0)</f>
        <v>0</v>
      </c>
      <c r="U76" s="64">
        <f>IF(AND(AND(B76="Autumn",SUM(D73:E76)&gt;Variables!$B$27),SUM(J76:Q76)&lt;Variables!$B$28*H75),$F$1*(Variables!$B$28*H75-SUM(J76:Q76)),0)</f>
        <v>0</v>
      </c>
      <c r="V76" s="96">
        <f>IF(AND((J76+K76)=0,(Q76+T76)=0),$H$1*H76*Variables!$I$23*0.25,0)</f>
        <v>0</v>
      </c>
      <c r="W76" s="97">
        <f>IF(AND((K76+J76)=0,(T76+Q76)=0),$I$1*H76*Variables!$Q$23*0.25,0)</f>
        <v>0</v>
      </c>
      <c r="X76" s="95">
        <f>IF(AND(NOT(K76=0),(H76-H75)&gt;0),(H76-H75)*(Variables!$M$5*$H$1+Variables!$U$5*$I$1),0)+IF(AND(NOT((J76+N76+Q76)=0),(H75-H76)&gt;0),(H75-H76)*(Variables!$M$4*$H$1+Variables!$U$4*$I$1),0)</f>
        <v>-139.53260753216193</v>
      </c>
      <c r="Y76" s="95">
        <f>IF(SUM(T76,U75:U76)&gt;0,H76*Variables!$Y$11*0.25*(1-$J$1),0)</f>
        <v>0</v>
      </c>
      <c r="Z76" s="95">
        <f>IF(T76=0,H76*$J$1*Variables!$Y$5*0.25,0)</f>
        <v>5.7906144625028775</v>
      </c>
      <c r="AA76" s="95">
        <f t="shared" si="0"/>
        <v>-133.74199306965906</v>
      </c>
      <c r="AB76" s="91">
        <f>AA76/Variables!$E$49</f>
        <v>-21.571289204783717</v>
      </c>
    </row>
    <row r="77" spans="1:28" x14ac:dyDescent="0.25">
      <c r="A77" s="61">
        <f>'Water runs'!C84</f>
        <v>9010</v>
      </c>
      <c r="B77" s="61" t="str">
        <f>'Water runs'!B84</f>
        <v>Winter</v>
      </c>
      <c r="C77" s="54">
        <f>'Water runs'!D84/100</f>
        <v>0.54679999999999995</v>
      </c>
      <c r="D77" s="108">
        <f>VLOOKUP(ROW(D77)+4,'Water runs'!$BS$3:$CF$423,MATCH($B$1,Scenarios,0)+1)</f>
        <v>0</v>
      </c>
      <c r="E77" s="54">
        <f>IF(B77=Variables!$D$8,C77-Variables!$E$8,IF(B77=Variables!$D$9,C77-Variables!$E$9,IF(B77=Variables!$D$10,C77-Variables!$E$10,IF(B77=Variables!$D$11,C77-Variables!$E$11,"ELSE"))))</f>
        <v>-2.4967625661375781E-2</v>
      </c>
      <c r="F77" s="108">
        <f>VLOOKUP(ROW(F77)+4,'Water runs'!$CH$3:$CU$423,MATCH($B$1,Scenarios,0)+1)</f>
        <v>0</v>
      </c>
      <c r="G77" s="65">
        <f>H77/Variables!$E$49</f>
        <v>0.21641728418411271</v>
      </c>
      <c r="H77" s="62">
        <f>IF((H76+I77)&gt;(1.1*Variables!$E$50),(1.1*Variables!$E$50),IF((H76+I77)&gt;0,H76+I77,0))</f>
        <v>1.3417871619414989</v>
      </c>
      <c r="I77" s="64">
        <f t="shared" si="1"/>
        <v>-1.3308041284444445</v>
      </c>
      <c r="J77" s="63">
        <f>IF(SUM(E73:E76)&lt;Variables!$B$3,-H76,0)</f>
        <v>0</v>
      </c>
      <c r="K77" s="64">
        <f>IF(AND(H76&lt;Variables!$B$6*Variables!$E$50,OR(SUM(D74:D77)&gt;Variables!$B$5,SUM(E74:E77)&gt;Variables!$B$4)),Variables!$B$6*Variables!$E$50+Variables!$B$7*$G$1*Variables!$E$50*SUM(D74:D77),0)</f>
        <v>0</v>
      </c>
      <c r="L77" s="64">
        <f>IF(B77="Winter",Variables!$B$8*H76,0)</f>
        <v>-1.3308041284444445</v>
      </c>
      <c r="M77" s="64">
        <f>IF(AND(B77="Spring",AND(NOT(H76=0),H76&lt;(Variables!$B$9*Variables!$E$50))),(Variables!$B$10*Variables!$E$50+Variables!$B$11*Variables!$E$50*SUM(E74:E77)+$G$1*SUM(D76:D77)*Variables!$E$50*Variables!$B$12),0)</f>
        <v>0</v>
      </c>
      <c r="N77" s="64">
        <f>IF(AND(B77="Spring",AND(SUM(D74:D77)&gt;Variables!$B$13,SUM(D70:D73)&gt;Variables!$B$13)),-Variables!$B$14*Variables!$E$50,0)</f>
        <v>0</v>
      </c>
      <c r="O77" s="64">
        <f>IF(AND(B77="Summer",SUM(C73:D77)&gt;Variables!$B$15),(Variables!$B$16*Variables!$E$50*SUM(C73:C77)+$G$1*Variables!$B$16*Variables!$E$50*SUM(D73:D77)+$G$1*Variables!$E$50*Variables!$B$17*F77),0)</f>
        <v>0</v>
      </c>
      <c r="P77" s="64">
        <f>IF(AND(AND(B77="Autumn",SUM(D76:E77)&gt;0),NOT(H76=0)),Variables!$B$18*Variables!$E$50+Variables!$B$19*Variables!$E$50*SUM(E76:E77)+$G$1*Variables!$B$19*Variables!$E$50*SUM(D76:D77),0)</f>
        <v>0</v>
      </c>
      <c r="Q77" s="64">
        <f>IF(AND(B77="Autumn",AND((E77+E76)&lt;Variables!$B$20,(D76+D77)=0)),-Variables!$B$21*Variables!$E$50,0)</f>
        <v>0</v>
      </c>
      <c r="R77" s="64">
        <f>IF(B77="Autumn",(SUM(F76:F77)*$G$1*Variables!$B$22*Variables!$E$50),0)</f>
        <v>0</v>
      </c>
      <c r="S77" s="64">
        <f>IF(B77="Spring",($G$1*Variables!$E$50*SUM('Guts (option 2)'!F76:F77)*Variables!$B$23),0)</f>
        <v>0</v>
      </c>
      <c r="T77" s="63">
        <f>IF((H76+SUM(J77:Q77))&lt;(Variables!$B$26*Variables!$E$50),$F$1*((Variables!$B$26*Variables!$E$50)-H76-SUM(J77:Q77)),0)</f>
        <v>0</v>
      </c>
      <c r="U77" s="64">
        <f>IF(AND(AND(B77="Autumn",SUM(D74:E77)&gt;Variables!$B$27),SUM(J77:Q77)&lt;Variables!$B$28*H76),$F$1*(Variables!$B$28*H76-SUM(J77:Q77)),0)</f>
        <v>0</v>
      </c>
      <c r="V77" s="96">
        <f>IF(AND((J77+K77)=0,(Q77+T77)=0),$H$1*H77*Variables!$I$23*0.25,0)</f>
        <v>8.6188132928956591</v>
      </c>
      <c r="W77" s="97">
        <f>IF(AND((K77+J77)=0,(T77+Q77)=0),$I$1*H77*Variables!$Q$23*0.25,0)</f>
        <v>9.0216177989104942</v>
      </c>
      <c r="X77" s="95">
        <f>IF(AND(NOT(K77=0),(H77-H76)&gt;0),(H77-H76)*(Variables!$M$5*$H$1+Variables!$U$5*$I$1),0)+IF(AND(NOT((J77+N77+Q77)=0),(H76-H77)&gt;0),(H76-H77)*(Variables!$M$4*$H$1+Variables!$U$4*$I$1),0)</f>
        <v>0</v>
      </c>
      <c r="Y77" s="95">
        <f>IF(SUM(T77,U76:U77)&gt;0,H77*Variables!$Y$11*0.25*(1-$J$1),0)</f>
        <v>0</v>
      </c>
      <c r="Z77" s="95">
        <f>IF(T77=0,H77*$J$1*Variables!$Y$5*0.25,0)</f>
        <v>2.9072055175399143</v>
      </c>
      <c r="AA77" s="95">
        <f t="shared" si="0"/>
        <v>20.547636609346068</v>
      </c>
      <c r="AB77" s="91">
        <f>AA77/Variables!$E$49</f>
        <v>3.3141349369913011</v>
      </c>
    </row>
    <row r="78" spans="1:28" x14ac:dyDescent="0.25">
      <c r="A78" s="61">
        <f>'Water runs'!C85</f>
        <v>9101</v>
      </c>
      <c r="B78" s="61" t="str">
        <f>'Water runs'!B85</f>
        <v>Spring</v>
      </c>
      <c r="C78" s="54">
        <f>'Water runs'!D85/100</f>
        <v>1.7996000000000001</v>
      </c>
      <c r="D78" s="108">
        <f>VLOOKUP(ROW(D78)+4,'Water runs'!$BS$3:$CF$423,MATCH($B$1,Scenarios,0)+1)</f>
        <v>7.1456622776110659E-2</v>
      </c>
      <c r="E78" s="54">
        <f>IF(B78=Variables!$D$8,C78-Variables!$E$8,IF(B78=Variables!$D$9,C78-Variables!$E$9,IF(B78=Variables!$D$10,C78-Variables!$E$10,IF(B78=Variables!$D$11,C78-Variables!$E$11,"ELSE"))))</f>
        <v>1.0356177910052908</v>
      </c>
      <c r="F78" s="108">
        <f>VLOOKUP(ROW(F78)+4,'Water runs'!$CH$3:$CU$423,MATCH($B$1,Scenarios,0)+1)</f>
        <v>0</v>
      </c>
      <c r="G78" s="65">
        <f>H78/Variables!$E$49</f>
        <v>0.3274608443717103</v>
      </c>
      <c r="H78" s="62">
        <f>IF((H77+I78)&gt;(1.1*Variables!$E$50),(1.1*Variables!$E$50),IF((H77+I78)&gt;0,H77+I78,0))</f>
        <v>2.030257235104604</v>
      </c>
      <c r="I78" s="64">
        <f t="shared" si="1"/>
        <v>0.68847007316310527</v>
      </c>
      <c r="J78" s="63">
        <f>IF(SUM(E74:E77)&lt;Variables!$B$3,-H77,0)</f>
        <v>0</v>
      </c>
      <c r="K78" s="64">
        <f>IF(AND(H77&lt;Variables!$B$6*Variables!$E$50,OR(SUM(D75:D78)&gt;Variables!$B$5,SUM(E75:E78)&gt;Variables!$B$4)),Variables!$B$6*Variables!$E$50+Variables!$B$7*$G$1*Variables!$E$50*SUM(D75:D78),0)</f>
        <v>0</v>
      </c>
      <c r="L78" s="64">
        <f>IF(B78="Winter",Variables!$B$8*H77,0)</f>
        <v>0</v>
      </c>
      <c r="M78" s="64">
        <f>IF(AND(B78="Spring",AND(NOT(H77=0),H77&lt;(Variables!$B$9*Variables!$E$50))),(Variables!$B$10*Variables!$E$50+Variables!$B$11*Variables!$E$50*SUM(E75:E78)+$G$1*SUM(D77:D78)*Variables!$E$50*Variables!$B$12),0)</f>
        <v>0.68847007316310527</v>
      </c>
      <c r="N78" s="64">
        <f>IF(AND(B78="Spring",AND(SUM(D75:D78)&gt;Variables!$B$13,SUM(D71:D74)&gt;Variables!$B$13)),-Variables!$B$14*Variables!$E$50,0)</f>
        <v>0</v>
      </c>
      <c r="O78" s="64">
        <f>IF(AND(B78="Summer",SUM(C74:D78)&gt;Variables!$B$15),(Variables!$B$16*Variables!$E$50*SUM(C74:C78)+$G$1*Variables!$B$16*Variables!$E$50*SUM(D74:D78)+$G$1*Variables!$E$50*Variables!$B$17*F78),0)</f>
        <v>0</v>
      </c>
      <c r="P78" s="64">
        <f>IF(AND(AND(B78="Autumn",SUM(D77:E78)&gt;0),NOT(H77=0)),Variables!$B$18*Variables!$E$50+Variables!$B$19*Variables!$E$50*SUM(E77:E78)+$G$1*Variables!$B$19*Variables!$E$50*SUM(D77:D78),0)</f>
        <v>0</v>
      </c>
      <c r="Q78" s="64">
        <f>IF(AND(B78="Autumn",AND((E78+E77)&lt;Variables!$B$20,(D77+D78)=0)),-Variables!$B$21*Variables!$E$50,0)</f>
        <v>0</v>
      </c>
      <c r="R78" s="64">
        <f>IF(B78="Autumn",(SUM(F77:F78)*$G$1*Variables!$B$22*Variables!$E$50),0)</f>
        <v>0</v>
      </c>
      <c r="S78" s="64">
        <f>IF(B78="Spring",($G$1*Variables!$E$50*SUM('Guts (option 2)'!F77:F78)*Variables!$B$23),0)</f>
        <v>0</v>
      </c>
      <c r="T78" s="63">
        <f>IF((H77+SUM(J78:Q78))&lt;(Variables!$B$26*Variables!$E$50),$F$1*((Variables!$B$26*Variables!$E$50)-H77-SUM(J78:Q78)),0)</f>
        <v>0</v>
      </c>
      <c r="U78" s="64">
        <f>IF(AND(AND(B78="Autumn",SUM(D75:E78)&gt;Variables!$B$27),SUM(J78:Q78)&lt;Variables!$B$28*H77),$F$1*(Variables!$B$28*H77-SUM(J78:Q78)),0)</f>
        <v>0</v>
      </c>
      <c r="V78" s="96">
        <f>IF(AND((J78+K78)=0,(Q78+T78)=0),$H$1*H78*Variables!$I$23*0.25,0)</f>
        <v>13.041120486350328</v>
      </c>
      <c r="W78" s="97">
        <f>IF(AND((K78+J78)=0,(T78+Q78)=0),$I$1*H78*Variables!$Q$23*0.25,0)</f>
        <v>13.650603708328729</v>
      </c>
      <c r="X78" s="95">
        <f>IF(AND(NOT(K78=0),(H78-H77)&gt;0),(H78-H77)*(Variables!$M$5*$H$1+Variables!$U$5*$I$1),0)+IF(AND(NOT((J78+N78+Q78)=0),(H77-H78)&gt;0),(H77-H78)*(Variables!$M$4*$H$1+Variables!$U$4*$I$1),0)</f>
        <v>0</v>
      </c>
      <c r="Y78" s="95">
        <f>IF(SUM(T78,U77:U78)&gt;0,H78*Variables!$Y$11*0.25*(1-$J$1),0)</f>
        <v>0</v>
      </c>
      <c r="Z78" s="95">
        <f>IF(T78=0,H78*$J$1*Variables!$Y$5*0.25,0)</f>
        <v>4.3988906760599757</v>
      </c>
      <c r="AA78" s="95">
        <f t="shared" si="0"/>
        <v>31.090614870739032</v>
      </c>
      <c r="AB78" s="91">
        <f>AA78/Variables!$E$49</f>
        <v>5.0146153017321016</v>
      </c>
    </row>
    <row r="79" spans="1:28" x14ac:dyDescent="0.25">
      <c r="A79" s="61">
        <f>'Water runs'!C86</f>
        <v>9191</v>
      </c>
      <c r="B79" s="61" t="str">
        <f>'Water runs'!B86</f>
        <v>Summer</v>
      </c>
      <c r="C79" s="54">
        <f>'Water runs'!D86/100</f>
        <v>1.0715999999999999</v>
      </c>
      <c r="D79" s="108">
        <f>VLOOKUP(ROW(D79)+4,'Water runs'!$BS$3:$CF$423,MATCH($B$1,Scenarios,0)+1)</f>
        <v>5.1469132772230974E-2</v>
      </c>
      <c r="E79" s="54">
        <f>IF(B79=Variables!$D$8,C79-Variables!$E$8,IF(B79=Variables!$D$9,C79-Variables!$E$9,IF(B79=Variables!$D$10,C79-Variables!$E$10,IF(B79=Variables!$D$11,C79-Variables!$E$11,"ELSE"))))</f>
        <v>-0.18677013605442183</v>
      </c>
      <c r="F79" s="108">
        <f>VLOOKUP(ROW(F79)+4,'Water runs'!$CH$3:$CU$423,MATCH($B$1,Scenarios,0)+1)</f>
        <v>0.10101742689965874</v>
      </c>
      <c r="G79" s="65">
        <f>H79/Variables!$E$49</f>
        <v>0.3274608443717103</v>
      </c>
      <c r="H79" s="62">
        <f>IF((H78+I79)&gt;(1.1*Variables!$E$50),(1.1*Variables!$E$50),IF((H78+I79)&gt;0,H78+I79,0))</f>
        <v>2.030257235104604</v>
      </c>
      <c r="I79" s="64">
        <f t="shared" si="1"/>
        <v>0</v>
      </c>
      <c r="J79" s="63">
        <f>IF(SUM(E75:E78)&lt;Variables!$B$3,-H78,0)</f>
        <v>0</v>
      </c>
      <c r="K79" s="64">
        <f>IF(AND(H78&lt;Variables!$B$6*Variables!$E$50,OR(SUM(D76:D79)&gt;Variables!$B$5,SUM(E76:E79)&gt;Variables!$B$4)),Variables!$B$6*Variables!$E$50+Variables!$B$7*$G$1*Variables!$E$50*SUM(D76:D79),0)</f>
        <v>0</v>
      </c>
      <c r="L79" s="64">
        <f>IF(B79="Winter",Variables!$B$8*H78,0)</f>
        <v>0</v>
      </c>
      <c r="M79" s="64">
        <f>IF(AND(B79="Spring",AND(NOT(H78=0),H78&lt;(Variables!$B$9*Variables!$E$50))),(Variables!$B$10*Variables!$E$50+Variables!$B$11*Variables!$E$50*SUM(E76:E79)+$G$1*SUM(D78:D79)*Variables!$E$50*Variables!$B$12),0)</f>
        <v>0</v>
      </c>
      <c r="N79" s="64">
        <f>IF(AND(B79="Spring",AND(SUM(D76:D79)&gt;Variables!$B$13,SUM(D72:D75)&gt;Variables!$B$13)),-Variables!$B$14*Variables!$E$50,0)</f>
        <v>0</v>
      </c>
      <c r="O79" s="64">
        <f>IF(AND(B79="Summer",SUM(C75:D79)&gt;Variables!$B$15),(Variables!$B$16*Variables!$E$50*SUM(C75:C79)+$G$1*Variables!$B$16*Variables!$E$50*SUM(D75:D79)+$G$1*Variables!$E$50*Variables!$B$17*F79),0)</f>
        <v>0</v>
      </c>
      <c r="P79" s="64">
        <f>IF(AND(AND(B79="Autumn",SUM(D78:E79)&gt;0),NOT(H78=0)),Variables!$B$18*Variables!$E$50+Variables!$B$19*Variables!$E$50*SUM(E78:E79)+$G$1*Variables!$B$19*Variables!$E$50*SUM(D78:D79),0)</f>
        <v>0</v>
      </c>
      <c r="Q79" s="64">
        <f>IF(AND(B79="Autumn",AND((E79+E78)&lt;Variables!$B$20,(D78+D79)=0)),-Variables!$B$21*Variables!$E$50,0)</f>
        <v>0</v>
      </c>
      <c r="R79" s="64">
        <f>IF(B79="Autumn",(SUM(F78:F79)*$G$1*Variables!$B$22*Variables!$E$50),0)</f>
        <v>0</v>
      </c>
      <c r="S79" s="64">
        <f>IF(B79="Spring",($G$1*Variables!$E$50*SUM('Guts (option 2)'!F78:F79)*Variables!$B$23),0)</f>
        <v>0</v>
      </c>
      <c r="T79" s="63">
        <f>IF((H78+SUM(J79:Q79))&lt;(Variables!$B$26*Variables!$E$50),$F$1*((Variables!$B$26*Variables!$E$50)-H78-SUM(J79:Q79)),0)</f>
        <v>0</v>
      </c>
      <c r="U79" s="64">
        <f>IF(AND(AND(B79="Autumn",SUM(D76:E79)&gt;Variables!$B$27),SUM(J79:Q79)&lt;Variables!$B$28*H78),$F$1*(Variables!$B$28*H78-SUM(J79:Q79)),0)</f>
        <v>0</v>
      </c>
      <c r="V79" s="96">
        <f>IF(AND((J79+K79)=0,(Q79+T79)=0),$H$1*H79*Variables!$I$23*0.25,0)</f>
        <v>13.041120486350328</v>
      </c>
      <c r="W79" s="97">
        <f>IF(AND((K79+J79)=0,(T79+Q79)=0),$I$1*H79*Variables!$Q$23*0.25,0)</f>
        <v>13.650603708328729</v>
      </c>
      <c r="X79" s="95">
        <f>IF(AND(NOT(K79=0),(H79-H78)&gt;0),(H79-H78)*(Variables!$M$5*$H$1+Variables!$U$5*$I$1),0)+IF(AND(NOT((J79+N79+Q79)=0),(H78-H79)&gt;0),(H78-H79)*(Variables!$M$4*$H$1+Variables!$U$4*$I$1),0)</f>
        <v>0</v>
      </c>
      <c r="Y79" s="95">
        <f>IF(SUM(T79,U78:U79)&gt;0,H79*Variables!$Y$11*0.25*(1-$J$1),0)</f>
        <v>0</v>
      </c>
      <c r="Z79" s="95">
        <f>IF(T79=0,H79*$J$1*Variables!$Y$5*0.25,0)</f>
        <v>4.3988906760599757</v>
      </c>
      <c r="AA79" s="95">
        <f t="shared" si="0"/>
        <v>31.090614870739032</v>
      </c>
      <c r="AB79" s="91">
        <f>AA79/Variables!$E$49</f>
        <v>5.0146153017321016</v>
      </c>
    </row>
    <row r="80" spans="1:28" x14ac:dyDescent="0.25">
      <c r="A80" s="61">
        <f>'Water runs'!C87</f>
        <v>9283</v>
      </c>
      <c r="B80" s="61" t="str">
        <f>'Water runs'!B87</f>
        <v>Autumn</v>
      </c>
      <c r="C80" s="54">
        <f>'Water runs'!D87/100</f>
        <v>0.1946</v>
      </c>
      <c r="D80" s="108">
        <f>VLOOKUP(ROW(D80)+4,'Water runs'!$BS$3:$CF$423,MATCH($B$1,Scenarios,0)+1)</f>
        <v>0</v>
      </c>
      <c r="E80" s="54">
        <f>IF(B80=Variables!$D$8,C80-Variables!$E$8,IF(B80=Variables!$D$9,C80-Variables!$E$9,IF(B80=Variables!$D$10,C80-Variables!$E$10,IF(B80=Variables!$D$11,C80-Variables!$E$11,"ELSE"))))</f>
        <v>-0.80004329931972784</v>
      </c>
      <c r="F80" s="108">
        <f>VLOOKUP(ROW(F80)+4,'Water runs'!$CH$3:$CU$423,MATCH($B$1,Scenarios,0)+1)</f>
        <v>0</v>
      </c>
      <c r="G80" s="65">
        <f>H80/Variables!$E$49</f>
        <v>0.32975640514787186</v>
      </c>
      <c r="H80" s="62">
        <f>IF((H79+I80)&gt;(1.1*Variables!$E$50),(1.1*Variables!$E$50),IF((H79+I80)&gt;0,H79+I80,0))</f>
        <v>2.0444897119168055</v>
      </c>
      <c r="I80" s="64">
        <f t="shared" si="1"/>
        <v>1.4232476812201415E-2</v>
      </c>
      <c r="J80" s="63">
        <f>IF(SUM(E76:E79)&lt;Variables!$B$3,-H79,0)</f>
        <v>0</v>
      </c>
      <c r="K80" s="64">
        <f>IF(AND(H79&lt;Variables!$B$6*Variables!$E$50,OR(SUM(D77:D80)&gt;Variables!$B$5,SUM(E77:E80)&gt;Variables!$B$4)),Variables!$B$6*Variables!$E$50+Variables!$B$7*$G$1*Variables!$E$50*SUM(D77:D80),0)</f>
        <v>0</v>
      </c>
      <c r="L80" s="64">
        <f>IF(B80="Winter",Variables!$B$8*H79,0)</f>
        <v>0</v>
      </c>
      <c r="M80" s="64">
        <f>IF(AND(B80="Spring",AND(NOT(H79=0),H79&lt;(Variables!$B$9*Variables!$E$50))),(Variables!$B$10*Variables!$E$50+Variables!$B$11*Variables!$E$50*SUM(E77:E80)+$G$1*SUM(D79:D80)*Variables!$E$50*Variables!$B$12),0)</f>
        <v>0</v>
      </c>
      <c r="N80" s="64">
        <f>IF(AND(B80="Spring",AND(SUM(D77:D80)&gt;Variables!$B$13,SUM(D73:D76)&gt;Variables!$B$13)),-Variables!$B$14*Variables!$E$50,0)</f>
        <v>0</v>
      </c>
      <c r="O80" s="64">
        <f>IF(AND(B80="Summer",SUM(C76:D80)&gt;Variables!$B$15),(Variables!$B$16*Variables!$E$50*SUM(C76:C80)+$G$1*Variables!$B$16*Variables!$E$50*SUM(D76:D80)+$G$1*Variables!$E$50*Variables!$B$17*F80),0)</f>
        <v>0</v>
      </c>
      <c r="P80" s="64">
        <f>IF(AND(AND(B80="Autumn",SUM(D79:E80)&gt;0),NOT(H79=0)),Variables!$B$18*Variables!$E$50+Variables!$B$19*Variables!$E$50*SUM(E79:E80)+$G$1*Variables!$B$19*Variables!$E$50*SUM(D79:D80),0)</f>
        <v>0</v>
      </c>
      <c r="Q80" s="64">
        <f>IF(AND(B80="Autumn",AND((E80+E79)&lt;Variables!$B$20,(D79+D80)=0)),-Variables!$B$21*Variables!$E$50,0)</f>
        <v>0</v>
      </c>
      <c r="R80" s="64">
        <f>IF(B80="Autumn",(SUM(F79:F80)*$G$1*Variables!$B$22*Variables!$E$50),0)</f>
        <v>1.4232476812201415E-2</v>
      </c>
      <c r="S80" s="64">
        <f>IF(B80="Spring",($G$1*Variables!$E$50*SUM('Guts (option 2)'!F79:F80)*Variables!$B$23),0)</f>
        <v>0</v>
      </c>
      <c r="T80" s="63">
        <f>IF((H79+SUM(J80:Q80))&lt;(Variables!$B$26*Variables!$E$50),$F$1*((Variables!$B$26*Variables!$E$50)-H79-SUM(J80:Q80)),0)</f>
        <v>0</v>
      </c>
      <c r="U80" s="64">
        <f>IF(AND(AND(B80="Autumn",SUM(D77:E80)&gt;Variables!$B$27),SUM(J80:Q80)&lt;Variables!$B$28*H79),$F$1*(Variables!$B$28*H79-SUM(J80:Q80)),0)</f>
        <v>0</v>
      </c>
      <c r="V80" s="96">
        <f>IF(AND((J80+K80)=0,(Q80+T80)=0),$H$1*H80*Variables!$I$23*0.25,0)</f>
        <v>13.132541140697876</v>
      </c>
      <c r="W80" s="97">
        <f>IF(AND((K80+J80)=0,(T80+Q80)=0),$I$1*H80*Variables!$Q$23*0.25,0)</f>
        <v>13.7462969522153</v>
      </c>
      <c r="X80" s="95">
        <f>IF(AND(NOT(K80=0),(H80-H79)&gt;0),(H80-H79)*(Variables!$M$5*$H$1+Variables!$U$5*$I$1),0)+IF(AND(NOT((J80+N80+Q80)=0),(H79-H80)&gt;0),(H79-H80)*(Variables!$M$4*$H$1+Variables!$U$4*$I$1),0)</f>
        <v>0</v>
      </c>
      <c r="Y80" s="95">
        <f>IF(SUM(T80,U79:U80)&gt;0,H80*Variables!$Y$11*0.25*(1-$J$1),0)</f>
        <v>0</v>
      </c>
      <c r="Z80" s="95">
        <f>IF(T80=0,H80*$J$1*Variables!$Y$5*0.25,0)</f>
        <v>4.4297277091530782</v>
      </c>
      <c r="AA80" s="95">
        <f t="shared" ref="AA80:AA143" si="2">SUM(V80:Z80)</f>
        <v>31.308565802066255</v>
      </c>
      <c r="AB80" s="91">
        <f>AA80/Variables!$E$49</f>
        <v>5.0497686777526214</v>
      </c>
    </row>
    <row r="81" spans="1:28" x14ac:dyDescent="0.25">
      <c r="A81" s="61">
        <f>'Water runs'!C88</f>
        <v>9375</v>
      </c>
      <c r="B81" s="61" t="str">
        <f>'Water runs'!B88</f>
        <v>Winter</v>
      </c>
      <c r="C81" s="54">
        <f>'Water runs'!D88/100</f>
        <v>0.54959999999999998</v>
      </c>
      <c r="D81" s="108">
        <f>VLOOKUP(ROW(D81)+4,'Water runs'!$BS$3:$CF$423,MATCH($B$1,Scenarios,0)+1)</f>
        <v>0</v>
      </c>
      <c r="E81" s="54">
        <f>IF(B81=Variables!$D$8,C81-Variables!$E$8,IF(B81=Variables!$D$9,C81-Variables!$E$9,IF(B81=Variables!$D$10,C81-Variables!$E$10,IF(B81=Variables!$D$11,C81-Variables!$E$11,"ELSE"))))</f>
        <v>-2.2167625661375756E-2</v>
      </c>
      <c r="F81" s="108">
        <f>VLOOKUP(ROW(F81)+4,'Water runs'!$CH$3:$CU$423,MATCH($B$1,Scenarios,0)+1)</f>
        <v>0</v>
      </c>
      <c r="G81" s="65">
        <f>H81/Variables!$E$49</f>
        <v>0.16555577075591643</v>
      </c>
      <c r="H81" s="62">
        <f>IF((H80+I81)&gt;(1.1*Variables!$E$50),(1.1*Variables!$E$50),IF((H80+I81)&gt;0,H80+I81,0))</f>
        <v>1.0264457786866819</v>
      </c>
      <c r="I81" s="64">
        <f t="shared" si="1"/>
        <v>-1.0180439332301237</v>
      </c>
      <c r="J81" s="63">
        <f>IF(SUM(E77:E80)&lt;Variables!$B$3,-H80,0)</f>
        <v>0</v>
      </c>
      <c r="K81" s="64">
        <f>IF(AND(H80&lt;Variables!$B$6*Variables!$E$50,OR(SUM(D78:D81)&gt;Variables!$B$5,SUM(E78:E81)&gt;Variables!$B$4)),Variables!$B$6*Variables!$E$50+Variables!$B$7*$G$1*Variables!$E$50*SUM(D78:D81),0)</f>
        <v>0</v>
      </c>
      <c r="L81" s="64">
        <f>IF(B81="Winter",Variables!$B$8*H80,0)</f>
        <v>-1.0180439332301237</v>
      </c>
      <c r="M81" s="64">
        <f>IF(AND(B81="Spring",AND(NOT(H80=0),H80&lt;(Variables!$B$9*Variables!$E$50))),(Variables!$B$10*Variables!$E$50+Variables!$B$11*Variables!$E$50*SUM(E78:E81)+$G$1*SUM(D80:D81)*Variables!$E$50*Variables!$B$12),0)</f>
        <v>0</v>
      </c>
      <c r="N81" s="64">
        <f>IF(AND(B81="Spring",AND(SUM(D78:D81)&gt;Variables!$B$13,SUM(D74:D77)&gt;Variables!$B$13)),-Variables!$B$14*Variables!$E$50,0)</f>
        <v>0</v>
      </c>
      <c r="O81" s="64">
        <f>IF(AND(B81="Summer",SUM(C77:D81)&gt;Variables!$B$15),(Variables!$B$16*Variables!$E$50*SUM(C77:C81)+$G$1*Variables!$B$16*Variables!$E$50*SUM(D77:D81)+$G$1*Variables!$E$50*Variables!$B$17*F81),0)</f>
        <v>0</v>
      </c>
      <c r="P81" s="64">
        <f>IF(AND(AND(B81="Autumn",SUM(D80:E81)&gt;0),NOT(H80=0)),Variables!$B$18*Variables!$E$50+Variables!$B$19*Variables!$E$50*SUM(E80:E81)+$G$1*Variables!$B$19*Variables!$E$50*SUM(D80:D81),0)</f>
        <v>0</v>
      </c>
      <c r="Q81" s="64">
        <f>IF(AND(B81="Autumn",AND((E81+E80)&lt;Variables!$B$20,(D80+D81)=0)),-Variables!$B$21*Variables!$E$50,0)</f>
        <v>0</v>
      </c>
      <c r="R81" s="64">
        <f>IF(B81="Autumn",(SUM(F80:F81)*$G$1*Variables!$B$22*Variables!$E$50),0)</f>
        <v>0</v>
      </c>
      <c r="S81" s="64">
        <f>IF(B81="Spring",($G$1*Variables!$E$50*SUM('Guts (option 2)'!F80:F81)*Variables!$B$23),0)</f>
        <v>0</v>
      </c>
      <c r="T81" s="63">
        <f>IF((H80+SUM(J81:Q81))&lt;(Variables!$B$26*Variables!$E$50),$F$1*((Variables!$B$26*Variables!$E$50)-H80-SUM(J81:Q81)),0)</f>
        <v>0</v>
      </c>
      <c r="U81" s="64">
        <f>IF(AND(AND(B81="Autumn",SUM(D78:E81)&gt;Variables!$B$27),SUM(J81:Q81)&lt;Variables!$B$28*H80),$F$1*(Variables!$B$28*H80-SUM(J81:Q81)),0)</f>
        <v>0</v>
      </c>
      <c r="V81" s="96">
        <f>IF(AND((J81+K81)=0,(Q81+T81)=0),$H$1*H81*Variables!$I$23*0.25,0)</f>
        <v>6.5932547073863876</v>
      </c>
      <c r="W81" s="97">
        <f>IF(AND((K81+J81)=0,(T81+Q81)=0),$I$1*H81*Variables!$Q$23*0.25,0)</f>
        <v>6.9013937301481283</v>
      </c>
      <c r="X81" s="95">
        <f>IF(AND(NOT(K81=0),(H81-H80)&gt;0),(H81-H80)*(Variables!$M$5*$H$1+Variables!$U$5*$I$1),0)+IF(AND(NOT((J81+N81+Q81)=0),(H80-H81)&gt;0),(H80-H81)*(Variables!$M$4*$H$1+Variables!$U$4*$I$1),0)</f>
        <v>0</v>
      </c>
      <c r="Y81" s="95">
        <f>IF(SUM(T81,U80:U81)&gt;0,H81*Variables!$Y$11*0.25*(1-$J$1),0)</f>
        <v>0</v>
      </c>
      <c r="Z81" s="95">
        <f>IF(T81=0,H81*$J$1*Variables!$Y$5*0.25,0)</f>
        <v>2.2239658538211438</v>
      </c>
      <c r="AA81" s="95">
        <f t="shared" si="2"/>
        <v>15.718614291355658</v>
      </c>
      <c r="AB81" s="91">
        <f>AA81/Variables!$E$49</f>
        <v>2.5352603695734932</v>
      </c>
    </row>
    <row r="82" spans="1:28" x14ac:dyDescent="0.25">
      <c r="A82" s="61">
        <f>'Water runs'!C89</f>
        <v>9466</v>
      </c>
      <c r="B82" s="61" t="str">
        <f>'Water runs'!B89</f>
        <v>Spring</v>
      </c>
      <c r="C82" s="54">
        <f>'Water runs'!D89/100</f>
        <v>0.96819999999999995</v>
      </c>
      <c r="D82" s="108">
        <f>VLOOKUP(ROW(D82)+4,'Water runs'!$BS$3:$CF$423,MATCH($B$1,Scenarios,0)+1)</f>
        <v>0</v>
      </c>
      <c r="E82" s="54">
        <f>IF(B82=Variables!$D$8,C82-Variables!$E$8,IF(B82=Variables!$D$9,C82-Variables!$E$9,IF(B82=Variables!$D$10,C82-Variables!$E$10,IF(B82=Variables!$D$11,C82-Variables!$E$11,"ELSE"))))</f>
        <v>0.20421779100529081</v>
      </c>
      <c r="F82" s="108">
        <f>VLOOKUP(ROW(F82)+4,'Water runs'!$CH$3:$CU$423,MATCH($B$1,Scenarios,0)+1)</f>
        <v>0</v>
      </c>
      <c r="G82" s="65">
        <f>H82/Variables!$E$49</f>
        <v>0.161</v>
      </c>
      <c r="H82" s="62">
        <f>IF((H81+I82)&gt;(1.1*Variables!$E$50),(1.1*Variables!$E$50),IF((H81+I82)&gt;0,H81+I82,0))</f>
        <v>0.99820000000000009</v>
      </c>
      <c r="I82" s="64">
        <f t="shared" ref="I82:I121" si="3">SUM(J82:U82)</f>
        <v>-2.8245778686681766E-2</v>
      </c>
      <c r="J82" s="63">
        <f>IF(SUM(E78:E81)&lt;Variables!$B$3,-H81,0)</f>
        <v>0</v>
      </c>
      <c r="K82" s="64">
        <f>IF(AND(H81&lt;Variables!$B$6*Variables!$E$50,OR(SUM(D79:D82)&gt;Variables!$B$5,SUM(E79:E82)&gt;Variables!$B$4)),Variables!$B$6*Variables!$E$50+Variables!$B$7*$G$1*Variables!$E$50*SUM(D79:D82),0)</f>
        <v>0</v>
      </c>
      <c r="L82" s="64">
        <f>IF(B82="Winter",Variables!$B$8*H81,0)</f>
        <v>0</v>
      </c>
      <c r="M82" s="64">
        <f>IF(AND(B82="Spring",AND(NOT(H81=0),H81&lt;(Variables!$B$9*Variables!$E$50))),(Variables!$B$10*Variables!$E$50+Variables!$B$11*Variables!$E$50*SUM(E79:E82)+$G$1*SUM(D81:D82)*Variables!$E$50*Variables!$B$12),0)</f>
        <v>-0.54809342955012708</v>
      </c>
      <c r="N82" s="64">
        <f>IF(AND(B82="Spring",AND(SUM(D79:D82)&gt;Variables!$B$13,SUM(D75:D78)&gt;Variables!$B$13)),-Variables!$B$14*Variables!$E$50,0)</f>
        <v>0</v>
      </c>
      <c r="O82" s="64">
        <f>IF(AND(B82="Summer",SUM(C78:D82)&gt;Variables!$B$15),(Variables!$B$16*Variables!$E$50*SUM(C78:C82)+$G$1*Variables!$B$16*Variables!$E$50*SUM(D78:D82)+$G$1*Variables!$E$50*Variables!$B$17*F82),0)</f>
        <v>0</v>
      </c>
      <c r="P82" s="64">
        <f>IF(AND(AND(B82="Autumn",SUM(D81:E82)&gt;0),NOT(H81=0)),Variables!$B$18*Variables!$E$50+Variables!$B$19*Variables!$E$50*SUM(E81:E82)+$G$1*Variables!$B$19*Variables!$E$50*SUM(D81:D82),0)</f>
        <v>0</v>
      </c>
      <c r="Q82" s="64">
        <f>IF(AND(B82="Autumn",AND((E82+E81)&lt;Variables!$B$20,(D81+D82)=0)),-Variables!$B$21*Variables!$E$50,0)</f>
        <v>0</v>
      </c>
      <c r="R82" s="64">
        <f>IF(B82="Autumn",(SUM(F81:F82)*$G$1*Variables!$B$22*Variables!$E$50),0)</f>
        <v>0</v>
      </c>
      <c r="S82" s="64">
        <f>IF(B82="Spring",($G$1*Variables!$E$50*SUM('Guts (option 2)'!F81:F82)*Variables!$B$23),0)</f>
        <v>0</v>
      </c>
      <c r="T82" s="63">
        <f>IF((H81+SUM(J82:Q82))&lt;(Variables!$B$26*Variables!$E$50),$F$1*((Variables!$B$26*Variables!$E$50)-H81-SUM(J82:Q82)),0)</f>
        <v>0.51984765086344531</v>
      </c>
      <c r="U82" s="64">
        <f>IF(AND(AND(B82="Autumn",SUM(D79:E82)&gt;Variables!$B$27),SUM(J82:Q82)&lt;Variables!$B$28*H81),$F$1*(Variables!$B$28*H81-SUM(J82:Q82)),0)</f>
        <v>0</v>
      </c>
      <c r="V82" s="96">
        <f>IF(AND((J82+K82)=0,(Q82+T82)=0),$H$1*H82*Variables!$I$23*0.25,0)</f>
        <v>0</v>
      </c>
      <c r="W82" s="97">
        <f>IF(AND((K82+J82)=0,(T82+Q82)=0),$I$1*H82*Variables!$Q$23*0.25,0)</f>
        <v>0</v>
      </c>
      <c r="X82" s="95">
        <f>IF(AND(NOT(K82=0),(H82-H81)&gt;0),(H82-H81)*(Variables!$M$5*$H$1+Variables!$U$5*$I$1),0)+IF(AND(NOT((J82+N82+Q82)=0),(H81-H82)&gt;0),(H81-H82)*(Variables!$M$4*$H$1+Variables!$U$4*$I$1),0)</f>
        <v>0</v>
      </c>
      <c r="Y82" s="95">
        <f>IF(SUM(T82,U81:U82)&gt;0,H82*Variables!$Y$11*0.25*(1-$J$1),0)</f>
        <v>-6.9874000000000018</v>
      </c>
      <c r="Z82" s="95">
        <f>IF(T82=0,H82*$J$1*Variables!$Y$5*0.25,0)</f>
        <v>0</v>
      </c>
      <c r="AA82" s="95">
        <f t="shared" si="2"/>
        <v>-6.9874000000000018</v>
      </c>
      <c r="AB82" s="91">
        <f>AA82/Variables!$E$49</f>
        <v>-1.1270000000000002</v>
      </c>
    </row>
    <row r="83" spans="1:28" x14ac:dyDescent="0.25">
      <c r="A83" s="61">
        <f>'Water runs'!C90</f>
        <v>9556</v>
      </c>
      <c r="B83" s="61" t="str">
        <f>'Water runs'!B90</f>
        <v>Summer</v>
      </c>
      <c r="C83" s="54">
        <f>'Water runs'!D90/100</f>
        <v>1.7841999999999998</v>
      </c>
      <c r="D83" s="108">
        <f>VLOOKUP(ROW(D83)+4,'Water runs'!$BS$3:$CF$423,MATCH($B$1,Scenarios,0)+1)</f>
        <v>4.8303628690646798E-2</v>
      </c>
      <c r="E83" s="54">
        <f>IF(B83=Variables!$D$8,C83-Variables!$E$8,IF(B83=Variables!$D$9,C83-Variables!$E$9,IF(B83=Variables!$D$10,C83-Variables!$E$10,IF(B83=Variables!$D$11,C83-Variables!$E$11,"ELSE"))))</f>
        <v>0.52582986394557807</v>
      </c>
      <c r="F83" s="108">
        <f>VLOOKUP(ROW(F83)+4,'Water runs'!$CH$3:$CU$423,MATCH($B$1,Scenarios,0)+1)</f>
        <v>0</v>
      </c>
      <c r="G83" s="65">
        <f>H83/Variables!$E$49</f>
        <v>0.34541106388015741</v>
      </c>
      <c r="H83" s="62">
        <f>IF((H82+I83)&gt;(1.1*Variables!$E$50),(1.1*Variables!$E$50),IF((H82+I83)&gt;0,H82+I83,0))</f>
        <v>2.141548596056976</v>
      </c>
      <c r="I83" s="64">
        <f t="shared" si="3"/>
        <v>1.143348596056976</v>
      </c>
      <c r="J83" s="63">
        <f>IF(SUM(E79:E82)&lt;Variables!$B$3,-H82,0)</f>
        <v>0</v>
      </c>
      <c r="K83" s="64">
        <f>IF(AND(H82&lt;Variables!$B$6*Variables!$E$50,OR(SUM(D80:D83)&gt;Variables!$B$5,SUM(E80:E83)&gt;Variables!$B$4)),Variables!$B$6*Variables!$E$50+Variables!$B$7*$G$1*Variables!$E$50*SUM(D80:D83),0)</f>
        <v>1.143348596056976</v>
      </c>
      <c r="L83" s="64">
        <f>IF(B83="Winter",Variables!$B$8*H82,0)</f>
        <v>0</v>
      </c>
      <c r="M83" s="64">
        <f>IF(AND(B83="Spring",AND(NOT(H82=0),H82&lt;(Variables!$B$9*Variables!$E$50))),(Variables!$B$10*Variables!$E$50+Variables!$B$11*Variables!$E$50*SUM(E80:E83)+$G$1*SUM(D82:D83)*Variables!$E$50*Variables!$B$12),0)</f>
        <v>0</v>
      </c>
      <c r="N83" s="64">
        <f>IF(AND(B83="Spring",AND(SUM(D80:D83)&gt;Variables!$B$13,SUM(D76:D79)&gt;Variables!$B$13)),-Variables!$B$14*Variables!$E$50,0)</f>
        <v>0</v>
      </c>
      <c r="O83" s="64">
        <f>IF(AND(B83="Summer",SUM(C79:D83)&gt;Variables!$B$15),(Variables!$B$16*Variables!$E$50*SUM(C79:C83)+$G$1*Variables!$B$16*Variables!$E$50*SUM(D79:D83)+$G$1*Variables!$E$50*Variables!$B$17*F83),0)</f>
        <v>0</v>
      </c>
      <c r="P83" s="64">
        <f>IF(AND(AND(B83="Autumn",SUM(D82:E83)&gt;0),NOT(H82=0)),Variables!$B$18*Variables!$E$50+Variables!$B$19*Variables!$E$50*SUM(E82:E83)+$G$1*Variables!$B$19*Variables!$E$50*SUM(D82:D83),0)</f>
        <v>0</v>
      </c>
      <c r="Q83" s="64">
        <f>IF(AND(B83="Autumn",AND((E83+E82)&lt;Variables!$B$20,(D82+D83)=0)),-Variables!$B$21*Variables!$E$50,0)</f>
        <v>0</v>
      </c>
      <c r="R83" s="64">
        <f>IF(B83="Autumn",(SUM(F82:F83)*$G$1*Variables!$B$22*Variables!$E$50),0)</f>
        <v>0</v>
      </c>
      <c r="S83" s="64">
        <f>IF(B83="Spring",($G$1*Variables!$E$50*SUM('Guts (option 2)'!F82:F83)*Variables!$B$23),0)</f>
        <v>0</v>
      </c>
      <c r="T83" s="63">
        <f>IF((H82+SUM(J83:Q83))&lt;(Variables!$B$26*Variables!$E$50),$F$1*((Variables!$B$26*Variables!$E$50)-H82-SUM(J83:Q83)),0)</f>
        <v>0</v>
      </c>
      <c r="U83" s="64">
        <f>IF(AND(AND(B83="Autumn",SUM(D80:E83)&gt;Variables!$B$27),SUM(J83:Q83)&lt;Variables!$B$28*H82),$F$1*(Variables!$B$28*H82-SUM(J83:Q83)),0)</f>
        <v>0</v>
      </c>
      <c r="V83" s="96">
        <f>IF(AND((J83+K83)=0,(Q83+T83)=0),$H$1*H83*Variables!$I$23*0.25,0)</f>
        <v>0</v>
      </c>
      <c r="W83" s="97">
        <f>IF(AND((K83+J83)=0,(T83+Q83)=0),$I$1*H83*Variables!$Q$23*0.25,0)</f>
        <v>0</v>
      </c>
      <c r="X83" s="95">
        <f>IF(AND(NOT(K83=0),(H83-H82)&gt;0),(H83-H82)*(Variables!$M$5*$H$1+Variables!$U$5*$I$1),0)+IF(AND(NOT((J83+N83+Q83)=0),(H82-H83)&gt;0),(H82-H83)*(Variables!$M$4*$H$1+Variables!$U$4*$I$1),0)</f>
        <v>-95.27904967141464</v>
      </c>
      <c r="Y83" s="95">
        <f>IF(SUM(T83,U82:U83)&gt;0,H83*Variables!$Y$11*0.25*(1-$J$1),0)</f>
        <v>0</v>
      </c>
      <c r="Z83" s="95">
        <f>IF(T83=0,H83*$J$1*Variables!$Y$5*0.25,0)</f>
        <v>4.6400219581234472</v>
      </c>
      <c r="AA83" s="95">
        <f t="shared" si="2"/>
        <v>-90.639027713291199</v>
      </c>
      <c r="AB83" s="91">
        <f>AA83/Variables!$E$49</f>
        <v>-14.619198018272774</v>
      </c>
    </row>
    <row r="84" spans="1:28" x14ac:dyDescent="0.25">
      <c r="A84" s="61">
        <f>'Water runs'!C91</f>
        <v>9648</v>
      </c>
      <c r="B84" s="61" t="str">
        <f>'Water runs'!B91</f>
        <v>Autumn</v>
      </c>
      <c r="C84" s="54">
        <f>'Water runs'!D91/100</f>
        <v>2.1347999999999998</v>
      </c>
      <c r="D84" s="108">
        <f>VLOOKUP(ROW(D84)+4,'Water runs'!$BS$3:$CF$423,MATCH($B$1,Scenarios,0)+1)</f>
        <v>7.9177190634921891E-3</v>
      </c>
      <c r="E84" s="54">
        <f>IF(B84=Variables!$D$8,C84-Variables!$E$8,IF(B84=Variables!$D$9,C84-Variables!$E$9,IF(B84=Variables!$D$10,C84-Variables!$E$10,IF(B84=Variables!$D$11,C84-Variables!$E$11,"ELSE"))))</f>
        <v>1.140156700680272</v>
      </c>
      <c r="F84" s="108">
        <f>VLOOKUP(ROW(F84)+4,'Water runs'!$CH$3:$CU$423,MATCH($B$1,Scenarios,0)+1)</f>
        <v>0</v>
      </c>
      <c r="G84" s="65">
        <f>H84/Variables!$E$49</f>
        <v>1.0067816137391095</v>
      </c>
      <c r="H84" s="62">
        <f>IF((H83+I84)&gt;(1.1*Variables!$E$50),(1.1*Variables!$E$50),IF((H83+I84)&gt;0,H83+I84,0))</f>
        <v>6.2420460051824787</v>
      </c>
      <c r="I84" s="64">
        <f t="shared" si="3"/>
        <v>4.1004974091255031</v>
      </c>
      <c r="J84" s="63">
        <f>IF(SUM(E80:E83)&lt;Variables!$B$3,-H83,0)</f>
        <v>0</v>
      </c>
      <c r="K84" s="64">
        <f>IF(AND(H83&lt;Variables!$B$6*Variables!$E$50,OR(SUM(D81:D84)&gt;Variables!$B$5,SUM(E81:E84)&gt;Variables!$B$4)),Variables!$B$6*Variables!$E$50+Variables!$B$7*$G$1*Variables!$E$50*SUM(D81:D84),0)</f>
        <v>0</v>
      </c>
      <c r="L84" s="64">
        <f>IF(B84="Winter",Variables!$B$8*H83,0)</f>
        <v>0</v>
      </c>
      <c r="M84" s="64">
        <f>IF(AND(B84="Spring",AND(NOT(H83=0),H83&lt;(Variables!$B$9*Variables!$E$50))),(Variables!$B$10*Variables!$E$50+Variables!$B$11*Variables!$E$50*SUM(E81:E84)+$G$1*SUM(D83:D84)*Variables!$E$50*Variables!$B$12),0)</f>
        <v>0</v>
      </c>
      <c r="N84" s="64">
        <f>IF(AND(B84="Spring",AND(SUM(D81:D84)&gt;Variables!$B$13,SUM(D77:D80)&gt;Variables!$B$13)),-Variables!$B$14*Variables!$E$50,0)</f>
        <v>0</v>
      </c>
      <c r="O84" s="64">
        <f>IF(AND(B84="Summer",SUM(C80:D84)&gt;Variables!$B$15),(Variables!$B$16*Variables!$E$50*SUM(C80:C84)+$G$1*Variables!$B$16*Variables!$E$50*SUM(D80:D84)+$G$1*Variables!$E$50*Variables!$B$17*F84),0)</f>
        <v>0</v>
      </c>
      <c r="P84" s="64">
        <f>IF(AND(AND(B84="Autumn",SUM(D83:E84)&gt;0),NOT(H83=0)),Variables!$B$18*Variables!$E$50+Variables!$B$19*Variables!$E$50*SUM(E83:E84)+$G$1*Variables!$B$19*Variables!$E$50*SUM(D83:D84),0)</f>
        <v>4.1004974091255031</v>
      </c>
      <c r="Q84" s="64">
        <f>IF(AND(B84="Autumn",AND((E84+E83)&lt;Variables!$B$20,(D83+D84)=0)),-Variables!$B$21*Variables!$E$50,0)</f>
        <v>0</v>
      </c>
      <c r="R84" s="64">
        <f>IF(B84="Autumn",(SUM(F83:F84)*$G$1*Variables!$B$22*Variables!$E$50),0)</f>
        <v>0</v>
      </c>
      <c r="S84" s="64">
        <f>IF(B84="Spring",($G$1*Variables!$E$50*SUM('Guts (option 2)'!F83:F84)*Variables!$B$23),0)</f>
        <v>0</v>
      </c>
      <c r="T84" s="63">
        <f>IF((H83+SUM(J84:Q84))&lt;(Variables!$B$26*Variables!$E$50),$F$1*((Variables!$B$26*Variables!$E$50)-H83-SUM(J84:Q84)),0)</f>
        <v>0</v>
      </c>
      <c r="U84" s="64">
        <f>IF(AND(AND(B84="Autumn",SUM(D81:E84)&gt;Variables!$B$27),SUM(J84:Q84)&lt;Variables!$B$28*H83),$F$1*(Variables!$B$28*H83-SUM(J84:Q84)),0)</f>
        <v>0</v>
      </c>
      <c r="V84" s="96">
        <f>IF(AND((J84+K84)=0,(Q84+T84)=0),$H$1*H84*Variables!$I$23*0.25,0)</f>
        <v>40.09505427558905</v>
      </c>
      <c r="W84" s="97">
        <f>IF(AND((K84+J84)=0,(T84+Q84)=0),$I$1*H84*Variables!$Q$23*0.25,0)</f>
        <v>41.968916486344817</v>
      </c>
      <c r="X84" s="95">
        <f>IF(AND(NOT(K84=0),(H84-H83)&gt;0),(H84-H83)*(Variables!$M$5*$H$1+Variables!$U$5*$I$1),0)+IF(AND(NOT((J84+N84+Q84)=0),(H83-H84)&gt;0),(H83-H84)*(Variables!$M$4*$H$1+Variables!$U$4*$I$1),0)</f>
        <v>0</v>
      </c>
      <c r="Y84" s="95">
        <f>IF(SUM(T84,U83:U84)&gt;0,H84*Variables!$Y$11*0.25*(1-$J$1),0)</f>
        <v>0</v>
      </c>
      <c r="Z84" s="95">
        <f>IF(T84=0,H84*$J$1*Variables!$Y$5*0.25,0)</f>
        <v>13.524433011228703</v>
      </c>
      <c r="AA84" s="95">
        <f t="shared" si="2"/>
        <v>95.588403773162568</v>
      </c>
      <c r="AB84" s="91">
        <f>AA84/Variables!$E$49</f>
        <v>15.417484479542349</v>
      </c>
    </row>
    <row r="85" spans="1:28" x14ac:dyDescent="0.25">
      <c r="A85" s="61">
        <f>'Water runs'!C92</f>
        <v>9740</v>
      </c>
      <c r="B85" s="61" t="str">
        <f>'Water runs'!B92</f>
        <v>Winter</v>
      </c>
      <c r="C85" s="54">
        <f>'Water runs'!D92/100</f>
        <v>0.18640000000000001</v>
      </c>
      <c r="D85" s="108">
        <f>VLOOKUP(ROW(D85)+4,'Water runs'!$BS$3:$CF$423,MATCH($B$1,Scenarios,0)+1)</f>
        <v>1.9366740829301894E-3</v>
      </c>
      <c r="E85" s="54">
        <f>IF(B85=Variables!$D$8,C85-Variables!$E$8,IF(B85=Variables!$D$9,C85-Variables!$E$9,IF(B85=Variables!$D$10,C85-Variables!$E$10,IF(B85=Variables!$D$11,C85-Variables!$E$11,"ELSE"))))</f>
        <v>-0.38536762566137572</v>
      </c>
      <c r="F85" s="108">
        <f>VLOOKUP(ROW(F85)+4,'Water runs'!$CH$3:$CU$423,MATCH($B$1,Scenarios,0)+1)</f>
        <v>0</v>
      </c>
      <c r="G85" s="65">
        <f>H85/Variables!$E$49</f>
        <v>0.50545949508007393</v>
      </c>
      <c r="H85" s="62">
        <f>IF((H84+I85)&gt;(1.1*Variables!$E$50),(1.1*Variables!$E$50),IF((H84+I85)&gt;0,H84+I85,0))</f>
        <v>3.1338488694964584</v>
      </c>
      <c r="I85" s="64">
        <f t="shared" si="3"/>
        <v>-3.1081971356860203</v>
      </c>
      <c r="J85" s="63">
        <f>IF(SUM(E81:E84)&lt;Variables!$B$3,-H84,0)</f>
        <v>0</v>
      </c>
      <c r="K85" s="64">
        <f>IF(AND(H84&lt;Variables!$B$6*Variables!$E$50,OR(SUM(D82:D85)&gt;Variables!$B$5,SUM(E82:E85)&gt;Variables!$B$4)),Variables!$B$6*Variables!$E$50+Variables!$B$7*$G$1*Variables!$E$50*SUM(D82:D85),0)</f>
        <v>0</v>
      </c>
      <c r="L85" s="64">
        <f>IF(B85="Winter",Variables!$B$8*H84,0)</f>
        <v>-3.1081971356860203</v>
      </c>
      <c r="M85" s="64">
        <f>IF(AND(B85="Spring",AND(NOT(H84=0),H84&lt;(Variables!$B$9*Variables!$E$50))),(Variables!$B$10*Variables!$E$50+Variables!$B$11*Variables!$E$50*SUM(E82:E85)+$G$1*SUM(D84:D85)*Variables!$E$50*Variables!$B$12),0)</f>
        <v>0</v>
      </c>
      <c r="N85" s="64">
        <f>IF(AND(B85="Spring",AND(SUM(D82:D85)&gt;Variables!$B$13,SUM(D78:D81)&gt;Variables!$B$13)),-Variables!$B$14*Variables!$E$50,0)</f>
        <v>0</v>
      </c>
      <c r="O85" s="64">
        <f>IF(AND(B85="Summer",SUM(C81:D85)&gt;Variables!$B$15),(Variables!$B$16*Variables!$E$50*SUM(C81:C85)+$G$1*Variables!$B$16*Variables!$E$50*SUM(D81:D85)+$G$1*Variables!$E$50*Variables!$B$17*F85),0)</f>
        <v>0</v>
      </c>
      <c r="P85" s="64">
        <f>IF(AND(AND(B85="Autumn",SUM(D84:E85)&gt;0),NOT(H84=0)),Variables!$B$18*Variables!$E$50+Variables!$B$19*Variables!$E$50*SUM(E84:E85)+$G$1*Variables!$B$19*Variables!$E$50*SUM(D84:D85),0)</f>
        <v>0</v>
      </c>
      <c r="Q85" s="64">
        <f>IF(AND(B85="Autumn",AND((E85+E84)&lt;Variables!$B$20,(D84+D85)=0)),-Variables!$B$21*Variables!$E$50,0)</f>
        <v>0</v>
      </c>
      <c r="R85" s="64">
        <f>IF(B85="Autumn",(SUM(F84:F85)*$G$1*Variables!$B$22*Variables!$E$50),0)</f>
        <v>0</v>
      </c>
      <c r="S85" s="64">
        <f>IF(B85="Spring",($G$1*Variables!$E$50*SUM('Guts (option 2)'!F84:F85)*Variables!$B$23),0)</f>
        <v>0</v>
      </c>
      <c r="T85" s="63">
        <f>IF((H84+SUM(J85:Q85))&lt;(Variables!$B$26*Variables!$E$50),$F$1*((Variables!$B$26*Variables!$E$50)-H84-SUM(J85:Q85)),0)</f>
        <v>0</v>
      </c>
      <c r="U85" s="64">
        <f>IF(AND(AND(B85="Autumn",SUM(D82:E85)&gt;Variables!$B$27),SUM(J85:Q85)&lt;Variables!$B$28*H84),$F$1*(Variables!$B$28*H84-SUM(J85:Q85)),0)</f>
        <v>0</v>
      </c>
      <c r="V85" s="96">
        <f>IF(AND((J85+K85)=0,(Q85+T85)=0),$H$1*H85*Variables!$I$23*0.25,0)</f>
        <v>20.129912597509058</v>
      </c>
      <c r="W85" s="97">
        <f>IF(AND((K85+J85)=0,(T85+Q85)=0),$I$1*H85*Variables!$Q$23*0.25,0)</f>
        <v>21.070694028131893</v>
      </c>
      <c r="X85" s="95">
        <f>IF(AND(NOT(K85=0),(H85-H84)&gt;0),(H85-H84)*(Variables!$M$5*$H$1+Variables!$U$5*$I$1),0)+IF(AND(NOT((J85+N85+Q85)=0),(H84-H85)&gt;0),(H84-H85)*(Variables!$M$4*$H$1+Variables!$U$4*$I$1),0)</f>
        <v>0</v>
      </c>
      <c r="Y85" s="95">
        <f>IF(SUM(T85,U84:U85)&gt;0,H85*Variables!$Y$11*0.25*(1-$J$1),0)</f>
        <v>0</v>
      </c>
      <c r="Z85" s="95">
        <f>IF(T85=0,H85*$J$1*Variables!$Y$5*0.25,0)</f>
        <v>6.790005883908993</v>
      </c>
      <c r="AA85" s="95">
        <f t="shared" si="2"/>
        <v>47.990612509549948</v>
      </c>
      <c r="AB85" s="91">
        <f>AA85/Variables!$E$49</f>
        <v>7.740421372508056</v>
      </c>
    </row>
    <row r="86" spans="1:28" x14ac:dyDescent="0.25">
      <c r="A86" s="61">
        <f>'Water runs'!C93</f>
        <v>9831</v>
      </c>
      <c r="B86" s="61" t="str">
        <f>'Water runs'!B93</f>
        <v>Spring</v>
      </c>
      <c r="C86" s="54">
        <f>'Water runs'!D93/100</f>
        <v>0.22825714285714302</v>
      </c>
      <c r="D86" s="108">
        <f>VLOOKUP(ROW(D86)+4,'Water runs'!$BS$3:$CF$423,MATCH($B$1,Scenarios,0)+1)</f>
        <v>0</v>
      </c>
      <c r="E86" s="54">
        <f>IF(B86=Variables!$D$8,C86-Variables!$E$8,IF(B86=Variables!$D$9,C86-Variables!$E$9,IF(B86=Variables!$D$10,C86-Variables!$E$10,IF(B86=Variables!$D$11,C86-Variables!$E$11,"ELSE"))))</f>
        <v>-0.5357250661375661</v>
      </c>
      <c r="F86" s="108">
        <f>VLOOKUP(ROW(F86)+4,'Water runs'!$CH$3:$CU$423,MATCH($B$1,Scenarios,0)+1)</f>
        <v>0</v>
      </c>
      <c r="G86" s="65">
        <f>H86/Variables!$E$49</f>
        <v>0.50545949508007393</v>
      </c>
      <c r="H86" s="62">
        <f>IF((H85+I86)&gt;(1.1*Variables!$E$50),(1.1*Variables!$E$50),IF((H85+I86)&gt;0,H85+I86,0))</f>
        <v>3.1338488694964584</v>
      </c>
      <c r="I86" s="64">
        <f t="shared" si="3"/>
        <v>0</v>
      </c>
      <c r="J86" s="63">
        <f>IF(SUM(E82:E85)&lt;Variables!$B$3,-H85,0)</f>
        <v>0</v>
      </c>
      <c r="K86" s="64">
        <f>IF(AND(H85&lt;Variables!$B$6*Variables!$E$50,OR(SUM(D83:D86)&gt;Variables!$B$5,SUM(E83:E86)&gt;Variables!$B$4)),Variables!$B$6*Variables!$E$50+Variables!$B$7*$G$1*Variables!$E$50*SUM(D83:D86),0)</f>
        <v>0</v>
      </c>
      <c r="L86" s="64">
        <f>IF(B86="Winter",Variables!$B$8*H85,0)</f>
        <v>0</v>
      </c>
      <c r="M86" s="64">
        <f>IF(AND(B86="Spring",AND(NOT(H85=0),H85&lt;(Variables!$B$9*Variables!$E$50))),(Variables!$B$10*Variables!$E$50+Variables!$B$11*Variables!$E$50*SUM(E83:E86)+$G$1*SUM(D85:D86)*Variables!$E$50*Variables!$B$12),0)</f>
        <v>0</v>
      </c>
      <c r="N86" s="64">
        <f>IF(AND(B86="Spring",AND(SUM(D83:D86)&gt;Variables!$B$13,SUM(D79:D82)&gt;Variables!$B$13)),-Variables!$B$14*Variables!$E$50,0)</f>
        <v>0</v>
      </c>
      <c r="O86" s="64">
        <f>IF(AND(B86="Summer",SUM(C82:D86)&gt;Variables!$B$15),(Variables!$B$16*Variables!$E$50*SUM(C82:C86)+$G$1*Variables!$B$16*Variables!$E$50*SUM(D82:D86)+$G$1*Variables!$E$50*Variables!$B$17*F86),0)</f>
        <v>0</v>
      </c>
      <c r="P86" s="64">
        <f>IF(AND(AND(B86="Autumn",SUM(D85:E86)&gt;0),NOT(H85=0)),Variables!$B$18*Variables!$E$50+Variables!$B$19*Variables!$E$50*SUM(E85:E86)+$G$1*Variables!$B$19*Variables!$E$50*SUM(D85:D86),0)</f>
        <v>0</v>
      </c>
      <c r="Q86" s="64">
        <f>IF(AND(B86="Autumn",AND((E86+E85)&lt;Variables!$B$20,(D85+D86)=0)),-Variables!$B$21*Variables!$E$50,0)</f>
        <v>0</v>
      </c>
      <c r="R86" s="64">
        <f>IF(B86="Autumn",(SUM(F85:F86)*$G$1*Variables!$B$22*Variables!$E$50),0)</f>
        <v>0</v>
      </c>
      <c r="S86" s="64">
        <f>IF(B86="Spring",($G$1*Variables!$E$50*SUM('Guts (option 2)'!F85:F86)*Variables!$B$23),0)</f>
        <v>0</v>
      </c>
      <c r="T86" s="63">
        <f>IF((H85+SUM(J86:Q86))&lt;(Variables!$B$26*Variables!$E$50),$F$1*((Variables!$B$26*Variables!$E$50)-H85-SUM(J86:Q86)),0)</f>
        <v>0</v>
      </c>
      <c r="U86" s="64">
        <f>IF(AND(AND(B86="Autumn",SUM(D83:E86)&gt;Variables!$B$27),SUM(J86:Q86)&lt;Variables!$B$28*H85),$F$1*(Variables!$B$28*H85-SUM(J86:Q86)),0)</f>
        <v>0</v>
      </c>
      <c r="V86" s="96">
        <f>IF(AND((J86+K86)=0,(Q86+T86)=0),$H$1*H86*Variables!$I$23*0.25,0)</f>
        <v>20.129912597509058</v>
      </c>
      <c r="W86" s="97">
        <f>IF(AND((K86+J86)=0,(T86+Q86)=0),$I$1*H86*Variables!$Q$23*0.25,0)</f>
        <v>21.070694028131893</v>
      </c>
      <c r="X86" s="95">
        <f>IF(AND(NOT(K86=0),(H86-H85)&gt;0),(H86-H85)*(Variables!$M$5*$H$1+Variables!$U$5*$I$1),0)+IF(AND(NOT((J86+N86+Q86)=0),(H85-H86)&gt;0),(H85-H86)*(Variables!$M$4*$H$1+Variables!$U$4*$I$1),0)</f>
        <v>0</v>
      </c>
      <c r="Y86" s="95">
        <f>IF(SUM(T86,U85:U86)&gt;0,H86*Variables!$Y$11*0.25*(1-$J$1),0)</f>
        <v>0</v>
      </c>
      <c r="Z86" s="95">
        <f>IF(T86=0,H86*$J$1*Variables!$Y$5*0.25,0)</f>
        <v>6.790005883908993</v>
      </c>
      <c r="AA86" s="95">
        <f t="shared" si="2"/>
        <v>47.990612509549948</v>
      </c>
      <c r="AB86" s="91">
        <f>AA86/Variables!$E$49</f>
        <v>7.740421372508056</v>
      </c>
    </row>
    <row r="87" spans="1:28" x14ac:dyDescent="0.25">
      <c r="A87" s="61">
        <f>'Water runs'!C94</f>
        <v>9921</v>
      </c>
      <c r="B87" s="61" t="str">
        <f>'Water runs'!B94</f>
        <v>Summer</v>
      </c>
      <c r="C87" s="54">
        <f>'Water runs'!D94/100</f>
        <v>1.0381428571428599</v>
      </c>
      <c r="D87" s="108">
        <f>VLOOKUP(ROW(D87)+4,'Water runs'!$BS$3:$CF$423,MATCH($B$1,Scenarios,0)+1)</f>
        <v>0.17510194063294246</v>
      </c>
      <c r="E87" s="54">
        <f>IF(B87=Variables!$D$8,C87-Variables!$E$8,IF(B87=Variables!$D$9,C87-Variables!$E$9,IF(B87=Variables!$D$10,C87-Variables!$E$10,IF(B87=Variables!$D$11,C87-Variables!$E$11,"ELSE"))))</f>
        <v>-0.2202272789115618</v>
      </c>
      <c r="F87" s="108">
        <f>VLOOKUP(ROW(F87)+4,'Water runs'!$CH$3:$CU$423,MATCH($B$1,Scenarios,0)+1)</f>
        <v>0.1641248149233169</v>
      </c>
      <c r="G87" s="65">
        <f>H87/Variables!$E$49</f>
        <v>0.50545949508007393</v>
      </c>
      <c r="H87" s="62">
        <f>IF((H86+I87)&gt;(1.1*Variables!$E$50),(1.1*Variables!$E$50),IF((H86+I87)&gt;0,H86+I87,0))</f>
        <v>3.1338488694964584</v>
      </c>
      <c r="I87" s="64">
        <f t="shared" si="3"/>
        <v>0</v>
      </c>
      <c r="J87" s="63">
        <f>IF(SUM(E83:E86)&lt;Variables!$B$3,-H86,0)</f>
        <v>0</v>
      </c>
      <c r="K87" s="64">
        <f>IF(AND(H86&lt;Variables!$B$6*Variables!$E$50,OR(SUM(D84:D87)&gt;Variables!$B$5,SUM(E84:E87)&gt;Variables!$B$4)),Variables!$B$6*Variables!$E$50+Variables!$B$7*$G$1*Variables!$E$50*SUM(D84:D87),0)</f>
        <v>0</v>
      </c>
      <c r="L87" s="64">
        <f>IF(B87="Winter",Variables!$B$8*H86,0)</f>
        <v>0</v>
      </c>
      <c r="M87" s="64">
        <f>IF(AND(B87="Spring",AND(NOT(H86=0),H86&lt;(Variables!$B$9*Variables!$E$50))),(Variables!$B$10*Variables!$E$50+Variables!$B$11*Variables!$E$50*SUM(E84:E87)+$G$1*SUM(D86:D87)*Variables!$E$50*Variables!$B$12),0)</f>
        <v>0</v>
      </c>
      <c r="N87" s="64">
        <f>IF(AND(B87="Spring",AND(SUM(D84:D87)&gt;Variables!$B$13,SUM(D80:D83)&gt;Variables!$B$13)),-Variables!$B$14*Variables!$E$50,0)</f>
        <v>0</v>
      </c>
      <c r="O87" s="64">
        <f>IF(AND(B87="Summer",SUM(C83:D87)&gt;Variables!$B$15),(Variables!$B$16*Variables!$E$50*SUM(C83:C87)+$G$1*Variables!$B$16*Variables!$E$50*SUM(D83:D87)+$G$1*Variables!$E$50*Variables!$B$17*F87),0)</f>
        <v>0</v>
      </c>
      <c r="P87" s="64">
        <f>IF(AND(AND(B87="Autumn",SUM(D86:E87)&gt;0),NOT(H86=0)),Variables!$B$18*Variables!$E$50+Variables!$B$19*Variables!$E$50*SUM(E86:E87)+$G$1*Variables!$B$19*Variables!$E$50*SUM(D86:D87),0)</f>
        <v>0</v>
      </c>
      <c r="Q87" s="64">
        <f>IF(AND(B87="Autumn",AND((E87+E86)&lt;Variables!$B$20,(D86+D87)=0)),-Variables!$B$21*Variables!$E$50,0)</f>
        <v>0</v>
      </c>
      <c r="R87" s="64">
        <f>IF(B87="Autumn",(SUM(F86:F87)*$G$1*Variables!$B$22*Variables!$E$50),0)</f>
        <v>0</v>
      </c>
      <c r="S87" s="64">
        <f>IF(B87="Spring",($G$1*Variables!$E$50*SUM('Guts (option 2)'!F86:F87)*Variables!$B$23),0)</f>
        <v>0</v>
      </c>
      <c r="T87" s="63">
        <f>IF((H86+SUM(J87:Q87))&lt;(Variables!$B$26*Variables!$E$50),$F$1*((Variables!$B$26*Variables!$E$50)-H86-SUM(J87:Q87)),0)</f>
        <v>0</v>
      </c>
      <c r="U87" s="64">
        <f>IF(AND(AND(B87="Autumn",SUM(D84:E87)&gt;Variables!$B$27),SUM(J87:Q87)&lt;Variables!$B$28*H86),$F$1*(Variables!$B$28*H86-SUM(J87:Q87)),0)</f>
        <v>0</v>
      </c>
      <c r="V87" s="96">
        <f>IF(AND((J87+K87)=0,(Q87+T87)=0),$H$1*H87*Variables!$I$23*0.25,0)</f>
        <v>20.129912597509058</v>
      </c>
      <c r="W87" s="97">
        <f>IF(AND((K87+J87)=0,(T87+Q87)=0),$I$1*H87*Variables!$Q$23*0.25,0)</f>
        <v>21.070694028131893</v>
      </c>
      <c r="X87" s="95">
        <f>IF(AND(NOT(K87=0),(H87-H86)&gt;0),(H87-H86)*(Variables!$M$5*$H$1+Variables!$U$5*$I$1),0)+IF(AND(NOT((J87+N87+Q87)=0),(H86-H87)&gt;0),(H86-H87)*(Variables!$M$4*$H$1+Variables!$U$4*$I$1),0)</f>
        <v>0</v>
      </c>
      <c r="Y87" s="95">
        <f>IF(SUM(T87,U86:U87)&gt;0,H87*Variables!$Y$11*0.25*(1-$J$1),0)</f>
        <v>0</v>
      </c>
      <c r="Z87" s="95">
        <f>IF(T87=0,H87*$J$1*Variables!$Y$5*0.25,0)</f>
        <v>6.790005883908993</v>
      </c>
      <c r="AA87" s="95">
        <f t="shared" si="2"/>
        <v>47.990612509549948</v>
      </c>
      <c r="AB87" s="91">
        <f>AA87/Variables!$E$49</f>
        <v>7.740421372508056</v>
      </c>
    </row>
    <row r="88" spans="1:28" x14ac:dyDescent="0.25">
      <c r="A88" s="61">
        <f>'Water runs'!C95</f>
        <v>10013</v>
      </c>
      <c r="B88" s="61" t="str">
        <f>'Water runs'!B95</f>
        <v>Autumn</v>
      </c>
      <c r="C88" s="54">
        <f>'Water runs'!D95/100</f>
        <v>0.36159999999999998</v>
      </c>
      <c r="D88" s="108">
        <f>VLOOKUP(ROW(D88)+4,'Water runs'!$BS$3:$CF$423,MATCH($B$1,Scenarios,0)+1)</f>
        <v>4.2470645056572106E-3</v>
      </c>
      <c r="E88" s="54">
        <f>IF(B88=Variables!$D$8,C88-Variables!$E$8,IF(B88=Variables!$D$9,C88-Variables!$E$9,IF(B88=Variables!$D$10,C88-Variables!$E$10,IF(B88=Variables!$D$11,C88-Variables!$E$11,"ELSE"))))</f>
        <v>-0.63304329931972791</v>
      </c>
      <c r="F88" s="108">
        <f>VLOOKUP(ROW(F88)+4,'Water runs'!$CH$3:$CU$423,MATCH($B$1,Scenarios,0)+1)</f>
        <v>0</v>
      </c>
      <c r="G88" s="65">
        <f>H88/Variables!$E$49</f>
        <v>0.50918913360974039</v>
      </c>
      <c r="H88" s="62">
        <f>IF((H87+I88)&gt;(1.1*Variables!$E$50),(1.1*Variables!$E$50),IF((H87+I88)&gt;0,H87+I88,0))</f>
        <v>3.1569726283803905</v>
      </c>
      <c r="I88" s="64">
        <f t="shared" si="3"/>
        <v>2.3123758883932213E-2</v>
      </c>
      <c r="J88" s="63">
        <f>IF(SUM(E84:E87)&lt;Variables!$B$3,-H87,0)</f>
        <v>0</v>
      </c>
      <c r="K88" s="64">
        <f>IF(AND(H87&lt;Variables!$B$6*Variables!$E$50,OR(SUM(D85:D88)&gt;Variables!$B$5,SUM(E85:E88)&gt;Variables!$B$4)),Variables!$B$6*Variables!$E$50+Variables!$B$7*$G$1*Variables!$E$50*SUM(D85:D88),0)</f>
        <v>0</v>
      </c>
      <c r="L88" s="64">
        <f>IF(B88="Winter",Variables!$B$8*H87,0)</f>
        <v>0</v>
      </c>
      <c r="M88" s="64">
        <f>IF(AND(B88="Spring",AND(NOT(H87=0),H87&lt;(Variables!$B$9*Variables!$E$50))),(Variables!$B$10*Variables!$E$50+Variables!$B$11*Variables!$E$50*SUM(E85:E88)+$G$1*SUM(D87:D88)*Variables!$E$50*Variables!$B$12),0)</f>
        <v>0</v>
      </c>
      <c r="N88" s="64">
        <f>IF(AND(B88="Spring",AND(SUM(D85:D88)&gt;Variables!$B$13,SUM(D81:D84)&gt;Variables!$B$13)),-Variables!$B$14*Variables!$E$50,0)</f>
        <v>0</v>
      </c>
      <c r="O88" s="64">
        <f>IF(AND(B88="Summer",SUM(C84:D88)&gt;Variables!$B$15),(Variables!$B$16*Variables!$E$50*SUM(C84:C88)+$G$1*Variables!$B$16*Variables!$E$50*SUM(D84:D88)+$G$1*Variables!$E$50*Variables!$B$17*F88),0)</f>
        <v>0</v>
      </c>
      <c r="P88" s="64">
        <f>IF(AND(AND(B88="Autumn",SUM(D87:E88)&gt;0),NOT(H87=0)),Variables!$B$18*Variables!$E$50+Variables!$B$19*Variables!$E$50*SUM(E87:E88)+$G$1*Variables!$B$19*Variables!$E$50*SUM(D87:D88),0)</f>
        <v>0</v>
      </c>
      <c r="Q88" s="64">
        <f>IF(AND(B88="Autumn",AND((E88+E87)&lt;Variables!$B$20,(D87+D88)=0)),-Variables!$B$21*Variables!$E$50,0)</f>
        <v>0</v>
      </c>
      <c r="R88" s="64">
        <f>IF(B88="Autumn",(SUM(F87:F88)*$G$1*Variables!$B$22*Variables!$E$50),0)</f>
        <v>2.3123758883932213E-2</v>
      </c>
      <c r="S88" s="64">
        <f>IF(B88="Spring",($G$1*Variables!$E$50*SUM('Guts (option 2)'!F87:F88)*Variables!$B$23),0)</f>
        <v>0</v>
      </c>
      <c r="T88" s="63">
        <f>IF((H87+SUM(J88:Q88))&lt;(Variables!$B$26*Variables!$E$50),$F$1*((Variables!$B$26*Variables!$E$50)-H87-SUM(J88:Q88)),0)</f>
        <v>0</v>
      </c>
      <c r="U88" s="64">
        <f>IF(AND(AND(B88="Autumn",SUM(D85:E88)&gt;Variables!$B$27),SUM(J88:Q88)&lt;Variables!$B$28*H87),$F$1*(Variables!$B$28*H87-SUM(J88:Q88)),0)</f>
        <v>0</v>
      </c>
      <c r="V88" s="96">
        <f>IF(AND((J88+K88)=0,(Q88+T88)=0),$H$1*H88*Variables!$I$23*0.25,0)</f>
        <v>20.278445364928128</v>
      </c>
      <c r="W88" s="97">
        <f>IF(AND((K88+J88)=0,(T88+Q88)=0),$I$1*H88*Variables!$Q$23*0.25,0)</f>
        <v>21.226168547967919</v>
      </c>
      <c r="X88" s="95">
        <f>IF(AND(NOT(K88=0),(H88-H87)&gt;0),(H88-H87)*(Variables!$M$5*$H$1+Variables!$U$5*$I$1),0)+IF(AND(NOT((J88+N88+Q88)=0),(H87-H88)&gt;0),(H87-H88)*(Variables!$M$4*$H$1+Variables!$U$4*$I$1),0)</f>
        <v>0</v>
      </c>
      <c r="Y88" s="95">
        <f>IF(SUM(T88,U87:U88)&gt;0,H88*Variables!$Y$11*0.25*(1-$J$1),0)</f>
        <v>0</v>
      </c>
      <c r="Z88" s="95">
        <f>IF(T88=0,H88*$J$1*Variables!$Y$5*0.25,0)</f>
        <v>6.8401073614908459</v>
      </c>
      <c r="AA88" s="95">
        <f t="shared" si="2"/>
        <v>48.344721274386892</v>
      </c>
      <c r="AB88" s="91">
        <f>AA88/Variables!$E$49</f>
        <v>7.7975356894172405</v>
      </c>
    </row>
    <row r="89" spans="1:28" x14ac:dyDescent="0.25">
      <c r="A89" s="61">
        <f>'Water runs'!C96</f>
        <v>10105</v>
      </c>
      <c r="B89" s="61" t="str">
        <f>'Water runs'!B96</f>
        <v>Winter</v>
      </c>
      <c r="C89" s="54">
        <f>'Water runs'!D96/100</f>
        <v>0</v>
      </c>
      <c r="D89" s="108">
        <f>VLOOKUP(ROW(D89)+4,'Water runs'!$BS$3:$CF$423,MATCH($B$1,Scenarios,0)+1)</f>
        <v>0</v>
      </c>
      <c r="E89" s="54">
        <f>IF(B89=Variables!$D$8,C89-Variables!$E$8,IF(B89=Variables!$D$9,C89-Variables!$E$9,IF(B89=Variables!$D$10,C89-Variables!$E$10,IF(B89=Variables!$D$11,C89-Variables!$E$11,"ELSE"))))</f>
        <v>-0.57176762566137573</v>
      </c>
      <c r="F89" s="108">
        <f>VLOOKUP(ROW(F89)+4,'Water runs'!$CH$3:$CU$423,MATCH($B$1,Scenarios,0)+1)</f>
        <v>0</v>
      </c>
      <c r="G89" s="65">
        <f>H89/Variables!$E$49</f>
        <v>0.16100000000000003</v>
      </c>
      <c r="H89" s="62">
        <f>IF((H88+I89)&gt;(1.1*Variables!$E$50),(1.1*Variables!$E$50),IF((H88+I89)&gt;0,H88+I89,0))</f>
        <v>0.9982000000000002</v>
      </c>
      <c r="I89" s="64">
        <f t="shared" si="3"/>
        <v>-2.1587726283803903</v>
      </c>
      <c r="J89" s="63">
        <f>IF(SUM(E85:E88)&lt;Variables!$B$3,-H88,0)</f>
        <v>-3.1569726283803905</v>
      </c>
      <c r="K89" s="64">
        <f>IF(AND(H88&lt;Variables!$B$6*Variables!$E$50,OR(SUM(D86:D89)&gt;Variables!$B$5,SUM(E86:E89)&gt;Variables!$B$4)),Variables!$B$6*Variables!$E$50+Variables!$B$7*$G$1*Variables!$E$50*SUM(D86:D89),0)</f>
        <v>0</v>
      </c>
      <c r="L89" s="64">
        <f>IF(B89="Winter",Variables!$B$8*H88,0)</f>
        <v>-1.5719995131122459</v>
      </c>
      <c r="M89" s="64">
        <f>IF(AND(B89="Spring",AND(NOT(H88=0),H88&lt;(Variables!$B$9*Variables!$E$50))),(Variables!$B$10*Variables!$E$50+Variables!$B$11*Variables!$E$50*SUM(E86:E89)+$G$1*SUM(D88:D89)*Variables!$E$50*Variables!$B$12),0)</f>
        <v>0</v>
      </c>
      <c r="N89" s="64">
        <f>IF(AND(B89="Spring",AND(SUM(D86:D89)&gt;Variables!$B$13,SUM(D82:D85)&gt;Variables!$B$13)),-Variables!$B$14*Variables!$E$50,0)</f>
        <v>0</v>
      </c>
      <c r="O89" s="64">
        <f>IF(AND(B89="Summer",SUM(C85:D89)&gt;Variables!$B$15),(Variables!$B$16*Variables!$E$50*SUM(C85:C89)+$G$1*Variables!$B$16*Variables!$E$50*SUM(D85:D89)+$G$1*Variables!$E$50*Variables!$B$17*F89),0)</f>
        <v>0</v>
      </c>
      <c r="P89" s="64">
        <f>IF(AND(AND(B89="Autumn",SUM(D88:E89)&gt;0),NOT(H88=0)),Variables!$B$18*Variables!$E$50+Variables!$B$19*Variables!$E$50*SUM(E88:E89)+$G$1*Variables!$B$19*Variables!$E$50*SUM(D88:D89),0)</f>
        <v>0</v>
      </c>
      <c r="Q89" s="64">
        <f>IF(AND(B89="Autumn",AND((E89+E88)&lt;Variables!$B$20,(D88+D89)=0)),-Variables!$B$21*Variables!$E$50,0)</f>
        <v>0</v>
      </c>
      <c r="R89" s="64">
        <f>IF(B89="Autumn",(SUM(F88:F89)*$G$1*Variables!$B$22*Variables!$E$50),0)</f>
        <v>0</v>
      </c>
      <c r="S89" s="64">
        <f>IF(B89="Spring",($G$1*Variables!$E$50*SUM('Guts (option 2)'!F88:F89)*Variables!$B$23),0)</f>
        <v>0</v>
      </c>
      <c r="T89" s="63">
        <f>IF((H88+SUM(J89:Q89))&lt;(Variables!$B$26*Variables!$E$50),$F$1*((Variables!$B$26*Variables!$E$50)-H88-SUM(J89:Q89)),0)</f>
        <v>2.5701995131122466</v>
      </c>
      <c r="U89" s="64">
        <f>IF(AND(AND(B89="Autumn",SUM(D86:E89)&gt;Variables!$B$27),SUM(J89:Q89)&lt;Variables!$B$28*H88),$F$1*(Variables!$B$28*H88-SUM(J89:Q89)),0)</f>
        <v>0</v>
      </c>
      <c r="V89" s="96">
        <f>IF(AND((J89+K89)=0,(Q89+T89)=0),$H$1*H89*Variables!$I$23*0.25,0)</f>
        <v>0</v>
      </c>
      <c r="W89" s="97">
        <f>IF(AND((K89+J89)=0,(T89+Q89)=0),$I$1*H89*Variables!$Q$23*0.25,0)</f>
        <v>0</v>
      </c>
      <c r="X89" s="95">
        <f>IF(AND(NOT(K89=0),(H89-H88)&gt;0),(H89-H88)*(Variables!$M$5*$H$1+Variables!$U$5*$I$1),0)+IF(AND(NOT((J89+N89+Q89)=0),(H88-H89)&gt;0),(H88-H89)*(Variables!$M$4*$H$1+Variables!$U$4*$I$1),0)</f>
        <v>89.948859515849591</v>
      </c>
      <c r="Y89" s="95">
        <f>IF(SUM(T89,U88:U89)&gt;0,H89*Variables!$Y$11*0.25*(1-$J$1),0)</f>
        <v>-6.9874000000000018</v>
      </c>
      <c r="Z89" s="95">
        <f>IF(T89=0,H89*$J$1*Variables!$Y$5*0.25,0)</f>
        <v>0</v>
      </c>
      <c r="AA89" s="95">
        <f t="shared" si="2"/>
        <v>82.961459515849583</v>
      </c>
      <c r="AB89" s="91">
        <f>AA89/Variables!$E$49</f>
        <v>13.380880567072513</v>
      </c>
    </row>
    <row r="90" spans="1:28" x14ac:dyDescent="0.25">
      <c r="A90" s="61">
        <f>'Water runs'!C97</f>
        <v>10196</v>
      </c>
      <c r="B90" s="61" t="str">
        <f>'Water runs'!B97</f>
        <v>Spring</v>
      </c>
      <c r="C90" s="54">
        <f>'Water runs'!D97/100</f>
        <v>0.42334285714285697</v>
      </c>
      <c r="D90" s="108">
        <f>VLOOKUP(ROW(D90)+4,'Water runs'!$BS$3:$CF$423,MATCH($B$1,Scenarios,0)+1)</f>
        <v>0</v>
      </c>
      <c r="E90" s="54">
        <f>IF(B90=Variables!$D$8,C90-Variables!$E$8,IF(B90=Variables!$D$9,C90-Variables!$E$9,IF(B90=Variables!$D$10,C90-Variables!$E$10,IF(B90=Variables!$D$11,C90-Variables!$E$11,"ELSE"))))</f>
        <v>-0.34063935185185218</v>
      </c>
      <c r="F90" s="108">
        <f>VLOOKUP(ROW(F90)+4,'Water runs'!$CH$3:$CU$423,MATCH($B$1,Scenarios,0)+1)</f>
        <v>0</v>
      </c>
      <c r="G90" s="65">
        <f>H90/Variables!$E$49</f>
        <v>0.16100000000000003</v>
      </c>
      <c r="H90" s="62">
        <f>IF((H89+I90)&gt;(1.1*Variables!$E$50),(1.1*Variables!$E$50),IF((H89+I90)&gt;0,H89+I90,0))</f>
        <v>0.9982000000000002</v>
      </c>
      <c r="I90" s="64">
        <f t="shared" si="3"/>
        <v>0</v>
      </c>
      <c r="J90" s="63">
        <f>IF(SUM(E86:E89)&lt;Variables!$B$3,-H89,0)</f>
        <v>-0.9982000000000002</v>
      </c>
      <c r="K90" s="64">
        <f>IF(AND(H89&lt;Variables!$B$6*Variables!$E$50,OR(SUM(D87:D90)&gt;Variables!$B$5,SUM(E87:E90)&gt;Variables!$B$4)),Variables!$B$6*Variables!$E$50+Variables!$B$7*$G$1*Variables!$E$50*SUM(D87:D90),0)</f>
        <v>1.1502628122091227</v>
      </c>
      <c r="L90" s="64">
        <f>IF(B90="Winter",Variables!$B$8*H89,0)</f>
        <v>0</v>
      </c>
      <c r="M90" s="64">
        <f>IF(AND(B90="Spring",AND(NOT(H89=0),H89&lt;(Variables!$B$9*Variables!$E$50))),(Variables!$B$10*Variables!$E$50+Variables!$B$11*Variables!$E$50*SUM(E87:E90)+$G$1*SUM(D89:D90)*Variables!$E$50*Variables!$B$12),0)</f>
        <v>-1.2025353331189432</v>
      </c>
      <c r="N90" s="64">
        <f>IF(AND(B90="Spring",AND(SUM(D87:D90)&gt;Variables!$B$13,SUM(D83:D86)&gt;Variables!$B$13)),-Variables!$B$14*Variables!$E$50,0)</f>
        <v>0</v>
      </c>
      <c r="O90" s="64">
        <f>IF(AND(B90="Summer",SUM(C86:D90)&gt;Variables!$B$15),(Variables!$B$16*Variables!$E$50*SUM(C86:C90)+$G$1*Variables!$B$16*Variables!$E$50*SUM(D86:D90)+$G$1*Variables!$E$50*Variables!$B$17*F90),0)</f>
        <v>0</v>
      </c>
      <c r="P90" s="64">
        <f>IF(AND(AND(B90="Autumn",SUM(D89:E90)&gt;0),NOT(H89=0)),Variables!$B$18*Variables!$E$50+Variables!$B$19*Variables!$E$50*SUM(E89:E90)+$G$1*Variables!$B$19*Variables!$E$50*SUM(D89:D90),0)</f>
        <v>0</v>
      </c>
      <c r="Q90" s="64">
        <f>IF(AND(B90="Autumn",AND((E90+E89)&lt;Variables!$B$20,(D89+D90)=0)),-Variables!$B$21*Variables!$E$50,0)</f>
        <v>0</v>
      </c>
      <c r="R90" s="64">
        <f>IF(B90="Autumn",(SUM(F89:F90)*$G$1*Variables!$B$22*Variables!$E$50),0)</f>
        <v>0</v>
      </c>
      <c r="S90" s="64">
        <f>IF(B90="Spring",($G$1*Variables!$E$50*SUM('Guts (option 2)'!F89:F90)*Variables!$B$23),0)</f>
        <v>0</v>
      </c>
      <c r="T90" s="63">
        <f>IF((H89+SUM(J90:Q90))&lt;(Variables!$B$26*Variables!$E$50),$F$1*((Variables!$B$26*Variables!$E$50)-H89-SUM(J90:Q90)),0)</f>
        <v>1.0504725209098207</v>
      </c>
      <c r="U90" s="64">
        <f>IF(AND(AND(B90="Autumn",SUM(D87:E90)&gt;Variables!$B$27),SUM(J90:Q90)&lt;Variables!$B$28*H89),$F$1*(Variables!$B$28*H89-SUM(J90:Q90)),0)</f>
        <v>0</v>
      </c>
      <c r="V90" s="96">
        <f>IF(AND((J90+K90)=0,(Q90+T90)=0),$H$1*H90*Variables!$I$23*0.25,0)</f>
        <v>0</v>
      </c>
      <c r="W90" s="97">
        <f>IF(AND((K90+J90)=0,(T90+Q90)=0),$I$1*H90*Variables!$Q$23*0.25,0)</f>
        <v>0</v>
      </c>
      <c r="X90" s="95">
        <f>IF(AND(NOT(K90=0),(H90-H89)&gt;0),(H90-H89)*(Variables!$M$5*$H$1+Variables!$U$5*$I$1),0)+IF(AND(NOT((J90+N90+Q90)=0),(H89-H90)&gt;0),(H89-H90)*(Variables!$M$4*$H$1+Variables!$U$4*$I$1),0)</f>
        <v>0</v>
      </c>
      <c r="Y90" s="95">
        <f>IF(SUM(T90,U89:U90)&gt;0,H90*Variables!$Y$11*0.25*(1-$J$1),0)</f>
        <v>-6.9874000000000018</v>
      </c>
      <c r="Z90" s="95">
        <f>IF(T90=0,H90*$J$1*Variables!$Y$5*0.25,0)</f>
        <v>0</v>
      </c>
      <c r="AA90" s="95">
        <f t="shared" si="2"/>
        <v>-6.9874000000000018</v>
      </c>
      <c r="AB90" s="91">
        <f>AA90/Variables!$E$49</f>
        <v>-1.1270000000000002</v>
      </c>
    </row>
    <row r="91" spans="1:28" x14ac:dyDescent="0.25">
      <c r="A91" s="61">
        <f>'Water runs'!C98</f>
        <v>10286</v>
      </c>
      <c r="B91" s="61" t="str">
        <f>'Water runs'!B98</f>
        <v>Summer</v>
      </c>
      <c r="C91" s="54">
        <f>'Water runs'!D98/100</f>
        <v>2.3475999999999999</v>
      </c>
      <c r="D91" s="108">
        <f>VLOOKUP(ROW(D91)+4,'Water runs'!$BS$3:$CF$423,MATCH($B$1,Scenarios,0)+1)</f>
        <v>1.3217840204593861E-2</v>
      </c>
      <c r="E91" s="54">
        <f>IF(B91=Variables!$D$8,C91-Variables!$E$8,IF(B91=Variables!$D$9,C91-Variables!$E$9,IF(B91=Variables!$D$10,C91-Variables!$E$10,IF(B91=Variables!$D$11,C91-Variables!$E$11,"ELSE"))))</f>
        <v>1.0892298639455782</v>
      </c>
      <c r="F91" s="108">
        <f>VLOOKUP(ROW(F91)+4,'Water runs'!$CH$3:$CU$423,MATCH($B$1,Scenarios,0)+1)</f>
        <v>0</v>
      </c>
      <c r="G91" s="65">
        <f>H91/Variables!$E$49</f>
        <v>0.18414862633908424</v>
      </c>
      <c r="H91" s="62">
        <f>IF((H90+I91)&gt;(1.1*Variables!$E$50),(1.1*Variables!$E$50),IF((H90+I91)&gt;0,H90+I91,0))</f>
        <v>1.1417214833023224</v>
      </c>
      <c r="I91" s="64">
        <f t="shared" si="3"/>
        <v>0.14352148330232217</v>
      </c>
      <c r="J91" s="63">
        <f>IF(SUM(E87:E90)&lt;Variables!$B$3,-H90,0)</f>
        <v>-0.9982000000000002</v>
      </c>
      <c r="K91" s="64">
        <f>IF(AND(H90&lt;Variables!$B$6*Variables!$E$50,OR(SUM(D88:D91)&gt;Variables!$B$5,SUM(E88:E91)&gt;Variables!$B$4)),Variables!$B$6*Variables!$E$50+Variables!$B$7*$G$1*Variables!$E$50*SUM(D88:D91),0)</f>
        <v>1.1417214833023224</v>
      </c>
      <c r="L91" s="64">
        <f>IF(B91="Winter",Variables!$B$8*H90,0)</f>
        <v>0</v>
      </c>
      <c r="M91" s="64">
        <f>IF(AND(B91="Spring",AND(NOT(H90=0),H90&lt;(Variables!$B$9*Variables!$E$50))),(Variables!$B$10*Variables!$E$50+Variables!$B$11*Variables!$E$50*SUM(E88:E91)+$G$1*SUM(D90:D91)*Variables!$E$50*Variables!$B$12),0)</f>
        <v>0</v>
      </c>
      <c r="N91" s="64">
        <f>IF(AND(B91="Spring",AND(SUM(D88:D91)&gt;Variables!$B$13,SUM(D84:D87)&gt;Variables!$B$13)),-Variables!$B$14*Variables!$E$50,0)</f>
        <v>0</v>
      </c>
      <c r="O91" s="64">
        <f>IF(AND(B91="Summer",SUM(C87:D91)&gt;Variables!$B$15),(Variables!$B$16*Variables!$E$50*SUM(C87:C91)+$G$1*Variables!$B$16*Variables!$E$50*SUM(D87:D91)+$G$1*Variables!$E$50*Variables!$B$17*F91),0)</f>
        <v>0</v>
      </c>
      <c r="P91" s="64">
        <f>IF(AND(AND(B91="Autumn",SUM(D90:E91)&gt;0),NOT(H90=0)),Variables!$B$18*Variables!$E$50+Variables!$B$19*Variables!$E$50*SUM(E90:E91)+$G$1*Variables!$B$19*Variables!$E$50*SUM(D90:D91),0)</f>
        <v>0</v>
      </c>
      <c r="Q91" s="64">
        <f>IF(AND(B91="Autumn",AND((E91+E90)&lt;Variables!$B$20,(D90+D91)=0)),-Variables!$B$21*Variables!$E$50,0)</f>
        <v>0</v>
      </c>
      <c r="R91" s="64">
        <f>IF(B91="Autumn",(SUM(F90:F91)*$G$1*Variables!$B$22*Variables!$E$50),0)</f>
        <v>0</v>
      </c>
      <c r="S91" s="64">
        <f>IF(B91="Spring",($G$1*Variables!$E$50*SUM('Guts (option 2)'!F90:F91)*Variables!$B$23),0)</f>
        <v>0</v>
      </c>
      <c r="T91" s="63">
        <f>IF((H90+SUM(J91:Q91))&lt;(Variables!$B$26*Variables!$E$50),$F$1*((Variables!$B$26*Variables!$E$50)-H90-SUM(J91:Q91)),0)</f>
        <v>0</v>
      </c>
      <c r="U91" s="64">
        <f>IF(AND(AND(B91="Autumn",SUM(D88:E91)&gt;Variables!$B$27),SUM(J91:Q91)&lt;Variables!$B$28*H90),$F$1*(Variables!$B$28*H90-SUM(J91:Q91)),0)</f>
        <v>0</v>
      </c>
      <c r="V91" s="96">
        <f>IF(AND((J91+K91)=0,(Q91+T91)=0),$H$1*H91*Variables!$I$23*0.25,0)</f>
        <v>0</v>
      </c>
      <c r="W91" s="97">
        <f>IF(AND((K91+J91)=0,(T91+Q91)=0),$I$1*H91*Variables!$Q$23*0.25,0)</f>
        <v>0</v>
      </c>
      <c r="X91" s="95">
        <f>IF(AND(NOT(K91=0),(H91-H90)&gt;0),(H91-H90)*(Variables!$M$5*$H$1+Variables!$U$5*$I$1),0)+IF(AND(NOT((J91+N91+Q91)=0),(H90-H91)&gt;0),(H90-H91)*(Variables!$M$4*$H$1+Variables!$U$4*$I$1),0)</f>
        <v>-11.960123608526848</v>
      </c>
      <c r="Y91" s="95">
        <f>IF(SUM(T91,U90:U91)&gt;0,H91*Variables!$Y$11*0.25*(1-$J$1),0)</f>
        <v>0</v>
      </c>
      <c r="Z91" s="95">
        <f>IF(T91=0,H91*$J$1*Variables!$Y$5*0.25,0)</f>
        <v>2.473729880488365</v>
      </c>
      <c r="AA91" s="95">
        <f t="shared" si="2"/>
        <v>-9.4863937280384825</v>
      </c>
      <c r="AB91" s="91">
        <f>AA91/Variables!$E$49</f>
        <v>-1.5300635045223359</v>
      </c>
    </row>
    <row r="92" spans="1:28" x14ac:dyDescent="0.25">
      <c r="A92" s="61">
        <f>'Water runs'!C99</f>
        <v>10379</v>
      </c>
      <c r="B92" s="61" t="str">
        <f>'Water runs'!B99</f>
        <v>Autumn</v>
      </c>
      <c r="C92" s="54">
        <f>'Water runs'!D99/100</f>
        <v>0.70079999999999998</v>
      </c>
      <c r="D92" s="108">
        <f>VLOOKUP(ROW(D92)+4,'Water runs'!$BS$3:$CF$423,MATCH($B$1,Scenarios,0)+1)</f>
        <v>0.19930244895050633</v>
      </c>
      <c r="E92" s="54">
        <f>IF(B92=Variables!$D$8,C92-Variables!$E$8,IF(B92=Variables!$D$9,C92-Variables!$E$9,IF(B92=Variables!$D$10,C92-Variables!$E$10,IF(B92=Variables!$D$11,C92-Variables!$E$11,"ELSE"))))</f>
        <v>-0.29384329931972786</v>
      </c>
      <c r="F92" s="108">
        <f>VLOOKUP(ROW(F92)+4,'Water runs'!$CH$3:$CU$423,MATCH($B$1,Scenarios,0)+1)</f>
        <v>0.27095701470320432</v>
      </c>
      <c r="G92" s="65">
        <f>H92/Variables!$E$49</f>
        <v>0.58540496050112212</v>
      </c>
      <c r="H92" s="62">
        <f>IF((H91+I92)&gt;(1.1*Variables!$E$50),(1.1*Variables!$E$50),IF((H91+I92)&gt;0,H91+I92,0))</f>
        <v>3.6295107551069572</v>
      </c>
      <c r="I92" s="64">
        <f t="shared" si="3"/>
        <v>2.4877892718046346</v>
      </c>
      <c r="J92" s="63">
        <f>IF(SUM(E88:E91)&lt;Variables!$B$3,-H91,0)</f>
        <v>0</v>
      </c>
      <c r="K92" s="64">
        <f>IF(AND(H91&lt;Variables!$B$6*Variables!$E$50,OR(SUM(D89:D92)&gt;Variables!$B$5,SUM(E89:E92)&gt;Variables!$B$4)),Variables!$B$6*Variables!$E$50+Variables!$B$7*$G$1*Variables!$E$50*SUM(D89:D92),0)</f>
        <v>0</v>
      </c>
      <c r="L92" s="64">
        <f>IF(B92="Winter",Variables!$B$8*H91,0)</f>
        <v>0</v>
      </c>
      <c r="M92" s="64">
        <f>IF(AND(B92="Spring",AND(NOT(H91=0),H91&lt;(Variables!$B$9*Variables!$E$50))),(Variables!$B$10*Variables!$E$50+Variables!$B$11*Variables!$E$50*SUM(E89:E92)+$G$1*SUM(D91:D92)*Variables!$E$50*Variables!$B$12),0)</f>
        <v>0</v>
      </c>
      <c r="N92" s="64">
        <f>IF(AND(B92="Spring",AND(SUM(D89:D92)&gt;Variables!$B$13,SUM(D85:D88)&gt;Variables!$B$13)),-Variables!$B$14*Variables!$E$50,0)</f>
        <v>0</v>
      </c>
      <c r="O92" s="64">
        <f>IF(AND(B92="Summer",SUM(C88:D92)&gt;Variables!$B$15),(Variables!$B$16*Variables!$E$50*SUM(C88:C92)+$G$1*Variables!$B$16*Variables!$E$50*SUM(D88:D92)+$G$1*Variables!$E$50*Variables!$B$17*F92),0)</f>
        <v>0</v>
      </c>
      <c r="P92" s="64">
        <f>IF(AND(AND(B92="Autumn",SUM(D91:E92)&gt;0),NOT(H91=0)),Variables!$B$18*Variables!$E$50+Variables!$B$19*Variables!$E$50*SUM(E91:E92)+$G$1*Variables!$B$19*Variables!$E$50*SUM(D91:D92),0)</f>
        <v>2.4496137851859023</v>
      </c>
      <c r="Q92" s="64">
        <f>IF(AND(B92="Autumn",AND((E92+E91)&lt;Variables!$B$20,(D91+D92)=0)),-Variables!$B$21*Variables!$E$50,0)</f>
        <v>0</v>
      </c>
      <c r="R92" s="64">
        <f>IF(B92="Autumn",(SUM(F91:F92)*$G$1*Variables!$B$22*Variables!$E$50),0)</f>
        <v>3.8175486618732137E-2</v>
      </c>
      <c r="S92" s="64">
        <f>IF(B92="Spring",($G$1*Variables!$E$50*SUM('Guts (option 2)'!F91:F92)*Variables!$B$23),0)</f>
        <v>0</v>
      </c>
      <c r="T92" s="63">
        <f>IF((H91+SUM(J92:Q92))&lt;(Variables!$B$26*Variables!$E$50),$F$1*((Variables!$B$26*Variables!$E$50)-H91-SUM(J92:Q92)),0)</f>
        <v>0</v>
      </c>
      <c r="U92" s="64">
        <f>IF(AND(AND(B92="Autumn",SUM(D89:E92)&gt;Variables!$B$27),SUM(J92:Q92)&lt;Variables!$B$28*H91),$F$1*(Variables!$B$28*H91-SUM(J92:Q92)),0)</f>
        <v>0</v>
      </c>
      <c r="V92" s="96">
        <f>IF(AND((J92+K92)=0,(Q92+T92)=0),$H$1*H92*Variables!$I$23*0.25,0)</f>
        <v>23.313738892508109</v>
      </c>
      <c r="W92" s="97">
        <f>IF(AND((K92+J92)=0,(T92+Q92)=0),$I$1*H92*Variables!$Q$23*0.25,0)</f>
        <v>24.403318021191215</v>
      </c>
      <c r="X92" s="95">
        <f>IF(AND(NOT(K92=0),(H92-H91)&gt;0),(H92-H91)*(Variables!$M$5*$H$1+Variables!$U$5*$I$1),0)+IF(AND(NOT((J92+N92+Q92)=0),(H91-H92)&gt;0),(H91-H92)*(Variables!$M$4*$H$1+Variables!$U$4*$I$1),0)</f>
        <v>0</v>
      </c>
      <c r="Y92" s="95">
        <f>IF(SUM(T92,U91:U92)&gt;0,H92*Variables!$Y$11*0.25*(1-$J$1),0)</f>
        <v>0</v>
      </c>
      <c r="Z92" s="95">
        <f>IF(T92=0,H92*$J$1*Variables!$Y$5*0.25,0)</f>
        <v>7.8639399693984071</v>
      </c>
      <c r="AA92" s="95">
        <f t="shared" si="2"/>
        <v>55.580996883097733</v>
      </c>
      <c r="AB92" s="91">
        <f>AA92/Variables!$E$49</f>
        <v>8.9646769166286671</v>
      </c>
    </row>
    <row r="93" spans="1:28" x14ac:dyDescent="0.25">
      <c r="A93" s="61">
        <f>'Water runs'!C100</f>
        <v>10471</v>
      </c>
      <c r="B93" s="61" t="str">
        <f>'Water runs'!B100</f>
        <v>Winter</v>
      </c>
      <c r="C93" s="54">
        <f>'Water runs'!D100/100</f>
        <v>0.34537142857142905</v>
      </c>
      <c r="D93" s="108">
        <f>VLOOKUP(ROW(D93)+4,'Water runs'!$BS$3:$CF$423,MATCH($B$1,Scenarios,0)+1)</f>
        <v>0</v>
      </c>
      <c r="E93" s="54">
        <f>IF(B93=Variables!$D$8,C93-Variables!$E$8,IF(B93=Variables!$D$9,C93-Variables!$E$9,IF(B93=Variables!$D$10,C93-Variables!$E$10,IF(B93=Variables!$D$11,C93-Variables!$E$11,"ELSE"))))</f>
        <v>-0.22639619708994668</v>
      </c>
      <c r="F93" s="108">
        <f>VLOOKUP(ROW(F93)+4,'Water runs'!$CH$3:$CU$423,MATCH($B$1,Scenarios,0)+1)</f>
        <v>0</v>
      </c>
      <c r="G93" s="65">
        <f>H93/Variables!$E$49</f>
        <v>0.29390534323856349</v>
      </c>
      <c r="H93" s="62">
        <f>IF((H92+I93)&gt;(1.1*Variables!$E$50),(1.1*Variables!$E$50),IF((H92+I93)&gt;0,H92+I93,0))</f>
        <v>1.8222131280790936</v>
      </c>
      <c r="I93" s="64">
        <f t="shared" si="3"/>
        <v>-1.8072976270278636</v>
      </c>
      <c r="J93" s="63">
        <f>IF(SUM(E89:E92)&lt;Variables!$B$3,-H92,0)</f>
        <v>0</v>
      </c>
      <c r="K93" s="64">
        <f>IF(AND(H92&lt;Variables!$B$6*Variables!$E$50,OR(SUM(D90:D93)&gt;Variables!$B$5,SUM(E90:E93)&gt;Variables!$B$4)),Variables!$B$6*Variables!$E$50+Variables!$B$7*$G$1*Variables!$E$50*SUM(D90:D93),0)</f>
        <v>0</v>
      </c>
      <c r="L93" s="64">
        <f>IF(B93="Winter",Variables!$B$8*H92,0)</f>
        <v>-1.8072976270278636</v>
      </c>
      <c r="M93" s="64">
        <f>IF(AND(B93="Spring",AND(NOT(H92=0),H92&lt;(Variables!$B$9*Variables!$E$50))),(Variables!$B$10*Variables!$E$50+Variables!$B$11*Variables!$E$50*SUM(E90:E93)+$G$1*SUM(D92:D93)*Variables!$E$50*Variables!$B$12),0)</f>
        <v>0</v>
      </c>
      <c r="N93" s="64">
        <f>IF(AND(B93="Spring",AND(SUM(D90:D93)&gt;Variables!$B$13,SUM(D86:D89)&gt;Variables!$B$13)),-Variables!$B$14*Variables!$E$50,0)</f>
        <v>0</v>
      </c>
      <c r="O93" s="64">
        <f>IF(AND(B93="Summer",SUM(C89:D93)&gt;Variables!$B$15),(Variables!$B$16*Variables!$E$50*SUM(C89:C93)+$G$1*Variables!$B$16*Variables!$E$50*SUM(D89:D93)+$G$1*Variables!$E$50*Variables!$B$17*F93),0)</f>
        <v>0</v>
      </c>
      <c r="P93" s="64">
        <f>IF(AND(AND(B93="Autumn",SUM(D92:E93)&gt;0),NOT(H92=0)),Variables!$B$18*Variables!$E$50+Variables!$B$19*Variables!$E$50*SUM(E92:E93)+$G$1*Variables!$B$19*Variables!$E$50*SUM(D92:D93),0)</f>
        <v>0</v>
      </c>
      <c r="Q93" s="64">
        <f>IF(AND(B93="Autumn",AND((E93+E92)&lt;Variables!$B$20,(D92+D93)=0)),-Variables!$B$21*Variables!$E$50,0)</f>
        <v>0</v>
      </c>
      <c r="R93" s="64">
        <f>IF(B93="Autumn",(SUM(F92:F93)*$G$1*Variables!$B$22*Variables!$E$50),0)</f>
        <v>0</v>
      </c>
      <c r="S93" s="64">
        <f>IF(B93="Spring",($G$1*Variables!$E$50*SUM('Guts (option 2)'!F92:F93)*Variables!$B$23),0)</f>
        <v>0</v>
      </c>
      <c r="T93" s="63">
        <f>IF((H92+SUM(J93:Q93))&lt;(Variables!$B$26*Variables!$E$50),$F$1*((Variables!$B$26*Variables!$E$50)-H92-SUM(J93:Q93)),0)</f>
        <v>0</v>
      </c>
      <c r="U93" s="64">
        <f>IF(AND(AND(B93="Autumn",SUM(D90:E93)&gt;Variables!$B$27),SUM(J93:Q93)&lt;Variables!$B$28*H92),$F$1*(Variables!$B$28*H92-SUM(J93:Q93)),0)</f>
        <v>0</v>
      </c>
      <c r="V93" s="96">
        <f>IF(AND((J93+K93)=0,(Q93+T93)=0),$H$1*H93*Variables!$I$23*0.25,0)</f>
        <v>11.70477343668445</v>
      </c>
      <c r="W93" s="97">
        <f>IF(AND((K93+J93)=0,(T93+Q93)=0),$I$1*H93*Variables!$Q$23*0.25,0)</f>
        <v>12.251801817733792</v>
      </c>
      <c r="X93" s="95">
        <f>IF(AND(NOT(K93=0),(H93-H92)&gt;0),(H93-H92)*(Variables!$M$5*$H$1+Variables!$U$5*$I$1),0)+IF(AND(NOT((J93+N93+Q93)=0),(H92-H93)&gt;0),(H92-H93)*(Variables!$M$4*$H$1+Variables!$U$4*$I$1),0)</f>
        <v>0</v>
      </c>
      <c r="Y93" s="95">
        <f>IF(SUM(T93,U92:U93)&gt;0,H93*Variables!$Y$11*0.25*(1-$J$1),0)</f>
        <v>0</v>
      </c>
      <c r="Z93" s="95">
        <f>IF(T93=0,H93*$J$1*Variables!$Y$5*0.25,0)</f>
        <v>3.9481284441713695</v>
      </c>
      <c r="AA93" s="95">
        <f t="shared" si="2"/>
        <v>27.904703698589611</v>
      </c>
      <c r="AB93" s="91">
        <f>AA93/Variables!$E$49</f>
        <v>4.5007586610628403</v>
      </c>
    </row>
    <row r="94" spans="1:28" x14ac:dyDescent="0.25">
      <c r="A94" s="61">
        <f>'Water runs'!C101</f>
        <v>10562</v>
      </c>
      <c r="B94" s="61" t="str">
        <f>'Water runs'!B101</f>
        <v>Spring</v>
      </c>
      <c r="C94" s="54">
        <f>'Water runs'!D101/100</f>
        <v>8.5285714285714298E-2</v>
      </c>
      <c r="D94" s="108">
        <f>VLOOKUP(ROW(D94)+4,'Water runs'!$BS$3:$CF$423,MATCH($B$1,Scenarios,0)+1)</f>
        <v>0</v>
      </c>
      <c r="E94" s="54">
        <f>IF(B94=Variables!$D$8,C94-Variables!$E$8,IF(B94=Variables!$D$9,C94-Variables!$E$9,IF(B94=Variables!$D$10,C94-Variables!$E$10,IF(B94=Variables!$D$11,C94-Variables!$E$11,"ELSE"))))</f>
        <v>-0.67869649470899485</v>
      </c>
      <c r="F94" s="108">
        <f>VLOOKUP(ROW(F94)+4,'Water runs'!$CH$3:$CU$423,MATCH($B$1,Scenarios,0)+1)</f>
        <v>0</v>
      </c>
      <c r="G94" s="65">
        <f>H94/Variables!$E$49</f>
        <v>0.28185427228026327</v>
      </c>
      <c r="H94" s="62">
        <f>IF((H93+I94)&gt;(1.1*Variables!$E$50),(1.1*Variables!$E$50),IF((H93+I94)&gt;0,H93+I94,0))</f>
        <v>1.7474964881376325</v>
      </c>
      <c r="I94" s="64">
        <f t="shared" si="3"/>
        <v>-7.4716639941461216E-2</v>
      </c>
      <c r="J94" s="63">
        <f>IF(SUM(E90:E93)&lt;Variables!$B$3,-H93,0)</f>
        <v>0</v>
      </c>
      <c r="K94" s="64">
        <f>IF(AND(H93&lt;Variables!$B$6*Variables!$E$50,OR(SUM(D91:D94)&gt;Variables!$B$5,SUM(E91:E94)&gt;Variables!$B$4)),Variables!$B$6*Variables!$E$50+Variables!$B$7*$G$1*Variables!$E$50*SUM(D91:D94),0)</f>
        <v>0</v>
      </c>
      <c r="L94" s="64">
        <f>IF(B94="Winter",Variables!$B$8*H93,0)</f>
        <v>0</v>
      </c>
      <c r="M94" s="64">
        <f>IF(AND(B94="Spring",AND(NOT(H93=0),H93&lt;(Variables!$B$9*Variables!$E$50))),(Variables!$B$10*Variables!$E$50+Variables!$B$11*Variables!$E$50*SUM(E91:E94)+$G$1*SUM(D93:D94)*Variables!$E$50*Variables!$B$12),0)</f>
        <v>-7.4716639941461216E-2</v>
      </c>
      <c r="N94" s="64">
        <f>IF(AND(B94="Spring",AND(SUM(D91:D94)&gt;Variables!$B$13,SUM(D87:D90)&gt;Variables!$B$13)),-Variables!$B$14*Variables!$E$50,0)</f>
        <v>0</v>
      </c>
      <c r="O94" s="64">
        <f>IF(AND(B94="Summer",SUM(C90:D94)&gt;Variables!$B$15),(Variables!$B$16*Variables!$E$50*SUM(C90:C94)+$G$1*Variables!$B$16*Variables!$E$50*SUM(D90:D94)+$G$1*Variables!$E$50*Variables!$B$17*F94),0)</f>
        <v>0</v>
      </c>
      <c r="P94" s="64">
        <f>IF(AND(AND(B94="Autumn",SUM(D93:E94)&gt;0),NOT(H93=0)),Variables!$B$18*Variables!$E$50+Variables!$B$19*Variables!$E$50*SUM(E93:E94)+$G$1*Variables!$B$19*Variables!$E$50*SUM(D93:D94),0)</f>
        <v>0</v>
      </c>
      <c r="Q94" s="64">
        <f>IF(AND(B94="Autumn",AND((E94+E93)&lt;Variables!$B$20,(D93+D94)=0)),-Variables!$B$21*Variables!$E$50,0)</f>
        <v>0</v>
      </c>
      <c r="R94" s="64">
        <f>IF(B94="Autumn",(SUM(F93:F94)*$G$1*Variables!$B$22*Variables!$E$50),0)</f>
        <v>0</v>
      </c>
      <c r="S94" s="64">
        <f>IF(B94="Spring",($G$1*Variables!$E$50*SUM('Guts (option 2)'!F93:F94)*Variables!$B$23),0)</f>
        <v>0</v>
      </c>
      <c r="T94" s="63">
        <f>IF((H93+SUM(J94:Q94))&lt;(Variables!$B$26*Variables!$E$50),$F$1*((Variables!$B$26*Variables!$E$50)-H93-SUM(J94:Q94)),0)</f>
        <v>0</v>
      </c>
      <c r="U94" s="64">
        <f>IF(AND(AND(B94="Autumn",SUM(D91:E94)&gt;Variables!$B$27),SUM(J94:Q94)&lt;Variables!$B$28*H93),$F$1*(Variables!$B$28*H93-SUM(J94:Q94)),0)</f>
        <v>0</v>
      </c>
      <c r="V94" s="96">
        <f>IF(AND((J94+K94)=0,(Q94+T94)=0),$H$1*H94*Variables!$I$23*0.25,0)</f>
        <v>11.224839816961801</v>
      </c>
      <c r="W94" s="97">
        <f>IF(AND((K94+J94)=0,(T94+Q94)=0),$I$1*H94*Variables!$Q$23*0.25,0)</f>
        <v>11.749438262700716</v>
      </c>
      <c r="X94" s="95">
        <f>IF(AND(NOT(K94=0),(H94-H93)&gt;0),(H94-H93)*(Variables!$M$5*$H$1+Variables!$U$5*$I$1),0)+IF(AND(NOT((J94+N94+Q94)=0),(H93-H94)&gt;0),(H93-H94)*(Variables!$M$4*$H$1+Variables!$U$4*$I$1),0)</f>
        <v>0</v>
      </c>
      <c r="Y94" s="95">
        <f>IF(SUM(T94,U93:U94)&gt;0,H94*Variables!$Y$11*0.25*(1-$J$1),0)</f>
        <v>0</v>
      </c>
      <c r="Z94" s="95">
        <f>IF(T94=0,H94*$J$1*Variables!$Y$5*0.25,0)</f>
        <v>3.7862423909648704</v>
      </c>
      <c r="AA94" s="95">
        <f t="shared" si="2"/>
        <v>26.760520470627387</v>
      </c>
      <c r="AB94" s="91">
        <f>AA94/Variables!$E$49</f>
        <v>4.3162129791334491</v>
      </c>
    </row>
    <row r="95" spans="1:28" x14ac:dyDescent="0.25">
      <c r="A95" s="61">
        <f>'Water runs'!C102</f>
        <v>10652</v>
      </c>
      <c r="B95" s="61" t="str">
        <f>'Water runs'!B102</f>
        <v>Summer</v>
      </c>
      <c r="C95" s="54">
        <f>'Water runs'!D102/100</f>
        <v>0.279485714285714</v>
      </c>
      <c r="D95" s="108">
        <f>VLOOKUP(ROW(D95)+4,'Water runs'!$BS$3:$CF$423,MATCH($B$1,Scenarios,0)+1)</f>
        <v>0</v>
      </c>
      <c r="E95" s="54">
        <f>IF(B95=Variables!$D$8,C95-Variables!$E$8,IF(B95=Variables!$D$9,C95-Variables!$E$9,IF(B95=Variables!$D$10,C95-Variables!$E$10,IF(B95=Variables!$D$11,C95-Variables!$E$11,"ELSE"))))</f>
        <v>-0.97888442176870771</v>
      </c>
      <c r="F95" s="108">
        <f>VLOOKUP(ROW(F95)+4,'Water runs'!$CH$3:$CU$423,MATCH($B$1,Scenarios,0)+1)</f>
        <v>0</v>
      </c>
      <c r="G95" s="65">
        <f>H95/Variables!$E$49</f>
        <v>0.28185427228026327</v>
      </c>
      <c r="H95" s="62">
        <f>IF((H94+I95)&gt;(1.1*Variables!$E$50),(1.1*Variables!$E$50),IF((H94+I95)&gt;0,H94+I95,0))</f>
        <v>1.7474964881376325</v>
      </c>
      <c r="I95" s="64">
        <f t="shared" si="3"/>
        <v>0</v>
      </c>
      <c r="J95" s="63">
        <f>IF(SUM(E91:E94)&lt;Variables!$B$3,-H94,0)</f>
        <v>0</v>
      </c>
      <c r="K95" s="64">
        <f>IF(AND(H94&lt;Variables!$B$6*Variables!$E$50,OR(SUM(D92:D95)&gt;Variables!$B$5,SUM(E92:E95)&gt;Variables!$B$4)),Variables!$B$6*Variables!$E$50+Variables!$B$7*$G$1*Variables!$E$50*SUM(D92:D95),0)</f>
        <v>0</v>
      </c>
      <c r="L95" s="64">
        <f>IF(B95="Winter",Variables!$B$8*H94,0)</f>
        <v>0</v>
      </c>
      <c r="M95" s="64">
        <f>IF(AND(B95="Spring",AND(NOT(H94=0),H94&lt;(Variables!$B$9*Variables!$E$50))),(Variables!$B$10*Variables!$E$50+Variables!$B$11*Variables!$E$50*SUM(E92:E95)+$G$1*SUM(D94:D95)*Variables!$E$50*Variables!$B$12),0)</f>
        <v>0</v>
      </c>
      <c r="N95" s="64">
        <f>IF(AND(B95="Spring",AND(SUM(D92:D95)&gt;Variables!$B$13,SUM(D88:D91)&gt;Variables!$B$13)),-Variables!$B$14*Variables!$E$50,0)</f>
        <v>0</v>
      </c>
      <c r="O95" s="64">
        <f>IF(AND(B95="Summer",SUM(C91:D95)&gt;Variables!$B$15),(Variables!$B$16*Variables!$E$50*SUM(C91:C95)+$G$1*Variables!$B$16*Variables!$E$50*SUM(D91:D95)+$G$1*Variables!$E$50*Variables!$B$17*F95),0)</f>
        <v>0</v>
      </c>
      <c r="P95" s="64">
        <f>IF(AND(AND(B95="Autumn",SUM(D94:E95)&gt;0),NOT(H94=0)),Variables!$B$18*Variables!$E$50+Variables!$B$19*Variables!$E$50*SUM(E94:E95)+$G$1*Variables!$B$19*Variables!$E$50*SUM(D94:D95),0)</f>
        <v>0</v>
      </c>
      <c r="Q95" s="64">
        <f>IF(AND(B95="Autumn",AND((E95+E94)&lt;Variables!$B$20,(D94+D95)=0)),-Variables!$B$21*Variables!$E$50,0)</f>
        <v>0</v>
      </c>
      <c r="R95" s="64">
        <f>IF(B95="Autumn",(SUM(F94:F95)*$G$1*Variables!$B$22*Variables!$E$50),0)</f>
        <v>0</v>
      </c>
      <c r="S95" s="64">
        <f>IF(B95="Spring",($G$1*Variables!$E$50*SUM('Guts (option 2)'!F94:F95)*Variables!$B$23),0)</f>
        <v>0</v>
      </c>
      <c r="T95" s="63">
        <f>IF((H94+SUM(J95:Q95))&lt;(Variables!$B$26*Variables!$E$50),$F$1*((Variables!$B$26*Variables!$E$50)-H94-SUM(J95:Q95)),0)</f>
        <v>0</v>
      </c>
      <c r="U95" s="64">
        <f>IF(AND(AND(B95="Autumn",SUM(D92:E95)&gt;Variables!$B$27),SUM(J95:Q95)&lt;Variables!$B$28*H94),$F$1*(Variables!$B$28*H94-SUM(J95:Q95)),0)</f>
        <v>0</v>
      </c>
      <c r="V95" s="96">
        <f>IF(AND((J95+K95)=0,(Q95+T95)=0),$H$1*H95*Variables!$I$23*0.25,0)</f>
        <v>11.224839816961801</v>
      </c>
      <c r="W95" s="97">
        <f>IF(AND((K95+J95)=0,(T95+Q95)=0),$I$1*H95*Variables!$Q$23*0.25,0)</f>
        <v>11.749438262700716</v>
      </c>
      <c r="X95" s="95">
        <f>IF(AND(NOT(K95=0),(H95-H94)&gt;0),(H95-H94)*(Variables!$M$5*$H$1+Variables!$U$5*$I$1),0)+IF(AND(NOT((J95+N95+Q95)=0),(H94-H95)&gt;0),(H94-H95)*(Variables!$M$4*$H$1+Variables!$U$4*$I$1),0)</f>
        <v>0</v>
      </c>
      <c r="Y95" s="95">
        <f>IF(SUM(T95,U94:U95)&gt;0,H95*Variables!$Y$11*0.25*(1-$J$1),0)</f>
        <v>0</v>
      </c>
      <c r="Z95" s="95">
        <f>IF(T95=0,H95*$J$1*Variables!$Y$5*0.25,0)</f>
        <v>3.7862423909648704</v>
      </c>
      <c r="AA95" s="95">
        <f t="shared" si="2"/>
        <v>26.760520470627387</v>
      </c>
      <c r="AB95" s="91">
        <f>AA95/Variables!$E$49</f>
        <v>4.3162129791334491</v>
      </c>
    </row>
    <row r="96" spans="1:28" x14ac:dyDescent="0.25">
      <c r="A96" s="61">
        <f>'Water runs'!C103</f>
        <v>10744</v>
      </c>
      <c r="B96" s="61" t="str">
        <f>'Water runs'!B103</f>
        <v>Autumn</v>
      </c>
      <c r="C96" s="54">
        <f>'Water runs'!D103/100</f>
        <v>0.65017142857142896</v>
      </c>
      <c r="D96" s="108">
        <f>VLOOKUP(ROW(D96)+4,'Water runs'!$BS$3:$CF$423,MATCH($B$1,Scenarios,0)+1)</f>
        <v>0.27678762302155996</v>
      </c>
      <c r="E96" s="54">
        <f>IF(B96=Variables!$D$8,C96-Variables!$E$8,IF(B96=Variables!$D$9,C96-Variables!$E$9,IF(B96=Variables!$D$10,C96-Variables!$E$10,IF(B96=Variables!$D$11,C96-Variables!$E$11,"ELSE"))))</f>
        <v>-0.34447187074829888</v>
      </c>
      <c r="F96" s="108">
        <f>VLOOKUP(ROW(F96)+4,'Water runs'!$CH$3:$CU$423,MATCH($B$1,Scenarios,0)+1)</f>
        <v>0.27342734305101385</v>
      </c>
      <c r="G96" s="65">
        <f>H96/Variables!$E$49</f>
        <v>0.16721347328972685</v>
      </c>
      <c r="H96" s="62">
        <f>IF((H95+I96)&gt;(1.1*Variables!$E$50),(1.1*Variables!$E$50),IF((H95+I96)&gt;0,H95+I96,0))</f>
        <v>1.0367235343963066</v>
      </c>
      <c r="I96" s="64">
        <f t="shared" si="3"/>
        <v>-0.71077295374132576</v>
      </c>
      <c r="J96" s="63">
        <f>IF(SUM(E92:E95)&lt;Variables!$B$3,-H95,0)</f>
        <v>-1.7474964881376325</v>
      </c>
      <c r="K96" s="64">
        <f>IF(AND(H95&lt;Variables!$B$6*Variables!$E$50,OR(SUM(D93:D96)&gt;Variables!$B$5,SUM(E93:E96)&gt;Variables!$B$4)),Variables!$B$6*Variables!$E$50+Variables!$B$7*$G$1*Variables!$E$50*SUM(D93:D96),0)</f>
        <v>0</v>
      </c>
      <c r="L96" s="64">
        <f>IF(B96="Winter",Variables!$B$8*H95,0)</f>
        <v>0</v>
      </c>
      <c r="M96" s="64">
        <f>IF(AND(B96="Spring",AND(NOT(H95=0),H95&lt;(Variables!$B$9*Variables!$E$50))),(Variables!$B$10*Variables!$E$50+Variables!$B$11*Variables!$E$50*SUM(E93:E96)+$G$1*SUM(D95:D96)*Variables!$E$50*Variables!$B$12),0)</f>
        <v>0</v>
      </c>
      <c r="N96" s="64">
        <f>IF(AND(B96="Spring",AND(SUM(D93:D96)&gt;Variables!$B$13,SUM(D89:D92)&gt;Variables!$B$13)),-Variables!$B$14*Variables!$E$50,0)</f>
        <v>0</v>
      </c>
      <c r="O96" s="64">
        <f>IF(AND(B96="Summer",SUM(C92:D96)&gt;Variables!$B$15),(Variables!$B$16*Variables!$E$50*SUM(C92:C96)+$G$1*Variables!$B$16*Variables!$E$50*SUM(D92:D96)+$G$1*Variables!$E$50*Variables!$B$17*F96),0)</f>
        <v>0</v>
      </c>
      <c r="P96" s="64">
        <f>IF(AND(AND(B96="Autumn",SUM(D95:E96)&gt;0),NOT(H95=0)),Variables!$B$18*Variables!$E$50+Variables!$B$19*Variables!$E$50*SUM(E95:E96)+$G$1*Variables!$B$19*Variables!$E$50*SUM(D95:D96),0)</f>
        <v>0</v>
      </c>
      <c r="Q96" s="64">
        <f>IF(AND(B96="Autumn",AND((E96+E95)&lt;Variables!$B$20,(D95+D96)=0)),-Variables!$B$21*Variables!$E$50,0)</f>
        <v>0</v>
      </c>
      <c r="R96" s="64">
        <f>IF(B96="Autumn",(SUM(F95:F96)*$G$1*Variables!$B$22*Variables!$E$50),0)</f>
        <v>3.8523534396306652E-2</v>
      </c>
      <c r="S96" s="64">
        <f>IF(B96="Spring",($G$1*Variables!$E$50*SUM('Guts (option 2)'!F95:F96)*Variables!$B$23),0)</f>
        <v>0</v>
      </c>
      <c r="T96" s="63">
        <f>IF((H95+SUM(J96:Q96))&lt;(Variables!$B$26*Variables!$E$50),$F$1*((Variables!$B$26*Variables!$E$50)-H95-SUM(J96:Q96)),0)</f>
        <v>0.99820000000000009</v>
      </c>
      <c r="U96" s="64">
        <f>IF(AND(AND(B96="Autumn",SUM(D93:E96)&gt;Variables!$B$27),SUM(J96:Q96)&lt;Variables!$B$28*H95),$F$1*(Variables!$B$28*H95-SUM(J96:Q96)),0)</f>
        <v>0</v>
      </c>
      <c r="V96" s="96">
        <f>IF(AND((J96+K96)=0,(Q96+T96)=0),$H$1*H96*Variables!$I$23*0.25,0)</f>
        <v>0</v>
      </c>
      <c r="W96" s="97">
        <f>IF(AND((K96+J96)=0,(T96+Q96)=0),$I$1*H96*Variables!$Q$23*0.25,0)</f>
        <v>0</v>
      </c>
      <c r="X96" s="95">
        <f>IF(AND(NOT(K96=0),(H96-H95)&gt;0),(H96-H95)*(Variables!$M$5*$H$1+Variables!$U$5*$I$1),0)+IF(AND(NOT((J96+N96+Q96)=0),(H95-H96)&gt;0),(H95-H96)*(Variables!$M$4*$H$1+Variables!$U$4*$I$1),0)</f>
        <v>29.615539739221909</v>
      </c>
      <c r="Y96" s="95">
        <f>IF(SUM(T96,U95:U96)&gt;0,H96*Variables!$Y$11*0.25*(1-$J$1),0)</f>
        <v>-7.2570647407741475</v>
      </c>
      <c r="Z96" s="95">
        <f>IF(T96=0,H96*$J$1*Variables!$Y$5*0.25,0)</f>
        <v>0</v>
      </c>
      <c r="AA96" s="95">
        <f t="shared" si="2"/>
        <v>22.358474998447761</v>
      </c>
      <c r="AB96" s="91">
        <f>AA96/Variables!$E$49</f>
        <v>3.6062056449109292</v>
      </c>
    </row>
    <row r="97" spans="1:28" x14ac:dyDescent="0.25">
      <c r="A97" s="61">
        <f>'Water runs'!C104</f>
        <v>10836</v>
      </c>
      <c r="B97" s="61" t="str">
        <f>'Water runs'!B104</f>
        <v>Winter</v>
      </c>
      <c r="C97" s="54">
        <f>'Water runs'!D104/100</f>
        <v>0.36280000000000001</v>
      </c>
      <c r="D97" s="108">
        <f>VLOOKUP(ROW(D97)+4,'Water runs'!$BS$3:$CF$423,MATCH($B$1,Scenarios,0)+1)</f>
        <v>0</v>
      </c>
      <c r="E97" s="54">
        <f>IF(B97=Variables!$D$8,C97-Variables!$E$8,IF(B97=Variables!$D$9,C97-Variables!$E$9,IF(B97=Variables!$D$10,C97-Variables!$E$10,IF(B97=Variables!$D$11,C97-Variables!$E$11,"ELSE"))))</f>
        <v>-0.20896762566137572</v>
      </c>
      <c r="F97" s="108">
        <f>VLOOKUP(ROW(F97)+4,'Water runs'!$CH$3:$CU$423,MATCH($B$1,Scenarios,0)+1)</f>
        <v>0</v>
      </c>
      <c r="G97" s="65">
        <f>H97/Variables!$E$49</f>
        <v>0.161</v>
      </c>
      <c r="H97" s="62">
        <f>IF((H96+I97)&gt;(1.1*Variables!$E$50),(1.1*Variables!$E$50),IF((H96+I97)&gt;0,H96+I97,0))</f>
        <v>0.99820000000000009</v>
      </c>
      <c r="I97" s="64">
        <f t="shared" si="3"/>
        <v>-3.8523534396306514E-2</v>
      </c>
      <c r="J97" s="63">
        <f>IF(SUM(E93:E96)&lt;Variables!$B$3,-H96,0)</f>
        <v>-1.0367235343963066</v>
      </c>
      <c r="K97" s="64">
        <f>IF(AND(H96&lt;Variables!$B$6*Variables!$E$50,OR(SUM(D94:D97)&gt;Variables!$B$5,SUM(E94:E97)&gt;Variables!$B$4)),Variables!$B$6*Variables!$E$50+Variables!$B$7*$G$1*Variables!$E$50*SUM(D94:D97),0)</f>
        <v>1.1554038685658636</v>
      </c>
      <c r="L97" s="64">
        <f>IF(B97="Winter",Variables!$B$8*H96,0)</f>
        <v>-0.51623155571643153</v>
      </c>
      <c r="M97" s="64">
        <f>IF(AND(B97="Spring",AND(NOT(H96=0),H96&lt;(Variables!$B$9*Variables!$E$50))),(Variables!$B$10*Variables!$E$50+Variables!$B$11*Variables!$E$50*SUM(E94:E97)+$G$1*SUM(D96:D97)*Variables!$E$50*Variables!$B$12),0)</f>
        <v>0</v>
      </c>
      <c r="N97" s="64">
        <f>IF(AND(B97="Spring",AND(SUM(D94:D97)&gt;Variables!$B$13,SUM(D90:D93)&gt;Variables!$B$13)),-Variables!$B$14*Variables!$E$50,0)</f>
        <v>0</v>
      </c>
      <c r="O97" s="64">
        <f>IF(AND(B97="Summer",SUM(C93:D97)&gt;Variables!$B$15),(Variables!$B$16*Variables!$E$50*SUM(C93:C97)+$G$1*Variables!$B$16*Variables!$E$50*SUM(D93:D97)+$G$1*Variables!$E$50*Variables!$B$17*F97),0)</f>
        <v>0</v>
      </c>
      <c r="P97" s="64">
        <f>IF(AND(AND(B97="Autumn",SUM(D96:E97)&gt;0),NOT(H96=0)),Variables!$B$18*Variables!$E$50+Variables!$B$19*Variables!$E$50*SUM(E96:E97)+$G$1*Variables!$B$19*Variables!$E$50*SUM(D96:D97),0)</f>
        <v>0</v>
      </c>
      <c r="Q97" s="64">
        <f>IF(AND(B97="Autumn",AND((E97+E96)&lt;Variables!$B$20,(D96+D97)=0)),-Variables!$B$21*Variables!$E$50,0)</f>
        <v>0</v>
      </c>
      <c r="R97" s="64">
        <f>IF(B97="Autumn",(SUM(F96:F97)*$G$1*Variables!$B$22*Variables!$E$50),0)</f>
        <v>0</v>
      </c>
      <c r="S97" s="64">
        <f>IF(B97="Spring",($G$1*Variables!$E$50*SUM('Guts (option 2)'!F96:F97)*Variables!$B$23),0)</f>
        <v>0</v>
      </c>
      <c r="T97" s="63">
        <f>IF((H96+SUM(J97:Q97))&lt;(Variables!$B$26*Variables!$E$50),$F$1*((Variables!$B$26*Variables!$E$50)-H96-SUM(J97:Q97)),0)</f>
        <v>0.35902768715056799</v>
      </c>
      <c r="U97" s="64">
        <f>IF(AND(AND(B97="Autumn",SUM(D94:E97)&gt;Variables!$B$27),SUM(J97:Q97)&lt;Variables!$B$28*H96),$F$1*(Variables!$B$28*H96-SUM(J97:Q97)),0)</f>
        <v>0</v>
      </c>
      <c r="V97" s="96">
        <f>IF(AND((J97+K97)=0,(Q97+T97)=0),$H$1*H97*Variables!$I$23*0.25,0)</f>
        <v>0</v>
      </c>
      <c r="W97" s="97">
        <f>IF(AND((K97+J97)=0,(T97+Q97)=0),$I$1*H97*Variables!$Q$23*0.25,0)</f>
        <v>0</v>
      </c>
      <c r="X97" s="95">
        <f>IF(AND(NOT(K97=0),(H97-H96)&gt;0),(H97-H96)*(Variables!$M$5*$H$1+Variables!$U$5*$I$1),0)+IF(AND(NOT((J97+N97+Q97)=0),(H96-H97)&gt;0),(H96-H97)*(Variables!$M$4*$H$1+Variables!$U$4*$I$1),0)</f>
        <v>1.6051472665127713</v>
      </c>
      <c r="Y97" s="95">
        <f>IF(SUM(T97,U96:U97)&gt;0,H97*Variables!$Y$11*0.25*(1-$J$1),0)</f>
        <v>-6.9874000000000018</v>
      </c>
      <c r="Z97" s="95">
        <f>IF(T97=0,H97*$J$1*Variables!$Y$5*0.25,0)</f>
        <v>0</v>
      </c>
      <c r="AA97" s="95">
        <f t="shared" si="2"/>
        <v>-5.3822527334872303</v>
      </c>
      <c r="AB97" s="91">
        <f>AA97/Variables!$E$49</f>
        <v>-0.86810527959471451</v>
      </c>
    </row>
    <row r="98" spans="1:28" x14ac:dyDescent="0.25">
      <c r="A98" s="61">
        <f>'Water runs'!C105</f>
        <v>10927</v>
      </c>
      <c r="B98" s="61" t="str">
        <f>'Water runs'!B105</f>
        <v>Spring</v>
      </c>
      <c r="C98" s="54">
        <f>'Water runs'!D105/100</f>
        <v>0.50560000000000005</v>
      </c>
      <c r="D98" s="108">
        <f>VLOOKUP(ROW(D98)+4,'Water runs'!$BS$3:$CF$423,MATCH($B$1,Scenarios,0)+1)</f>
        <v>0</v>
      </c>
      <c r="E98" s="54">
        <f>IF(B98=Variables!$D$8,C98-Variables!$E$8,IF(B98=Variables!$D$9,C98-Variables!$E$9,IF(B98=Variables!$D$10,C98-Variables!$E$10,IF(B98=Variables!$D$11,C98-Variables!$E$11,"ELSE"))))</f>
        <v>-0.25838220899470909</v>
      </c>
      <c r="F98" s="108">
        <f>VLOOKUP(ROW(F98)+4,'Water runs'!$CH$3:$CU$423,MATCH($B$1,Scenarios,0)+1)</f>
        <v>0</v>
      </c>
      <c r="G98" s="65">
        <f>H98/Variables!$E$49</f>
        <v>0.161</v>
      </c>
      <c r="H98" s="62">
        <f>IF((H97+I98)&gt;(1.1*Variables!$E$50),(1.1*Variables!$E$50),IF((H97+I98)&gt;0,H97+I98,0))</f>
        <v>0.99820000000000009</v>
      </c>
      <c r="I98" s="64">
        <f t="shared" si="3"/>
        <v>0</v>
      </c>
      <c r="J98" s="63">
        <f>IF(SUM(E94:E97)&lt;Variables!$B$3,-H97,0)</f>
        <v>-0.99820000000000009</v>
      </c>
      <c r="K98" s="64">
        <f>IF(AND(H97&lt;Variables!$B$6*Variables!$E$50,OR(SUM(D95:D98)&gt;Variables!$B$5,SUM(E95:E98)&gt;Variables!$B$4)),Variables!$B$6*Variables!$E$50+Variables!$B$7*$G$1*Variables!$E$50*SUM(D95:D98),0)</f>
        <v>1.1554038685658636</v>
      </c>
      <c r="L98" s="64">
        <f>IF(B98="Winter",Variables!$B$8*H97,0)</f>
        <v>0</v>
      </c>
      <c r="M98" s="64">
        <f>IF(AND(B98="Spring",AND(NOT(H97=0),H97&lt;(Variables!$B$9*Variables!$E$50))),(Variables!$B$10*Variables!$E$50+Variables!$B$11*Variables!$E$50*SUM(E95:E98)+$G$1*SUM(D97:D98)*Variables!$E$50*Variables!$B$12),0)</f>
        <v>-1.2195813341752686</v>
      </c>
      <c r="N98" s="64">
        <f>IF(AND(B98="Spring",AND(SUM(D95:D98)&gt;Variables!$B$13,SUM(D91:D94)&gt;Variables!$B$13)),-Variables!$B$14*Variables!$E$50,0)</f>
        <v>0</v>
      </c>
      <c r="O98" s="64">
        <f>IF(AND(B98="Summer",SUM(C94:D98)&gt;Variables!$B$15),(Variables!$B$16*Variables!$E$50*SUM(C94:C98)+$G$1*Variables!$B$16*Variables!$E$50*SUM(D94:D98)+$G$1*Variables!$E$50*Variables!$B$17*F98),0)</f>
        <v>0</v>
      </c>
      <c r="P98" s="64">
        <f>IF(AND(AND(B98="Autumn",SUM(D97:E98)&gt;0),NOT(H97=0)),Variables!$B$18*Variables!$E$50+Variables!$B$19*Variables!$E$50*SUM(E97:E98)+$G$1*Variables!$B$19*Variables!$E$50*SUM(D97:D98),0)</f>
        <v>0</v>
      </c>
      <c r="Q98" s="64">
        <f>IF(AND(B98="Autumn",AND((E98+E97)&lt;Variables!$B$20,(D97+D98)=0)),-Variables!$B$21*Variables!$E$50,0)</f>
        <v>0</v>
      </c>
      <c r="R98" s="64">
        <f>IF(B98="Autumn",(SUM(F97:F98)*$G$1*Variables!$B$22*Variables!$E$50),0)</f>
        <v>0</v>
      </c>
      <c r="S98" s="64">
        <f>IF(B98="Spring",($G$1*Variables!$E$50*SUM('Guts (option 2)'!F97:F98)*Variables!$B$23),0)</f>
        <v>0</v>
      </c>
      <c r="T98" s="63">
        <f>IF((H97+SUM(J98:Q98))&lt;(Variables!$B$26*Variables!$E$50),$F$1*((Variables!$B$26*Variables!$E$50)-H97-SUM(J98:Q98)),0)</f>
        <v>1.0623774656094049</v>
      </c>
      <c r="U98" s="64">
        <f>IF(AND(AND(B98="Autumn",SUM(D95:E98)&gt;Variables!$B$27),SUM(J98:Q98)&lt;Variables!$B$28*H97),$F$1*(Variables!$B$28*H97-SUM(J98:Q98)),0)</f>
        <v>0</v>
      </c>
      <c r="V98" s="96">
        <f>IF(AND((J98+K98)=0,(Q98+T98)=0),$H$1*H98*Variables!$I$23*0.25,0)</f>
        <v>0</v>
      </c>
      <c r="W98" s="97">
        <f>IF(AND((K98+J98)=0,(T98+Q98)=0),$I$1*H98*Variables!$Q$23*0.25,0)</f>
        <v>0</v>
      </c>
      <c r="X98" s="95">
        <f>IF(AND(NOT(K98=0),(H98-H97)&gt;0),(H98-H97)*(Variables!$M$5*$H$1+Variables!$U$5*$I$1),0)+IF(AND(NOT((J98+N98+Q98)=0),(H97-H98)&gt;0),(H97-H98)*(Variables!$M$4*$H$1+Variables!$U$4*$I$1),0)</f>
        <v>0</v>
      </c>
      <c r="Y98" s="95">
        <f>IF(SUM(T98,U97:U98)&gt;0,H98*Variables!$Y$11*0.25*(1-$J$1),0)</f>
        <v>-6.9874000000000018</v>
      </c>
      <c r="Z98" s="95">
        <f>IF(T98=0,H98*$J$1*Variables!$Y$5*0.25,0)</f>
        <v>0</v>
      </c>
      <c r="AA98" s="95">
        <f t="shared" si="2"/>
        <v>-6.9874000000000018</v>
      </c>
      <c r="AB98" s="91">
        <f>AA98/Variables!$E$49</f>
        <v>-1.1270000000000002</v>
      </c>
    </row>
    <row r="99" spans="1:28" x14ac:dyDescent="0.25">
      <c r="A99" s="61">
        <f>'Water runs'!C106</f>
        <v>11017</v>
      </c>
      <c r="B99" s="61" t="str">
        <f>'Water runs'!B106</f>
        <v>Summer</v>
      </c>
      <c r="C99" s="54">
        <f>'Water runs'!D106/100</f>
        <v>0.64879999999999993</v>
      </c>
      <c r="D99" s="108">
        <f>VLOOKUP(ROW(D99)+4,'Water runs'!$BS$3:$CF$423,MATCH($B$1,Scenarios,0)+1)</f>
        <v>0</v>
      </c>
      <c r="E99" s="54">
        <f>IF(B99=Variables!$D$8,C99-Variables!$E$8,IF(B99=Variables!$D$9,C99-Variables!$E$9,IF(B99=Variables!$D$10,C99-Variables!$E$10,IF(B99=Variables!$D$11,C99-Variables!$E$11,"ELSE"))))</f>
        <v>-0.60957013605442179</v>
      </c>
      <c r="F99" s="108">
        <f>VLOOKUP(ROW(F99)+4,'Water runs'!$CH$3:$CU$423,MATCH($B$1,Scenarios,0)+1)</f>
        <v>0</v>
      </c>
      <c r="G99" s="65">
        <f>H99/Variables!$E$49</f>
        <v>0.1863554626719135</v>
      </c>
      <c r="H99" s="62">
        <f>IF((H98+I99)&gt;(1.1*Variables!$E$50),(1.1*Variables!$E$50),IF((H98+I99)&gt;0,H98+I99,0))</f>
        <v>1.1554038685658636</v>
      </c>
      <c r="I99" s="64">
        <f t="shared" si="3"/>
        <v>0.15720386856586355</v>
      </c>
      <c r="J99" s="63">
        <f>IF(SUM(E95:E98)&lt;Variables!$B$3,-H98,0)</f>
        <v>-0.99820000000000009</v>
      </c>
      <c r="K99" s="64">
        <f>IF(AND(H98&lt;Variables!$B$6*Variables!$E$50,OR(SUM(D96:D99)&gt;Variables!$B$5,SUM(E96:E99)&gt;Variables!$B$4)),Variables!$B$6*Variables!$E$50+Variables!$B$7*$G$1*Variables!$E$50*SUM(D96:D99),0)</f>
        <v>1.1554038685658636</v>
      </c>
      <c r="L99" s="64">
        <f>IF(B99="Winter",Variables!$B$8*H98,0)</f>
        <v>0</v>
      </c>
      <c r="M99" s="64">
        <f>IF(AND(B99="Spring",AND(NOT(H98=0),H98&lt;(Variables!$B$9*Variables!$E$50))),(Variables!$B$10*Variables!$E$50+Variables!$B$11*Variables!$E$50*SUM(E96:E99)+$G$1*SUM(D98:D99)*Variables!$E$50*Variables!$B$12),0)</f>
        <v>0</v>
      </c>
      <c r="N99" s="64">
        <f>IF(AND(B99="Spring",AND(SUM(D96:D99)&gt;Variables!$B$13,SUM(D92:D95)&gt;Variables!$B$13)),-Variables!$B$14*Variables!$E$50,0)</f>
        <v>0</v>
      </c>
      <c r="O99" s="64">
        <f>IF(AND(B99="Summer",SUM(C95:D99)&gt;Variables!$B$15),(Variables!$B$16*Variables!$E$50*SUM(C95:C99)+$G$1*Variables!$B$16*Variables!$E$50*SUM(D95:D99)+$G$1*Variables!$E$50*Variables!$B$17*F99),0)</f>
        <v>0</v>
      </c>
      <c r="P99" s="64">
        <f>IF(AND(AND(B99="Autumn",SUM(D98:E99)&gt;0),NOT(H98=0)),Variables!$B$18*Variables!$E$50+Variables!$B$19*Variables!$E$50*SUM(E98:E99)+$G$1*Variables!$B$19*Variables!$E$50*SUM(D98:D99),0)</f>
        <v>0</v>
      </c>
      <c r="Q99" s="64">
        <f>IF(AND(B99="Autumn",AND((E99+E98)&lt;Variables!$B$20,(D98+D99)=0)),-Variables!$B$21*Variables!$E$50,0)</f>
        <v>0</v>
      </c>
      <c r="R99" s="64">
        <f>IF(B99="Autumn",(SUM(F98:F99)*$G$1*Variables!$B$22*Variables!$E$50),0)</f>
        <v>0</v>
      </c>
      <c r="S99" s="64">
        <f>IF(B99="Spring",($G$1*Variables!$E$50*SUM('Guts (option 2)'!F98:F99)*Variables!$B$23),0)</f>
        <v>0</v>
      </c>
      <c r="T99" s="63">
        <f>IF((H98+SUM(J99:Q99))&lt;(Variables!$B$26*Variables!$E$50),$F$1*((Variables!$B$26*Variables!$E$50)-H98-SUM(J99:Q99)),0)</f>
        <v>0</v>
      </c>
      <c r="U99" s="64">
        <f>IF(AND(AND(B99="Autumn",SUM(D96:E99)&gt;Variables!$B$27),SUM(J99:Q99)&lt;Variables!$B$28*H98),$F$1*(Variables!$B$28*H98-SUM(J99:Q99)),0)</f>
        <v>0</v>
      </c>
      <c r="V99" s="96">
        <f>IF(AND((J99+K99)=0,(Q99+T99)=0),$H$1*H99*Variables!$I$23*0.25,0)</f>
        <v>0</v>
      </c>
      <c r="W99" s="97">
        <f>IF(AND((K99+J99)=0,(T99+Q99)=0),$I$1*H99*Variables!$Q$23*0.25,0)</f>
        <v>0</v>
      </c>
      <c r="X99" s="95">
        <f>IF(AND(NOT(K99=0),(H99-H98)&gt;0),(H99-H98)*(Variables!$M$5*$H$1+Variables!$U$5*$I$1),0)+IF(AND(NOT((J99+N99+Q99)=0),(H98-H99)&gt;0),(H98-H99)*(Variables!$M$4*$H$1+Variables!$U$4*$I$1),0)</f>
        <v>-13.100322380488628</v>
      </c>
      <c r="Y99" s="95">
        <f>IF(SUM(T99,U98:U99)&gt;0,H99*Variables!$Y$11*0.25*(1-$J$1),0)</f>
        <v>0</v>
      </c>
      <c r="Z99" s="95">
        <f>IF(T99=0,H99*$J$1*Variables!$Y$5*0.25,0)</f>
        <v>2.5033750485593713</v>
      </c>
      <c r="AA99" s="95">
        <f t="shared" si="2"/>
        <v>-10.596947331929256</v>
      </c>
      <c r="AB99" s="91">
        <f>AA99/Variables!$E$49</f>
        <v>-1.7091850535369766</v>
      </c>
    </row>
    <row r="100" spans="1:28" x14ac:dyDescent="0.25">
      <c r="A100" s="61">
        <f>'Water runs'!C107</f>
        <v>11109</v>
      </c>
      <c r="B100" s="61" t="str">
        <f>'Water runs'!B107</f>
        <v>Autumn</v>
      </c>
      <c r="C100" s="54">
        <f>'Water runs'!D107/100</f>
        <v>0.45679999999999998</v>
      </c>
      <c r="D100" s="108">
        <f>VLOOKUP(ROW(D100)+4,'Water runs'!$BS$3:$CF$423,MATCH($B$1,Scenarios,0)+1)</f>
        <v>0</v>
      </c>
      <c r="E100" s="54">
        <f>IF(B100=Variables!$D$8,C100-Variables!$E$8,IF(B100=Variables!$D$9,C100-Variables!$E$9,IF(B100=Variables!$D$10,C100-Variables!$E$10,IF(B100=Variables!$D$11,C100-Variables!$E$11,"ELSE"))))</f>
        <v>-0.53784329931972785</v>
      </c>
      <c r="F100" s="108">
        <f>VLOOKUP(ROW(F100)+4,'Water runs'!$CH$3:$CU$423,MATCH($B$1,Scenarios,0)+1)</f>
        <v>0</v>
      </c>
      <c r="G100" s="65">
        <f>H100/Variables!$E$49</f>
        <v>0.1863554626719135</v>
      </c>
      <c r="H100" s="62">
        <f>IF((H99+I100)&gt;(1.1*Variables!$E$50),(1.1*Variables!$E$50),IF((H99+I100)&gt;0,H99+I100,0))</f>
        <v>1.1554038685658636</v>
      </c>
      <c r="I100" s="64">
        <f t="shared" si="3"/>
        <v>0</v>
      </c>
      <c r="J100" s="63">
        <f>IF(SUM(E96:E99)&lt;Variables!$B$3,-H99,0)</f>
        <v>0</v>
      </c>
      <c r="K100" s="64">
        <f>IF(AND(H99&lt;Variables!$B$6*Variables!$E$50,OR(SUM(D97:D100)&gt;Variables!$B$5,SUM(E97:E100)&gt;Variables!$B$4)),Variables!$B$6*Variables!$E$50+Variables!$B$7*$G$1*Variables!$E$50*SUM(D97:D100),0)</f>
        <v>0</v>
      </c>
      <c r="L100" s="64">
        <f>IF(B100="Winter",Variables!$B$8*H99,0)</f>
        <v>0</v>
      </c>
      <c r="M100" s="64">
        <f>IF(AND(B100="Spring",AND(NOT(H99=0),H99&lt;(Variables!$B$9*Variables!$E$50))),(Variables!$B$10*Variables!$E$50+Variables!$B$11*Variables!$E$50*SUM(E97:E100)+$G$1*SUM(D99:D100)*Variables!$E$50*Variables!$B$12),0)</f>
        <v>0</v>
      </c>
      <c r="N100" s="64">
        <f>IF(AND(B100="Spring",AND(SUM(D97:D100)&gt;Variables!$B$13,SUM(D93:D96)&gt;Variables!$B$13)),-Variables!$B$14*Variables!$E$50,0)</f>
        <v>0</v>
      </c>
      <c r="O100" s="64">
        <f>IF(AND(B100="Summer",SUM(C96:D100)&gt;Variables!$B$15),(Variables!$B$16*Variables!$E$50*SUM(C96:C100)+$G$1*Variables!$B$16*Variables!$E$50*SUM(D96:D100)+$G$1*Variables!$E$50*Variables!$B$17*F100),0)</f>
        <v>0</v>
      </c>
      <c r="P100" s="64">
        <f>IF(AND(AND(B100="Autumn",SUM(D99:E100)&gt;0),NOT(H99=0)),Variables!$B$18*Variables!$E$50+Variables!$B$19*Variables!$E$50*SUM(E99:E100)+$G$1*Variables!$B$19*Variables!$E$50*SUM(D99:D100),0)</f>
        <v>0</v>
      </c>
      <c r="Q100" s="64">
        <f>IF(AND(B100="Autumn",AND((E100+E99)&lt;Variables!$B$20,(D99+D100)=0)),-Variables!$B$21*Variables!$E$50,0)</f>
        <v>0</v>
      </c>
      <c r="R100" s="64">
        <f>IF(B100="Autumn",(SUM(F99:F100)*$G$1*Variables!$B$22*Variables!$E$50),0)</f>
        <v>0</v>
      </c>
      <c r="S100" s="64">
        <f>IF(B100="Spring",($G$1*Variables!$E$50*SUM('Guts (option 2)'!F99:F100)*Variables!$B$23),0)</f>
        <v>0</v>
      </c>
      <c r="T100" s="63">
        <f>IF((H99+SUM(J100:Q100))&lt;(Variables!$B$26*Variables!$E$50),$F$1*((Variables!$B$26*Variables!$E$50)-H99-SUM(J100:Q100)),0)</f>
        <v>0</v>
      </c>
      <c r="U100" s="64">
        <f>IF(AND(AND(B100="Autumn",SUM(D97:E100)&gt;Variables!$B$27),SUM(J100:Q100)&lt;Variables!$B$28*H99),$F$1*(Variables!$B$28*H99-SUM(J100:Q100)),0)</f>
        <v>0</v>
      </c>
      <c r="V100" s="96">
        <f>IF(AND((J100+K100)=0,(Q100+T100)=0),$H$1*H100*Variables!$I$23*0.25,0)</f>
        <v>7.421601952614826</v>
      </c>
      <c r="W100" s="97">
        <f>IF(AND((K100+J100)=0,(T100+Q100)=0),$I$1*H100*Variables!$Q$23*0.25,0)</f>
        <v>7.7684541939582976</v>
      </c>
      <c r="X100" s="95">
        <f>IF(AND(NOT(K100=0),(H100-H99)&gt;0),(H100-H99)*(Variables!$M$5*$H$1+Variables!$U$5*$I$1),0)+IF(AND(NOT((J100+N100+Q100)=0),(H99-H100)&gt;0),(H99-H100)*(Variables!$M$4*$H$1+Variables!$U$4*$I$1),0)</f>
        <v>0</v>
      </c>
      <c r="Y100" s="95">
        <f>IF(SUM(T100,U99:U100)&gt;0,H100*Variables!$Y$11*0.25*(1-$J$1),0)</f>
        <v>0</v>
      </c>
      <c r="Z100" s="95">
        <f>IF(T100=0,H100*$J$1*Variables!$Y$5*0.25,0)</f>
        <v>2.5033750485593713</v>
      </c>
      <c r="AA100" s="95">
        <f t="shared" si="2"/>
        <v>17.693431195132494</v>
      </c>
      <c r="AB100" s="91">
        <f>AA100/Variables!$E$49</f>
        <v>2.8537792250213698</v>
      </c>
    </row>
    <row r="101" spans="1:28" x14ac:dyDescent="0.25">
      <c r="A101" s="61">
        <f>'Water runs'!C108</f>
        <v>11201</v>
      </c>
      <c r="B101" s="61" t="str">
        <f>'Water runs'!B108</f>
        <v>Winter</v>
      </c>
      <c r="C101" s="54">
        <f>'Water runs'!D108/100</f>
        <v>1.35262857142857</v>
      </c>
      <c r="D101" s="108">
        <f>VLOOKUP(ROW(D101)+4,'Water runs'!$BS$3:$CF$423,MATCH($B$1,Scenarios,0)+1)</f>
        <v>0</v>
      </c>
      <c r="E101" s="54">
        <f>IF(B101=Variables!$D$8,C101-Variables!$E$8,IF(B101=Variables!$D$9,C101-Variables!$E$9,IF(B101=Variables!$D$10,C101-Variables!$E$10,IF(B101=Variables!$D$11,C101-Variables!$E$11,"ELSE"))))</f>
        <v>0.78086094576719423</v>
      </c>
      <c r="F101" s="108">
        <f>VLOOKUP(ROW(F101)+4,'Water runs'!$CH$3:$CU$423,MATCH($B$1,Scenarios,0)+1)</f>
        <v>0</v>
      </c>
      <c r="G101" s="65">
        <f>H101/Variables!$E$49</f>
        <v>0.161</v>
      </c>
      <c r="H101" s="62">
        <f>IF((H100+I101)&gt;(1.1*Variables!$E$50),(1.1*Variables!$E$50),IF((H100+I101)&gt;0,H100+I101,0))</f>
        <v>0.99820000000000009</v>
      </c>
      <c r="I101" s="64">
        <f t="shared" si="3"/>
        <v>-0.15720386856586355</v>
      </c>
      <c r="J101" s="63">
        <f>IF(SUM(E97:E100)&lt;Variables!$B$3,-H100,0)</f>
        <v>0</v>
      </c>
      <c r="K101" s="64">
        <f>IF(AND(H100&lt;Variables!$B$6*Variables!$E$50,OR(SUM(D98:D101)&gt;Variables!$B$5,SUM(E98:E101)&gt;Variables!$B$4)),Variables!$B$6*Variables!$E$50+Variables!$B$7*$G$1*Variables!$E$50*SUM(D98:D101),0)</f>
        <v>0</v>
      </c>
      <c r="L101" s="64">
        <f>IF(B101="Winter",Variables!$B$8*H100,0)</f>
        <v>-0.57532786394963131</v>
      </c>
      <c r="M101" s="64">
        <f>IF(AND(B101="Spring",AND(NOT(H100=0),H100&lt;(Variables!$B$9*Variables!$E$50))),(Variables!$B$10*Variables!$E$50+Variables!$B$11*Variables!$E$50*SUM(E98:E101)+$G$1*SUM(D100:D101)*Variables!$E$50*Variables!$B$12),0)</f>
        <v>0</v>
      </c>
      <c r="N101" s="64">
        <f>IF(AND(B101="Spring",AND(SUM(D98:D101)&gt;Variables!$B$13,SUM(D94:D97)&gt;Variables!$B$13)),-Variables!$B$14*Variables!$E$50,0)</f>
        <v>0</v>
      </c>
      <c r="O101" s="64">
        <f>IF(AND(B101="Summer",SUM(C97:D101)&gt;Variables!$B$15),(Variables!$B$16*Variables!$E$50*SUM(C97:C101)+$G$1*Variables!$B$16*Variables!$E$50*SUM(D97:D101)+$G$1*Variables!$E$50*Variables!$B$17*F101),0)</f>
        <v>0</v>
      </c>
      <c r="P101" s="64">
        <f>IF(AND(AND(B101="Autumn",SUM(D100:E101)&gt;0),NOT(H100=0)),Variables!$B$18*Variables!$E$50+Variables!$B$19*Variables!$E$50*SUM(E100:E101)+$G$1*Variables!$B$19*Variables!$E$50*SUM(D100:D101),0)</f>
        <v>0</v>
      </c>
      <c r="Q101" s="64">
        <f>IF(AND(B101="Autumn",AND((E101+E100)&lt;Variables!$B$20,(D100+D101)=0)),-Variables!$B$21*Variables!$E$50,0)</f>
        <v>0</v>
      </c>
      <c r="R101" s="64">
        <f>IF(B101="Autumn",(SUM(F100:F101)*$G$1*Variables!$B$22*Variables!$E$50),0)</f>
        <v>0</v>
      </c>
      <c r="S101" s="64">
        <f>IF(B101="Spring",($G$1*Variables!$E$50*SUM('Guts (option 2)'!F100:F101)*Variables!$B$23),0)</f>
        <v>0</v>
      </c>
      <c r="T101" s="63">
        <f>IF((H100+SUM(J101:Q101))&lt;(Variables!$B$26*Variables!$E$50),$F$1*((Variables!$B$26*Variables!$E$50)-H100-SUM(J101:Q101)),0)</f>
        <v>0.41812399538376777</v>
      </c>
      <c r="U101" s="64">
        <f>IF(AND(AND(B101="Autumn",SUM(D98:E101)&gt;Variables!$B$27),SUM(J101:Q101)&lt;Variables!$B$28*H100),$F$1*(Variables!$B$28*H100-SUM(J101:Q101)),0)</f>
        <v>0</v>
      </c>
      <c r="V101" s="96">
        <f>IF(AND((J101+K101)=0,(Q101+T101)=0),$H$1*H101*Variables!$I$23*0.25,0)</f>
        <v>0</v>
      </c>
      <c r="W101" s="97">
        <f>IF(AND((K101+J101)=0,(T101+Q101)=0),$I$1*H101*Variables!$Q$23*0.25,0)</f>
        <v>0</v>
      </c>
      <c r="X101" s="95">
        <f>IF(AND(NOT(K101=0),(H101-H100)&gt;0),(H101-H100)*(Variables!$M$5*$H$1+Variables!$U$5*$I$1),0)+IF(AND(NOT((J101+N101+Q101)=0),(H100-H101)&gt;0),(H100-H101)*(Variables!$M$4*$H$1+Variables!$U$4*$I$1),0)</f>
        <v>0</v>
      </c>
      <c r="Y101" s="95">
        <f>IF(SUM(T101,U100:U101)&gt;0,H101*Variables!$Y$11*0.25*(1-$J$1),0)</f>
        <v>-6.9874000000000018</v>
      </c>
      <c r="Z101" s="95">
        <f>IF(T101=0,H101*$J$1*Variables!$Y$5*0.25,0)</f>
        <v>0</v>
      </c>
      <c r="AA101" s="95">
        <f t="shared" si="2"/>
        <v>-6.9874000000000018</v>
      </c>
      <c r="AB101" s="91">
        <f>AA101/Variables!$E$49</f>
        <v>-1.1270000000000002</v>
      </c>
    </row>
    <row r="102" spans="1:28" x14ac:dyDescent="0.25">
      <c r="A102" s="61">
        <f>'Water runs'!C109</f>
        <v>11292</v>
      </c>
      <c r="B102" s="61" t="str">
        <f>'Water runs'!B109</f>
        <v>Spring</v>
      </c>
      <c r="C102" s="54">
        <f>'Water runs'!D109/100</f>
        <v>0.13880000000000001</v>
      </c>
      <c r="D102" s="108">
        <f>VLOOKUP(ROW(D102)+4,'Water runs'!$BS$3:$CF$423,MATCH($B$1,Scenarios,0)+1)</f>
        <v>0</v>
      </c>
      <c r="E102" s="54">
        <f>IF(B102=Variables!$D$8,C102-Variables!$E$8,IF(B102=Variables!$D$9,C102-Variables!$E$9,IF(B102=Variables!$D$10,C102-Variables!$E$10,IF(B102=Variables!$D$11,C102-Variables!$E$11,"ELSE"))))</f>
        <v>-0.62518220899470911</v>
      </c>
      <c r="F102" s="108">
        <f>VLOOKUP(ROW(F102)+4,'Water runs'!$CH$3:$CU$423,MATCH($B$1,Scenarios,0)+1)</f>
        <v>0</v>
      </c>
      <c r="G102" s="65">
        <f>H102/Variables!$E$49</f>
        <v>0.161</v>
      </c>
      <c r="H102" s="62">
        <f>IF((H101+I102)&gt;(1.1*Variables!$E$50),(1.1*Variables!$E$50),IF((H101+I102)&gt;0,H101+I102,0))</f>
        <v>0.99820000000000009</v>
      </c>
      <c r="I102" s="64">
        <f t="shared" si="3"/>
        <v>0</v>
      </c>
      <c r="J102" s="63">
        <f>IF(SUM(E98:E101)&lt;Variables!$B$3,-H101,0)</f>
        <v>0</v>
      </c>
      <c r="K102" s="64">
        <f>IF(AND(H101&lt;Variables!$B$6*Variables!$E$50,OR(SUM(D99:D102)&gt;Variables!$B$5,SUM(E99:E102)&gt;Variables!$B$4)),Variables!$B$6*Variables!$E$50+Variables!$B$7*$G$1*Variables!$E$50*SUM(D99:D102),0)</f>
        <v>0</v>
      </c>
      <c r="L102" s="64">
        <f>IF(B102="Winter",Variables!$B$8*H101,0)</f>
        <v>0</v>
      </c>
      <c r="M102" s="64">
        <f>IF(AND(B102="Spring",AND(NOT(H101=0),H101&lt;(Variables!$B$9*Variables!$E$50))),(Variables!$B$10*Variables!$E$50+Variables!$B$11*Variables!$E$50*SUM(E99:E102)+$G$1*SUM(D101:D102)*Variables!$E$50*Variables!$B$12),0)</f>
        <v>-0.67543250593435566</v>
      </c>
      <c r="N102" s="64">
        <f>IF(AND(B102="Spring",AND(SUM(D99:D102)&gt;Variables!$B$13,SUM(D95:D98)&gt;Variables!$B$13)),-Variables!$B$14*Variables!$E$50,0)</f>
        <v>0</v>
      </c>
      <c r="O102" s="64">
        <f>IF(AND(B102="Summer",SUM(C98:D102)&gt;Variables!$B$15),(Variables!$B$16*Variables!$E$50*SUM(C98:C102)+$G$1*Variables!$B$16*Variables!$E$50*SUM(D98:D102)+$G$1*Variables!$E$50*Variables!$B$17*F102),0)</f>
        <v>0</v>
      </c>
      <c r="P102" s="64">
        <f>IF(AND(AND(B102="Autumn",SUM(D101:E102)&gt;0),NOT(H101=0)),Variables!$B$18*Variables!$E$50+Variables!$B$19*Variables!$E$50*SUM(E101:E102)+$G$1*Variables!$B$19*Variables!$E$50*SUM(D101:D102),0)</f>
        <v>0</v>
      </c>
      <c r="Q102" s="64">
        <f>IF(AND(B102="Autumn",AND((E102+E101)&lt;Variables!$B$20,(D101+D102)=0)),-Variables!$B$21*Variables!$E$50,0)</f>
        <v>0</v>
      </c>
      <c r="R102" s="64">
        <f>IF(B102="Autumn",(SUM(F101:F102)*$G$1*Variables!$B$22*Variables!$E$50),0)</f>
        <v>0</v>
      </c>
      <c r="S102" s="64">
        <f>IF(B102="Spring",($G$1*Variables!$E$50*SUM('Guts (option 2)'!F101:F102)*Variables!$B$23),0)</f>
        <v>0</v>
      </c>
      <c r="T102" s="63">
        <f>IF((H101+SUM(J102:Q102))&lt;(Variables!$B$26*Variables!$E$50),$F$1*((Variables!$B$26*Variables!$E$50)-H101-SUM(J102:Q102)),0)</f>
        <v>0.67543250593435566</v>
      </c>
      <c r="U102" s="64">
        <f>IF(AND(AND(B102="Autumn",SUM(D99:E102)&gt;Variables!$B$27),SUM(J102:Q102)&lt;Variables!$B$28*H101),$F$1*(Variables!$B$28*H101-SUM(J102:Q102)),0)</f>
        <v>0</v>
      </c>
      <c r="V102" s="96">
        <f>IF(AND((J102+K102)=0,(Q102+T102)=0),$H$1*H102*Variables!$I$23*0.25,0)</f>
        <v>0</v>
      </c>
      <c r="W102" s="97">
        <f>IF(AND((K102+J102)=0,(T102+Q102)=0),$I$1*H102*Variables!$Q$23*0.25,0)</f>
        <v>0</v>
      </c>
      <c r="X102" s="95">
        <f>IF(AND(NOT(K102=0),(H102-H101)&gt;0),(H102-H101)*(Variables!$M$5*$H$1+Variables!$U$5*$I$1),0)+IF(AND(NOT((J102+N102+Q102)=0),(H101-H102)&gt;0),(H101-H102)*(Variables!$M$4*$H$1+Variables!$U$4*$I$1),0)</f>
        <v>0</v>
      </c>
      <c r="Y102" s="95">
        <f>IF(SUM(T102,U101:U102)&gt;0,H102*Variables!$Y$11*0.25*(1-$J$1),0)</f>
        <v>-6.9874000000000018</v>
      </c>
      <c r="Z102" s="95">
        <f>IF(T102=0,H102*$J$1*Variables!$Y$5*0.25,0)</f>
        <v>0</v>
      </c>
      <c r="AA102" s="95">
        <f t="shared" si="2"/>
        <v>-6.9874000000000018</v>
      </c>
      <c r="AB102" s="91">
        <f>AA102/Variables!$E$49</f>
        <v>-1.1270000000000002</v>
      </c>
    </row>
    <row r="103" spans="1:28" x14ac:dyDescent="0.25">
      <c r="A103" s="61">
        <f>'Water runs'!C110</f>
        <v>11382</v>
      </c>
      <c r="B103" s="61" t="str">
        <f>'Water runs'!B110</f>
        <v>Summer</v>
      </c>
      <c r="C103" s="54">
        <f>'Water runs'!D110/100</f>
        <v>0.333057142857143</v>
      </c>
      <c r="D103" s="108">
        <f>VLOOKUP(ROW(D103)+4,'Water runs'!$BS$3:$CF$423,MATCH($B$1,Scenarios,0)+1)</f>
        <v>2.1558365466076531E-2</v>
      </c>
      <c r="E103" s="54">
        <f>IF(B103=Variables!$D$8,C103-Variables!$E$8,IF(B103=Variables!$D$9,C103-Variables!$E$9,IF(B103=Variables!$D$10,C103-Variables!$E$10,IF(B103=Variables!$D$11,C103-Variables!$E$11,"ELSE"))))</f>
        <v>-0.92531299319727878</v>
      </c>
      <c r="F103" s="108">
        <f>VLOOKUP(ROW(F103)+4,'Water runs'!$CH$3:$CU$423,MATCH($B$1,Scenarios,0)+1)</f>
        <v>0</v>
      </c>
      <c r="G103" s="65">
        <f>H103/Variables!$E$49</f>
        <v>0.161</v>
      </c>
      <c r="H103" s="62">
        <f>IF((H102+I103)&gt;(1.1*Variables!$E$50),(1.1*Variables!$E$50),IF((H102+I103)&gt;0,H102+I103,0))</f>
        <v>0.99820000000000009</v>
      </c>
      <c r="I103" s="64">
        <f t="shared" si="3"/>
        <v>0</v>
      </c>
      <c r="J103" s="63">
        <f>IF(SUM(E99:E102)&lt;Variables!$B$3,-H102,0)</f>
        <v>0</v>
      </c>
      <c r="K103" s="64">
        <f>IF(AND(H102&lt;Variables!$B$6*Variables!$E$50,OR(SUM(D100:D103)&gt;Variables!$B$5,SUM(E100:E103)&gt;Variables!$B$4)),Variables!$B$6*Variables!$E$50+Variables!$B$7*$G$1*Variables!$E$50*SUM(D100:D103),0)</f>
        <v>0</v>
      </c>
      <c r="L103" s="64">
        <f>IF(B103="Winter",Variables!$B$8*H102,0)</f>
        <v>0</v>
      </c>
      <c r="M103" s="64">
        <f>IF(AND(B103="Spring",AND(NOT(H102=0),H102&lt;(Variables!$B$9*Variables!$E$50))),(Variables!$B$10*Variables!$E$50+Variables!$B$11*Variables!$E$50*SUM(E100:E103)+$G$1*SUM(D102:D103)*Variables!$E$50*Variables!$B$12),0)</f>
        <v>0</v>
      </c>
      <c r="N103" s="64">
        <f>IF(AND(B103="Spring",AND(SUM(D100:D103)&gt;Variables!$B$13,SUM(D96:D99)&gt;Variables!$B$13)),-Variables!$B$14*Variables!$E$50,0)</f>
        <v>0</v>
      </c>
      <c r="O103" s="64">
        <f>IF(AND(B103="Summer",SUM(C99:D103)&gt;Variables!$B$15),(Variables!$B$16*Variables!$E$50*SUM(C99:C103)+$G$1*Variables!$B$16*Variables!$E$50*SUM(D99:D103)+$G$1*Variables!$E$50*Variables!$B$17*F103),0)</f>
        <v>0</v>
      </c>
      <c r="P103" s="64">
        <f>IF(AND(AND(B103="Autumn",SUM(D102:E103)&gt;0),NOT(H102=0)),Variables!$B$18*Variables!$E$50+Variables!$B$19*Variables!$E$50*SUM(E102:E103)+$G$1*Variables!$B$19*Variables!$E$50*SUM(D102:D103),0)</f>
        <v>0</v>
      </c>
      <c r="Q103" s="64">
        <f>IF(AND(B103="Autumn",AND((E103+E102)&lt;Variables!$B$20,(D102+D103)=0)),-Variables!$B$21*Variables!$E$50,0)</f>
        <v>0</v>
      </c>
      <c r="R103" s="64">
        <f>IF(B103="Autumn",(SUM(F102:F103)*$G$1*Variables!$B$22*Variables!$E$50),0)</f>
        <v>0</v>
      </c>
      <c r="S103" s="64">
        <f>IF(B103="Spring",($G$1*Variables!$E$50*SUM('Guts (option 2)'!F102:F103)*Variables!$B$23),0)</f>
        <v>0</v>
      </c>
      <c r="T103" s="63">
        <f>IF((H102+SUM(J103:Q103))&lt;(Variables!$B$26*Variables!$E$50),$F$1*((Variables!$B$26*Variables!$E$50)-H102-SUM(J103:Q103)),0)</f>
        <v>0</v>
      </c>
      <c r="U103" s="64">
        <f>IF(AND(AND(B103="Autumn",SUM(D100:E103)&gt;Variables!$B$27),SUM(J103:Q103)&lt;Variables!$B$28*H102),$F$1*(Variables!$B$28*H102-SUM(J103:Q103)),0)</f>
        <v>0</v>
      </c>
      <c r="V103" s="96">
        <f>IF(AND((J103+K103)=0,(Q103+T103)=0),$H$1*H103*Variables!$I$23*0.25,0)</f>
        <v>6.4118212433333337</v>
      </c>
      <c r="W103" s="97">
        <f>IF(AND((K103+J103)=0,(T103+Q103)=0),$I$1*H103*Variables!$Q$23*0.25,0)</f>
        <v>6.7114808833333326</v>
      </c>
      <c r="X103" s="95">
        <f>IF(AND(NOT(K103=0),(H103-H102)&gt;0),(H103-H102)*(Variables!$M$5*$H$1+Variables!$U$5*$I$1),0)+IF(AND(NOT((J103+N103+Q103)=0),(H102-H103)&gt;0),(H102-H103)*(Variables!$M$4*$H$1+Variables!$U$4*$I$1),0)</f>
        <v>0</v>
      </c>
      <c r="Y103" s="95">
        <f>IF(SUM(T103,U102:U103)&gt;0,H103*Variables!$Y$11*0.25*(1-$J$1),0)</f>
        <v>0</v>
      </c>
      <c r="Z103" s="95">
        <f>IF(T103=0,H103*$J$1*Variables!$Y$5*0.25,0)</f>
        <v>2.1627666666666667</v>
      </c>
      <c r="AA103" s="95">
        <f t="shared" si="2"/>
        <v>15.286068793333332</v>
      </c>
      <c r="AB103" s="91">
        <f>AA103/Variables!$E$49</f>
        <v>2.4654949666666663</v>
      </c>
    </row>
    <row r="104" spans="1:28" x14ac:dyDescent="0.25">
      <c r="A104" s="61">
        <f>'Water runs'!C111</f>
        <v>11474</v>
      </c>
      <c r="B104" s="61" t="str">
        <f>'Water runs'!B111</f>
        <v>Autumn</v>
      </c>
      <c r="C104" s="54">
        <f>'Water runs'!D111/100</f>
        <v>1.8903999999999999</v>
      </c>
      <c r="D104" s="108">
        <f>VLOOKUP(ROW(D104)+4,'Water runs'!$BS$3:$CF$423,MATCH($B$1,Scenarios,0)+1)</f>
        <v>3.2937711304127505E-3</v>
      </c>
      <c r="E104" s="54">
        <f>IF(B104=Variables!$D$8,C104-Variables!$E$8,IF(B104=Variables!$D$9,C104-Variables!$E$9,IF(B104=Variables!$D$10,C104-Variables!$E$10,IF(B104=Variables!$D$11,C104-Variables!$E$11,"ELSE"))))</f>
        <v>0.89575670068027202</v>
      </c>
      <c r="F104" s="108">
        <f>VLOOKUP(ROW(F104)+4,'Water runs'!$CH$3:$CU$423,MATCH($B$1,Scenarios,0)+1)</f>
        <v>0</v>
      </c>
      <c r="G104" s="65">
        <f>H104/Variables!$E$49</f>
        <v>0.34521149168243614</v>
      </c>
      <c r="H104" s="62">
        <f>IF((H103+I104)&gt;(1.1*Variables!$E$50),(1.1*Variables!$E$50),IF((H103+I104)&gt;0,H103+I104,0))</f>
        <v>2.1403112484311042</v>
      </c>
      <c r="I104" s="64">
        <f t="shared" si="3"/>
        <v>1.142111248431104</v>
      </c>
      <c r="J104" s="63">
        <f>IF(SUM(E100:E103)&lt;Variables!$B$3,-H103,0)</f>
        <v>0</v>
      </c>
      <c r="K104" s="64">
        <f>IF(AND(H103&lt;Variables!$B$6*Variables!$E$50,OR(SUM(D101:D104)&gt;Variables!$B$5,SUM(E101:E104)&gt;Variables!$B$4)),Variables!$B$6*Variables!$E$50+Variables!$B$7*$G$1*Variables!$E$50*SUM(D101:D104),0)</f>
        <v>1.142111248431104</v>
      </c>
      <c r="L104" s="64">
        <f>IF(B104="Winter",Variables!$B$8*H103,0)</f>
        <v>0</v>
      </c>
      <c r="M104" s="64">
        <f>IF(AND(B104="Spring",AND(NOT(H103=0),H103&lt;(Variables!$B$9*Variables!$E$50))),(Variables!$B$10*Variables!$E$50+Variables!$B$11*Variables!$E$50*SUM(E101:E104)+$G$1*SUM(D103:D104)*Variables!$E$50*Variables!$B$12),0)</f>
        <v>0</v>
      </c>
      <c r="N104" s="64">
        <f>IF(AND(B104="Spring",AND(SUM(D101:D104)&gt;Variables!$B$13,SUM(D97:D100)&gt;Variables!$B$13)),-Variables!$B$14*Variables!$E$50,0)</f>
        <v>0</v>
      </c>
      <c r="O104" s="64">
        <f>IF(AND(B104="Summer",SUM(C100:D104)&gt;Variables!$B$15),(Variables!$B$16*Variables!$E$50*SUM(C100:C104)+$G$1*Variables!$B$16*Variables!$E$50*SUM(D100:D104)+$G$1*Variables!$E$50*Variables!$B$17*F104),0)</f>
        <v>0</v>
      </c>
      <c r="P104" s="64">
        <f>IF(AND(AND(B104="Autumn",SUM(D103:E104)&gt;0),NOT(H103=0)),Variables!$B$18*Variables!$E$50+Variables!$B$19*Variables!$E$50*SUM(E103:E104)+$G$1*Variables!$B$19*Variables!$E$50*SUM(D103:D104),0)</f>
        <v>0</v>
      </c>
      <c r="Q104" s="64">
        <f>IF(AND(B104="Autumn",AND((E104+E103)&lt;Variables!$B$20,(D103+D104)=0)),-Variables!$B$21*Variables!$E$50,0)</f>
        <v>0</v>
      </c>
      <c r="R104" s="64">
        <f>IF(B104="Autumn",(SUM(F103:F104)*$G$1*Variables!$B$22*Variables!$E$50),0)</f>
        <v>0</v>
      </c>
      <c r="S104" s="64">
        <f>IF(B104="Spring",($G$1*Variables!$E$50*SUM('Guts (option 2)'!F103:F104)*Variables!$B$23),0)</f>
        <v>0</v>
      </c>
      <c r="T104" s="63">
        <f>IF((H103+SUM(J104:Q104))&lt;(Variables!$B$26*Variables!$E$50),$F$1*((Variables!$B$26*Variables!$E$50)-H103-SUM(J104:Q104)),0)</f>
        <v>0</v>
      </c>
      <c r="U104" s="64">
        <f>IF(AND(AND(B104="Autumn",SUM(D101:E104)&gt;Variables!$B$27),SUM(J104:Q104)&lt;Variables!$B$28*H103),$F$1*(Variables!$B$28*H103-SUM(J104:Q104)),0)</f>
        <v>0</v>
      </c>
      <c r="V104" s="96">
        <f>IF(AND((J104+K104)=0,(Q104+T104)=0),$H$1*H104*Variables!$I$23*0.25,0)</f>
        <v>0</v>
      </c>
      <c r="W104" s="97">
        <f>IF(AND((K104+J104)=0,(T104+Q104)=0),$I$1*H104*Variables!$Q$23*0.25,0)</f>
        <v>0</v>
      </c>
      <c r="X104" s="95">
        <f>IF(AND(NOT(K104=0),(H104-H103)&gt;0),(H104-H103)*(Variables!$M$5*$H$1+Variables!$U$5*$I$1),0)+IF(AND(NOT((J104+N104+Q104)=0),(H103-H104)&gt;0),(H103-H104)*(Variables!$M$4*$H$1+Variables!$U$4*$I$1),0)</f>
        <v>-95.175937369258662</v>
      </c>
      <c r="Y104" s="95">
        <f>IF(SUM(T104,U103:U104)&gt;0,H104*Variables!$Y$11*0.25*(1-$J$1),0)</f>
        <v>0</v>
      </c>
      <c r="Z104" s="95">
        <f>IF(T104=0,H104*$J$1*Variables!$Y$5*0.25,0)</f>
        <v>4.6373410382673921</v>
      </c>
      <c r="AA104" s="95">
        <f t="shared" si="2"/>
        <v>-90.538596330991268</v>
      </c>
      <c r="AB104" s="91">
        <f>AA104/Variables!$E$49</f>
        <v>-14.602999408224397</v>
      </c>
    </row>
    <row r="105" spans="1:28" x14ac:dyDescent="0.25">
      <c r="A105" s="61">
        <f>'Water runs'!C112</f>
        <v>11566</v>
      </c>
      <c r="B105" s="61" t="str">
        <f>'Water runs'!B112</f>
        <v>Winter</v>
      </c>
      <c r="C105" s="54">
        <f>'Water runs'!D112/100</f>
        <v>0.67359999999999998</v>
      </c>
      <c r="D105" s="108">
        <f>VLOOKUP(ROW(D105)+4,'Water runs'!$BS$3:$CF$423,MATCH($B$1,Scenarios,0)+1)</f>
        <v>0</v>
      </c>
      <c r="E105" s="54">
        <f>IF(B105=Variables!$D$8,C105-Variables!$E$8,IF(B105=Variables!$D$9,C105-Variables!$E$9,IF(B105=Variables!$D$10,C105-Variables!$E$10,IF(B105=Variables!$D$11,C105-Variables!$E$11,"ELSE"))))</f>
        <v>0.10183237433862424</v>
      </c>
      <c r="F105" s="108">
        <f>VLOOKUP(ROW(F105)+4,'Water runs'!$CH$3:$CU$423,MATCH($B$1,Scenarios,0)+1)</f>
        <v>0</v>
      </c>
      <c r="G105" s="65">
        <f>H105/Variables!$E$49</f>
        <v>0.17331507041889582</v>
      </c>
      <c r="H105" s="62">
        <f>IF((H104+I105)&gt;(1.1*Variables!$E$50),(1.1*Variables!$E$50),IF((H104+I105)&gt;0,H104+I105,0))</f>
        <v>1.0745534365971541</v>
      </c>
      <c r="I105" s="64">
        <f t="shared" si="3"/>
        <v>-1.0657578118339501</v>
      </c>
      <c r="J105" s="63">
        <f>IF(SUM(E101:E104)&lt;Variables!$B$3,-H104,0)</f>
        <v>0</v>
      </c>
      <c r="K105" s="64">
        <f>IF(AND(H104&lt;Variables!$B$6*Variables!$E$50,OR(SUM(D102:D105)&gt;Variables!$B$5,SUM(E102:E105)&gt;Variables!$B$4)),Variables!$B$6*Variables!$E$50+Variables!$B$7*$G$1*Variables!$E$50*SUM(D102:D105),0)</f>
        <v>0</v>
      </c>
      <c r="L105" s="64">
        <f>IF(B105="Winter",Variables!$B$8*H104,0)</f>
        <v>-1.0657578118339501</v>
      </c>
      <c r="M105" s="64">
        <f>IF(AND(B105="Spring",AND(NOT(H104=0),H104&lt;(Variables!$B$9*Variables!$E$50))),(Variables!$B$10*Variables!$E$50+Variables!$B$11*Variables!$E$50*SUM(E102:E105)+$G$1*SUM(D104:D105)*Variables!$E$50*Variables!$B$12),0)</f>
        <v>0</v>
      </c>
      <c r="N105" s="64">
        <f>IF(AND(B105="Spring",AND(SUM(D102:D105)&gt;Variables!$B$13,SUM(D98:D101)&gt;Variables!$B$13)),-Variables!$B$14*Variables!$E$50,0)</f>
        <v>0</v>
      </c>
      <c r="O105" s="64">
        <f>IF(AND(B105="Summer",SUM(C101:D105)&gt;Variables!$B$15),(Variables!$B$16*Variables!$E$50*SUM(C101:C105)+$G$1*Variables!$B$16*Variables!$E$50*SUM(D101:D105)+$G$1*Variables!$E$50*Variables!$B$17*F105),0)</f>
        <v>0</v>
      </c>
      <c r="P105" s="64">
        <f>IF(AND(AND(B105="Autumn",SUM(D104:E105)&gt;0),NOT(H104=0)),Variables!$B$18*Variables!$E$50+Variables!$B$19*Variables!$E$50*SUM(E104:E105)+$G$1*Variables!$B$19*Variables!$E$50*SUM(D104:D105),0)</f>
        <v>0</v>
      </c>
      <c r="Q105" s="64">
        <f>IF(AND(B105="Autumn",AND((E105+E104)&lt;Variables!$B$20,(D104+D105)=0)),-Variables!$B$21*Variables!$E$50,0)</f>
        <v>0</v>
      </c>
      <c r="R105" s="64">
        <f>IF(B105="Autumn",(SUM(F104:F105)*$G$1*Variables!$B$22*Variables!$E$50),0)</f>
        <v>0</v>
      </c>
      <c r="S105" s="64">
        <f>IF(B105="Spring",($G$1*Variables!$E$50*SUM('Guts (option 2)'!F104:F105)*Variables!$B$23),0)</f>
        <v>0</v>
      </c>
      <c r="T105" s="63">
        <f>IF((H104+SUM(J105:Q105))&lt;(Variables!$B$26*Variables!$E$50),$F$1*((Variables!$B$26*Variables!$E$50)-H104-SUM(J105:Q105)),0)</f>
        <v>0</v>
      </c>
      <c r="U105" s="64">
        <f>IF(AND(AND(B105="Autumn",SUM(D102:E105)&gt;Variables!$B$27),SUM(J105:Q105)&lt;Variables!$B$28*H104),$F$1*(Variables!$B$28*H104-SUM(J105:Q105)),0)</f>
        <v>0</v>
      </c>
      <c r="V105" s="96">
        <f>IF(AND((J105+K105)=0,(Q105+T105)=0),$H$1*H105*Variables!$I$23*0.25,0)</f>
        <v>6.9022686354142166</v>
      </c>
      <c r="W105" s="97">
        <f>IF(AND((K105+J105)=0,(T105+Q105)=0),$I$1*H105*Variables!$Q$23*0.25,0)</f>
        <v>7.2248495770806809</v>
      </c>
      <c r="X105" s="95">
        <f>IF(AND(NOT(K105=0),(H105-H104)&gt;0),(H105-H104)*(Variables!$M$5*$H$1+Variables!$U$5*$I$1),0)+IF(AND(NOT((J105+N105+Q105)=0),(H104-H105)&gt;0),(H104-H105)*(Variables!$M$4*$H$1+Variables!$U$4*$I$1),0)</f>
        <v>0</v>
      </c>
      <c r="Y105" s="95">
        <f>IF(SUM(T105,U104:U105)&gt;0,H105*Variables!$Y$11*0.25*(1-$J$1),0)</f>
        <v>0</v>
      </c>
      <c r="Z105" s="95">
        <f>IF(T105=0,H105*$J$1*Variables!$Y$5*0.25,0)</f>
        <v>2.3281991126271673</v>
      </c>
      <c r="AA105" s="95">
        <f t="shared" si="2"/>
        <v>16.455317325122063</v>
      </c>
      <c r="AB105" s="91">
        <f>AA105/Variables!$E$49</f>
        <v>2.6540834395358166</v>
      </c>
    </row>
    <row r="106" spans="1:28" x14ac:dyDescent="0.25">
      <c r="A106" s="61">
        <f>'Water runs'!C113</f>
        <v>11657</v>
      </c>
      <c r="B106" s="61" t="str">
        <f>'Water runs'!B113</f>
        <v>Spring</v>
      </c>
      <c r="C106" s="54">
        <f>'Water runs'!D113/100</f>
        <v>0.76897142857142797</v>
      </c>
      <c r="D106" s="108">
        <f>VLOOKUP(ROW(D106)+4,'Water runs'!$BS$3:$CF$423,MATCH($B$1,Scenarios,0)+1)</f>
        <v>0</v>
      </c>
      <c r="E106" s="54">
        <f>IF(B106=Variables!$D$8,C106-Variables!$E$8,IF(B106=Variables!$D$9,C106-Variables!$E$9,IF(B106=Variables!$D$10,C106-Variables!$E$10,IF(B106=Variables!$D$11,C106-Variables!$E$11,"ELSE"))))</f>
        <v>4.9892195767188285E-3</v>
      </c>
      <c r="F106" s="108">
        <f>VLOOKUP(ROW(F106)+4,'Water runs'!$CH$3:$CU$423,MATCH($B$1,Scenarios,0)+1)</f>
        <v>0</v>
      </c>
      <c r="G106" s="65">
        <f>H106/Variables!$E$49</f>
        <v>0.36601405185016511</v>
      </c>
      <c r="H106" s="62">
        <f>IF((H105+I106)&gt;(1.1*Variables!$E$50),(1.1*Variables!$E$50),IF((H105+I106)&gt;0,H105+I106,0))</f>
        <v>2.2692871214710237</v>
      </c>
      <c r="I106" s="64">
        <f t="shared" si="3"/>
        <v>1.1947336848738699</v>
      </c>
      <c r="J106" s="63">
        <f>IF(SUM(E102:E105)&lt;Variables!$B$3,-H105,0)</f>
        <v>0</v>
      </c>
      <c r="K106" s="64">
        <f>IF(AND(H105&lt;Variables!$B$6*Variables!$E$50,OR(SUM(D103:D106)&gt;Variables!$B$5,SUM(E103:E106)&gt;Variables!$B$4)),Variables!$B$6*Variables!$E$50+Variables!$B$7*$G$1*Variables!$E$50*SUM(D103:D106),0)</f>
        <v>1.142111248431104</v>
      </c>
      <c r="L106" s="64">
        <f>IF(B106="Winter",Variables!$B$8*H105,0)</f>
        <v>0</v>
      </c>
      <c r="M106" s="64">
        <f>IF(AND(B106="Spring",AND(NOT(H105=0),H105&lt;(Variables!$B$9*Variables!$E$50))),(Variables!$B$10*Variables!$E$50+Variables!$B$11*Variables!$E$50*SUM(E103:E106)+$G$1*SUM(D105:D106)*Variables!$E$50*Variables!$B$12),0)</f>
        <v>5.2622436442765784E-2</v>
      </c>
      <c r="N106" s="64">
        <f>IF(AND(B106="Spring",AND(SUM(D103:D106)&gt;Variables!$B$13,SUM(D99:D102)&gt;Variables!$B$13)),-Variables!$B$14*Variables!$E$50,0)</f>
        <v>0</v>
      </c>
      <c r="O106" s="64">
        <f>IF(AND(B106="Summer",SUM(C102:D106)&gt;Variables!$B$15),(Variables!$B$16*Variables!$E$50*SUM(C102:C106)+$G$1*Variables!$B$16*Variables!$E$50*SUM(D102:D106)+$G$1*Variables!$E$50*Variables!$B$17*F106),0)</f>
        <v>0</v>
      </c>
      <c r="P106" s="64">
        <f>IF(AND(AND(B106="Autumn",SUM(D105:E106)&gt;0),NOT(H105=0)),Variables!$B$18*Variables!$E$50+Variables!$B$19*Variables!$E$50*SUM(E105:E106)+$G$1*Variables!$B$19*Variables!$E$50*SUM(D105:D106),0)</f>
        <v>0</v>
      </c>
      <c r="Q106" s="64">
        <f>IF(AND(B106="Autumn",AND((E106+E105)&lt;Variables!$B$20,(D105+D106)=0)),-Variables!$B$21*Variables!$E$50,0)</f>
        <v>0</v>
      </c>
      <c r="R106" s="64">
        <f>IF(B106="Autumn",(SUM(F105:F106)*$G$1*Variables!$B$22*Variables!$E$50),0)</f>
        <v>0</v>
      </c>
      <c r="S106" s="64">
        <f>IF(B106="Spring",($G$1*Variables!$E$50*SUM('Guts (option 2)'!F105:F106)*Variables!$B$23),0)</f>
        <v>0</v>
      </c>
      <c r="T106" s="63">
        <f>IF((H105+SUM(J106:Q106))&lt;(Variables!$B$26*Variables!$E$50),$F$1*((Variables!$B$26*Variables!$E$50)-H105-SUM(J106:Q106)),0)</f>
        <v>0</v>
      </c>
      <c r="U106" s="64">
        <f>IF(AND(AND(B106="Autumn",SUM(D103:E106)&gt;Variables!$B$27),SUM(J106:Q106)&lt;Variables!$B$28*H105),$F$1*(Variables!$B$28*H105-SUM(J106:Q106)),0)</f>
        <v>0</v>
      </c>
      <c r="V106" s="96">
        <f>IF(AND((J106+K106)=0,(Q106+T106)=0),$H$1*H106*Variables!$I$23*0.25,0)</f>
        <v>0</v>
      </c>
      <c r="W106" s="97">
        <f>IF(AND((K106+J106)=0,(T106+Q106)=0),$I$1*H106*Variables!$Q$23*0.25,0)</f>
        <v>0</v>
      </c>
      <c r="X106" s="95">
        <f>IF(AND(NOT(K106=0),(H106-H105)&gt;0),(H106-H105)*(Variables!$M$5*$H$1+Variables!$U$5*$I$1),0)+IF(AND(NOT((J106+N106+Q106)=0),(H105-H106)&gt;0),(H105-H106)*(Variables!$M$4*$H$1+Variables!$U$4*$I$1),0)</f>
        <v>-99.561140406155801</v>
      </c>
      <c r="Y106" s="95">
        <f>IF(SUM(T106,U105:U106)&gt;0,H106*Variables!$Y$11*0.25*(1-$J$1),0)</f>
        <v>0</v>
      </c>
      <c r="Z106" s="95">
        <f>IF(T106=0,H106*$J$1*Variables!$Y$5*0.25,0)</f>
        <v>4.9167887631872178</v>
      </c>
      <c r="AA106" s="95">
        <f t="shared" si="2"/>
        <v>-94.644351642968587</v>
      </c>
      <c r="AB106" s="91">
        <f>AA106/Variables!$E$49</f>
        <v>-15.265218006930416</v>
      </c>
    </row>
    <row r="107" spans="1:28" x14ac:dyDescent="0.25">
      <c r="A107" s="61">
        <f>'Water runs'!C114</f>
        <v>11747</v>
      </c>
      <c r="B107" s="61" t="str">
        <f>'Water runs'!B114</f>
        <v>Summer</v>
      </c>
      <c r="C107" s="54">
        <f>'Water runs'!D114/100</f>
        <v>1.5475714285714302</v>
      </c>
      <c r="D107" s="108">
        <f>VLOOKUP(ROW(D107)+4,'Water runs'!$BS$3:$CF$423,MATCH($B$1,Scenarios,0)+1)</f>
        <v>0.35940981322100729</v>
      </c>
      <c r="E107" s="54">
        <f>IF(B107=Variables!$D$8,C107-Variables!$E$8,IF(B107=Variables!$D$9,C107-Variables!$E$9,IF(B107=Variables!$D$10,C107-Variables!$E$10,IF(B107=Variables!$D$11,C107-Variables!$E$11,"ELSE"))))</f>
        <v>0.28920129251700843</v>
      </c>
      <c r="F107" s="108">
        <f>VLOOKUP(ROW(F107)+4,'Water runs'!$CH$3:$CU$423,MATCH($B$1,Scenarios,0)+1)</f>
        <v>0.36052937869658508</v>
      </c>
      <c r="G107" s="65">
        <f>H107/Variables!$E$49</f>
        <v>0.36601405185016511</v>
      </c>
      <c r="H107" s="62">
        <f>IF((H106+I107)&gt;(1.1*Variables!$E$50),(1.1*Variables!$E$50),IF((H106+I107)&gt;0,H106+I107,0))</f>
        <v>2.2692871214710237</v>
      </c>
      <c r="I107" s="64">
        <f t="shared" si="3"/>
        <v>0</v>
      </c>
      <c r="J107" s="63">
        <f>IF(SUM(E103:E106)&lt;Variables!$B$3,-H106,0)</f>
        <v>0</v>
      </c>
      <c r="K107" s="64">
        <f>IF(AND(H106&lt;Variables!$B$6*Variables!$E$50,OR(SUM(D104:D107)&gt;Variables!$B$5,SUM(E104:E107)&gt;Variables!$B$4)),Variables!$B$6*Variables!$E$50+Variables!$B$7*$G$1*Variables!$E$50*SUM(D104:D107),0)</f>
        <v>0</v>
      </c>
      <c r="L107" s="64">
        <f>IF(B107="Winter",Variables!$B$8*H106,0)</f>
        <v>0</v>
      </c>
      <c r="M107" s="64">
        <f>IF(AND(B107="Spring",AND(NOT(H106=0),H106&lt;(Variables!$B$9*Variables!$E$50))),(Variables!$B$10*Variables!$E$50+Variables!$B$11*Variables!$E$50*SUM(E104:E107)+$G$1*SUM(D106:D107)*Variables!$E$50*Variables!$B$12),0)</f>
        <v>0</v>
      </c>
      <c r="N107" s="64">
        <f>IF(AND(B107="Spring",AND(SUM(D104:D107)&gt;Variables!$B$13,SUM(D100:D103)&gt;Variables!$B$13)),-Variables!$B$14*Variables!$E$50,0)</f>
        <v>0</v>
      </c>
      <c r="O107" s="64">
        <f>IF(AND(B107="Summer",SUM(C103:D107)&gt;Variables!$B$15),(Variables!$B$16*Variables!$E$50*SUM(C103:C107)+$G$1*Variables!$B$16*Variables!$E$50*SUM(D103:D107)+$G$1*Variables!$E$50*Variables!$B$17*F107),0)</f>
        <v>0</v>
      </c>
      <c r="P107" s="64">
        <f>IF(AND(AND(B107="Autumn",SUM(D106:E107)&gt;0),NOT(H106=0)),Variables!$B$18*Variables!$E$50+Variables!$B$19*Variables!$E$50*SUM(E106:E107)+$G$1*Variables!$B$19*Variables!$E$50*SUM(D106:D107),0)</f>
        <v>0</v>
      </c>
      <c r="Q107" s="64">
        <f>IF(AND(B107="Autumn",AND((E107+E106)&lt;Variables!$B$20,(D106+D107)=0)),-Variables!$B$21*Variables!$E$50,0)</f>
        <v>0</v>
      </c>
      <c r="R107" s="64">
        <f>IF(B107="Autumn",(SUM(F106:F107)*$G$1*Variables!$B$22*Variables!$E$50),0)</f>
        <v>0</v>
      </c>
      <c r="S107" s="64">
        <f>IF(B107="Spring",($G$1*Variables!$E$50*SUM('Guts (option 2)'!F106:F107)*Variables!$B$23),0)</f>
        <v>0</v>
      </c>
      <c r="T107" s="63">
        <f>IF((H106+SUM(J107:Q107))&lt;(Variables!$B$26*Variables!$E$50),$F$1*((Variables!$B$26*Variables!$E$50)-H106-SUM(J107:Q107)),0)</f>
        <v>0</v>
      </c>
      <c r="U107" s="64">
        <f>IF(AND(AND(B107="Autumn",SUM(D104:E107)&gt;Variables!$B$27),SUM(J107:Q107)&lt;Variables!$B$28*H106),$F$1*(Variables!$B$28*H106-SUM(J107:Q107)),0)</f>
        <v>0</v>
      </c>
      <c r="V107" s="96">
        <f>IF(AND((J107+K107)=0,(Q107+T107)=0),$H$1*H107*Variables!$I$23*0.25,0)</f>
        <v>14.57650107460495</v>
      </c>
      <c r="W107" s="97">
        <f>IF(AND((K107+J107)=0,(T107+Q107)=0),$I$1*H107*Variables!$Q$23*0.25,0)</f>
        <v>15.257741068470549</v>
      </c>
      <c r="X107" s="95">
        <f>IF(AND(NOT(K107=0),(H107-H106)&gt;0),(H107-H106)*(Variables!$M$5*$H$1+Variables!$U$5*$I$1),0)+IF(AND(NOT((J107+N107+Q107)=0),(H106-H107)&gt;0),(H106-H107)*(Variables!$M$4*$H$1+Variables!$U$4*$I$1),0)</f>
        <v>0</v>
      </c>
      <c r="Y107" s="95">
        <f>IF(SUM(T107,U106:U107)&gt;0,H107*Variables!$Y$11*0.25*(1-$J$1),0)</f>
        <v>0</v>
      </c>
      <c r="Z107" s="95">
        <f>IF(T107=0,H107*$J$1*Variables!$Y$5*0.25,0)</f>
        <v>4.9167887631872178</v>
      </c>
      <c r="AA107" s="95">
        <f t="shared" si="2"/>
        <v>34.75103090626272</v>
      </c>
      <c r="AB107" s="91">
        <f>AA107/Variables!$E$49</f>
        <v>5.6050049848810835</v>
      </c>
    </row>
    <row r="108" spans="1:28" x14ac:dyDescent="0.25">
      <c r="A108" s="61">
        <f>'Water runs'!C115</f>
        <v>11840</v>
      </c>
      <c r="B108" s="61" t="str">
        <f>'Water runs'!B115</f>
        <v>Autumn</v>
      </c>
      <c r="C108" s="54">
        <f>'Water runs'!D115/100</f>
        <v>0.66099999999999992</v>
      </c>
      <c r="D108" s="108">
        <f>VLOOKUP(ROW(D108)+4,'Water runs'!$BS$3:$CF$423,MATCH($B$1,Scenarios,0)+1)</f>
        <v>0</v>
      </c>
      <c r="E108" s="54">
        <f>IF(B108=Variables!$D$8,C108-Variables!$E$8,IF(B108=Variables!$D$9,C108-Variables!$E$9,IF(B108=Variables!$D$10,C108-Variables!$E$10,IF(B108=Variables!$D$11,C108-Variables!$E$11,"ELSE"))))</f>
        <v>-0.33364329931972792</v>
      </c>
      <c r="F108" s="108">
        <f>VLOOKUP(ROW(F108)+4,'Water runs'!$CH$3:$CU$423,MATCH($B$1,Scenarios,0)+1)</f>
        <v>0</v>
      </c>
      <c r="G108" s="65">
        <f>H108/Variables!$E$49</f>
        <v>0.51143170250048564</v>
      </c>
      <c r="H108" s="62">
        <f>IF((H107+I108)&gt;(1.1*Variables!$E$50),(1.1*Variables!$E$50),IF((H107+I108)&gt;0,H107+I108,0))</f>
        <v>3.170876555503011</v>
      </c>
      <c r="I108" s="64">
        <f t="shared" si="3"/>
        <v>0.9015894340319871</v>
      </c>
      <c r="J108" s="63">
        <f>IF(SUM(E104:E107)&lt;Variables!$B$3,-H107,0)</f>
        <v>0</v>
      </c>
      <c r="K108" s="64">
        <f>IF(AND(H107&lt;Variables!$B$6*Variables!$E$50,OR(SUM(D105:D108)&gt;Variables!$B$5,SUM(E105:E108)&gt;Variables!$B$4)),Variables!$B$6*Variables!$E$50+Variables!$B$7*$G$1*Variables!$E$50*SUM(D105:D108),0)</f>
        <v>0</v>
      </c>
      <c r="L108" s="64">
        <f>IF(B108="Winter",Variables!$B$8*H107,0)</f>
        <v>0</v>
      </c>
      <c r="M108" s="64">
        <f>IF(AND(B108="Spring",AND(NOT(H107=0),H107&lt;(Variables!$B$9*Variables!$E$50))),(Variables!$B$10*Variables!$E$50+Variables!$B$11*Variables!$E$50*SUM(E105:E108)+$G$1*SUM(D107:D108)*Variables!$E$50*Variables!$B$12),0)</f>
        <v>0</v>
      </c>
      <c r="N108" s="64">
        <f>IF(AND(B108="Spring",AND(SUM(D105:D108)&gt;Variables!$B$13,SUM(D101:D104)&gt;Variables!$B$13)),-Variables!$B$14*Variables!$E$50,0)</f>
        <v>0</v>
      </c>
      <c r="O108" s="64">
        <f>IF(AND(B108="Summer",SUM(C104:D108)&gt;Variables!$B$15),(Variables!$B$16*Variables!$E$50*SUM(C104:C108)+$G$1*Variables!$B$16*Variables!$E$50*SUM(D104:D108)+$G$1*Variables!$E$50*Variables!$B$17*F108),0)</f>
        <v>0</v>
      </c>
      <c r="P108" s="64">
        <f>IF(AND(AND(B108="Autumn",SUM(D107:E108)&gt;0),NOT(H107=0)),Variables!$B$18*Variables!$E$50+Variables!$B$19*Variables!$E$50*SUM(E107:E108)+$G$1*Variables!$B$19*Variables!$E$50*SUM(D107:D108),0)</f>
        <v>0.85079398041670729</v>
      </c>
      <c r="Q108" s="64">
        <f>IF(AND(B108="Autumn",AND((E108+E107)&lt;Variables!$B$20,(D107+D108)=0)),-Variables!$B$21*Variables!$E$50,0)</f>
        <v>0</v>
      </c>
      <c r="R108" s="64">
        <f>IF(B108="Autumn",(SUM(F107:F108)*$G$1*Variables!$B$22*Variables!$E$50),0)</f>
        <v>5.0795453615279769E-2</v>
      </c>
      <c r="S108" s="64">
        <f>IF(B108="Spring",($G$1*Variables!$E$50*SUM('Guts (option 2)'!F107:F108)*Variables!$B$23),0)</f>
        <v>0</v>
      </c>
      <c r="T108" s="63">
        <f>IF((H107+SUM(J108:Q108))&lt;(Variables!$B$26*Variables!$E$50),$F$1*((Variables!$B$26*Variables!$E$50)-H107-SUM(J108:Q108)),0)</f>
        <v>0</v>
      </c>
      <c r="U108" s="64">
        <f>IF(AND(AND(B108="Autumn",SUM(D105:E108)&gt;Variables!$B$27),SUM(J108:Q108)&lt;Variables!$B$28*H107),$F$1*(Variables!$B$28*H107-SUM(J108:Q108)),0)</f>
        <v>0</v>
      </c>
      <c r="V108" s="96">
        <f>IF(AND((J108+K108)=0,(Q108+T108)=0),$H$1*H108*Variables!$I$23*0.25,0)</f>
        <v>20.367755618675449</v>
      </c>
      <c r="W108" s="97">
        <f>IF(AND((K108+J108)=0,(T108+Q108)=0),$I$1*H108*Variables!$Q$23*0.25,0)</f>
        <v>21.31965276063745</v>
      </c>
      <c r="X108" s="95">
        <f>IF(AND(NOT(K108=0),(H108-H107)&gt;0),(H108-H107)*(Variables!$M$5*$H$1+Variables!$U$5*$I$1),0)+IF(AND(NOT((J108+N108+Q108)=0),(H107-H108)&gt;0),(H107-H108)*(Variables!$M$4*$H$1+Variables!$U$4*$I$1),0)</f>
        <v>0</v>
      </c>
      <c r="Y108" s="95">
        <f>IF(SUM(T108,U107:U108)&gt;0,H108*Variables!$Y$11*0.25*(1-$J$1),0)</f>
        <v>0</v>
      </c>
      <c r="Z108" s="95">
        <f>IF(T108=0,H108*$J$1*Variables!$Y$5*0.25,0)</f>
        <v>6.87023253692319</v>
      </c>
      <c r="AA108" s="95">
        <f t="shared" si="2"/>
        <v>48.557640916236089</v>
      </c>
      <c r="AB108" s="91">
        <f>AA108/Variables!$E$49</f>
        <v>7.8318775671348524</v>
      </c>
    </row>
    <row r="109" spans="1:28" x14ac:dyDescent="0.25">
      <c r="A109" s="61">
        <f>'Water runs'!C116</f>
        <v>11932</v>
      </c>
      <c r="B109" s="61" t="str">
        <f>'Water runs'!B116</f>
        <v>Winter</v>
      </c>
      <c r="C109" s="54">
        <f>'Water runs'!D116/100</f>
        <v>0.40200000000000002</v>
      </c>
      <c r="D109" s="108">
        <f>VLOOKUP(ROW(D109)+4,'Water runs'!$BS$3:$CF$423,MATCH($B$1,Scenarios,0)+1)</f>
        <v>0</v>
      </c>
      <c r="E109" s="54">
        <f>IF(B109=Variables!$D$8,C109-Variables!$E$8,IF(B109=Variables!$D$9,C109-Variables!$E$9,IF(B109=Variables!$D$10,C109-Variables!$E$10,IF(B109=Variables!$D$11,C109-Variables!$E$11,"ELSE"))))</f>
        <v>-0.16976762566137571</v>
      </c>
      <c r="F109" s="108">
        <f>VLOOKUP(ROW(F109)+4,'Water runs'!$CH$3:$CU$423,MATCH($B$1,Scenarios,0)+1)</f>
        <v>0</v>
      </c>
      <c r="G109" s="65">
        <f>H109/Variables!$E$49</f>
        <v>0.25676671741526863</v>
      </c>
      <c r="H109" s="62">
        <f>IF((H108+I109)&gt;(1.1*Variables!$E$50),(1.1*Variables!$E$50),IF((H108+I109)&gt;0,H108+I109,0))</f>
        <v>1.5919536479746654</v>
      </c>
      <c r="I109" s="64">
        <f t="shared" si="3"/>
        <v>-1.5789229075283455</v>
      </c>
      <c r="J109" s="63">
        <f>IF(SUM(E105:E108)&lt;Variables!$B$3,-H108,0)</f>
        <v>0</v>
      </c>
      <c r="K109" s="64">
        <f>IF(AND(H108&lt;Variables!$B$6*Variables!$E$50,OR(SUM(D106:D109)&gt;Variables!$B$5,SUM(E106:E109)&gt;Variables!$B$4)),Variables!$B$6*Variables!$E$50+Variables!$B$7*$G$1*Variables!$E$50*SUM(D106:D109),0)</f>
        <v>0</v>
      </c>
      <c r="L109" s="64">
        <f>IF(B109="Winter",Variables!$B$8*H108,0)</f>
        <v>-1.5789229075283455</v>
      </c>
      <c r="M109" s="64">
        <f>IF(AND(B109="Spring",AND(NOT(H108=0),H108&lt;(Variables!$B$9*Variables!$E$50))),(Variables!$B$10*Variables!$E$50+Variables!$B$11*Variables!$E$50*SUM(E106:E109)+$G$1*SUM(D108:D109)*Variables!$E$50*Variables!$B$12),0)</f>
        <v>0</v>
      </c>
      <c r="N109" s="64">
        <f>IF(AND(B109="Spring",AND(SUM(D106:D109)&gt;Variables!$B$13,SUM(D102:D105)&gt;Variables!$B$13)),-Variables!$B$14*Variables!$E$50,0)</f>
        <v>0</v>
      </c>
      <c r="O109" s="64">
        <f>IF(AND(B109="Summer",SUM(C105:D109)&gt;Variables!$B$15),(Variables!$B$16*Variables!$E$50*SUM(C105:C109)+$G$1*Variables!$B$16*Variables!$E$50*SUM(D105:D109)+$G$1*Variables!$E$50*Variables!$B$17*F109),0)</f>
        <v>0</v>
      </c>
      <c r="P109" s="64">
        <f>IF(AND(AND(B109="Autumn",SUM(D108:E109)&gt;0),NOT(H108=0)),Variables!$B$18*Variables!$E$50+Variables!$B$19*Variables!$E$50*SUM(E108:E109)+$G$1*Variables!$B$19*Variables!$E$50*SUM(D108:D109),0)</f>
        <v>0</v>
      </c>
      <c r="Q109" s="64">
        <f>IF(AND(B109="Autumn",AND((E109+E108)&lt;Variables!$B$20,(D108+D109)=0)),-Variables!$B$21*Variables!$E$50,0)</f>
        <v>0</v>
      </c>
      <c r="R109" s="64">
        <f>IF(B109="Autumn",(SUM(F108:F109)*$G$1*Variables!$B$22*Variables!$E$50),0)</f>
        <v>0</v>
      </c>
      <c r="S109" s="64">
        <f>IF(B109="Spring",($G$1*Variables!$E$50*SUM('Guts (option 2)'!F108:F109)*Variables!$B$23),0)</f>
        <v>0</v>
      </c>
      <c r="T109" s="63">
        <f>IF((H108+SUM(J109:Q109))&lt;(Variables!$B$26*Variables!$E$50),$F$1*((Variables!$B$26*Variables!$E$50)-H108-SUM(J109:Q109)),0)</f>
        <v>0</v>
      </c>
      <c r="U109" s="64">
        <f>IF(AND(AND(B109="Autumn",SUM(D106:E109)&gt;Variables!$B$27),SUM(J109:Q109)&lt;Variables!$B$28*H108),$F$1*(Variables!$B$28*H108-SUM(J109:Q109)),0)</f>
        <v>0</v>
      </c>
      <c r="V109" s="96">
        <f>IF(AND((J109+K109)=0,(Q109+T109)=0),$H$1*H109*Variables!$I$23*0.25,0)</f>
        <v>10.225728529839666</v>
      </c>
      <c r="W109" s="97">
        <f>IF(AND((K109+J109)=0,(T109+Q109)=0),$I$1*H109*Variables!$Q$23*0.25,0)</f>
        <v>10.703633014961659</v>
      </c>
      <c r="X109" s="95">
        <f>IF(AND(NOT(K109=0),(H109-H108)&gt;0),(H109-H108)*(Variables!$M$5*$H$1+Variables!$U$5*$I$1),0)+IF(AND(NOT((J109+N109+Q109)=0),(H108-H109)&gt;0),(H108-H109)*(Variables!$M$4*$H$1+Variables!$U$4*$I$1),0)</f>
        <v>0</v>
      </c>
      <c r="Y109" s="95">
        <f>IF(SUM(T109,U108:U109)&gt;0,H109*Variables!$Y$11*0.25*(1-$J$1),0)</f>
        <v>0</v>
      </c>
      <c r="Z109" s="95">
        <f>IF(T109=0,H109*$J$1*Variables!$Y$5*0.25,0)</f>
        <v>3.449232903945108</v>
      </c>
      <c r="AA109" s="95">
        <f t="shared" si="2"/>
        <v>24.378594448746433</v>
      </c>
      <c r="AB109" s="91">
        <f>AA109/Variables!$E$49</f>
        <v>3.9320313627010375</v>
      </c>
    </row>
    <row r="110" spans="1:28" x14ac:dyDescent="0.25">
      <c r="A110" s="61">
        <f>'Water runs'!C117</f>
        <v>12023</v>
      </c>
      <c r="B110" s="61" t="str">
        <f>'Water runs'!B117</f>
        <v>Spring</v>
      </c>
      <c r="C110" s="54">
        <f>'Water runs'!D117/100</f>
        <v>0.64639999999999997</v>
      </c>
      <c r="D110" s="108">
        <f>VLOOKUP(ROW(D110)+4,'Water runs'!$BS$3:$CF$423,MATCH($B$1,Scenarios,0)+1)</f>
        <v>0</v>
      </c>
      <c r="E110" s="54">
        <f>IF(B110=Variables!$D$8,C110-Variables!$E$8,IF(B110=Variables!$D$9,C110-Variables!$E$9,IF(B110=Variables!$D$10,C110-Variables!$E$10,IF(B110=Variables!$D$11,C110-Variables!$E$11,"ELSE"))))</f>
        <v>-0.11758220899470917</v>
      </c>
      <c r="F110" s="108">
        <f>VLOOKUP(ROW(F110)+4,'Water runs'!$CH$3:$CU$423,MATCH($B$1,Scenarios,0)+1)</f>
        <v>0</v>
      </c>
      <c r="G110" s="65">
        <f>H110/Variables!$E$49</f>
        <v>0.22031982855101673</v>
      </c>
      <c r="H110" s="62">
        <f>IF((H109+I110)&gt;(1.1*Variables!$E$50),(1.1*Variables!$E$50),IF((H109+I110)&gt;0,H109+I110,0))</f>
        <v>1.3659829370163037</v>
      </c>
      <c r="I110" s="64">
        <f t="shared" si="3"/>
        <v>-0.22597071095836166</v>
      </c>
      <c r="J110" s="63">
        <f>IF(SUM(E106:E109)&lt;Variables!$B$3,-H109,0)</f>
        <v>0</v>
      </c>
      <c r="K110" s="64">
        <f>IF(AND(H109&lt;Variables!$B$6*Variables!$E$50,OR(SUM(D107:D110)&gt;Variables!$B$5,SUM(E107:E110)&gt;Variables!$B$4)),Variables!$B$6*Variables!$E$50+Variables!$B$7*$G$1*Variables!$E$50*SUM(D107:D110),0)</f>
        <v>0</v>
      </c>
      <c r="L110" s="64">
        <f>IF(B110="Winter",Variables!$B$8*H109,0)</f>
        <v>0</v>
      </c>
      <c r="M110" s="64">
        <f>IF(AND(B110="Spring",AND(NOT(H109=0),H109&lt;(Variables!$B$9*Variables!$E$50))),(Variables!$B$10*Variables!$E$50+Variables!$B$11*Variables!$E$50*SUM(E107:E110)+$G$1*SUM(D109:D110)*Variables!$E$50*Variables!$B$12),0)</f>
        <v>-0.22597071095836166</v>
      </c>
      <c r="N110" s="64">
        <f>IF(AND(B110="Spring",AND(SUM(D107:D110)&gt;Variables!$B$13,SUM(D103:D106)&gt;Variables!$B$13)),-Variables!$B$14*Variables!$E$50,0)</f>
        <v>0</v>
      </c>
      <c r="O110" s="64">
        <f>IF(AND(B110="Summer",SUM(C106:D110)&gt;Variables!$B$15),(Variables!$B$16*Variables!$E$50*SUM(C106:C110)+$G$1*Variables!$B$16*Variables!$E$50*SUM(D106:D110)+$G$1*Variables!$E$50*Variables!$B$17*F110),0)</f>
        <v>0</v>
      </c>
      <c r="P110" s="64">
        <f>IF(AND(AND(B110="Autumn",SUM(D109:E110)&gt;0),NOT(H109=0)),Variables!$B$18*Variables!$E$50+Variables!$B$19*Variables!$E$50*SUM(E109:E110)+$G$1*Variables!$B$19*Variables!$E$50*SUM(D109:D110),0)</f>
        <v>0</v>
      </c>
      <c r="Q110" s="64">
        <f>IF(AND(B110="Autumn",AND((E110+E109)&lt;Variables!$B$20,(D109+D110)=0)),-Variables!$B$21*Variables!$E$50,0)</f>
        <v>0</v>
      </c>
      <c r="R110" s="64">
        <f>IF(B110="Autumn",(SUM(F109:F110)*$G$1*Variables!$B$22*Variables!$E$50),0)</f>
        <v>0</v>
      </c>
      <c r="S110" s="64">
        <f>IF(B110="Spring",($G$1*Variables!$E$50*SUM('Guts (option 2)'!F109:F110)*Variables!$B$23),0)</f>
        <v>0</v>
      </c>
      <c r="T110" s="63">
        <f>IF((H109+SUM(J110:Q110))&lt;(Variables!$B$26*Variables!$E$50),$F$1*((Variables!$B$26*Variables!$E$50)-H109-SUM(J110:Q110)),0)</f>
        <v>0</v>
      </c>
      <c r="U110" s="64">
        <f>IF(AND(AND(B110="Autumn",SUM(D107:E110)&gt;Variables!$B$27),SUM(J110:Q110)&lt;Variables!$B$28*H109),$F$1*(Variables!$B$28*H109-SUM(J110:Q110)),0)</f>
        <v>0</v>
      </c>
      <c r="V110" s="96">
        <f>IF(AND((J110+K110)=0,(Q110+T110)=0),$H$1*H110*Variables!$I$23*0.25,0)</f>
        <v>8.7742320312482409</v>
      </c>
      <c r="W110" s="97">
        <f>IF(AND((K110+J110)=0,(T110+Q110)=0),$I$1*H110*Variables!$Q$23*0.25,0)</f>
        <v>9.1843001089405352</v>
      </c>
      <c r="X110" s="95">
        <f>IF(AND(NOT(K110=0),(H110-H109)&gt;0),(H110-H109)*(Variables!$M$5*$H$1+Variables!$U$5*$I$1),0)+IF(AND(NOT((J110+N110+Q110)=0),(H109-H110)&gt;0),(H109-H110)*(Variables!$M$4*$H$1+Variables!$U$4*$I$1),0)</f>
        <v>0</v>
      </c>
      <c r="Y110" s="95">
        <f>IF(SUM(T110,U109:U110)&gt;0,H110*Variables!$Y$11*0.25*(1-$J$1),0)</f>
        <v>0</v>
      </c>
      <c r="Z110" s="95">
        <f>IF(T110=0,H110*$J$1*Variables!$Y$5*0.25,0)</f>
        <v>2.959629696868658</v>
      </c>
      <c r="AA110" s="95">
        <f t="shared" si="2"/>
        <v>20.918161837057433</v>
      </c>
      <c r="AB110" s="91">
        <f>AA110/Variables!$E$49</f>
        <v>3.3738970704931344</v>
      </c>
    </row>
    <row r="111" spans="1:28" x14ac:dyDescent="0.25">
      <c r="A111" s="61">
        <f>'Water runs'!C118</f>
        <v>12113</v>
      </c>
      <c r="B111" s="61" t="str">
        <f>'Water runs'!B118</f>
        <v>Summer</v>
      </c>
      <c r="C111" s="54">
        <f>'Water runs'!D118/100</f>
        <v>0.56640000000000001</v>
      </c>
      <c r="D111" s="108">
        <f>VLOOKUP(ROW(D111)+4,'Water runs'!$BS$3:$CF$423,MATCH($B$1,Scenarios,0)+1)</f>
        <v>1.6373843023301846E-2</v>
      </c>
      <c r="E111" s="54">
        <f>IF(B111=Variables!$D$8,C111-Variables!$E$8,IF(B111=Variables!$D$9,C111-Variables!$E$9,IF(B111=Variables!$D$10,C111-Variables!$E$10,IF(B111=Variables!$D$11,C111-Variables!$E$11,"ELSE"))))</f>
        <v>-0.6919701360544217</v>
      </c>
      <c r="F111" s="108">
        <f>VLOOKUP(ROW(F111)+4,'Water runs'!$CH$3:$CU$423,MATCH($B$1,Scenarios,0)+1)</f>
        <v>0</v>
      </c>
      <c r="G111" s="65">
        <f>H111/Variables!$E$49</f>
        <v>0.22031982855101673</v>
      </c>
      <c r="H111" s="62">
        <f>IF((H110+I111)&gt;(1.1*Variables!$E$50),(1.1*Variables!$E$50),IF((H110+I111)&gt;0,H110+I111,0))</f>
        <v>1.3659829370163037</v>
      </c>
      <c r="I111" s="64">
        <f t="shared" si="3"/>
        <v>0</v>
      </c>
      <c r="J111" s="63">
        <f>IF(SUM(E107:E110)&lt;Variables!$B$3,-H110,0)</f>
        <v>0</v>
      </c>
      <c r="K111" s="64">
        <f>IF(AND(H110&lt;Variables!$B$6*Variables!$E$50,OR(SUM(D108:D111)&gt;Variables!$B$5,SUM(E108:E111)&gt;Variables!$B$4)),Variables!$B$6*Variables!$E$50+Variables!$B$7*$G$1*Variables!$E$50*SUM(D108:D111),0)</f>
        <v>0</v>
      </c>
      <c r="L111" s="64">
        <f>IF(B111="Winter",Variables!$B$8*H110,0)</f>
        <v>0</v>
      </c>
      <c r="M111" s="64">
        <f>IF(AND(B111="Spring",AND(NOT(H110=0),H110&lt;(Variables!$B$9*Variables!$E$50))),(Variables!$B$10*Variables!$E$50+Variables!$B$11*Variables!$E$50*SUM(E108:E111)+$G$1*SUM(D110:D111)*Variables!$E$50*Variables!$B$12),0)</f>
        <v>0</v>
      </c>
      <c r="N111" s="64">
        <f>IF(AND(B111="Spring",AND(SUM(D108:D111)&gt;Variables!$B$13,SUM(D104:D107)&gt;Variables!$B$13)),-Variables!$B$14*Variables!$E$50,0)</f>
        <v>0</v>
      </c>
      <c r="O111" s="64">
        <f>IF(AND(B111="Summer",SUM(C107:D111)&gt;Variables!$B$15),(Variables!$B$16*Variables!$E$50*SUM(C107:C111)+$G$1*Variables!$B$16*Variables!$E$50*SUM(D107:D111)+$G$1*Variables!$E$50*Variables!$B$17*F111),0)</f>
        <v>0</v>
      </c>
      <c r="P111" s="64">
        <f>IF(AND(AND(B111="Autumn",SUM(D110:E111)&gt;0),NOT(H110=0)),Variables!$B$18*Variables!$E$50+Variables!$B$19*Variables!$E$50*SUM(E110:E111)+$G$1*Variables!$B$19*Variables!$E$50*SUM(D110:D111),0)</f>
        <v>0</v>
      </c>
      <c r="Q111" s="64">
        <f>IF(AND(B111="Autumn",AND((E111+E110)&lt;Variables!$B$20,(D110+D111)=0)),-Variables!$B$21*Variables!$E$50,0)</f>
        <v>0</v>
      </c>
      <c r="R111" s="64">
        <f>IF(B111="Autumn",(SUM(F110:F111)*$G$1*Variables!$B$22*Variables!$E$50),0)</f>
        <v>0</v>
      </c>
      <c r="S111" s="64">
        <f>IF(B111="Spring",($G$1*Variables!$E$50*SUM('Guts (option 2)'!F110:F111)*Variables!$B$23),0)</f>
        <v>0</v>
      </c>
      <c r="T111" s="63">
        <f>IF((H110+SUM(J111:Q111))&lt;(Variables!$B$26*Variables!$E$50),$F$1*((Variables!$B$26*Variables!$E$50)-H110-SUM(J111:Q111)),0)</f>
        <v>0</v>
      </c>
      <c r="U111" s="64">
        <f>IF(AND(AND(B111="Autumn",SUM(D108:E111)&gt;Variables!$B$27),SUM(J111:Q111)&lt;Variables!$B$28*H110),$F$1*(Variables!$B$28*H110-SUM(J111:Q111)),0)</f>
        <v>0</v>
      </c>
      <c r="V111" s="96">
        <f>IF(AND((J111+K111)=0,(Q111+T111)=0),$H$1*H111*Variables!$I$23*0.25,0)</f>
        <v>8.7742320312482409</v>
      </c>
      <c r="W111" s="97">
        <f>IF(AND((K111+J111)=0,(T111+Q111)=0),$I$1*H111*Variables!$Q$23*0.25,0)</f>
        <v>9.1843001089405352</v>
      </c>
      <c r="X111" s="95">
        <f>IF(AND(NOT(K111=0),(H111-H110)&gt;0),(H111-H110)*(Variables!$M$5*$H$1+Variables!$U$5*$I$1),0)+IF(AND(NOT((J111+N111+Q111)=0),(H110-H111)&gt;0),(H110-H111)*(Variables!$M$4*$H$1+Variables!$U$4*$I$1),0)</f>
        <v>0</v>
      </c>
      <c r="Y111" s="95">
        <f>IF(SUM(T111,U110:U111)&gt;0,H111*Variables!$Y$11*0.25*(1-$J$1),0)</f>
        <v>0</v>
      </c>
      <c r="Z111" s="95">
        <f>IF(T111=0,H111*$J$1*Variables!$Y$5*0.25,0)</f>
        <v>2.959629696868658</v>
      </c>
      <c r="AA111" s="95">
        <f t="shared" si="2"/>
        <v>20.918161837057433</v>
      </c>
      <c r="AB111" s="91">
        <f>AA111/Variables!$E$49</f>
        <v>3.3738970704931344</v>
      </c>
    </row>
    <row r="112" spans="1:28" x14ac:dyDescent="0.25">
      <c r="A112" s="61">
        <f>'Water runs'!C119</f>
        <v>12205</v>
      </c>
      <c r="B112" s="61" t="str">
        <f>'Water runs'!B119</f>
        <v>Autumn</v>
      </c>
      <c r="C112" s="54">
        <f>'Water runs'!D119/100</f>
        <v>0.1578</v>
      </c>
      <c r="D112" s="108">
        <f>VLOOKUP(ROW(D112)+4,'Water runs'!$BS$3:$CF$423,MATCH($B$1,Scenarios,0)+1)</f>
        <v>0</v>
      </c>
      <c r="E112" s="54">
        <f>IF(B112=Variables!$D$8,C112-Variables!$E$8,IF(B112=Variables!$D$9,C112-Variables!$E$9,IF(B112=Variables!$D$10,C112-Variables!$E$10,IF(B112=Variables!$D$11,C112-Variables!$E$11,"ELSE"))))</f>
        <v>-0.8368432993197279</v>
      </c>
      <c r="F112" s="108">
        <f>VLOOKUP(ROW(F112)+4,'Water runs'!$CH$3:$CU$423,MATCH($B$1,Scenarios,0)+1)</f>
        <v>0</v>
      </c>
      <c r="G112" s="65">
        <f>H112/Variables!$E$49</f>
        <v>0.22031982855101673</v>
      </c>
      <c r="H112" s="62">
        <f>IF((H111+I112)&gt;(1.1*Variables!$E$50),(1.1*Variables!$E$50),IF((H111+I112)&gt;0,H111+I112,0))</f>
        <v>1.3659829370163037</v>
      </c>
      <c r="I112" s="64">
        <f t="shared" si="3"/>
        <v>0</v>
      </c>
      <c r="J112" s="63">
        <f>IF(SUM(E108:E111)&lt;Variables!$B$3,-H111,0)</f>
        <v>0</v>
      </c>
      <c r="K112" s="64">
        <f>IF(AND(H111&lt;Variables!$B$6*Variables!$E$50,OR(SUM(D109:D112)&gt;Variables!$B$5,SUM(E109:E112)&gt;Variables!$B$4)),Variables!$B$6*Variables!$E$50+Variables!$B$7*$G$1*Variables!$E$50*SUM(D109:D112),0)</f>
        <v>0</v>
      </c>
      <c r="L112" s="64">
        <f>IF(B112="Winter",Variables!$B$8*H111,0)</f>
        <v>0</v>
      </c>
      <c r="M112" s="64">
        <f>IF(AND(B112="Spring",AND(NOT(H111=0),H111&lt;(Variables!$B$9*Variables!$E$50))),(Variables!$B$10*Variables!$E$50+Variables!$B$11*Variables!$E$50*SUM(E109:E112)+$G$1*SUM(D111:D112)*Variables!$E$50*Variables!$B$12),0)</f>
        <v>0</v>
      </c>
      <c r="N112" s="64">
        <f>IF(AND(B112="Spring",AND(SUM(D109:D112)&gt;Variables!$B$13,SUM(D105:D108)&gt;Variables!$B$13)),-Variables!$B$14*Variables!$E$50,0)</f>
        <v>0</v>
      </c>
      <c r="O112" s="64">
        <f>IF(AND(B112="Summer",SUM(C108:D112)&gt;Variables!$B$15),(Variables!$B$16*Variables!$E$50*SUM(C108:C112)+$G$1*Variables!$B$16*Variables!$E$50*SUM(D108:D112)+$G$1*Variables!$E$50*Variables!$B$17*F112),0)</f>
        <v>0</v>
      </c>
      <c r="P112" s="64">
        <f>IF(AND(AND(B112="Autumn",SUM(D111:E112)&gt;0),NOT(H111=0)),Variables!$B$18*Variables!$E$50+Variables!$B$19*Variables!$E$50*SUM(E111:E112)+$G$1*Variables!$B$19*Variables!$E$50*SUM(D111:D112),0)</f>
        <v>0</v>
      </c>
      <c r="Q112" s="64">
        <f>IF(AND(B112="Autumn",AND((E112+E111)&lt;Variables!$B$20,(D111+D112)=0)),-Variables!$B$21*Variables!$E$50,0)</f>
        <v>0</v>
      </c>
      <c r="R112" s="64">
        <f>IF(B112="Autumn",(SUM(F111:F112)*$G$1*Variables!$B$22*Variables!$E$50),0)</f>
        <v>0</v>
      </c>
      <c r="S112" s="64">
        <f>IF(B112="Spring",($G$1*Variables!$E$50*SUM('Guts (option 2)'!F111:F112)*Variables!$B$23),0)</f>
        <v>0</v>
      </c>
      <c r="T112" s="63">
        <f>IF((H111+SUM(J112:Q112))&lt;(Variables!$B$26*Variables!$E$50),$F$1*((Variables!$B$26*Variables!$E$50)-H111-SUM(J112:Q112)),0)</f>
        <v>0</v>
      </c>
      <c r="U112" s="64">
        <f>IF(AND(AND(B112="Autumn",SUM(D109:E112)&gt;Variables!$B$27),SUM(J112:Q112)&lt;Variables!$B$28*H111),$F$1*(Variables!$B$28*H111-SUM(J112:Q112)),0)</f>
        <v>0</v>
      </c>
      <c r="V112" s="96">
        <f>IF(AND((J112+K112)=0,(Q112+T112)=0),$H$1*H112*Variables!$I$23*0.25,0)</f>
        <v>8.7742320312482409</v>
      </c>
      <c r="W112" s="97">
        <f>IF(AND((K112+J112)=0,(T112+Q112)=0),$I$1*H112*Variables!$Q$23*0.25,0)</f>
        <v>9.1843001089405352</v>
      </c>
      <c r="X112" s="95">
        <f>IF(AND(NOT(K112=0),(H112-H111)&gt;0),(H112-H111)*(Variables!$M$5*$H$1+Variables!$U$5*$I$1),0)+IF(AND(NOT((J112+N112+Q112)=0),(H111-H112)&gt;0),(H111-H112)*(Variables!$M$4*$H$1+Variables!$U$4*$I$1),0)</f>
        <v>0</v>
      </c>
      <c r="Y112" s="95">
        <f>IF(SUM(T112,U111:U112)&gt;0,H112*Variables!$Y$11*0.25*(1-$J$1),0)</f>
        <v>0</v>
      </c>
      <c r="Z112" s="95">
        <f>IF(T112=0,H112*$J$1*Variables!$Y$5*0.25,0)</f>
        <v>2.959629696868658</v>
      </c>
      <c r="AA112" s="95">
        <f t="shared" si="2"/>
        <v>20.918161837057433</v>
      </c>
      <c r="AB112" s="91">
        <f>AA112/Variables!$E$49</f>
        <v>3.3738970704931344</v>
      </c>
    </row>
    <row r="113" spans="1:28" x14ac:dyDescent="0.25">
      <c r="A113" s="61">
        <f>'Water runs'!C120</f>
        <v>12297</v>
      </c>
      <c r="B113" s="61" t="str">
        <f>'Water runs'!B120</f>
        <v>Winter</v>
      </c>
      <c r="C113" s="54">
        <f>'Water runs'!D120/100</f>
        <v>0.56520000000000004</v>
      </c>
      <c r="D113" s="108">
        <f>VLOOKUP(ROW(D113)+4,'Water runs'!$BS$3:$CF$423,MATCH($B$1,Scenarios,0)+1)</f>
        <v>0</v>
      </c>
      <c r="E113" s="54">
        <f>IF(B113=Variables!$D$8,C113-Variables!$E$8,IF(B113=Variables!$D$9,C113-Variables!$E$9,IF(B113=Variables!$D$10,C113-Variables!$E$10,IF(B113=Variables!$D$11,C113-Variables!$E$11,"ELSE"))))</f>
        <v>-6.5676256613756978E-3</v>
      </c>
      <c r="F113" s="108">
        <f>VLOOKUP(ROW(F113)+4,'Water runs'!$CH$3:$CU$423,MATCH($B$1,Scenarios,0)+1)</f>
        <v>0</v>
      </c>
      <c r="G113" s="65">
        <f>H113/Variables!$E$49</f>
        <v>0.161</v>
      </c>
      <c r="H113" s="62">
        <f>IF((H112+I113)&gt;(1.1*Variables!$E$50),(1.1*Variables!$E$50),IF((H112+I113)&gt;0,H112+I113,0))</f>
        <v>0.99819999999999998</v>
      </c>
      <c r="I113" s="64">
        <f t="shared" si="3"/>
        <v>-0.36778293701630371</v>
      </c>
      <c r="J113" s="63">
        <f>IF(SUM(E109:E112)&lt;Variables!$B$3,-H112,0)</f>
        <v>-1.3659829370163037</v>
      </c>
      <c r="K113" s="64">
        <f>IF(AND(H112&lt;Variables!$B$6*Variables!$E$50,OR(SUM(D110:D113)&gt;Variables!$B$5,SUM(E110:E113)&gt;Variables!$B$4)),Variables!$B$6*Variables!$E$50+Variables!$B$7*$G$1*Variables!$E$50*SUM(D110:D113),0)</f>
        <v>0</v>
      </c>
      <c r="L113" s="64">
        <f>IF(B113="Winter",Variables!$B$8*H112,0)</f>
        <v>-0.68018471006221515</v>
      </c>
      <c r="M113" s="64">
        <f>IF(AND(B113="Spring",AND(NOT(H112=0),H112&lt;(Variables!$B$9*Variables!$E$50))),(Variables!$B$10*Variables!$E$50+Variables!$B$11*Variables!$E$50*SUM(E110:E113)+$G$1*SUM(D112:D113)*Variables!$E$50*Variables!$B$12),0)</f>
        <v>0</v>
      </c>
      <c r="N113" s="64">
        <f>IF(AND(B113="Spring",AND(SUM(D110:D113)&gt;Variables!$B$13,SUM(D106:D109)&gt;Variables!$B$13)),-Variables!$B$14*Variables!$E$50,0)</f>
        <v>0</v>
      </c>
      <c r="O113" s="64">
        <f>IF(AND(B113="Summer",SUM(C109:D113)&gt;Variables!$B$15),(Variables!$B$16*Variables!$E$50*SUM(C109:C113)+$G$1*Variables!$B$16*Variables!$E$50*SUM(D109:D113)+$G$1*Variables!$E$50*Variables!$B$17*F113),0)</f>
        <v>0</v>
      </c>
      <c r="P113" s="64">
        <f>IF(AND(AND(B113="Autumn",SUM(D112:E113)&gt;0),NOT(H112=0)),Variables!$B$18*Variables!$E$50+Variables!$B$19*Variables!$E$50*SUM(E112:E113)+$G$1*Variables!$B$19*Variables!$E$50*SUM(D112:D113),0)</f>
        <v>0</v>
      </c>
      <c r="Q113" s="64">
        <f>IF(AND(B113="Autumn",AND((E113+E112)&lt;Variables!$B$20,(D112+D113)=0)),-Variables!$B$21*Variables!$E$50,0)</f>
        <v>0</v>
      </c>
      <c r="R113" s="64">
        <f>IF(B113="Autumn",(SUM(F112:F113)*$G$1*Variables!$B$22*Variables!$E$50),0)</f>
        <v>0</v>
      </c>
      <c r="S113" s="64">
        <f>IF(B113="Spring",($G$1*Variables!$E$50*SUM('Guts (option 2)'!F112:F113)*Variables!$B$23),0)</f>
        <v>0</v>
      </c>
      <c r="T113" s="63">
        <f>IF((H112+SUM(J113:Q113))&lt;(Variables!$B$26*Variables!$E$50),$F$1*((Variables!$B$26*Variables!$E$50)-H112-SUM(J113:Q113)),0)</f>
        <v>1.6783847100622151</v>
      </c>
      <c r="U113" s="64">
        <f>IF(AND(AND(B113="Autumn",SUM(D110:E113)&gt;Variables!$B$27),SUM(J113:Q113)&lt;Variables!$B$28*H112),$F$1*(Variables!$B$28*H112-SUM(J113:Q113)),0)</f>
        <v>0</v>
      </c>
      <c r="V113" s="96">
        <f>IF(AND((J113+K113)=0,(Q113+T113)=0),$H$1*H113*Variables!$I$23*0.25,0)</f>
        <v>0</v>
      </c>
      <c r="W113" s="97">
        <f>IF(AND((K113+J113)=0,(T113+Q113)=0),$I$1*H113*Variables!$Q$23*0.25,0)</f>
        <v>0</v>
      </c>
      <c r="X113" s="95">
        <f>IF(AND(NOT(K113=0),(H113-H112)&gt;0),(H113-H112)*(Variables!$M$5*$H$1+Variables!$U$5*$I$1),0)+IF(AND(NOT((J113+N113+Q113)=0),(H112-H113)&gt;0),(H112-H113)*(Variables!$M$4*$H$1+Variables!$U$4*$I$1),0)</f>
        <v>15.324289042345987</v>
      </c>
      <c r="Y113" s="95">
        <f>IF(SUM(T113,U112:U113)&gt;0,H113*Variables!$Y$11*0.25*(1-$J$1),0)</f>
        <v>-6.9874000000000009</v>
      </c>
      <c r="Z113" s="95">
        <f>IF(T113=0,H113*$J$1*Variables!$Y$5*0.25,0)</f>
        <v>0</v>
      </c>
      <c r="AA113" s="95">
        <f t="shared" si="2"/>
        <v>8.3368890423459856</v>
      </c>
      <c r="AB113" s="91">
        <f>AA113/Variables!$E$49</f>
        <v>1.3446595229590299</v>
      </c>
    </row>
    <row r="114" spans="1:28" x14ac:dyDescent="0.25">
      <c r="A114" s="61">
        <f>'Water runs'!C121</f>
        <v>12388</v>
      </c>
      <c r="B114" s="61" t="str">
        <f>'Water runs'!B121</f>
        <v>Spring</v>
      </c>
      <c r="C114" s="54">
        <f>'Water runs'!D121/100</f>
        <v>1.9658000000000002</v>
      </c>
      <c r="D114" s="108">
        <f>VLOOKUP(ROW(D114)+4,'Water runs'!$BS$3:$CF$423,MATCH($B$1,Scenarios,0)+1)</f>
        <v>0.13879761518301809</v>
      </c>
      <c r="E114" s="54">
        <f>IF(B114=Variables!$D$8,C114-Variables!$E$8,IF(B114=Variables!$D$9,C114-Variables!$E$9,IF(B114=Variables!$D$10,C114-Variables!$E$10,IF(B114=Variables!$D$11,C114-Variables!$E$11,"ELSE"))))</f>
        <v>1.2018177910052912</v>
      </c>
      <c r="F114" s="108">
        <f>VLOOKUP(ROW(F114)+4,'Water runs'!$CH$3:$CU$423,MATCH($B$1,Scenarios,0)+1)</f>
        <v>0</v>
      </c>
      <c r="G114" s="65">
        <f>H114/Variables!$E$49</f>
        <v>0.31796654728471802</v>
      </c>
      <c r="H114" s="62">
        <f>IF((H113+I114)&gt;(1.1*Variables!$E$50),(1.1*Variables!$E$50),IF((H113+I114)&gt;0,H113+I114,0))</f>
        <v>1.9713925931652518</v>
      </c>
      <c r="I114" s="64">
        <f t="shared" si="3"/>
        <v>0.97319259316525175</v>
      </c>
      <c r="J114" s="63">
        <f>IF(SUM(E110:E113)&lt;Variables!$B$3,-H113,0)</f>
        <v>0</v>
      </c>
      <c r="K114" s="64">
        <f>IF(AND(H113&lt;Variables!$B$6*Variables!$E$50,OR(SUM(D111:D114)&gt;Variables!$B$5,SUM(E111:E114)&gt;Variables!$B$4)),Variables!$B$6*Variables!$E$50+Variables!$B$7*$G$1*Variables!$E$50*SUM(D111:D114),0)</f>
        <v>1.148987156477882</v>
      </c>
      <c r="L114" s="64">
        <f>IF(B114="Winter",Variables!$B$8*H113,0)</f>
        <v>0</v>
      </c>
      <c r="M114" s="64">
        <f>IF(AND(B114="Spring",AND(NOT(H113=0),H113&lt;(Variables!$B$9*Variables!$E$50))),(Variables!$B$10*Variables!$E$50+Variables!$B$11*Variables!$E$50*SUM(E111:E114)+$G$1*SUM(D113:D114)*Variables!$E$50*Variables!$B$12),0)</f>
        <v>-0.17579456331263019</v>
      </c>
      <c r="N114" s="64">
        <f>IF(AND(B114="Spring",AND(SUM(D111:D114)&gt;Variables!$B$13,SUM(D107:D110)&gt;Variables!$B$13)),-Variables!$B$14*Variables!$E$50,0)</f>
        <v>0</v>
      </c>
      <c r="O114" s="64">
        <f>IF(AND(B114="Summer",SUM(C110:D114)&gt;Variables!$B$15),(Variables!$B$16*Variables!$E$50*SUM(C110:C114)+$G$1*Variables!$B$16*Variables!$E$50*SUM(D110:D114)+$G$1*Variables!$E$50*Variables!$B$17*F114),0)</f>
        <v>0</v>
      </c>
      <c r="P114" s="64">
        <f>IF(AND(AND(B114="Autumn",SUM(D113:E114)&gt;0),NOT(H113=0)),Variables!$B$18*Variables!$E$50+Variables!$B$19*Variables!$E$50*SUM(E113:E114)+$G$1*Variables!$B$19*Variables!$E$50*SUM(D113:D114),0)</f>
        <v>0</v>
      </c>
      <c r="Q114" s="64">
        <f>IF(AND(B114="Autumn",AND((E114+E113)&lt;Variables!$B$20,(D113+D114)=0)),-Variables!$B$21*Variables!$E$50,0)</f>
        <v>0</v>
      </c>
      <c r="R114" s="64">
        <f>IF(B114="Autumn",(SUM(F113:F114)*$G$1*Variables!$B$22*Variables!$E$50),0)</f>
        <v>0</v>
      </c>
      <c r="S114" s="64">
        <f>IF(B114="Spring",($G$1*Variables!$E$50*SUM('Guts (option 2)'!F113:F114)*Variables!$B$23),0)</f>
        <v>0</v>
      </c>
      <c r="T114" s="63">
        <f>IF((H113+SUM(J114:Q114))&lt;(Variables!$B$26*Variables!$E$50),$F$1*((Variables!$B$26*Variables!$E$50)-H113-SUM(J114:Q114)),0)</f>
        <v>0</v>
      </c>
      <c r="U114" s="64">
        <f>IF(AND(AND(B114="Autumn",SUM(D111:E114)&gt;Variables!$B$27),SUM(J114:Q114)&lt;Variables!$B$28*H113),$F$1*(Variables!$B$28*H113-SUM(J114:Q114)),0)</f>
        <v>0</v>
      </c>
      <c r="V114" s="96">
        <f>IF(AND((J114+K114)=0,(Q114+T114)=0),$H$1*H114*Variables!$I$23*0.25,0)</f>
        <v>0</v>
      </c>
      <c r="W114" s="97">
        <f>IF(AND((K114+J114)=0,(T114+Q114)=0),$I$1*H114*Variables!$Q$23*0.25,0)</f>
        <v>0</v>
      </c>
      <c r="X114" s="95">
        <f>IF(AND(NOT(K114=0),(H114-H113)&gt;0),(H114-H113)*(Variables!$M$5*$H$1+Variables!$U$5*$I$1),0)+IF(AND(NOT((J114+N114+Q114)=0),(H113-H114)&gt;0),(H113-H114)*(Variables!$M$4*$H$1+Variables!$U$4*$I$1),0)</f>
        <v>-81.09938276377099</v>
      </c>
      <c r="Y114" s="95">
        <f>IF(SUM(T114,U113:U114)&gt;0,H114*Variables!$Y$11*0.25*(1-$J$1),0)</f>
        <v>0</v>
      </c>
      <c r="Z114" s="95">
        <f>IF(T114=0,H114*$J$1*Variables!$Y$5*0.25,0)</f>
        <v>4.2713506185247123</v>
      </c>
      <c r="AA114" s="95">
        <f t="shared" si="2"/>
        <v>-76.828032145246283</v>
      </c>
      <c r="AB114" s="91">
        <f>AA114/Variables!$E$49</f>
        <v>-12.391618087942948</v>
      </c>
    </row>
    <row r="115" spans="1:28" x14ac:dyDescent="0.25">
      <c r="A115" s="61">
        <f>'Water runs'!C122</f>
        <v>12478</v>
      </c>
      <c r="B115" s="61" t="str">
        <f>'Water runs'!B122</f>
        <v>Summer</v>
      </c>
      <c r="C115" s="54">
        <f>'Water runs'!D122/100</f>
        <v>1.5631999999999999</v>
      </c>
      <c r="D115" s="108">
        <f>VLOOKUP(ROW(D115)+4,'Water runs'!$BS$3:$CF$423,MATCH($B$1,Scenarios,0)+1)</f>
        <v>3.9300390343549832E-2</v>
      </c>
      <c r="E115" s="54">
        <f>IF(B115=Variables!$D$8,C115-Variables!$E$8,IF(B115=Variables!$D$9,C115-Variables!$E$9,IF(B115=Variables!$D$10,C115-Variables!$E$10,IF(B115=Variables!$D$11,C115-Variables!$E$11,"ELSE"))))</f>
        <v>0.30482986394557821</v>
      </c>
      <c r="F115" s="108">
        <f>VLOOKUP(ROW(F115)+4,'Water runs'!$CH$3:$CU$423,MATCH($B$1,Scenarios,0)+1)</f>
        <v>0.15612395980965804</v>
      </c>
      <c r="G115" s="65">
        <f>H115/Variables!$E$49</f>
        <v>0.31796654728471802</v>
      </c>
      <c r="H115" s="62">
        <f>IF((H114+I115)&gt;(1.1*Variables!$E$50),(1.1*Variables!$E$50),IF((H114+I115)&gt;0,H114+I115,0))</f>
        <v>1.9713925931652518</v>
      </c>
      <c r="I115" s="64">
        <f t="shared" si="3"/>
        <v>0</v>
      </c>
      <c r="J115" s="63">
        <f>IF(SUM(E111:E114)&lt;Variables!$B$3,-H114,0)</f>
        <v>0</v>
      </c>
      <c r="K115" s="64">
        <f>IF(AND(H114&lt;Variables!$B$6*Variables!$E$50,OR(SUM(D112:D115)&gt;Variables!$B$5,SUM(E112:E115)&gt;Variables!$B$4)),Variables!$B$6*Variables!$E$50+Variables!$B$7*$G$1*Variables!$E$50*SUM(D112:D115),0)</f>
        <v>0</v>
      </c>
      <c r="L115" s="64">
        <f>IF(B115="Winter",Variables!$B$8*H114,0)</f>
        <v>0</v>
      </c>
      <c r="M115" s="64">
        <f>IF(AND(B115="Spring",AND(NOT(H114=0),H114&lt;(Variables!$B$9*Variables!$E$50))),(Variables!$B$10*Variables!$E$50+Variables!$B$11*Variables!$E$50*SUM(E112:E115)+$G$1*SUM(D114:D115)*Variables!$E$50*Variables!$B$12),0)</f>
        <v>0</v>
      </c>
      <c r="N115" s="64">
        <f>IF(AND(B115="Spring",AND(SUM(D112:D115)&gt;Variables!$B$13,SUM(D108:D111)&gt;Variables!$B$13)),-Variables!$B$14*Variables!$E$50,0)</f>
        <v>0</v>
      </c>
      <c r="O115" s="64">
        <f>IF(AND(B115="Summer",SUM(C111:D115)&gt;Variables!$B$15),(Variables!$B$16*Variables!$E$50*SUM(C111:C115)+$G$1*Variables!$B$16*Variables!$E$50*SUM(D111:D115)+$G$1*Variables!$E$50*Variables!$B$17*F115),0)</f>
        <v>0</v>
      </c>
      <c r="P115" s="64">
        <f>IF(AND(AND(B115="Autumn",SUM(D114:E115)&gt;0),NOT(H114=0)),Variables!$B$18*Variables!$E$50+Variables!$B$19*Variables!$E$50*SUM(E114:E115)+$G$1*Variables!$B$19*Variables!$E$50*SUM(D114:D115),0)</f>
        <v>0</v>
      </c>
      <c r="Q115" s="64">
        <f>IF(AND(B115="Autumn",AND((E115+E114)&lt;Variables!$B$20,(D114+D115)=0)),-Variables!$B$21*Variables!$E$50,0)</f>
        <v>0</v>
      </c>
      <c r="R115" s="64">
        <f>IF(B115="Autumn",(SUM(F114:F115)*$G$1*Variables!$B$22*Variables!$E$50),0)</f>
        <v>0</v>
      </c>
      <c r="S115" s="64">
        <f>IF(B115="Spring",($G$1*Variables!$E$50*SUM('Guts (option 2)'!F114:F115)*Variables!$B$23),0)</f>
        <v>0</v>
      </c>
      <c r="T115" s="63">
        <f>IF((H114+SUM(J115:Q115))&lt;(Variables!$B$26*Variables!$E$50),$F$1*((Variables!$B$26*Variables!$E$50)-H114-SUM(J115:Q115)),0)</f>
        <v>0</v>
      </c>
      <c r="U115" s="64">
        <f>IF(AND(AND(B115="Autumn",SUM(D112:E115)&gt;Variables!$B$27),SUM(J115:Q115)&lt;Variables!$B$28*H114),$F$1*(Variables!$B$28*H114-SUM(J115:Q115)),0)</f>
        <v>0</v>
      </c>
      <c r="V115" s="96">
        <f>IF(AND((J115+K115)=0,(Q115+T115)=0),$H$1*H115*Variables!$I$23*0.25,0)</f>
        <v>12.66301032639446</v>
      </c>
      <c r="W115" s="97">
        <f>IF(AND((K115+J115)=0,(T115+Q115)=0),$I$1*H115*Variables!$Q$23*0.25,0)</f>
        <v>13.254822382862667</v>
      </c>
      <c r="X115" s="95">
        <f>IF(AND(NOT(K115=0),(H115-H114)&gt;0),(H115-H114)*(Variables!$M$5*$H$1+Variables!$U$5*$I$1),0)+IF(AND(NOT((J115+N115+Q115)=0),(H114-H115)&gt;0),(H114-H115)*(Variables!$M$4*$H$1+Variables!$U$4*$I$1),0)</f>
        <v>0</v>
      </c>
      <c r="Y115" s="95">
        <f>IF(SUM(T115,U114:U115)&gt;0,H115*Variables!$Y$11*0.25*(1-$J$1),0)</f>
        <v>0</v>
      </c>
      <c r="Z115" s="95">
        <f>IF(T115=0,H115*$J$1*Variables!$Y$5*0.25,0)</f>
        <v>4.2713506185247123</v>
      </c>
      <c r="AA115" s="95">
        <f t="shared" si="2"/>
        <v>30.189183327781841</v>
      </c>
      <c r="AB115" s="91">
        <f>AA115/Variables!$E$49</f>
        <v>4.869223117384168</v>
      </c>
    </row>
    <row r="116" spans="1:28" x14ac:dyDescent="0.25">
      <c r="A116" s="61">
        <f>'Water runs'!C123</f>
        <v>12570</v>
      </c>
      <c r="B116" s="61" t="str">
        <f>'Water runs'!B123</f>
        <v>Autumn</v>
      </c>
      <c r="C116" s="54">
        <f>'Water runs'!D123/100</f>
        <v>0</v>
      </c>
      <c r="D116" s="108">
        <f>VLOOKUP(ROW(D116)+4,'Water runs'!$BS$3:$CF$423,MATCH($B$1,Scenarios,0)+1)</f>
        <v>0</v>
      </c>
      <c r="E116" s="54">
        <f>IF(B116=Variables!$D$8,C116-Variables!$E$8,IF(B116=Variables!$D$9,C116-Variables!$E$9,IF(B116=Variables!$D$10,C116-Variables!$E$10,IF(B116=Variables!$D$11,C116-Variables!$E$11,"ELSE"))))</f>
        <v>-0.99464329931972784</v>
      </c>
      <c r="F116" s="108">
        <f>VLOOKUP(ROW(F116)+4,'Water runs'!$CH$3:$CU$423,MATCH($B$1,Scenarios,0)+1)</f>
        <v>0</v>
      </c>
      <c r="G116" s="65">
        <f>H116/Variables!$E$49</f>
        <v>0.32151437115390114</v>
      </c>
      <c r="H116" s="62">
        <f>IF((H115+I116)&gt;(1.1*Variables!$E$50),(1.1*Variables!$E$50),IF((H115+I116)&gt;0,H115+I116,0))</f>
        <v>1.9933891011541871</v>
      </c>
      <c r="I116" s="64">
        <f t="shared" si="3"/>
        <v>2.1996507988935231E-2</v>
      </c>
      <c r="J116" s="63">
        <f>IF(SUM(E112:E115)&lt;Variables!$B$3,-H115,0)</f>
        <v>0</v>
      </c>
      <c r="K116" s="64">
        <f>IF(AND(H115&lt;Variables!$B$6*Variables!$E$50,OR(SUM(D113:D116)&gt;Variables!$B$5,SUM(E113:E116)&gt;Variables!$B$4)),Variables!$B$6*Variables!$E$50+Variables!$B$7*$G$1*Variables!$E$50*SUM(D113:D116),0)</f>
        <v>0</v>
      </c>
      <c r="L116" s="64">
        <f>IF(B116="Winter",Variables!$B$8*H115,0)</f>
        <v>0</v>
      </c>
      <c r="M116" s="64">
        <f>IF(AND(B116="Spring",AND(NOT(H115=0),H115&lt;(Variables!$B$9*Variables!$E$50))),(Variables!$B$10*Variables!$E$50+Variables!$B$11*Variables!$E$50*SUM(E113:E116)+$G$1*SUM(D115:D116)*Variables!$E$50*Variables!$B$12),0)</f>
        <v>0</v>
      </c>
      <c r="N116" s="64">
        <f>IF(AND(B116="Spring",AND(SUM(D113:D116)&gt;Variables!$B$13,SUM(D109:D112)&gt;Variables!$B$13)),-Variables!$B$14*Variables!$E$50,0)</f>
        <v>0</v>
      </c>
      <c r="O116" s="64">
        <f>IF(AND(B116="Summer",SUM(C112:D116)&gt;Variables!$B$15),(Variables!$B$16*Variables!$E$50*SUM(C112:C116)+$G$1*Variables!$B$16*Variables!$E$50*SUM(D112:D116)+$G$1*Variables!$E$50*Variables!$B$17*F116),0)</f>
        <v>0</v>
      </c>
      <c r="P116" s="64">
        <f>IF(AND(AND(B116="Autumn",SUM(D115:E116)&gt;0),NOT(H115=0)),Variables!$B$18*Variables!$E$50+Variables!$B$19*Variables!$E$50*SUM(E115:E116)+$G$1*Variables!$B$19*Variables!$E$50*SUM(D115:D116),0)</f>
        <v>0</v>
      </c>
      <c r="Q116" s="64">
        <f>IF(AND(B116="Autumn",AND((E116+E115)&lt;Variables!$B$20,(D115+D116)=0)),-Variables!$B$21*Variables!$E$50,0)</f>
        <v>0</v>
      </c>
      <c r="R116" s="64">
        <f>IF(B116="Autumn",(SUM(F115:F116)*$G$1*Variables!$B$22*Variables!$E$50),0)</f>
        <v>2.1996507988935231E-2</v>
      </c>
      <c r="S116" s="64">
        <f>IF(B116="Spring",($G$1*Variables!$E$50*SUM('Guts (option 2)'!F115:F116)*Variables!$B$23),0)</f>
        <v>0</v>
      </c>
      <c r="T116" s="63">
        <f>IF((H115+SUM(J116:Q116))&lt;(Variables!$B$26*Variables!$E$50),$F$1*((Variables!$B$26*Variables!$E$50)-H115-SUM(J116:Q116)),0)</f>
        <v>0</v>
      </c>
      <c r="U116" s="64">
        <f>IF(AND(AND(B116="Autumn",SUM(D113:E116)&gt;Variables!$B$27),SUM(J116:Q116)&lt;Variables!$B$28*H115),$F$1*(Variables!$B$28*H115-SUM(J116:Q116)),0)</f>
        <v>0</v>
      </c>
      <c r="V116" s="96">
        <f>IF(AND((J116+K116)=0,(Q116+T116)=0),$H$1*H116*Variables!$I$23*0.25,0)</f>
        <v>12.80430232920212</v>
      </c>
      <c r="W116" s="97">
        <f>IF(AND((K116+J116)=0,(T116+Q116)=0),$I$1*H116*Variables!$Q$23*0.25,0)</f>
        <v>13.402717737368606</v>
      </c>
      <c r="X116" s="95">
        <f>IF(AND(NOT(K116=0),(H116-H115)&gt;0),(H116-H115)*(Variables!$M$5*$H$1+Variables!$U$5*$I$1),0)+IF(AND(NOT((J116+N116+Q116)=0),(H115-H116)&gt;0),(H115-H116)*(Variables!$M$4*$H$1+Variables!$U$4*$I$1),0)</f>
        <v>0</v>
      </c>
      <c r="Y116" s="95">
        <f>IF(SUM(T116,U115:U116)&gt;0,H116*Variables!$Y$11*0.25*(1-$J$1),0)</f>
        <v>0</v>
      </c>
      <c r="Z116" s="95">
        <f>IF(T116=0,H116*$J$1*Variables!$Y$5*0.25,0)</f>
        <v>4.3190097191674051</v>
      </c>
      <c r="AA116" s="95">
        <f t="shared" si="2"/>
        <v>30.526029785738132</v>
      </c>
      <c r="AB116" s="91">
        <f>AA116/Variables!$E$49</f>
        <v>4.9235531912480859</v>
      </c>
    </row>
    <row r="117" spans="1:28" x14ac:dyDescent="0.25">
      <c r="A117" s="61">
        <f>'Water runs'!C124</f>
        <v>12662</v>
      </c>
      <c r="B117" s="61" t="str">
        <f>'Water runs'!B124</f>
        <v>Winter</v>
      </c>
      <c r="C117" s="54">
        <f>'Water runs'!D124/100</f>
        <v>0.67390000000000005</v>
      </c>
      <c r="D117" s="108">
        <f>VLOOKUP(ROW(D117)+4,'Water runs'!$BS$3:$CF$423,MATCH($B$1,Scenarios,0)+1)</f>
        <v>0</v>
      </c>
      <c r="E117" s="54">
        <f>IF(B117=Variables!$D$8,C117-Variables!$E$8,IF(B117=Variables!$D$9,C117-Variables!$E$9,IF(B117=Variables!$D$10,C117-Variables!$E$10,IF(B117=Variables!$D$11,C117-Variables!$E$11,"ELSE"))))</f>
        <v>0.10213237433862432</v>
      </c>
      <c r="F117" s="108">
        <f>VLOOKUP(ROW(F117)+4,'Water runs'!$CH$3:$CU$423,MATCH($B$1,Scenarios,0)+1)</f>
        <v>0</v>
      </c>
      <c r="G117" s="65">
        <f>H117/Variables!$E$49</f>
        <v>0.16141781840937625</v>
      </c>
      <c r="H117" s="62">
        <f>IF((H116+I117)&gt;(1.1*Variables!$E$50),(1.1*Variables!$E$50),IF((H116+I117)&gt;0,H116+I117,0))</f>
        <v>1.0007904741381328</v>
      </c>
      <c r="I117" s="64">
        <f t="shared" si="3"/>
        <v>-0.99259862701605428</v>
      </c>
      <c r="J117" s="63">
        <f>IF(SUM(E113:E116)&lt;Variables!$B$3,-H116,0)</f>
        <v>0</v>
      </c>
      <c r="K117" s="64">
        <f>IF(AND(H116&lt;Variables!$B$6*Variables!$E$50,OR(SUM(D114:D117)&gt;Variables!$B$5,SUM(E114:E117)&gt;Variables!$B$4)),Variables!$B$6*Variables!$E$50+Variables!$B$7*$G$1*Variables!$E$50*SUM(D114:D117),0)</f>
        <v>0</v>
      </c>
      <c r="L117" s="64">
        <f>IF(B117="Winter",Variables!$B$8*H116,0)</f>
        <v>-0.99259862701605428</v>
      </c>
      <c r="M117" s="64">
        <f>IF(AND(B117="Spring",AND(NOT(H116=0),H116&lt;(Variables!$B$9*Variables!$E$50))),(Variables!$B$10*Variables!$E$50+Variables!$B$11*Variables!$E$50*SUM(E114:E117)+$G$1*SUM(D116:D117)*Variables!$E$50*Variables!$B$12),0)</f>
        <v>0</v>
      </c>
      <c r="N117" s="64">
        <f>IF(AND(B117="Spring",AND(SUM(D114:D117)&gt;Variables!$B$13,SUM(D110:D113)&gt;Variables!$B$13)),-Variables!$B$14*Variables!$E$50,0)</f>
        <v>0</v>
      </c>
      <c r="O117" s="64">
        <f>IF(AND(B117="Summer",SUM(C113:D117)&gt;Variables!$B$15),(Variables!$B$16*Variables!$E$50*SUM(C113:C117)+$G$1*Variables!$B$16*Variables!$E$50*SUM(D113:D117)+$G$1*Variables!$E$50*Variables!$B$17*F117),0)</f>
        <v>0</v>
      </c>
      <c r="P117" s="64">
        <f>IF(AND(AND(B117="Autumn",SUM(D116:E117)&gt;0),NOT(H116=0)),Variables!$B$18*Variables!$E$50+Variables!$B$19*Variables!$E$50*SUM(E116:E117)+$G$1*Variables!$B$19*Variables!$E$50*SUM(D116:D117),0)</f>
        <v>0</v>
      </c>
      <c r="Q117" s="64">
        <f>IF(AND(B117="Autumn",AND((E117+E116)&lt;Variables!$B$20,(D116+D117)=0)),-Variables!$B$21*Variables!$E$50,0)</f>
        <v>0</v>
      </c>
      <c r="R117" s="64">
        <f>IF(B117="Autumn",(SUM(F116:F117)*$G$1*Variables!$B$22*Variables!$E$50),0)</f>
        <v>0</v>
      </c>
      <c r="S117" s="64">
        <f>IF(B117="Spring",($G$1*Variables!$E$50*SUM('Guts (option 2)'!F116:F117)*Variables!$B$23),0)</f>
        <v>0</v>
      </c>
      <c r="T117" s="63">
        <f>IF((H116+SUM(J117:Q117))&lt;(Variables!$B$26*Variables!$E$50),$F$1*((Variables!$B$26*Variables!$E$50)-H116-SUM(J117:Q117)),0)</f>
        <v>0</v>
      </c>
      <c r="U117" s="64">
        <f>IF(AND(AND(B117="Autumn",SUM(D114:E117)&gt;Variables!$B$27),SUM(J117:Q117)&lt;Variables!$B$28*H116),$F$1*(Variables!$B$28*H116-SUM(J117:Q117)),0)</f>
        <v>0</v>
      </c>
      <c r="V117" s="96">
        <f>IF(AND((J117+K117)=0,(Q117+T117)=0),$H$1*H117*Variables!$I$23*0.25,0)</f>
        <v>6.428460851737646</v>
      </c>
      <c r="W117" s="97">
        <f>IF(AND((K117+J117)=0,(T117+Q117)=0),$I$1*H117*Variables!$Q$23*0.25,0)</f>
        <v>6.7288981520739126</v>
      </c>
      <c r="X117" s="95">
        <f>IF(AND(NOT(K117=0),(H117-H116)&gt;0),(H117-H116)*(Variables!$M$5*$H$1+Variables!$U$5*$I$1),0)+IF(AND(NOT((J117+N117+Q117)=0),(H116-H117)&gt;0),(H116-H117)*(Variables!$M$4*$H$1+Variables!$U$4*$I$1),0)</f>
        <v>0</v>
      </c>
      <c r="Y117" s="95">
        <f>IF(SUM(T117,U116:U117)&gt;0,H117*Variables!$Y$11*0.25*(1-$J$1),0)</f>
        <v>0</v>
      </c>
      <c r="Z117" s="95">
        <f>IF(T117=0,H117*$J$1*Variables!$Y$5*0.25,0)</f>
        <v>2.1683793606326209</v>
      </c>
      <c r="AA117" s="95">
        <f t="shared" si="2"/>
        <v>15.325738364444179</v>
      </c>
      <c r="AB117" s="91">
        <f>AA117/Variables!$E$49</f>
        <v>2.4718932845877708</v>
      </c>
    </row>
    <row r="118" spans="1:28" x14ac:dyDescent="0.25">
      <c r="A118" s="61">
        <f>'Water runs'!C125</f>
        <v>12753</v>
      </c>
      <c r="B118" s="61" t="str">
        <f>'Water runs'!B125</f>
        <v>Spring</v>
      </c>
      <c r="C118" s="54">
        <f>'Water runs'!D125/100</f>
        <v>1.6743999999999999</v>
      </c>
      <c r="D118" s="108">
        <f>VLOOKUP(ROW(D118)+4,'Water runs'!$BS$3:$CF$423,MATCH($B$1,Scenarios,0)+1)</f>
        <v>0</v>
      </c>
      <c r="E118" s="54">
        <f>IF(B118=Variables!$D$8,C118-Variables!$E$8,IF(B118=Variables!$D$9,C118-Variables!$E$9,IF(B118=Variables!$D$10,C118-Variables!$E$10,IF(B118=Variables!$D$11,C118-Variables!$E$11,"ELSE"))))</f>
        <v>0.91041779100529074</v>
      </c>
      <c r="F118" s="108">
        <f>VLOOKUP(ROW(F118)+4,'Water runs'!$CH$3:$CU$423,MATCH($B$1,Scenarios,0)+1)</f>
        <v>0</v>
      </c>
      <c r="G118" s="65">
        <f>H118/Variables!$E$49</f>
        <v>0.38120446174093431</v>
      </c>
      <c r="H118" s="62">
        <f>IF((H117+I118)&gt;(1.1*Variables!$E$50),(1.1*Variables!$E$50),IF((H117+I118)&gt;0,H117+I118,0))</f>
        <v>2.3634676627937927</v>
      </c>
      <c r="I118" s="64">
        <f t="shared" si="3"/>
        <v>1.3626771886556599</v>
      </c>
      <c r="J118" s="63">
        <f>IF(SUM(E114:E117)&lt;Variables!$B$3,-H117,0)</f>
        <v>0</v>
      </c>
      <c r="K118" s="64">
        <f>IF(AND(H117&lt;Variables!$B$6*Variables!$E$50,OR(SUM(D115:D118)&gt;Variables!$B$5,SUM(E115:E118)&gt;Variables!$B$4)),Variables!$B$6*Variables!$E$50+Variables!$B$7*$G$1*Variables!$E$50*SUM(D115:D118),0)</f>
        <v>1.1428735671953063</v>
      </c>
      <c r="L118" s="64">
        <f>IF(B118="Winter",Variables!$B$8*H117,0)</f>
        <v>0</v>
      </c>
      <c r="M118" s="64">
        <f>IF(AND(B118="Spring",AND(NOT(H117=0),H117&lt;(Variables!$B$9*Variables!$E$50))),(Variables!$B$10*Variables!$E$50+Variables!$B$11*Variables!$E$50*SUM(E115:E118)+$G$1*SUM(D117:D118)*Variables!$E$50*Variables!$B$12),0)</f>
        <v>0.21980362146035359</v>
      </c>
      <c r="N118" s="64">
        <f>IF(AND(B118="Spring",AND(SUM(D115:D118)&gt;Variables!$B$13,SUM(D111:D114)&gt;Variables!$B$13)),-Variables!$B$14*Variables!$E$50,0)</f>
        <v>0</v>
      </c>
      <c r="O118" s="64">
        <f>IF(AND(B118="Summer",SUM(C114:D118)&gt;Variables!$B$15),(Variables!$B$16*Variables!$E$50*SUM(C114:C118)+$G$1*Variables!$B$16*Variables!$E$50*SUM(D114:D118)+$G$1*Variables!$E$50*Variables!$B$17*F118),0)</f>
        <v>0</v>
      </c>
      <c r="P118" s="64">
        <f>IF(AND(AND(B118="Autumn",SUM(D117:E118)&gt;0),NOT(H117=0)),Variables!$B$18*Variables!$E$50+Variables!$B$19*Variables!$E$50*SUM(E117:E118)+$G$1*Variables!$B$19*Variables!$E$50*SUM(D117:D118),0)</f>
        <v>0</v>
      </c>
      <c r="Q118" s="64">
        <f>IF(AND(B118="Autumn",AND((E118+E117)&lt;Variables!$B$20,(D117+D118)=0)),-Variables!$B$21*Variables!$E$50,0)</f>
        <v>0</v>
      </c>
      <c r="R118" s="64">
        <f>IF(B118="Autumn",(SUM(F117:F118)*$G$1*Variables!$B$22*Variables!$E$50),0)</f>
        <v>0</v>
      </c>
      <c r="S118" s="64">
        <f>IF(B118="Spring",($G$1*Variables!$E$50*SUM('Guts (option 2)'!F117:F118)*Variables!$B$23),0)</f>
        <v>0</v>
      </c>
      <c r="T118" s="63">
        <f>IF((H117+SUM(J118:Q118))&lt;(Variables!$B$26*Variables!$E$50),$F$1*((Variables!$B$26*Variables!$E$50)-H117-SUM(J118:Q118)),0)</f>
        <v>0</v>
      </c>
      <c r="U118" s="64">
        <f>IF(AND(AND(B118="Autumn",SUM(D115:E118)&gt;Variables!$B$27),SUM(J118:Q118)&lt;Variables!$B$28*H117),$F$1*(Variables!$B$28*H117-SUM(J118:Q118)),0)</f>
        <v>0</v>
      </c>
      <c r="V118" s="96">
        <f>IF(AND((J118+K118)=0,(Q118+T118)=0),$H$1*H118*Variables!$I$23*0.25,0)</f>
        <v>0</v>
      </c>
      <c r="W118" s="97">
        <f>IF(AND((K118+J118)=0,(T118+Q118)=0),$I$1*H118*Variables!$Q$23*0.25,0)</f>
        <v>0</v>
      </c>
      <c r="X118" s="95">
        <f>IF(AND(NOT(K118=0),(H118-H117)&gt;0),(H118-H117)*(Variables!$M$5*$H$1+Variables!$U$5*$I$1),0)+IF(AND(NOT((J118+N118+Q118)=0),(H117-H118)&gt;0),(H117-H118)*(Variables!$M$4*$H$1+Variables!$U$4*$I$1),0)</f>
        <v>-113.55643238797165</v>
      </c>
      <c r="Y118" s="95">
        <f>IF(SUM(T118,U117:U118)&gt;0,H118*Variables!$Y$11*0.25*(1-$J$1),0)</f>
        <v>0</v>
      </c>
      <c r="Z118" s="95">
        <f>IF(T118=0,H118*$J$1*Variables!$Y$5*0.25,0)</f>
        <v>5.120846602719884</v>
      </c>
      <c r="AA118" s="95">
        <f t="shared" si="2"/>
        <v>-108.43558578525177</v>
      </c>
      <c r="AB118" s="91">
        <f>AA118/Variables!$E$49</f>
        <v>-17.48961061052448</v>
      </c>
    </row>
    <row r="119" spans="1:28" x14ac:dyDescent="0.25">
      <c r="A119" s="61">
        <f>'Water runs'!C126</f>
        <v>12843</v>
      </c>
      <c r="B119" s="61" t="str">
        <f>'Water runs'!B126</f>
        <v>Summer</v>
      </c>
      <c r="C119" s="54">
        <f>'Water runs'!D126/100</f>
        <v>0.32122857142857097</v>
      </c>
      <c r="D119" s="108">
        <f>VLOOKUP(ROW(D119)+4,'Water runs'!$BS$3:$CF$423,MATCH($B$1,Scenarios,0)+1)</f>
        <v>0.12680781320517184</v>
      </c>
      <c r="E119" s="54">
        <f>IF(B119=Variables!$D$8,C119-Variables!$E$8,IF(B119=Variables!$D$9,C119-Variables!$E$9,IF(B119=Variables!$D$10,C119-Variables!$E$10,IF(B119=Variables!$D$11,C119-Variables!$E$11,"ELSE"))))</f>
        <v>-0.93714156462585074</v>
      </c>
      <c r="F119" s="108">
        <f>VLOOKUP(ROW(F119)+4,'Water runs'!$CH$3:$CU$423,MATCH($B$1,Scenarios,0)+1)</f>
        <v>0</v>
      </c>
      <c r="G119" s="65">
        <f>H119/Variables!$E$49</f>
        <v>0.38120446174093431</v>
      </c>
      <c r="H119" s="62">
        <f>IF((H118+I119)&gt;(1.1*Variables!$E$50),(1.1*Variables!$E$50),IF((H118+I119)&gt;0,H118+I119,0))</f>
        <v>2.3634676627937927</v>
      </c>
      <c r="I119" s="64">
        <f t="shared" si="3"/>
        <v>0</v>
      </c>
      <c r="J119" s="63">
        <f>IF(SUM(E115:E118)&lt;Variables!$B$3,-H118,0)</f>
        <v>0</v>
      </c>
      <c r="K119" s="64">
        <f>IF(AND(H118&lt;Variables!$B$6*Variables!$E$50,OR(SUM(D116:D119)&gt;Variables!$B$5,SUM(E116:E119)&gt;Variables!$B$4)),Variables!$B$6*Variables!$E$50+Variables!$B$7*$G$1*Variables!$E$50*SUM(D116:D119),0)</f>
        <v>0</v>
      </c>
      <c r="L119" s="64">
        <f>IF(B119="Winter",Variables!$B$8*H118,0)</f>
        <v>0</v>
      </c>
      <c r="M119" s="64">
        <f>IF(AND(B119="Spring",AND(NOT(H118=0),H118&lt;(Variables!$B$9*Variables!$E$50))),(Variables!$B$10*Variables!$E$50+Variables!$B$11*Variables!$E$50*SUM(E116:E119)+$G$1*SUM(D118:D119)*Variables!$E$50*Variables!$B$12),0)</f>
        <v>0</v>
      </c>
      <c r="N119" s="64">
        <f>IF(AND(B119="Spring",AND(SUM(D116:D119)&gt;Variables!$B$13,SUM(D112:D115)&gt;Variables!$B$13)),-Variables!$B$14*Variables!$E$50,0)</f>
        <v>0</v>
      </c>
      <c r="O119" s="64">
        <f>IF(AND(B119="Summer",SUM(C115:D119)&gt;Variables!$B$15),(Variables!$B$16*Variables!$E$50*SUM(C115:C119)+$G$1*Variables!$B$16*Variables!$E$50*SUM(D115:D119)+$G$1*Variables!$E$50*Variables!$B$17*F119),0)</f>
        <v>0</v>
      </c>
      <c r="P119" s="64">
        <f>IF(AND(AND(B119="Autumn",SUM(D118:E119)&gt;0),NOT(H118=0)),Variables!$B$18*Variables!$E$50+Variables!$B$19*Variables!$E$50*SUM(E118:E119)+$G$1*Variables!$B$19*Variables!$E$50*SUM(D118:D119),0)</f>
        <v>0</v>
      </c>
      <c r="Q119" s="64">
        <f>IF(AND(B119="Autumn",AND((E119+E118)&lt;Variables!$B$20,(D118+D119)=0)),-Variables!$B$21*Variables!$E$50,0)</f>
        <v>0</v>
      </c>
      <c r="R119" s="64">
        <f>IF(B119="Autumn",(SUM(F118:F119)*$G$1*Variables!$B$22*Variables!$E$50),0)</f>
        <v>0</v>
      </c>
      <c r="S119" s="64">
        <f>IF(B119="Spring",($G$1*Variables!$E$50*SUM('Guts (option 2)'!F118:F119)*Variables!$B$23),0)</f>
        <v>0</v>
      </c>
      <c r="T119" s="63">
        <f>IF((H118+SUM(J119:Q119))&lt;(Variables!$B$26*Variables!$E$50),$F$1*((Variables!$B$26*Variables!$E$50)-H118-SUM(J119:Q119)),0)</f>
        <v>0</v>
      </c>
      <c r="U119" s="64">
        <f>IF(AND(AND(B119="Autumn",SUM(D116:E119)&gt;Variables!$B$27),SUM(J119:Q119)&lt;Variables!$B$28*H118),$F$1*(Variables!$B$28*H118-SUM(J119:Q119)),0)</f>
        <v>0</v>
      </c>
      <c r="V119" s="96">
        <f>IF(AND((J119+K119)=0,(Q119+T119)=0),$H$1*H119*Variables!$I$23*0.25,0)</f>
        <v>15.181458794061935</v>
      </c>
      <c r="W119" s="97">
        <f>IF(AND((K119+J119)=0,(T119+Q119)=0),$I$1*H119*Variables!$Q$23*0.25,0)</f>
        <v>15.89097178643263</v>
      </c>
      <c r="X119" s="95">
        <f>IF(AND(NOT(K119=0),(H119-H118)&gt;0),(H119-H118)*(Variables!$M$5*$H$1+Variables!$U$5*$I$1),0)+IF(AND(NOT((J119+N119+Q119)=0),(H118-H119)&gt;0),(H118-H119)*(Variables!$M$4*$H$1+Variables!$U$4*$I$1),0)</f>
        <v>0</v>
      </c>
      <c r="Y119" s="95">
        <f>IF(SUM(T119,U118:U119)&gt;0,H119*Variables!$Y$11*0.25*(1-$J$1),0)</f>
        <v>0</v>
      </c>
      <c r="Z119" s="95">
        <f>IF(T119=0,H119*$J$1*Variables!$Y$5*0.25,0)</f>
        <v>5.120846602719884</v>
      </c>
      <c r="AA119" s="95">
        <f t="shared" si="2"/>
        <v>36.193277183214448</v>
      </c>
      <c r="AB119" s="91">
        <f>AA119/Variables!$E$49</f>
        <v>5.8376253521313624</v>
      </c>
    </row>
    <row r="120" spans="1:28" x14ac:dyDescent="0.25">
      <c r="A120" s="61">
        <f>'Water runs'!C127</f>
        <v>12935</v>
      </c>
      <c r="B120" s="61" t="str">
        <f>'Water runs'!B127</f>
        <v>Autumn</v>
      </c>
      <c r="C120" s="54">
        <f>'Water runs'!D127/100</f>
        <v>0</v>
      </c>
      <c r="D120" s="108">
        <f>VLOOKUP(ROW(D120)+4,'Water runs'!$BS$3:$CF$423,MATCH($B$1,Scenarios,0)+1)</f>
        <v>0</v>
      </c>
      <c r="E120" s="54">
        <f>IF(B120=Variables!$D$8,C120-Variables!$E$8,IF(B120=Variables!$D$9,C120-Variables!$E$9,IF(B120=Variables!$D$10,C120-Variables!$E$10,IF(B120=Variables!$D$11,C120-Variables!$E$11,"ELSE"))))</f>
        <v>-0.99464329931972784</v>
      </c>
      <c r="F120" s="108">
        <f>VLOOKUP(ROW(F120)+4,'Water runs'!$CH$3:$CU$423,MATCH($B$1,Scenarios,0)+1)</f>
        <v>0</v>
      </c>
      <c r="G120" s="65">
        <f>H120/Variables!$E$49</f>
        <v>0.38120446174093431</v>
      </c>
      <c r="H120" s="62">
        <f>IF((H119+I120)&gt;(1.1*Variables!$E$50),(1.1*Variables!$E$50),IF((H119+I120)&gt;0,H119+I120,0))</f>
        <v>2.3634676627937927</v>
      </c>
      <c r="I120" s="64">
        <f t="shared" si="3"/>
        <v>0</v>
      </c>
      <c r="J120" s="63">
        <f>IF(SUM(E116:E119)&lt;Variables!$B$3,-H119,0)</f>
        <v>0</v>
      </c>
      <c r="K120" s="64">
        <f>IF(AND(H119&lt;Variables!$B$6*Variables!$E$50,OR(SUM(D117:D120)&gt;Variables!$B$5,SUM(E117:E120)&gt;Variables!$B$4)),Variables!$B$6*Variables!$E$50+Variables!$B$7*$G$1*Variables!$E$50*SUM(D117:D120),0)</f>
        <v>0</v>
      </c>
      <c r="L120" s="64">
        <f>IF(B120="Winter",Variables!$B$8*H119,0)</f>
        <v>0</v>
      </c>
      <c r="M120" s="64">
        <f>IF(AND(B120="Spring",AND(NOT(H119=0),H119&lt;(Variables!$B$9*Variables!$E$50))),(Variables!$B$10*Variables!$E$50+Variables!$B$11*Variables!$E$50*SUM(E117:E120)+$G$1*SUM(D119:D120)*Variables!$E$50*Variables!$B$12),0)</f>
        <v>0</v>
      </c>
      <c r="N120" s="64">
        <f>IF(AND(B120="Spring",AND(SUM(D117:D120)&gt;Variables!$B$13,SUM(D113:D116)&gt;Variables!$B$13)),-Variables!$B$14*Variables!$E$50,0)</f>
        <v>0</v>
      </c>
      <c r="O120" s="64">
        <f>IF(AND(B120="Summer",SUM(C116:D120)&gt;Variables!$B$15),(Variables!$B$16*Variables!$E$50*SUM(C116:C120)+$G$1*Variables!$B$16*Variables!$E$50*SUM(D116:D120)+$G$1*Variables!$E$50*Variables!$B$17*F120),0)</f>
        <v>0</v>
      </c>
      <c r="P120" s="64">
        <f>IF(AND(AND(B120="Autumn",SUM(D119:E120)&gt;0),NOT(H119=0)),Variables!$B$18*Variables!$E$50+Variables!$B$19*Variables!$E$50*SUM(E119:E120)+$G$1*Variables!$B$19*Variables!$E$50*SUM(D119:D120),0)</f>
        <v>0</v>
      </c>
      <c r="Q120" s="64">
        <f>IF(AND(B120="Autumn",AND((E120+E119)&lt;Variables!$B$20,(D119+D120)=0)),-Variables!$B$21*Variables!$E$50,0)</f>
        <v>0</v>
      </c>
      <c r="R120" s="64">
        <f>IF(B120="Autumn",(SUM(F119:F120)*$G$1*Variables!$B$22*Variables!$E$50),0)</f>
        <v>0</v>
      </c>
      <c r="S120" s="64">
        <f>IF(B120="Spring",($G$1*Variables!$E$50*SUM('Guts (option 2)'!F119:F120)*Variables!$B$23),0)</f>
        <v>0</v>
      </c>
      <c r="T120" s="63">
        <f>IF((H119+SUM(J120:Q120))&lt;(Variables!$B$26*Variables!$E$50),$F$1*((Variables!$B$26*Variables!$E$50)-H119-SUM(J120:Q120)),0)</f>
        <v>0</v>
      </c>
      <c r="U120" s="64">
        <f>IF(AND(AND(B120="Autumn",SUM(D117:E120)&gt;Variables!$B$27),SUM(J120:Q120)&lt;Variables!$B$28*H119),$F$1*(Variables!$B$28*H119-SUM(J120:Q120)),0)</f>
        <v>0</v>
      </c>
      <c r="V120" s="96">
        <f>IF(AND((J120+K120)=0,(Q120+T120)=0),$H$1*H120*Variables!$I$23*0.25,0)</f>
        <v>15.181458794061935</v>
      </c>
      <c r="W120" s="97">
        <f>IF(AND((K120+J120)=0,(T120+Q120)=0),$I$1*H120*Variables!$Q$23*0.25,0)</f>
        <v>15.89097178643263</v>
      </c>
      <c r="X120" s="95">
        <f>IF(AND(NOT(K120=0),(H120-H119)&gt;0),(H120-H119)*(Variables!$M$5*$H$1+Variables!$U$5*$I$1),0)+IF(AND(NOT((J120+N120+Q120)=0),(H119-H120)&gt;0),(H119-H120)*(Variables!$M$4*$H$1+Variables!$U$4*$I$1),0)</f>
        <v>0</v>
      </c>
      <c r="Y120" s="95">
        <f>IF(SUM(T120,U119:U120)&gt;0,H120*Variables!$Y$11*0.25*(1-$J$1),0)</f>
        <v>0</v>
      </c>
      <c r="Z120" s="95">
        <f>IF(T120=0,H120*$J$1*Variables!$Y$5*0.25,0)</f>
        <v>5.120846602719884</v>
      </c>
      <c r="AA120" s="95">
        <f t="shared" si="2"/>
        <v>36.193277183214448</v>
      </c>
      <c r="AB120" s="91">
        <f>AA120/Variables!$E$49</f>
        <v>5.8376253521313624</v>
      </c>
    </row>
    <row r="121" spans="1:28" x14ac:dyDescent="0.25">
      <c r="A121" s="61">
        <f>'Water runs'!C128</f>
        <v>13027</v>
      </c>
      <c r="B121" s="61" t="str">
        <f>'Water runs'!B128</f>
        <v>Winter</v>
      </c>
      <c r="C121" s="54">
        <f>'Water runs'!D128/100</f>
        <v>0.28539999999999999</v>
      </c>
      <c r="D121" s="108">
        <f>VLOOKUP(ROW(D121)+4,'Water runs'!$BS$3:$CF$423,MATCH($B$1,Scenarios,0)+1)</f>
        <v>0</v>
      </c>
      <c r="E121" s="54">
        <f>IF(B121=Variables!$D$8,C121-Variables!$E$8,IF(B121=Variables!$D$9,C121-Variables!$E$9,IF(B121=Variables!$D$10,C121-Variables!$E$10,IF(B121=Variables!$D$11,C121-Variables!$E$11,"ELSE"))))</f>
        <v>-0.28636762566137575</v>
      </c>
      <c r="F121" s="108">
        <f>VLOOKUP(ROW(F121)+4,'Water runs'!$CH$3:$CU$423,MATCH($B$1,Scenarios,0)+1)</f>
        <v>0</v>
      </c>
      <c r="G121" s="65">
        <f>H121/Variables!$E$49</f>
        <v>0.19138551213528088</v>
      </c>
      <c r="H121" s="62">
        <f>IF((H120+I121)&gt;(1.1*Variables!$E$50),(1.1*Variables!$E$50),IF((H120+I121)&gt;0,H120+I121,0))</f>
        <v>1.1865901752387416</v>
      </c>
      <c r="I121" s="64">
        <f t="shared" si="3"/>
        <v>-1.1768774875550512</v>
      </c>
      <c r="J121" s="63">
        <f>IF(SUM(E117:E120)&lt;Variables!$B$3,-H120,0)</f>
        <v>0</v>
      </c>
      <c r="K121" s="64">
        <f>IF(AND(H120&lt;Variables!$B$6*Variables!$E$50,OR(SUM(D118:D121)&gt;Variables!$B$5,SUM(E118:E121)&gt;Variables!$B$4)),Variables!$B$6*Variables!$E$50+Variables!$B$7*$G$1*Variables!$E$50*SUM(D118:D121),0)</f>
        <v>0</v>
      </c>
      <c r="L121" s="64">
        <f>IF(B121="Winter",Variables!$B$8*H120,0)</f>
        <v>-1.1768774875550512</v>
      </c>
      <c r="M121" s="64">
        <f>IF(AND(B121="Spring",AND(NOT(H120=0),H120&lt;(Variables!$B$9*Variables!$E$50))),(Variables!$B$10*Variables!$E$50+Variables!$B$11*Variables!$E$50*SUM(E118:E121)+$G$1*SUM(D120:D121)*Variables!$E$50*Variables!$B$12),0)</f>
        <v>0</v>
      </c>
      <c r="N121" s="64">
        <f>IF(AND(B121="Spring",AND(SUM(D118:D121)&gt;Variables!$B$13,SUM(D114:D117)&gt;Variables!$B$13)),-Variables!$B$14*Variables!$E$50,0)</f>
        <v>0</v>
      </c>
      <c r="O121" s="64">
        <f>IF(AND(B121="Summer",SUM(C117:D121)&gt;Variables!$B$15),(Variables!$B$16*Variables!$E$50*SUM(C117:C121)+$G$1*Variables!$B$16*Variables!$E$50*SUM(D117:D121)+$G$1*Variables!$E$50*Variables!$B$17*F121),0)</f>
        <v>0</v>
      </c>
      <c r="P121" s="64">
        <f>IF(AND(AND(B121="Autumn",SUM(D120:E121)&gt;0),NOT(H120=0)),Variables!$B$18*Variables!$E$50+Variables!$B$19*Variables!$E$50*SUM(E120:E121)+$G$1*Variables!$B$19*Variables!$E$50*SUM(D120:D121),0)</f>
        <v>0</v>
      </c>
      <c r="Q121" s="64">
        <f>IF(AND(B121="Autumn",AND((E121+E120)&lt;Variables!$B$20,(D120+D121)=0)),-Variables!$B$21*Variables!$E$50,0)</f>
        <v>0</v>
      </c>
      <c r="R121" s="64">
        <f>IF(B121="Autumn",(SUM(F120:F121)*$G$1*Variables!$B$22*Variables!$E$50),0)</f>
        <v>0</v>
      </c>
      <c r="S121" s="64">
        <f>IF(B121="Spring",($G$1*Variables!$E$50*SUM('Guts (option 2)'!F120:F121)*Variables!$B$23),0)</f>
        <v>0</v>
      </c>
      <c r="T121" s="63">
        <f>IF((H120+SUM(J121:Q121))&lt;(Variables!$B$26*Variables!$E$50),$F$1*((Variables!$B$26*Variables!$E$50)-H120-SUM(J121:Q121)),0)</f>
        <v>0</v>
      </c>
      <c r="U121" s="64">
        <f>IF(AND(AND(B121="Autumn",SUM(D118:E121)&gt;Variables!$B$27),SUM(J121:Q121)&lt;Variables!$B$28*H120),$F$1*(Variables!$B$28*H120-SUM(J121:Q121)),0)</f>
        <v>0</v>
      </c>
      <c r="V121" s="96">
        <f>IF(AND((J121+K121)=0,(Q121+T121)=0),$H$1*H121*Variables!$I$23*0.25,0)</f>
        <v>7.6219235551256119</v>
      </c>
      <c r="W121" s="97">
        <f>IF(AND((K121+J121)=0,(T121+Q121)=0),$I$1*H121*Variables!$Q$23*0.25,0)</f>
        <v>7.9781379257322813</v>
      </c>
      <c r="X121" s="95">
        <f>IF(AND(NOT(K121=0),(H121-H120)&gt;0),(H121-H120)*(Variables!$M$5*$H$1+Variables!$U$5*$I$1),0)+IF(AND(NOT((J121+N121+Q121)=0),(H120-H121)&gt;0),(H120-H121)*(Variables!$M$4*$H$1+Variables!$U$4*$I$1),0)</f>
        <v>0</v>
      </c>
      <c r="Y121" s="95">
        <f>IF(SUM(T121,U120:U121)&gt;0,H121*Variables!$Y$11*0.25*(1-$J$1),0)</f>
        <v>0</v>
      </c>
      <c r="Z121" s="95">
        <f>IF(T121=0,H121*$J$1*Variables!$Y$5*0.25,0)</f>
        <v>2.5709453796839399</v>
      </c>
      <c r="AA121" s="95">
        <f t="shared" si="2"/>
        <v>18.171006860541834</v>
      </c>
      <c r="AB121" s="91">
        <f>AA121/Variables!$E$49</f>
        <v>2.9308075581519084</v>
      </c>
    </row>
    <row r="122" spans="1:28" x14ac:dyDescent="0.25">
      <c r="A122" s="61">
        <f>'Water runs'!C129</f>
        <v>13118</v>
      </c>
      <c r="B122" s="61" t="str">
        <f>'Water runs'!B129</f>
        <v>Spring</v>
      </c>
      <c r="C122" s="54">
        <f>'Water runs'!D129/100</f>
        <v>0.54520000000000002</v>
      </c>
      <c r="D122" s="108">
        <f>VLOOKUP(ROW(D122)+4,'Water runs'!$BS$3:$CF$423,MATCH($B$1,Scenarios,0)+1)</f>
        <v>0</v>
      </c>
      <c r="E122" s="54">
        <f>IF(B122=Variables!$D$8,C122-Variables!$E$8,IF(B122=Variables!$D$9,C122-Variables!$E$9,IF(B122=Variables!$D$10,C122-Variables!$E$10,IF(B122=Variables!$D$11,C122-Variables!$E$11,"ELSE"))))</f>
        <v>-0.21878220899470913</v>
      </c>
      <c r="F122" s="108">
        <f>VLOOKUP(ROW(F122)+4,'Water runs'!$CH$3:$CU$423,MATCH($B$1,Scenarios,0)+1)</f>
        <v>0</v>
      </c>
      <c r="G122" s="65">
        <f>H122/Variables!$E$49</f>
        <v>0.161</v>
      </c>
      <c r="H122" s="62">
        <f>IF((H121+I122)&gt;(1.1*Variables!$E$50),(1.1*Variables!$E$50),IF((H121+I122)&gt;0,H121+I122,0))</f>
        <v>0.99819999999999998</v>
      </c>
      <c r="I122" s="64">
        <f>SUM(J122:U122)</f>
        <v>-0.18839017523874158</v>
      </c>
      <c r="J122" s="63">
        <f>IF(SUM(E118:E121)&lt;Variables!$B$3,-H121,0)</f>
        <v>0</v>
      </c>
      <c r="K122" s="64">
        <f>IF(AND(H121&lt;Variables!$B$6*Variables!$E$50,OR(SUM(D119:D122)&gt;Variables!$B$5,SUM(E119:E122)&gt;Variables!$B$4)),Variables!$B$6*Variables!$E$50+Variables!$B$7*$G$1*Variables!$E$50*SUM(D119:D122),0)</f>
        <v>0</v>
      </c>
      <c r="L122" s="64">
        <f>IF(B122="Winter",Variables!$B$8*H121,0)</f>
        <v>0</v>
      </c>
      <c r="M122" s="64">
        <f>IF(AND(B122="Spring",AND(NOT(H121=0),H121&lt;(Variables!$B$9*Variables!$E$50))),(Variables!$B$10*Variables!$E$50+Variables!$B$11*Variables!$E$50*SUM(E119:E122)+$G$1*SUM(D121:D122)*Variables!$E$50*Variables!$B$12),0)</f>
        <v>-1.6597028545998509</v>
      </c>
      <c r="N122" s="64">
        <f>IF(AND(B122="Spring",AND(SUM(D119:D122)&gt;Variables!$B$13,SUM(D115:D118)&gt;Variables!$B$13)),-Variables!$B$14*Variables!$E$50,0)</f>
        <v>0</v>
      </c>
      <c r="O122" s="64">
        <f>IF(AND(B122="Summer",SUM(C118:D122)&gt;Variables!$B$15),(Variables!$B$16*Variables!$E$50*SUM(C118:C122)+$G$1*Variables!$B$16*Variables!$E$50*SUM(D118:D122)+$G$1*Variables!$E$50*Variables!$B$17*F122),0)</f>
        <v>0</v>
      </c>
      <c r="P122" s="64">
        <f>IF(AND(AND(B122="Autumn",SUM(D121:E122)&gt;0),NOT(H121=0)),Variables!$B$18*Variables!$E$50+Variables!$B$19*Variables!$E$50*SUM(E121:E122)+$G$1*Variables!$B$19*Variables!$E$50*SUM(D121:D122),0)</f>
        <v>0</v>
      </c>
      <c r="Q122" s="64">
        <f>IF(AND(B122="Autumn",AND((E122+E121)&lt;Variables!$B$20,(D121+D122)=0)),-Variables!$B$21*Variables!$E$50,0)</f>
        <v>0</v>
      </c>
      <c r="R122" s="64">
        <f>IF(B122="Autumn",(SUM(F121:F122)*$G$1*Variables!$B$22*Variables!$E$50),0)</f>
        <v>0</v>
      </c>
      <c r="S122" s="64">
        <f>IF(B122="Spring",($G$1*Variables!$E$50*SUM('Guts (option 2)'!F121:F122)*Variables!$B$23),0)</f>
        <v>0</v>
      </c>
      <c r="T122" s="63">
        <f>IF((H121+SUM(J122:Q122))&lt;(Variables!$B$26*Variables!$E$50),$F$1*((Variables!$B$26*Variables!$E$50)-H121-SUM(J122:Q122)),0)</f>
        <v>1.4713126793611093</v>
      </c>
      <c r="U122" s="64">
        <f>IF(AND(AND(B122="Autumn",SUM(D119:E122)&gt;Variables!$B$27),SUM(J122:Q122)&lt;Variables!$B$28*H121),$F$1*(Variables!$B$28*H121-SUM(J122:Q122)),0)</f>
        <v>0</v>
      </c>
      <c r="V122" s="96">
        <f>IF(AND((J122+K122)=0,(Q122+T122)=0),$H$1*H122*Variables!$I$23*0.25,0)</f>
        <v>0</v>
      </c>
      <c r="W122" s="97">
        <f>IF(AND((K122+J122)=0,(T122+Q122)=0),$I$1*H122*Variables!$Q$23*0.25,0)</f>
        <v>0</v>
      </c>
      <c r="X122" s="95">
        <f>IF(AND(NOT(K122=0),(H122-H121)&gt;0),(H122-H121)*(Variables!$M$5*$H$1+Variables!$U$5*$I$1),0)+IF(AND(NOT((J122+N122+Q122)=0),(H121-H122)&gt;0),(H121-H122)*(Variables!$M$4*$H$1+Variables!$U$4*$I$1),0)</f>
        <v>0</v>
      </c>
      <c r="Y122" s="95">
        <f>IF(SUM(T122,U121:U122)&gt;0,H122*Variables!$Y$11*0.25*(1-$J$1),0)</f>
        <v>-6.9874000000000009</v>
      </c>
      <c r="Z122" s="95">
        <f>IF(T122=0,H122*$J$1*Variables!$Y$5*0.25,0)</f>
        <v>0</v>
      </c>
      <c r="AA122" s="95">
        <f t="shared" si="2"/>
        <v>-6.9874000000000009</v>
      </c>
      <c r="AB122" s="91">
        <f>AA122/Variables!$E$49</f>
        <v>-1.1270000000000002</v>
      </c>
    </row>
    <row r="123" spans="1:28" x14ac:dyDescent="0.25">
      <c r="A123" s="61">
        <f>'Water runs'!C130</f>
        <v>13208</v>
      </c>
      <c r="B123" s="61" t="str">
        <f>'Water runs'!B130</f>
        <v>Summer</v>
      </c>
      <c r="C123" s="54">
        <f>'Water runs'!D130/100</f>
        <v>1.21228571428571</v>
      </c>
      <c r="D123" s="108">
        <f>VLOOKUP(ROW(D123)+4,'Water runs'!$BS$3:$CF$423,MATCH($B$1,Scenarios,0)+1)</f>
        <v>0</v>
      </c>
      <c r="E123" s="54">
        <f>IF(B123=Variables!$D$8,C123-Variables!$E$8,IF(B123=Variables!$D$9,C123-Variables!$E$9,IF(B123=Variables!$D$10,C123-Variables!$E$10,IF(B123=Variables!$D$11,C123-Variables!$E$11,"ELSE"))))</f>
        <v>-4.6084421768711747E-2</v>
      </c>
      <c r="F123" s="108">
        <f>VLOOKUP(ROW(F123)+4,'Water runs'!$CH$3:$CU$423,MATCH($B$1,Scenarios,0)+1)</f>
        <v>0</v>
      </c>
      <c r="G123" s="65">
        <f>H123/Variables!$E$49</f>
        <v>0.161</v>
      </c>
      <c r="H123" s="62">
        <f>IF((H122+I123)&gt;(1.1*Variables!$E$50),(1.1*Variables!$E$50),IF((H122+I123)&gt;0,H122+I123,0))</f>
        <v>0.99820000000000009</v>
      </c>
      <c r="I123" s="64">
        <f>SUM(J123:U123)</f>
        <v>1.1102230246251565E-16</v>
      </c>
      <c r="J123" s="63">
        <f>IF(SUM(E119:E122)&lt;Variables!$B$3,-H122,0)</f>
        <v>-0.99819999999999998</v>
      </c>
      <c r="K123" s="64">
        <f>IF(AND(H122&lt;Variables!$B$6*Variables!$E$50,OR(SUM(D120:D123)&gt;Variables!$B$5,SUM(E120:E123)&gt;Variables!$B$4)),Variables!$B$6*Variables!$E$50+Variables!$B$7*$G$1*Variables!$E$50*SUM(D120:D123),0)</f>
        <v>0</v>
      </c>
      <c r="L123" s="64">
        <f>IF(B123="Winter",Variables!$B$8*H122,0)</f>
        <v>0</v>
      </c>
      <c r="M123" s="64">
        <f>IF(AND(B123="Spring",AND(NOT(H122=0),H122&lt;(Variables!$B$9*Variables!$E$50))),(Variables!$B$10*Variables!$E$50+Variables!$B$11*Variables!$E$50*SUM(E120:E123)+$G$1*SUM(D122:D123)*Variables!$E$50*Variables!$B$12),0)</f>
        <v>0</v>
      </c>
      <c r="N123" s="64">
        <f>IF(AND(B123="Spring",AND(SUM(D120:D123)&gt;Variables!$B$13,SUM(D116:D119)&gt;Variables!$B$13)),-Variables!$B$14*Variables!$E$50,0)</f>
        <v>0</v>
      </c>
      <c r="O123" s="64">
        <f>IF(AND(B123="Summer",SUM(C119:D123)&gt;Variables!$B$15),(Variables!$B$16*Variables!$E$50*SUM(C119:C123)+$G$1*Variables!$B$16*Variables!$E$50*SUM(D119:D123)+$G$1*Variables!$E$50*Variables!$B$17*F123),0)</f>
        <v>0</v>
      </c>
      <c r="P123" s="64">
        <f>IF(AND(AND(B123="Autumn",SUM(D122:E123)&gt;0),NOT(H122=0)),Variables!$B$18*Variables!$E$50+Variables!$B$19*Variables!$E$50*SUM(E122:E123)+$G$1*Variables!$B$19*Variables!$E$50*SUM(D122:D123),0)</f>
        <v>0</v>
      </c>
      <c r="Q123" s="64">
        <f>IF(AND(B123="Autumn",AND((E123+E122)&lt;Variables!$B$20,(D122+D123)=0)),-Variables!$B$21*Variables!$E$50,0)</f>
        <v>0</v>
      </c>
      <c r="R123" s="64">
        <f>IF(B123="Autumn",(SUM(F122:F123)*$G$1*Variables!$B$22*Variables!$E$50),0)</f>
        <v>0</v>
      </c>
      <c r="S123" s="64">
        <f>IF(B123="Spring",($G$1*Variables!$E$50*SUM('Guts (option 2)'!F122:F123)*Variables!$B$23),0)</f>
        <v>0</v>
      </c>
      <c r="T123" s="63">
        <f>IF((H122+SUM(J123:Q123))&lt;(Variables!$B$26*Variables!$E$50),$F$1*((Variables!$B$26*Variables!$E$50)-H122-SUM(J123:Q123)),0)</f>
        <v>0.99820000000000009</v>
      </c>
      <c r="U123" s="64">
        <f>IF(AND(AND(B123="Autumn",SUM(D120:E123)&gt;Variables!$B$27),SUM(J123:Q123)&lt;Variables!$B$28*H122),$F$1*(Variables!$B$28*H122-SUM(J123:Q123)),0)</f>
        <v>0</v>
      </c>
      <c r="V123" s="96">
        <f>IF(AND((J123+K123)=0,(Q123+T123)=0),$H$1*H123*Variables!$I$23*0.25,0)</f>
        <v>0</v>
      </c>
      <c r="W123" s="97">
        <f>IF(AND((K123+J123)=0,(T123+Q123)=0),$I$1*H123*Variables!$Q$23*0.25,0)</f>
        <v>0</v>
      </c>
      <c r="X123" s="95">
        <f>IF(AND(NOT(K123=0),(H123-H122)&gt;0),(H123-H122)*(Variables!$M$5*$H$1+Variables!$U$5*$I$1),0)+IF(AND(NOT((J123+N123+Q123)=0),(H122-H123)&gt;0),(H122-H123)*(Variables!$M$4*$H$1+Variables!$U$4*$I$1),0)</f>
        <v>0</v>
      </c>
      <c r="Y123" s="95">
        <f>IF(SUM(T123,U122:U123)&gt;0,H123*Variables!$Y$11*0.25*(1-$J$1),0)</f>
        <v>-6.9874000000000018</v>
      </c>
      <c r="Z123" s="95">
        <f>IF(T123=0,H123*$J$1*Variables!$Y$5*0.25,0)</f>
        <v>0</v>
      </c>
      <c r="AA123" s="95">
        <f t="shared" si="2"/>
        <v>-6.9874000000000018</v>
      </c>
      <c r="AB123" s="91">
        <f>AA123/Variables!$E$49</f>
        <v>-1.1270000000000002</v>
      </c>
    </row>
    <row r="124" spans="1:28" x14ac:dyDescent="0.25">
      <c r="A124" s="61">
        <f>'Water runs'!C131</f>
        <v>13301</v>
      </c>
      <c r="B124" s="61" t="str">
        <f>'Water runs'!B131</f>
        <v>Autumn</v>
      </c>
      <c r="C124" s="54">
        <f>'Water runs'!D131/100</f>
        <v>0.63285714285714301</v>
      </c>
      <c r="D124" s="108">
        <f>VLOOKUP(ROW(D124)+4,'Water runs'!$BS$3:$CF$423,MATCH($B$1,Scenarios,0)+1)</f>
        <v>0</v>
      </c>
      <c r="E124" s="54">
        <f>IF(B124=Variables!$D$8,C124-Variables!$E$8,IF(B124=Variables!$D$9,C124-Variables!$E$9,IF(B124=Variables!$D$10,C124-Variables!$E$10,IF(B124=Variables!$D$11,C124-Variables!$E$11,"ELSE"))))</f>
        <v>-0.36178615646258483</v>
      </c>
      <c r="F124" s="108">
        <f>VLOOKUP(ROW(F124)+4,'Water runs'!$CH$3:$CU$423,MATCH($B$1,Scenarios,0)+1)</f>
        <v>0</v>
      </c>
      <c r="G124" s="65">
        <f>H124/Variables!$E$49</f>
        <v>0.161</v>
      </c>
      <c r="H124" s="62">
        <f>IF((H123+I124)&gt;(1.1*Variables!$E$50),(1.1*Variables!$E$50),IF((H123+I124)&gt;0,H123+I124,0))</f>
        <v>0.99820000000000009</v>
      </c>
      <c r="I124" s="64">
        <f>SUM(J124:U124)</f>
        <v>0</v>
      </c>
      <c r="J124" s="63">
        <f>IF(SUM(E120:E123)&lt;Variables!$B$3,-H123,0)</f>
        <v>0</v>
      </c>
      <c r="K124" s="64">
        <f>IF(AND(H123&lt;Variables!$B$6*Variables!$E$50,OR(SUM(D121:D124)&gt;Variables!$B$5,SUM(E121:E124)&gt;Variables!$B$4)),Variables!$B$6*Variables!$E$50+Variables!$B$7*$G$1*Variables!$E$50*SUM(D121:D124),0)</f>
        <v>0</v>
      </c>
      <c r="L124" s="64">
        <f>IF(B124="Winter",Variables!$B$8*H123,0)</f>
        <v>0</v>
      </c>
      <c r="M124" s="64">
        <f>IF(AND(B124="Spring",AND(NOT(H123=0),H123&lt;(Variables!$B$9*Variables!$E$50))),(Variables!$B$10*Variables!$E$50+Variables!$B$11*Variables!$E$50*SUM(E121:E124)+$G$1*SUM(D123:D124)*Variables!$E$50*Variables!$B$12),0)</f>
        <v>0</v>
      </c>
      <c r="N124" s="64">
        <f>IF(AND(B124="Spring",AND(SUM(D121:D124)&gt;Variables!$B$13,SUM(D117:D120)&gt;Variables!$B$13)),-Variables!$B$14*Variables!$E$50,0)</f>
        <v>0</v>
      </c>
      <c r="O124" s="64">
        <f>IF(AND(B124="Summer",SUM(C120:D124)&gt;Variables!$B$15),(Variables!$B$16*Variables!$E$50*SUM(C120:C124)+$G$1*Variables!$B$16*Variables!$E$50*SUM(D120:D124)+$G$1*Variables!$E$50*Variables!$B$17*F124),0)</f>
        <v>0</v>
      </c>
      <c r="P124" s="64">
        <f>IF(AND(AND(B124="Autumn",SUM(D123:E124)&gt;0),NOT(H123=0)),Variables!$B$18*Variables!$E$50+Variables!$B$19*Variables!$E$50*SUM(E123:E124)+$G$1*Variables!$B$19*Variables!$E$50*SUM(D123:D124),0)</f>
        <v>0</v>
      </c>
      <c r="Q124" s="64">
        <f>IF(AND(B124="Autumn",AND((E124+E123)&lt;Variables!$B$20,(D123+D124)=0)),-Variables!$B$21*Variables!$E$50,0)</f>
        <v>0</v>
      </c>
      <c r="R124" s="64">
        <f>IF(B124="Autumn",(SUM(F123:F124)*$G$1*Variables!$B$22*Variables!$E$50),0)</f>
        <v>0</v>
      </c>
      <c r="S124" s="64">
        <f>IF(B124="Spring",($G$1*Variables!$E$50*SUM('Guts (option 2)'!F123:F124)*Variables!$B$23),0)</f>
        <v>0</v>
      </c>
      <c r="T124" s="63">
        <f>IF((H123+SUM(J124:Q124))&lt;(Variables!$B$26*Variables!$E$50),$F$1*((Variables!$B$26*Variables!$E$50)-H123-SUM(J124:Q124)),0)</f>
        <v>0</v>
      </c>
      <c r="U124" s="64">
        <f>IF(AND(AND(B124="Autumn",SUM(D121:E124)&gt;Variables!$B$27),SUM(J124:Q124)&lt;Variables!$B$28*H123),$F$1*(Variables!$B$28*H123-SUM(J124:Q124)),0)</f>
        <v>0</v>
      </c>
      <c r="V124" s="96">
        <f>IF(AND((J124+K124)=0,(Q124+T124)=0),$H$1*H124*Variables!$I$23*0.25,0)</f>
        <v>6.4118212433333337</v>
      </c>
      <c r="W124" s="97">
        <f>IF(AND((K124+J124)=0,(T124+Q124)=0),$I$1*H124*Variables!$Q$23*0.25,0)</f>
        <v>6.7114808833333326</v>
      </c>
      <c r="X124" s="95">
        <f>IF(AND(NOT(K124=0),(H124-H123)&gt;0),(H124-H123)*(Variables!$M$5*$H$1+Variables!$U$5*$I$1),0)+IF(AND(NOT((J124+N124+Q124)=0),(H123-H124)&gt;0),(H123-H124)*(Variables!$M$4*$H$1+Variables!$U$4*$I$1),0)</f>
        <v>0</v>
      </c>
      <c r="Y124" s="95">
        <f>IF(SUM(T124,U123:U124)&gt;0,H124*Variables!$Y$11*0.25*(1-$J$1),0)</f>
        <v>0</v>
      </c>
      <c r="Z124" s="95">
        <f>IF(T124=0,H124*$J$1*Variables!$Y$5*0.25,0)</f>
        <v>2.1627666666666667</v>
      </c>
      <c r="AA124" s="95">
        <f t="shared" si="2"/>
        <v>15.286068793333332</v>
      </c>
      <c r="AB124" s="91">
        <f>AA124/Variables!$E$49</f>
        <v>2.4654949666666663</v>
      </c>
    </row>
    <row r="125" spans="1:28" x14ac:dyDescent="0.25">
      <c r="A125" s="61">
        <f>'Water runs'!C132</f>
        <v>13393</v>
      </c>
      <c r="B125" s="61" t="str">
        <f>'Water runs'!B132</f>
        <v>Winter</v>
      </c>
      <c r="C125" s="54">
        <f>'Water runs'!D132/100</f>
        <v>0.78571428571428603</v>
      </c>
      <c r="D125" s="108">
        <f>VLOOKUP(ROW(D125)+4,'Water runs'!$BS$3:$CF$423,MATCH($B$1,Scenarios,0)+1)</f>
        <v>0</v>
      </c>
      <c r="E125" s="54">
        <f>IF(B125=Variables!$D$8,C125-Variables!$E$8,IF(B125=Variables!$D$9,C125-Variables!$E$9,IF(B125=Variables!$D$10,C125-Variables!$E$10,IF(B125=Variables!$D$11,C125-Variables!$E$11,"ELSE"))))</f>
        <v>0.2139466600529103</v>
      </c>
      <c r="F125" s="108">
        <f>VLOOKUP(ROW(F125)+4,'Water runs'!$CH$3:$CU$423,MATCH($B$1,Scenarios,0)+1)</f>
        <v>0</v>
      </c>
      <c r="G125" s="65">
        <f>H125/Variables!$E$49</f>
        <v>0.26483081534003849</v>
      </c>
      <c r="H125" s="62">
        <f>IF((H124+I125)&gt;(1.1*Variables!$E$50),(1.1*Variables!$E$50),IF((H124+I125)&gt;0,H124+I125,0))</f>
        <v>1.6419510551082386</v>
      </c>
      <c r="I125" s="64">
        <f t="shared" ref="I125:I188" si="4">SUM(J125:U125)</f>
        <v>0.6437510551082386</v>
      </c>
      <c r="J125" s="63">
        <f>IF(SUM(E121:E124)&lt;Variables!$B$3,-H124,0)</f>
        <v>0</v>
      </c>
      <c r="K125" s="64">
        <f>IF(AND(H124&lt;Variables!$B$6*Variables!$E$50,OR(SUM(D122:D125)&gt;Variables!$B$5,SUM(E122:E125)&gt;Variables!$B$4)),Variables!$B$6*Variables!$E$50+Variables!$B$7*$G$1*Variables!$E$50*SUM(D122:D125),0)</f>
        <v>1.1408</v>
      </c>
      <c r="L125" s="64">
        <f>IF(B125="Winter",Variables!$B$8*H124,0)</f>
        <v>-0.49704894489176149</v>
      </c>
      <c r="M125" s="64">
        <f>IF(AND(B125="Spring",AND(NOT(H124=0),H124&lt;(Variables!$B$9*Variables!$E$50))),(Variables!$B$10*Variables!$E$50+Variables!$B$11*Variables!$E$50*SUM(E122:E125)+$G$1*SUM(D124:D125)*Variables!$E$50*Variables!$B$12),0)</f>
        <v>0</v>
      </c>
      <c r="N125" s="64">
        <f>IF(AND(B125="Spring",AND(SUM(D122:D125)&gt;Variables!$B$13,SUM(D118:D121)&gt;Variables!$B$13)),-Variables!$B$14*Variables!$E$50,0)</f>
        <v>0</v>
      </c>
      <c r="O125" s="64">
        <f>IF(AND(B125="Summer",SUM(C121:D125)&gt;Variables!$B$15),(Variables!$B$16*Variables!$E$50*SUM(C121:C125)+$G$1*Variables!$B$16*Variables!$E$50*SUM(D121:D125)+$G$1*Variables!$E$50*Variables!$B$17*F125),0)</f>
        <v>0</v>
      </c>
      <c r="P125" s="64">
        <f>IF(AND(AND(B125="Autumn",SUM(D124:E125)&gt;0),NOT(H124=0)),Variables!$B$18*Variables!$E$50+Variables!$B$19*Variables!$E$50*SUM(E124:E125)+$G$1*Variables!$B$19*Variables!$E$50*SUM(D124:D125),0)</f>
        <v>0</v>
      </c>
      <c r="Q125" s="64">
        <f>IF(AND(B125="Autumn",AND((E125+E124)&lt;Variables!$B$20,(D124+D125)=0)),-Variables!$B$21*Variables!$E$50,0)</f>
        <v>0</v>
      </c>
      <c r="R125" s="64">
        <f>IF(B125="Autumn",(SUM(F124:F125)*$G$1*Variables!$B$22*Variables!$E$50),0)</f>
        <v>0</v>
      </c>
      <c r="S125" s="64">
        <f>IF(B125="Spring",($G$1*Variables!$E$50*SUM('Guts (option 2)'!F124:F125)*Variables!$B$23),0)</f>
        <v>0</v>
      </c>
      <c r="T125" s="63">
        <f>IF((H124+SUM(J125:Q125))&lt;(Variables!$B$26*Variables!$E$50),$F$1*((Variables!$B$26*Variables!$E$50)-H124-SUM(J125:Q125)),0)</f>
        <v>0</v>
      </c>
      <c r="U125" s="64">
        <f>IF(AND(AND(B125="Autumn",SUM(D122:E125)&gt;Variables!$B$27),SUM(J125:Q125)&lt;Variables!$B$28*H124),$F$1*(Variables!$B$28*H124-SUM(J125:Q125)),0)</f>
        <v>0</v>
      </c>
      <c r="V125" s="96">
        <f>IF(AND((J125+K125)=0,(Q125+T125)=0),$H$1*H125*Variables!$I$23*0.25,0)</f>
        <v>0</v>
      </c>
      <c r="W125" s="97">
        <f>IF(AND((K125+J125)=0,(T125+Q125)=0),$I$1*H125*Variables!$Q$23*0.25,0)</f>
        <v>0</v>
      </c>
      <c r="X125" s="95">
        <f>IF(AND(NOT(K125=0),(H125-H124)&gt;0),(H125-H124)*(Variables!$M$5*$H$1+Variables!$U$5*$I$1),0)+IF(AND(NOT((J125+N125+Q125)=0),(H124-H125)&gt;0),(H124-H125)*(Variables!$M$4*$H$1+Variables!$U$4*$I$1),0)</f>
        <v>-53.645921259019872</v>
      </c>
      <c r="Y125" s="95">
        <f>IF(SUM(T125,U124:U125)&gt;0,H125*Variables!$Y$11*0.25*(1-$J$1),0)</f>
        <v>0</v>
      </c>
      <c r="Z125" s="95">
        <f>IF(T125=0,H125*$J$1*Variables!$Y$5*0.25,0)</f>
        <v>3.5575606194011833</v>
      </c>
      <c r="AA125" s="95">
        <f t="shared" si="2"/>
        <v>-50.088360639618685</v>
      </c>
      <c r="AB125" s="91">
        <f>AA125/Variables!$E$49</f>
        <v>-8.0787678450997884</v>
      </c>
    </row>
    <row r="126" spans="1:28" x14ac:dyDescent="0.25">
      <c r="A126" s="61">
        <f>'Water runs'!C133</f>
        <v>13484</v>
      </c>
      <c r="B126" s="61" t="str">
        <f>'Water runs'!B133</f>
        <v>Spring</v>
      </c>
      <c r="C126" s="54">
        <f>'Water runs'!D133/100</f>
        <v>0</v>
      </c>
      <c r="D126" s="108">
        <f>VLOOKUP(ROW(D126)+4,'Water runs'!$BS$3:$CF$423,MATCH($B$1,Scenarios,0)+1)</f>
        <v>0</v>
      </c>
      <c r="E126" s="54">
        <f>IF(B126=Variables!$D$8,C126-Variables!$E$8,IF(B126=Variables!$D$9,C126-Variables!$E$9,IF(B126=Variables!$D$10,C126-Variables!$E$10,IF(B126=Variables!$D$11,C126-Variables!$E$11,"ELSE"))))</f>
        <v>-0.76398220899470914</v>
      </c>
      <c r="F126" s="108">
        <f>VLOOKUP(ROW(F126)+4,'Water runs'!$CH$3:$CU$423,MATCH($B$1,Scenarios,0)+1)</f>
        <v>0</v>
      </c>
      <c r="G126" s="65">
        <f>H126/Variables!$E$49</f>
        <v>0.161</v>
      </c>
      <c r="H126" s="62">
        <f>IF((H125+I126)&gt;(1.1*Variables!$E$50),(1.1*Variables!$E$50),IF((H125+I126)&gt;0,H125+I126,0))</f>
        <v>0.99820000000000009</v>
      </c>
      <c r="I126" s="64">
        <f t="shared" si="4"/>
        <v>-0.64375105510823849</v>
      </c>
      <c r="J126" s="63">
        <f>IF(SUM(E122:E125)&lt;Variables!$B$3,-H125,0)</f>
        <v>0</v>
      </c>
      <c r="K126" s="64">
        <f>IF(AND(H125&lt;Variables!$B$6*Variables!$E$50,OR(SUM(D123:D126)&gt;Variables!$B$5,SUM(E123:E126)&gt;Variables!$B$4)),Variables!$B$6*Variables!$E$50+Variables!$B$7*$G$1*Variables!$E$50*SUM(D123:D126),0)</f>
        <v>0</v>
      </c>
      <c r="L126" s="64">
        <f>IF(B126="Winter",Variables!$B$8*H125,0)</f>
        <v>0</v>
      </c>
      <c r="M126" s="64">
        <f>IF(AND(B126="Spring",AND(NOT(H125=0),H125&lt;(Variables!$B$9*Variables!$E$50))),(Variables!$B$10*Variables!$E$50+Variables!$B$11*Variables!$E$50*SUM(E123:E126)+$G$1*SUM(D125:D126)*Variables!$E$50*Variables!$B$12),0)</f>
        <v>-0.65239316204087838</v>
      </c>
      <c r="N126" s="64">
        <f>IF(AND(B126="Spring",AND(SUM(D123:D126)&gt;Variables!$B$13,SUM(D119:D122)&gt;Variables!$B$13)),-Variables!$B$14*Variables!$E$50,0)</f>
        <v>0</v>
      </c>
      <c r="O126" s="64">
        <f>IF(AND(B126="Summer",SUM(C122:D126)&gt;Variables!$B$15),(Variables!$B$16*Variables!$E$50*SUM(C122:C126)+$G$1*Variables!$B$16*Variables!$E$50*SUM(D122:D126)+$G$1*Variables!$E$50*Variables!$B$17*F126),0)</f>
        <v>0</v>
      </c>
      <c r="P126" s="64">
        <f>IF(AND(AND(B126="Autumn",SUM(D125:E126)&gt;0),NOT(H125=0)),Variables!$B$18*Variables!$E$50+Variables!$B$19*Variables!$E$50*SUM(E125:E126)+$G$1*Variables!$B$19*Variables!$E$50*SUM(D125:D126),0)</f>
        <v>0</v>
      </c>
      <c r="Q126" s="64">
        <f>IF(AND(B126="Autumn",AND((E126+E125)&lt;Variables!$B$20,(D125+D126)=0)),-Variables!$B$21*Variables!$E$50,0)</f>
        <v>0</v>
      </c>
      <c r="R126" s="64">
        <f>IF(B126="Autumn",(SUM(F125:F126)*$G$1*Variables!$B$22*Variables!$E$50),0)</f>
        <v>0</v>
      </c>
      <c r="S126" s="64">
        <f>IF(B126="Spring",($G$1*Variables!$E$50*SUM('Guts (option 2)'!F125:F126)*Variables!$B$23),0)</f>
        <v>0</v>
      </c>
      <c r="T126" s="63">
        <f>IF((H125+SUM(J126:Q126))&lt;(Variables!$B$26*Variables!$E$50),$F$1*((Variables!$B$26*Variables!$E$50)-H125-SUM(J126:Q126)),0)</f>
        <v>8.6421069326398925E-3</v>
      </c>
      <c r="U126" s="64">
        <f>IF(AND(AND(B126="Autumn",SUM(D123:E126)&gt;Variables!$B$27),SUM(J126:Q126)&lt;Variables!$B$28*H125),$F$1*(Variables!$B$28*H125-SUM(J126:Q126)),0)</f>
        <v>0</v>
      </c>
      <c r="V126" s="96">
        <f>IF(AND((J126+K126)=0,(Q126+T126)=0),$H$1*H126*Variables!$I$23*0.25,0)</f>
        <v>0</v>
      </c>
      <c r="W126" s="97">
        <f>IF(AND((K126+J126)=0,(T126+Q126)=0),$I$1*H126*Variables!$Q$23*0.25,0)</f>
        <v>0</v>
      </c>
      <c r="X126" s="95">
        <f>IF(AND(NOT(K126=0),(H126-H125)&gt;0),(H126-H125)*(Variables!$M$5*$H$1+Variables!$U$5*$I$1),0)+IF(AND(NOT((J126+N126+Q126)=0),(H125-H126)&gt;0),(H125-H126)*(Variables!$M$4*$H$1+Variables!$U$4*$I$1),0)</f>
        <v>0</v>
      </c>
      <c r="Y126" s="95">
        <f>IF(SUM(T126,U125:U126)&gt;0,H126*Variables!$Y$11*0.25*(1-$J$1),0)</f>
        <v>-6.9874000000000018</v>
      </c>
      <c r="Z126" s="95">
        <f>IF(T126=0,H126*$J$1*Variables!$Y$5*0.25,0)</f>
        <v>0</v>
      </c>
      <c r="AA126" s="95">
        <f t="shared" si="2"/>
        <v>-6.9874000000000018</v>
      </c>
      <c r="AB126" s="91">
        <f>AA126/Variables!$E$49</f>
        <v>-1.1270000000000002</v>
      </c>
    </row>
    <row r="127" spans="1:28" x14ac:dyDescent="0.25">
      <c r="A127" s="61">
        <f>'Water runs'!C134</f>
        <v>13574</v>
      </c>
      <c r="B127" s="61" t="str">
        <f>'Water runs'!B134</f>
        <v>Summer</v>
      </c>
      <c r="C127" s="54">
        <f>'Water runs'!D134/100</f>
        <v>1.6675476190476202</v>
      </c>
      <c r="D127" s="108">
        <f>VLOOKUP(ROW(D127)+4,'Water runs'!$BS$3:$CF$423,MATCH($B$1,Scenarios,0)+1)</f>
        <v>2.4194965914219432E-2</v>
      </c>
      <c r="E127" s="54">
        <f>IF(B127=Variables!$D$8,C127-Variables!$E$8,IF(B127=Variables!$D$9,C127-Variables!$E$9,IF(B127=Variables!$D$10,C127-Variables!$E$10,IF(B127=Variables!$D$11,C127-Variables!$E$11,"ELSE"))))</f>
        <v>0.40917748299319845</v>
      </c>
      <c r="F127" s="108">
        <f>VLOOKUP(ROW(F127)+4,'Water runs'!$CH$3:$CU$423,MATCH($B$1,Scenarios,0)+1)</f>
        <v>0</v>
      </c>
      <c r="G127" s="65">
        <f>H127/Variables!$E$49</f>
        <v>0.161</v>
      </c>
      <c r="H127" s="62">
        <f>IF((H126+I127)&gt;(1.1*Variables!$E$50),(1.1*Variables!$E$50),IF((H126+I127)&gt;0,H126+I127,0))</f>
        <v>0.99820000000000009</v>
      </c>
      <c r="I127" s="64">
        <f t="shared" si="4"/>
        <v>0</v>
      </c>
      <c r="J127" s="63">
        <f>IF(SUM(E123:E126)&lt;Variables!$B$3,-H126,0)</f>
        <v>0</v>
      </c>
      <c r="K127" s="64">
        <f>IF(AND(H126&lt;Variables!$B$6*Variables!$E$50,OR(SUM(D124:D127)&gt;Variables!$B$5,SUM(E124:E127)&gt;Variables!$B$4)),Variables!$B$6*Variables!$E$50+Variables!$B$7*$G$1*Variables!$E$50*SUM(D124:D127),0)</f>
        <v>0</v>
      </c>
      <c r="L127" s="64">
        <f>IF(B127="Winter",Variables!$B$8*H126,0)</f>
        <v>0</v>
      </c>
      <c r="M127" s="64">
        <f>IF(AND(B127="Spring",AND(NOT(H126=0),H126&lt;(Variables!$B$9*Variables!$E$50))),(Variables!$B$10*Variables!$E$50+Variables!$B$11*Variables!$E$50*SUM(E124:E127)+$G$1*SUM(D126:D127)*Variables!$E$50*Variables!$B$12),0)</f>
        <v>0</v>
      </c>
      <c r="N127" s="64">
        <f>IF(AND(B127="Spring",AND(SUM(D124:D127)&gt;Variables!$B$13,SUM(D120:D123)&gt;Variables!$B$13)),-Variables!$B$14*Variables!$E$50,0)</f>
        <v>0</v>
      </c>
      <c r="O127" s="64">
        <f>IF(AND(B127="Summer",SUM(C123:D127)&gt;Variables!$B$15),(Variables!$B$16*Variables!$E$50*SUM(C123:C127)+$G$1*Variables!$B$16*Variables!$E$50*SUM(D123:D127)+$G$1*Variables!$E$50*Variables!$B$17*F127),0)</f>
        <v>0</v>
      </c>
      <c r="P127" s="64">
        <f>IF(AND(AND(B127="Autumn",SUM(D126:E127)&gt;0),NOT(H126=0)),Variables!$B$18*Variables!$E$50+Variables!$B$19*Variables!$E$50*SUM(E126:E127)+$G$1*Variables!$B$19*Variables!$E$50*SUM(D126:D127),0)</f>
        <v>0</v>
      </c>
      <c r="Q127" s="64">
        <f>IF(AND(B127="Autumn",AND((E127+E126)&lt;Variables!$B$20,(D126+D127)=0)),-Variables!$B$21*Variables!$E$50,0)</f>
        <v>0</v>
      </c>
      <c r="R127" s="64">
        <f>IF(B127="Autumn",(SUM(F126:F127)*$G$1*Variables!$B$22*Variables!$E$50),0)</f>
        <v>0</v>
      </c>
      <c r="S127" s="64">
        <f>IF(B127="Spring",($G$1*Variables!$E$50*SUM('Guts (option 2)'!F126:F127)*Variables!$B$23),0)</f>
        <v>0</v>
      </c>
      <c r="T127" s="63">
        <f>IF((H126+SUM(J127:Q127))&lt;(Variables!$B$26*Variables!$E$50),$F$1*((Variables!$B$26*Variables!$E$50)-H126-SUM(J127:Q127)),0)</f>
        <v>0</v>
      </c>
      <c r="U127" s="64">
        <f>IF(AND(AND(B127="Autumn",SUM(D124:E127)&gt;Variables!$B$27),SUM(J127:Q127)&lt;Variables!$B$28*H126),$F$1*(Variables!$B$28*H126-SUM(J127:Q127)),0)</f>
        <v>0</v>
      </c>
      <c r="V127" s="96">
        <f>IF(AND((J127+K127)=0,(Q127+T127)=0),$H$1*H127*Variables!$I$23*0.25,0)</f>
        <v>6.4118212433333337</v>
      </c>
      <c r="W127" s="97">
        <f>IF(AND((K127+J127)=0,(T127+Q127)=0),$I$1*H127*Variables!$Q$23*0.25,0)</f>
        <v>6.7114808833333326</v>
      </c>
      <c r="X127" s="95">
        <f>IF(AND(NOT(K127=0),(H127-H126)&gt;0),(H127-H126)*(Variables!$M$5*$H$1+Variables!$U$5*$I$1),0)+IF(AND(NOT((J127+N127+Q127)=0),(H126-H127)&gt;0),(H126-H127)*(Variables!$M$4*$H$1+Variables!$U$4*$I$1),0)</f>
        <v>0</v>
      </c>
      <c r="Y127" s="95">
        <f>IF(SUM(T127,U126:U127)&gt;0,H127*Variables!$Y$11*0.25*(1-$J$1),0)</f>
        <v>0</v>
      </c>
      <c r="Z127" s="95">
        <f>IF(T127=0,H127*$J$1*Variables!$Y$5*0.25,0)</f>
        <v>2.1627666666666667</v>
      </c>
      <c r="AA127" s="95">
        <f t="shared" si="2"/>
        <v>15.286068793333332</v>
      </c>
      <c r="AB127" s="91">
        <f>AA127/Variables!$E$49</f>
        <v>2.4654949666666663</v>
      </c>
    </row>
    <row r="128" spans="1:28" x14ac:dyDescent="0.25">
      <c r="A128" s="61">
        <f>'Water runs'!C135</f>
        <v>13666</v>
      </c>
      <c r="B128" s="61" t="str">
        <f>'Water runs'!B135</f>
        <v>Autumn</v>
      </c>
      <c r="C128" s="54">
        <f>'Water runs'!D135/100</f>
        <v>0.60233333333333294</v>
      </c>
      <c r="D128" s="108">
        <f>VLOOKUP(ROW(D128)+4,'Water runs'!$BS$3:$CF$423,MATCH($B$1,Scenarios,0)+1)</f>
        <v>0.26248663884908036</v>
      </c>
      <c r="E128" s="54">
        <f>IF(B128=Variables!$D$8,C128-Variables!$E$8,IF(B128=Variables!$D$9,C128-Variables!$E$9,IF(B128=Variables!$D$10,C128-Variables!$E$10,IF(B128=Variables!$D$11,C128-Variables!$E$11,"ELSE"))))</f>
        <v>-0.39230996598639489</v>
      </c>
      <c r="F128" s="108">
        <f>VLOOKUP(ROW(F128)+4,'Water runs'!$CH$3:$CU$423,MATCH($B$1,Scenarios,0)+1)</f>
        <v>0.24769554786657061</v>
      </c>
      <c r="G128" s="65">
        <f>H128/Variables!$E$49</f>
        <v>0.49293522776792825</v>
      </c>
      <c r="H128" s="62">
        <f>IF((H127+I128)&gt;(1.1*Variables!$E$50),(1.1*Variables!$E$50),IF((H127+I128)&gt;0,H127+I128,0))</f>
        <v>3.0561984121611552</v>
      </c>
      <c r="I128" s="64">
        <f t="shared" si="4"/>
        <v>2.057998412161155</v>
      </c>
      <c r="J128" s="63">
        <f>IF(SUM(E124:E127)&lt;Variables!$B$3,-H127,0)</f>
        <v>0</v>
      </c>
      <c r="K128" s="64">
        <f>IF(AND(H127&lt;Variables!$B$6*Variables!$E$50,OR(SUM(D125:D128)&gt;Variables!$B$5,SUM(E125:E128)&gt;Variables!$B$4)),Variables!$B$6*Variables!$E$50+Variables!$B$7*$G$1*Variables!$E$50*SUM(D125:D128),0)</f>
        <v>1.1559258948305213</v>
      </c>
      <c r="L128" s="64">
        <f>IF(B128="Winter",Variables!$B$8*H127,0)</f>
        <v>0</v>
      </c>
      <c r="M128" s="64">
        <f>IF(AND(B128="Spring",AND(NOT(H127=0),H127&lt;(Variables!$B$9*Variables!$E$50))),(Variables!$B$10*Variables!$E$50+Variables!$B$11*Variables!$E$50*SUM(E125:E128)+$G$1*SUM(D127:D128)*Variables!$E$50*Variables!$B$12),0)</f>
        <v>0</v>
      </c>
      <c r="N128" s="64">
        <f>IF(AND(B128="Spring",AND(SUM(D125:D128)&gt;Variables!$B$13,SUM(D121:D124)&gt;Variables!$B$13)),-Variables!$B$14*Variables!$E$50,0)</f>
        <v>0</v>
      </c>
      <c r="O128" s="64">
        <f>IF(AND(B128="Summer",SUM(C124:D128)&gt;Variables!$B$15),(Variables!$B$16*Variables!$E$50*SUM(C124:C128)+$G$1*Variables!$B$16*Variables!$E$50*SUM(D124:D128)+$G$1*Variables!$E$50*Variables!$B$17*F128),0)</f>
        <v>0</v>
      </c>
      <c r="P128" s="64">
        <f>IF(AND(AND(B128="Autumn",SUM(D127:E128)&gt;0),NOT(H127=0)),Variables!$B$18*Variables!$E$50+Variables!$B$19*Variables!$E$50*SUM(E127:E128)+$G$1*Variables!$B$19*Variables!$E$50*SUM(D127:D128),0)</f>
        <v>0.86717436906362044</v>
      </c>
      <c r="Q128" s="64">
        <f>IF(AND(B128="Autumn",AND((E128+E127)&lt;Variables!$B$20,(D127+D128)=0)),-Variables!$B$21*Variables!$E$50,0)</f>
        <v>0</v>
      </c>
      <c r="R128" s="64">
        <f>IF(B128="Autumn",(SUM(F127:F128)*$G$1*Variables!$B$22*Variables!$E$50),0)</f>
        <v>3.4898148267013533E-2</v>
      </c>
      <c r="S128" s="64">
        <f>IF(B128="Spring",($G$1*Variables!$E$50*SUM('Guts (option 2)'!F127:F128)*Variables!$B$23),0)</f>
        <v>0</v>
      </c>
      <c r="T128" s="63">
        <f>IF((H127+SUM(J128:Q128))&lt;(Variables!$B$26*Variables!$E$50),$F$1*((Variables!$B$26*Variables!$E$50)-H127-SUM(J128:Q128)),0)</f>
        <v>0</v>
      </c>
      <c r="U128" s="64">
        <f>IF(AND(AND(B128="Autumn",SUM(D125:E128)&gt;Variables!$B$27),SUM(J128:Q128)&lt;Variables!$B$28*H127),$F$1*(Variables!$B$28*H127-SUM(J128:Q128)),0)</f>
        <v>0</v>
      </c>
      <c r="V128" s="96">
        <f>IF(AND((J128+K128)=0,(Q128+T128)=0),$H$1*H128*Variables!$I$23*0.25,0)</f>
        <v>0</v>
      </c>
      <c r="W128" s="97">
        <f>IF(AND((K128+J128)=0,(T128+Q128)=0),$I$1*H128*Variables!$Q$23*0.25,0)</f>
        <v>0</v>
      </c>
      <c r="X128" s="95">
        <f>IF(AND(NOT(K128=0),(H128-H127)&gt;0),(H128-H127)*(Variables!$M$5*$H$1+Variables!$U$5*$I$1),0)+IF(AND(NOT((J128+N128+Q128)=0),(H127-H128)&gt;0),(H127-H128)*(Variables!$M$4*$H$1+Variables!$U$4*$I$1),0)</f>
        <v>-171.49986768009623</v>
      </c>
      <c r="Y128" s="95">
        <f>IF(SUM(T128,U127:U128)&gt;0,H128*Variables!$Y$11*0.25*(1-$J$1),0)</f>
        <v>0</v>
      </c>
      <c r="Z128" s="95">
        <f>IF(T128=0,H128*$J$1*Variables!$Y$5*0.25,0)</f>
        <v>6.6217632263491684</v>
      </c>
      <c r="AA128" s="95">
        <f t="shared" si="2"/>
        <v>-164.87810445374706</v>
      </c>
      <c r="AB128" s="91">
        <f>AA128/Variables!$E$49</f>
        <v>-26.59324265383017</v>
      </c>
    </row>
    <row r="129" spans="1:28" x14ac:dyDescent="0.25">
      <c r="A129" s="61">
        <f>'Water runs'!C136</f>
        <v>13758</v>
      </c>
      <c r="B129" s="61" t="str">
        <f>'Water runs'!B136</f>
        <v>Winter</v>
      </c>
      <c r="C129" s="54">
        <f>'Water runs'!D136/100</f>
        <v>0.42841666666666695</v>
      </c>
      <c r="D129" s="108">
        <f>VLOOKUP(ROW(D129)+4,'Water runs'!$BS$3:$CF$423,MATCH($B$1,Scenarios,0)+1)</f>
        <v>0</v>
      </c>
      <c r="E129" s="54">
        <f>IF(B129=Variables!$D$8,C129-Variables!$E$8,IF(B129=Variables!$D$9,C129-Variables!$E$9,IF(B129=Variables!$D$10,C129-Variables!$E$10,IF(B129=Variables!$D$11,C129-Variables!$E$11,"ELSE"))))</f>
        <v>-0.14335095899470879</v>
      </c>
      <c r="F129" s="108">
        <f>VLOOKUP(ROW(F129)+4,'Water runs'!$CH$3:$CU$423,MATCH($B$1,Scenarios,0)+1)</f>
        <v>0</v>
      </c>
      <c r="G129" s="65">
        <f>H129/Variables!$E$49</f>
        <v>0.24748047434974668</v>
      </c>
      <c r="H129" s="62">
        <f>IF((H128+I129)&gt;(1.1*Variables!$E$50),(1.1*Variables!$E$50),IF((H128+I129)&gt;0,H128+I129,0))</f>
        <v>1.5343789409684294</v>
      </c>
      <c r="I129" s="64">
        <f t="shared" si="4"/>
        <v>-1.5218194711927258</v>
      </c>
      <c r="J129" s="63">
        <f>IF(SUM(E125:E128)&lt;Variables!$B$3,-H128,0)</f>
        <v>0</v>
      </c>
      <c r="K129" s="64">
        <f>IF(AND(H128&lt;Variables!$B$6*Variables!$E$50,OR(SUM(D126:D129)&gt;Variables!$B$5,SUM(E126:E129)&gt;Variables!$B$4)),Variables!$B$6*Variables!$E$50+Variables!$B$7*$G$1*Variables!$E$50*SUM(D126:D129),0)</f>
        <v>0</v>
      </c>
      <c r="L129" s="64">
        <f>IF(B129="Winter",Variables!$B$8*H128,0)</f>
        <v>-1.5218194711927258</v>
      </c>
      <c r="M129" s="64">
        <f>IF(AND(B129="Spring",AND(NOT(H128=0),H128&lt;(Variables!$B$9*Variables!$E$50))),(Variables!$B$10*Variables!$E$50+Variables!$B$11*Variables!$E$50*SUM(E126:E129)+$G$1*SUM(D128:D129)*Variables!$E$50*Variables!$B$12),0)</f>
        <v>0</v>
      </c>
      <c r="N129" s="64">
        <f>IF(AND(B129="Spring",AND(SUM(D126:D129)&gt;Variables!$B$13,SUM(D122:D125)&gt;Variables!$B$13)),-Variables!$B$14*Variables!$E$50,0)</f>
        <v>0</v>
      </c>
      <c r="O129" s="64">
        <f>IF(AND(B129="Summer",SUM(C125:D129)&gt;Variables!$B$15),(Variables!$B$16*Variables!$E$50*SUM(C125:C129)+$G$1*Variables!$B$16*Variables!$E$50*SUM(D125:D129)+$G$1*Variables!$E$50*Variables!$B$17*F129),0)</f>
        <v>0</v>
      </c>
      <c r="P129" s="64">
        <f>IF(AND(AND(B129="Autumn",SUM(D128:E129)&gt;0),NOT(H128=0)),Variables!$B$18*Variables!$E$50+Variables!$B$19*Variables!$E$50*SUM(E128:E129)+$G$1*Variables!$B$19*Variables!$E$50*SUM(D128:D129),0)</f>
        <v>0</v>
      </c>
      <c r="Q129" s="64">
        <f>IF(AND(B129="Autumn",AND((E129+E128)&lt;Variables!$B$20,(D128+D129)=0)),-Variables!$B$21*Variables!$E$50,0)</f>
        <v>0</v>
      </c>
      <c r="R129" s="64">
        <f>IF(B129="Autumn",(SUM(F128:F129)*$G$1*Variables!$B$22*Variables!$E$50),0)</f>
        <v>0</v>
      </c>
      <c r="S129" s="64">
        <f>IF(B129="Spring",($G$1*Variables!$E$50*SUM('Guts (option 2)'!F128:F129)*Variables!$B$23),0)</f>
        <v>0</v>
      </c>
      <c r="T129" s="63">
        <f>IF((H128+SUM(J129:Q129))&lt;(Variables!$B$26*Variables!$E$50),$F$1*((Variables!$B$26*Variables!$E$50)-H128-SUM(J129:Q129)),0)</f>
        <v>0</v>
      </c>
      <c r="U129" s="64">
        <f>IF(AND(AND(B129="Autumn",SUM(D126:E129)&gt;Variables!$B$27),SUM(J129:Q129)&lt;Variables!$B$28*H128),$F$1*(Variables!$B$28*H128-SUM(J129:Q129)),0)</f>
        <v>0</v>
      </c>
      <c r="V129" s="96">
        <f>IF(AND((J129+K129)=0,(Q129+T129)=0),$H$1*H129*Variables!$I$23*0.25,0)</f>
        <v>9.8559041164342602</v>
      </c>
      <c r="W129" s="97">
        <f>IF(AND((K129+J129)=0,(T129+Q129)=0),$I$1*H129*Variables!$Q$23*0.25,0)</f>
        <v>10.316524674512982</v>
      </c>
      <c r="X129" s="95">
        <f>IF(AND(NOT(K129=0),(H129-H128)&gt;0),(H129-H128)*(Variables!$M$5*$H$1+Variables!$U$5*$I$1),0)+IF(AND(NOT((J129+N129+Q129)=0),(H128-H129)&gt;0),(H128-H129)*(Variables!$M$4*$H$1+Variables!$U$4*$I$1),0)</f>
        <v>0</v>
      </c>
      <c r="Y129" s="95">
        <f>IF(SUM(T129,U128:U129)&gt;0,H129*Variables!$Y$11*0.25*(1-$J$1),0)</f>
        <v>0</v>
      </c>
      <c r="Z129" s="95">
        <f>IF(T129=0,H129*$J$1*Variables!$Y$5*0.25,0)</f>
        <v>3.3244877054315967</v>
      </c>
      <c r="AA129" s="95">
        <f t="shared" si="2"/>
        <v>23.496916496378841</v>
      </c>
      <c r="AB129" s="91">
        <f>AA129/Variables!$E$49</f>
        <v>3.789825241351426</v>
      </c>
    </row>
    <row r="130" spans="1:28" x14ac:dyDescent="0.25">
      <c r="A130" s="61">
        <f>'Water runs'!C137</f>
        <v>13849</v>
      </c>
      <c r="B130" s="61" t="str">
        <f>'Water runs'!B137</f>
        <v>Spring</v>
      </c>
      <c r="C130" s="54">
        <f>'Water runs'!D137/100</f>
        <v>0.1125</v>
      </c>
      <c r="D130" s="108">
        <f>VLOOKUP(ROW(D130)+4,'Water runs'!$BS$3:$CF$423,MATCH($B$1,Scenarios,0)+1)</f>
        <v>0</v>
      </c>
      <c r="E130" s="54">
        <f>IF(B130=Variables!$D$8,C130-Variables!$E$8,IF(B130=Variables!$D$9,C130-Variables!$E$9,IF(B130=Variables!$D$10,C130-Variables!$E$10,IF(B130=Variables!$D$11,C130-Variables!$E$11,"ELSE"))))</f>
        <v>-0.6514822089947091</v>
      </c>
      <c r="F130" s="108">
        <f>VLOOKUP(ROW(F130)+4,'Water runs'!$CH$3:$CU$423,MATCH($B$1,Scenarios,0)+1)</f>
        <v>0</v>
      </c>
      <c r="G130" s="65">
        <f>H130/Variables!$E$49</f>
        <v>0.16202199081108731</v>
      </c>
      <c r="H130" s="62">
        <f>IF((H129+I130)&gt;(1.1*Variables!$E$50),(1.1*Variables!$E$50),IF((H129+I130)&gt;0,H129+I130,0))</f>
        <v>1.0045363430287413</v>
      </c>
      <c r="I130" s="64">
        <f t="shared" si="4"/>
        <v>-0.52984259793968813</v>
      </c>
      <c r="J130" s="63">
        <f>IF(SUM(E126:E129)&lt;Variables!$B$3,-H129,0)</f>
        <v>0</v>
      </c>
      <c r="K130" s="64">
        <f>IF(AND(H129&lt;Variables!$B$6*Variables!$E$50,OR(SUM(D127:D130)&gt;Variables!$B$5,SUM(E127:E130)&gt;Variables!$B$4)),Variables!$B$6*Variables!$E$50+Variables!$B$7*$G$1*Variables!$E$50*SUM(D127:D130),0)</f>
        <v>0</v>
      </c>
      <c r="L130" s="64">
        <f>IF(B130="Winter",Variables!$B$8*H129,0)</f>
        <v>0</v>
      </c>
      <c r="M130" s="64">
        <f>IF(AND(B130="Spring",AND(NOT(H129=0),H129&lt;(Variables!$B$9*Variables!$E$50))),(Variables!$B$10*Variables!$E$50+Variables!$B$11*Variables!$E$50*SUM(E127:E130)+$G$1*SUM(D129:D130)*Variables!$E$50*Variables!$B$12),0)</f>
        <v>-0.52984259793968813</v>
      </c>
      <c r="N130" s="64">
        <f>IF(AND(B130="Spring",AND(SUM(D127:D130)&gt;Variables!$B$13,SUM(D123:D126)&gt;Variables!$B$13)),-Variables!$B$14*Variables!$E$50,0)</f>
        <v>0</v>
      </c>
      <c r="O130" s="64">
        <f>IF(AND(B130="Summer",SUM(C126:D130)&gt;Variables!$B$15),(Variables!$B$16*Variables!$E$50*SUM(C126:C130)+$G$1*Variables!$B$16*Variables!$E$50*SUM(D126:D130)+$G$1*Variables!$E$50*Variables!$B$17*F130),0)</f>
        <v>0</v>
      </c>
      <c r="P130" s="64">
        <f>IF(AND(AND(B130="Autumn",SUM(D129:E130)&gt;0),NOT(H129=0)),Variables!$B$18*Variables!$E$50+Variables!$B$19*Variables!$E$50*SUM(E129:E130)+$G$1*Variables!$B$19*Variables!$E$50*SUM(D129:D130),0)</f>
        <v>0</v>
      </c>
      <c r="Q130" s="64">
        <f>IF(AND(B130="Autumn",AND((E130+E129)&lt;Variables!$B$20,(D129+D130)=0)),-Variables!$B$21*Variables!$E$50,0)</f>
        <v>0</v>
      </c>
      <c r="R130" s="64">
        <f>IF(B130="Autumn",(SUM(F129:F130)*$G$1*Variables!$B$22*Variables!$E$50),0)</f>
        <v>0</v>
      </c>
      <c r="S130" s="64">
        <f>IF(B130="Spring",($G$1*Variables!$E$50*SUM('Guts (option 2)'!F129:F130)*Variables!$B$23),0)</f>
        <v>0</v>
      </c>
      <c r="T130" s="63">
        <f>IF((H129+SUM(J130:Q130))&lt;(Variables!$B$26*Variables!$E$50),$F$1*((Variables!$B$26*Variables!$E$50)-H129-SUM(J130:Q130)),0)</f>
        <v>0</v>
      </c>
      <c r="U130" s="64">
        <f>IF(AND(AND(B130="Autumn",SUM(D127:E130)&gt;Variables!$B$27),SUM(J130:Q130)&lt;Variables!$B$28*H129),$F$1*(Variables!$B$28*H129-SUM(J130:Q130)),0)</f>
        <v>0</v>
      </c>
      <c r="V130" s="96">
        <f>IF(AND((J130+K130)=0,(Q130+T130)=0),$H$1*H130*Variables!$I$23*0.25,0)</f>
        <v>6.4525220035384327</v>
      </c>
      <c r="W130" s="97">
        <f>IF(AND((K130+J130)=0,(T130+Q130)=0),$I$1*H130*Variables!$Q$23*0.25,0)</f>
        <v>6.7540838137156598</v>
      </c>
      <c r="X130" s="95">
        <f>IF(AND(NOT(K130=0),(H130-H129)&gt;0),(H130-H129)*(Variables!$M$5*$H$1+Variables!$U$5*$I$1),0)+IF(AND(NOT((J130+N130+Q130)=0),(H129-H130)&gt;0),(H129-H130)*(Variables!$M$4*$H$1+Variables!$U$4*$I$1),0)</f>
        <v>0</v>
      </c>
      <c r="Y130" s="95">
        <f>IF(SUM(T130,U129:U130)&gt;0,H130*Variables!$Y$11*0.25*(1-$J$1),0)</f>
        <v>0</v>
      </c>
      <c r="Z130" s="95">
        <f>IF(T130=0,H130*$J$1*Variables!$Y$5*0.25,0)</f>
        <v>2.176495409895606</v>
      </c>
      <c r="AA130" s="95">
        <f t="shared" si="2"/>
        <v>15.3831012271497</v>
      </c>
      <c r="AB130" s="91">
        <f>AA130/Variables!$E$49</f>
        <v>2.4811453592176935</v>
      </c>
    </row>
    <row r="131" spans="1:28" x14ac:dyDescent="0.25">
      <c r="A131" s="61">
        <f>'Water runs'!C138</f>
        <v>13939</v>
      </c>
      <c r="B131" s="61" t="str">
        <f>'Water runs'!B138</f>
        <v>Summer</v>
      </c>
      <c r="C131" s="54">
        <f>'Water runs'!D138/100</f>
        <v>0.29828571428571399</v>
      </c>
      <c r="D131" s="108">
        <f>VLOOKUP(ROW(D131)+4,'Water runs'!$BS$3:$CF$423,MATCH($B$1,Scenarios,0)+1)</f>
        <v>0</v>
      </c>
      <c r="E131" s="54">
        <f>IF(B131=Variables!$D$8,C131-Variables!$E$8,IF(B131=Variables!$D$9,C131-Variables!$E$9,IF(B131=Variables!$D$10,C131-Variables!$E$10,IF(B131=Variables!$D$11,C131-Variables!$E$11,"ELSE"))))</f>
        <v>-0.96008442176870767</v>
      </c>
      <c r="F131" s="108">
        <f>VLOOKUP(ROW(F131)+4,'Water runs'!$CH$3:$CU$423,MATCH($B$1,Scenarios,0)+1)</f>
        <v>0</v>
      </c>
      <c r="G131" s="65">
        <f>H131/Variables!$E$49</f>
        <v>0.348255752107693</v>
      </c>
      <c r="H131" s="62">
        <f>IF((H130+I131)&gt;(1.1*Variables!$E$50),(1.1*Variables!$E$50),IF((H130+I131)&gt;0,H130+I131,0))</f>
        <v>2.1591856630676967</v>
      </c>
      <c r="I131" s="64">
        <f t="shared" si="4"/>
        <v>1.1546493200389552</v>
      </c>
      <c r="J131" s="63">
        <f>IF(SUM(E127:E130)&lt;Variables!$B$3,-H130,0)</f>
        <v>0</v>
      </c>
      <c r="K131" s="64">
        <f>IF(AND(H130&lt;Variables!$B$6*Variables!$E$50,OR(SUM(D128:D131)&gt;Variables!$B$5,SUM(E128:E131)&gt;Variables!$B$4)),Variables!$B$6*Variables!$E$50+Variables!$B$7*$G$1*Variables!$E$50*SUM(D128:D131),0)</f>
        <v>1.1546493200389552</v>
      </c>
      <c r="L131" s="64">
        <f>IF(B131="Winter",Variables!$B$8*H130,0)</f>
        <v>0</v>
      </c>
      <c r="M131" s="64">
        <f>IF(AND(B131="Spring",AND(NOT(H130=0),H130&lt;(Variables!$B$9*Variables!$E$50))),(Variables!$B$10*Variables!$E$50+Variables!$B$11*Variables!$E$50*SUM(E128:E131)+$G$1*SUM(D130:D131)*Variables!$E$50*Variables!$B$12),0)</f>
        <v>0</v>
      </c>
      <c r="N131" s="64">
        <f>IF(AND(B131="Spring",AND(SUM(D128:D131)&gt;Variables!$B$13,SUM(D124:D127)&gt;Variables!$B$13)),-Variables!$B$14*Variables!$E$50,0)</f>
        <v>0</v>
      </c>
      <c r="O131" s="64">
        <f>IF(AND(B131="Summer",SUM(C127:D131)&gt;Variables!$B$15),(Variables!$B$16*Variables!$E$50*SUM(C127:C131)+$G$1*Variables!$B$16*Variables!$E$50*SUM(D127:D131)+$G$1*Variables!$E$50*Variables!$B$17*F131),0)</f>
        <v>0</v>
      </c>
      <c r="P131" s="64">
        <f>IF(AND(AND(B131="Autumn",SUM(D130:E131)&gt;0),NOT(H130=0)),Variables!$B$18*Variables!$E$50+Variables!$B$19*Variables!$E$50*SUM(E130:E131)+$G$1*Variables!$B$19*Variables!$E$50*SUM(D130:D131),0)</f>
        <v>0</v>
      </c>
      <c r="Q131" s="64">
        <f>IF(AND(B131="Autumn",AND((E131+E130)&lt;Variables!$B$20,(D130+D131)=0)),-Variables!$B$21*Variables!$E$50,0)</f>
        <v>0</v>
      </c>
      <c r="R131" s="64">
        <f>IF(B131="Autumn",(SUM(F130:F131)*$G$1*Variables!$B$22*Variables!$E$50),0)</f>
        <v>0</v>
      </c>
      <c r="S131" s="64">
        <f>IF(B131="Spring",($G$1*Variables!$E$50*SUM('Guts (option 2)'!F130:F131)*Variables!$B$23),0)</f>
        <v>0</v>
      </c>
      <c r="T131" s="63">
        <f>IF((H130+SUM(J131:Q131))&lt;(Variables!$B$26*Variables!$E$50),$F$1*((Variables!$B$26*Variables!$E$50)-H130-SUM(J131:Q131)),0)</f>
        <v>0</v>
      </c>
      <c r="U131" s="64">
        <f>IF(AND(AND(B131="Autumn",SUM(D128:E131)&gt;Variables!$B$27),SUM(J131:Q131)&lt;Variables!$B$28*H130),$F$1*(Variables!$B$28*H130-SUM(J131:Q131)),0)</f>
        <v>0</v>
      </c>
      <c r="V131" s="96">
        <f>IF(AND((J131+K131)=0,(Q131+T131)=0),$H$1*H131*Variables!$I$23*0.25,0)</f>
        <v>0</v>
      </c>
      <c r="W131" s="97">
        <f>IF(AND((K131+J131)=0,(T131+Q131)=0),$I$1*H131*Variables!$Q$23*0.25,0)</f>
        <v>0</v>
      </c>
      <c r="X131" s="95">
        <f>IF(AND(NOT(K131=0),(H131-H130)&gt;0),(H131-H130)*(Variables!$M$5*$H$1+Variables!$U$5*$I$1),0)+IF(AND(NOT((J131+N131+Q131)=0),(H130-H131)&gt;0),(H130-H131)*(Variables!$M$4*$H$1+Variables!$U$4*$I$1),0)</f>
        <v>-96.220776669912937</v>
      </c>
      <c r="Y131" s="95">
        <f>IF(SUM(T131,U130:U131)&gt;0,H131*Variables!$Y$11*0.25*(1-$J$1),0)</f>
        <v>0</v>
      </c>
      <c r="Z131" s="95">
        <f>IF(T131=0,H131*$J$1*Variables!$Y$5*0.25,0)</f>
        <v>4.6782356033133432</v>
      </c>
      <c r="AA131" s="95">
        <f t="shared" si="2"/>
        <v>-91.542541066599597</v>
      </c>
      <c r="AB131" s="91">
        <f>AA131/Variables!$E$49</f>
        <v>-14.764925978483806</v>
      </c>
    </row>
    <row r="132" spans="1:28" x14ac:dyDescent="0.25">
      <c r="A132" s="61">
        <f>'Water runs'!C139</f>
        <v>14031</v>
      </c>
      <c r="B132" s="61" t="str">
        <f>'Water runs'!B139</f>
        <v>Autumn</v>
      </c>
      <c r="C132" s="54">
        <f>'Water runs'!D139/100</f>
        <v>0.41542857142857104</v>
      </c>
      <c r="D132" s="108">
        <f>VLOOKUP(ROW(D132)+4,'Water runs'!$BS$3:$CF$423,MATCH($B$1,Scenarios,0)+1)</f>
        <v>0</v>
      </c>
      <c r="E132" s="54">
        <f>IF(B132=Variables!$D$8,C132-Variables!$E$8,IF(B132=Variables!$D$9,C132-Variables!$E$9,IF(B132=Variables!$D$10,C132-Variables!$E$10,IF(B132=Variables!$D$11,C132-Variables!$E$11,"ELSE"))))</f>
        <v>-0.5792147278911568</v>
      </c>
      <c r="F132" s="108">
        <f>VLOOKUP(ROW(F132)+4,'Water runs'!$CH$3:$CU$423,MATCH($B$1,Scenarios,0)+1)</f>
        <v>0</v>
      </c>
      <c r="G132" s="65">
        <f>H132/Variables!$E$49</f>
        <v>0.16100000000000003</v>
      </c>
      <c r="H132" s="62">
        <f>IF((H131+I132)&gt;(1.1*Variables!$E$50),(1.1*Variables!$E$50),IF((H131+I132)&gt;0,H131+I132,0))</f>
        <v>0.9982000000000002</v>
      </c>
      <c r="I132" s="64">
        <f t="shared" si="4"/>
        <v>-1.1609856630676965</v>
      </c>
      <c r="J132" s="63">
        <f>IF(SUM(E128:E131)&lt;Variables!$B$3,-H131,0)</f>
        <v>-2.1591856630676967</v>
      </c>
      <c r="K132" s="64">
        <f>IF(AND(H131&lt;Variables!$B$6*Variables!$E$50,OR(SUM(D129:D132)&gt;Variables!$B$5,SUM(E129:E132)&gt;Variables!$B$4)),Variables!$B$6*Variables!$E$50+Variables!$B$7*$G$1*Variables!$E$50*SUM(D129:D132),0)</f>
        <v>0</v>
      </c>
      <c r="L132" s="64">
        <f>IF(B132="Winter",Variables!$B$8*H131,0)</f>
        <v>0</v>
      </c>
      <c r="M132" s="64">
        <f>IF(AND(B132="Spring",AND(NOT(H131=0),H131&lt;(Variables!$B$9*Variables!$E$50))),(Variables!$B$10*Variables!$E$50+Variables!$B$11*Variables!$E$50*SUM(E129:E132)+$G$1*SUM(D131:D132)*Variables!$E$50*Variables!$B$12),0)</f>
        <v>0</v>
      </c>
      <c r="N132" s="64">
        <f>IF(AND(B132="Spring",AND(SUM(D129:D132)&gt;Variables!$B$13,SUM(D125:D128)&gt;Variables!$B$13)),-Variables!$B$14*Variables!$E$50,0)</f>
        <v>0</v>
      </c>
      <c r="O132" s="64">
        <f>IF(AND(B132="Summer",SUM(C128:D132)&gt;Variables!$B$15),(Variables!$B$16*Variables!$E$50*SUM(C128:C132)+$G$1*Variables!$B$16*Variables!$E$50*SUM(D128:D132)+$G$1*Variables!$E$50*Variables!$B$17*F132),0)</f>
        <v>0</v>
      </c>
      <c r="P132" s="64">
        <f>IF(AND(AND(B132="Autumn",SUM(D131:E132)&gt;0),NOT(H131=0)),Variables!$B$18*Variables!$E$50+Variables!$B$19*Variables!$E$50*SUM(E131:E132)+$G$1*Variables!$B$19*Variables!$E$50*SUM(D131:D132),0)</f>
        <v>0</v>
      </c>
      <c r="Q132" s="64">
        <f>IF(AND(B132="Autumn",AND((E132+E131)&lt;Variables!$B$20,(D131+D132)=0)),-Variables!$B$21*Variables!$E$50,0)</f>
        <v>0</v>
      </c>
      <c r="R132" s="64">
        <f>IF(B132="Autumn",(SUM(F131:F132)*$G$1*Variables!$B$22*Variables!$E$50),0)</f>
        <v>0</v>
      </c>
      <c r="S132" s="64">
        <f>IF(B132="Spring",($G$1*Variables!$E$50*SUM('Guts (option 2)'!F131:F132)*Variables!$B$23),0)</f>
        <v>0</v>
      </c>
      <c r="T132" s="63">
        <f>IF((H131+SUM(J132:Q132))&lt;(Variables!$B$26*Variables!$E$50),$F$1*((Variables!$B$26*Variables!$E$50)-H131-SUM(J132:Q132)),0)</f>
        <v>0.9982000000000002</v>
      </c>
      <c r="U132" s="64">
        <f>IF(AND(AND(B132="Autumn",SUM(D129:E132)&gt;Variables!$B$27),SUM(J132:Q132)&lt;Variables!$B$28*H131),$F$1*(Variables!$B$28*H131-SUM(J132:Q132)),0)</f>
        <v>0</v>
      </c>
      <c r="V132" s="96">
        <f>IF(AND((J132+K132)=0,(Q132+T132)=0),$H$1*H132*Variables!$I$23*0.25,0)</f>
        <v>0</v>
      </c>
      <c r="W132" s="97">
        <f>IF(AND((K132+J132)=0,(T132+Q132)=0),$I$1*H132*Variables!$Q$23*0.25,0)</f>
        <v>0</v>
      </c>
      <c r="X132" s="95">
        <f>IF(AND(NOT(K132=0),(H132-H131)&gt;0),(H132-H131)*(Variables!$M$5*$H$1+Variables!$U$5*$I$1),0)+IF(AND(NOT((J132+N132+Q132)=0),(H131-H132)&gt;0),(H131-H132)*(Variables!$M$4*$H$1+Variables!$U$4*$I$1),0)</f>
        <v>48.374402627820686</v>
      </c>
      <c r="Y132" s="95">
        <f>IF(SUM(T132,U131:U132)&gt;0,H132*Variables!$Y$11*0.25*(1-$J$1),0)</f>
        <v>-6.9874000000000018</v>
      </c>
      <c r="Z132" s="95">
        <f>IF(T132=0,H132*$J$1*Variables!$Y$5*0.25,0)</f>
        <v>0</v>
      </c>
      <c r="AA132" s="95">
        <f t="shared" si="2"/>
        <v>41.387002627820685</v>
      </c>
      <c r="AB132" s="91">
        <f>AA132/Variables!$E$49</f>
        <v>6.6753230044872067</v>
      </c>
    </row>
    <row r="133" spans="1:28" x14ac:dyDescent="0.25">
      <c r="A133" s="61">
        <f>'Water runs'!C140</f>
        <v>14123</v>
      </c>
      <c r="B133" s="61" t="str">
        <f>'Water runs'!B140</f>
        <v>Winter</v>
      </c>
      <c r="C133" s="54">
        <f>'Water runs'!D140/100</f>
        <v>0.875</v>
      </c>
      <c r="D133" s="108">
        <f>VLOOKUP(ROW(D133)+4,'Water runs'!$BS$3:$CF$423,MATCH($B$1,Scenarios,0)+1)</f>
        <v>6.2181806665135911E-2</v>
      </c>
      <c r="E133" s="54">
        <f>IF(B133=Variables!$D$8,C133-Variables!$E$8,IF(B133=Variables!$D$9,C133-Variables!$E$9,IF(B133=Variables!$D$10,C133-Variables!$E$10,IF(B133=Variables!$D$11,C133-Variables!$E$11,"ELSE"))))</f>
        <v>0.30323237433862427</v>
      </c>
      <c r="F133" s="108">
        <f>VLOOKUP(ROW(F133)+4,'Water runs'!$CH$3:$CU$423,MATCH($B$1,Scenarios,0)+1)</f>
        <v>0</v>
      </c>
      <c r="G133" s="65">
        <f>H133/Variables!$E$49</f>
        <v>0.16100000000000003</v>
      </c>
      <c r="H133" s="62">
        <f>IF((H132+I133)&gt;(1.1*Variables!$E$50),(1.1*Variables!$E$50),IF((H132+I133)&gt;0,H132+I133,0))</f>
        <v>0.9982000000000002</v>
      </c>
      <c r="I133" s="64">
        <f t="shared" si="4"/>
        <v>0</v>
      </c>
      <c r="J133" s="63">
        <f>IF(SUM(E129:E132)&lt;Variables!$B$3,-H132,0)</f>
        <v>-0.9982000000000002</v>
      </c>
      <c r="K133" s="64">
        <f>IF(AND(H132&lt;Variables!$B$6*Variables!$E$50,OR(SUM(D130:D133)&gt;Variables!$B$5,SUM(E130:E133)&gt;Variables!$B$4)),Variables!$B$6*Variables!$E$50+Variables!$B$7*$G$1*Variables!$E$50*SUM(D130:D133),0)</f>
        <v>0</v>
      </c>
      <c r="L133" s="64">
        <f>IF(B133="Winter",Variables!$B$8*H132,0)</f>
        <v>-0.49704894489176155</v>
      </c>
      <c r="M133" s="64">
        <f>IF(AND(B133="Spring",AND(NOT(H132=0),H132&lt;(Variables!$B$9*Variables!$E$50))),(Variables!$B$10*Variables!$E$50+Variables!$B$11*Variables!$E$50*SUM(E130:E133)+$G$1*SUM(D132:D133)*Variables!$E$50*Variables!$B$12),0)</f>
        <v>0</v>
      </c>
      <c r="N133" s="64">
        <f>IF(AND(B133="Spring",AND(SUM(D130:D133)&gt;Variables!$B$13,SUM(D126:D129)&gt;Variables!$B$13)),-Variables!$B$14*Variables!$E$50,0)</f>
        <v>0</v>
      </c>
      <c r="O133" s="64">
        <f>IF(AND(B133="Summer",SUM(C129:D133)&gt;Variables!$B$15),(Variables!$B$16*Variables!$E$50*SUM(C129:C133)+$G$1*Variables!$B$16*Variables!$E$50*SUM(D129:D133)+$G$1*Variables!$E$50*Variables!$B$17*F133),0)</f>
        <v>0</v>
      </c>
      <c r="P133" s="64">
        <f>IF(AND(AND(B133="Autumn",SUM(D132:E133)&gt;0),NOT(H132=0)),Variables!$B$18*Variables!$E$50+Variables!$B$19*Variables!$E$50*SUM(E132:E133)+$G$1*Variables!$B$19*Variables!$E$50*SUM(D132:D133),0)</f>
        <v>0</v>
      </c>
      <c r="Q133" s="64">
        <f>IF(AND(B133="Autumn",AND((E133+E132)&lt;Variables!$B$20,(D132+D133)=0)),-Variables!$B$21*Variables!$E$50,0)</f>
        <v>0</v>
      </c>
      <c r="R133" s="64">
        <f>IF(B133="Autumn",(SUM(F132:F133)*$G$1*Variables!$B$22*Variables!$E$50),0)</f>
        <v>0</v>
      </c>
      <c r="S133" s="64">
        <f>IF(B133="Spring",($G$1*Variables!$E$50*SUM('Guts (option 2)'!F132:F133)*Variables!$B$23),0)</f>
        <v>0</v>
      </c>
      <c r="T133" s="63">
        <f>IF((H132+SUM(J133:Q133))&lt;(Variables!$B$26*Variables!$E$50),$F$1*((Variables!$B$26*Variables!$E$50)-H132-SUM(J133:Q133)),0)</f>
        <v>1.4952489448917619</v>
      </c>
      <c r="U133" s="64">
        <f>IF(AND(AND(B133="Autumn",SUM(D130:E133)&gt;Variables!$B$27),SUM(J133:Q133)&lt;Variables!$B$28*H132),$F$1*(Variables!$B$28*H132-SUM(J133:Q133)),0)</f>
        <v>0</v>
      </c>
      <c r="V133" s="96">
        <f>IF(AND((J133+K133)=0,(Q133+T133)=0),$H$1*H133*Variables!$I$23*0.25,0)</f>
        <v>0</v>
      </c>
      <c r="W133" s="97">
        <f>IF(AND((K133+J133)=0,(T133+Q133)=0),$I$1*H133*Variables!$Q$23*0.25,0)</f>
        <v>0</v>
      </c>
      <c r="X133" s="95">
        <f>IF(AND(NOT(K133=0),(H133-H132)&gt;0),(H133-H132)*(Variables!$M$5*$H$1+Variables!$U$5*$I$1),0)+IF(AND(NOT((J133+N133+Q133)=0),(H132-H133)&gt;0),(H132-H133)*(Variables!$M$4*$H$1+Variables!$U$4*$I$1),0)</f>
        <v>0</v>
      </c>
      <c r="Y133" s="95">
        <f>IF(SUM(T133,U132:U133)&gt;0,H133*Variables!$Y$11*0.25*(1-$J$1),0)</f>
        <v>-6.9874000000000018</v>
      </c>
      <c r="Z133" s="95">
        <f>IF(T133=0,H133*$J$1*Variables!$Y$5*0.25,0)</f>
        <v>0</v>
      </c>
      <c r="AA133" s="95">
        <f t="shared" si="2"/>
        <v>-6.9874000000000018</v>
      </c>
      <c r="AB133" s="91">
        <f>AA133/Variables!$E$49</f>
        <v>-1.1270000000000002</v>
      </c>
    </row>
    <row r="134" spans="1:28" x14ac:dyDescent="0.25">
      <c r="A134" s="61">
        <f>'Water runs'!C141</f>
        <v>14214</v>
      </c>
      <c r="B134" s="61" t="str">
        <f>'Water runs'!B141</f>
        <v>Spring</v>
      </c>
      <c r="C134" s="54">
        <f>'Water runs'!D141/100</f>
        <v>0.122142857142857</v>
      </c>
      <c r="D134" s="108">
        <f>VLOOKUP(ROW(D134)+4,'Water runs'!$BS$3:$CF$423,MATCH($B$1,Scenarios,0)+1)</f>
        <v>4.843268751138172E-3</v>
      </c>
      <c r="E134" s="54">
        <f>IF(B134=Variables!$D$8,C134-Variables!$E$8,IF(B134=Variables!$D$9,C134-Variables!$E$9,IF(B134=Variables!$D$10,C134-Variables!$E$10,IF(B134=Variables!$D$11,C134-Variables!$E$11,"ELSE"))))</f>
        <v>-0.64183935185185215</v>
      </c>
      <c r="F134" s="108">
        <f>VLOOKUP(ROW(F134)+4,'Water runs'!$CH$3:$CU$423,MATCH($B$1,Scenarios,0)+1)</f>
        <v>0</v>
      </c>
      <c r="G134" s="65">
        <f>H134/Variables!$E$49</f>
        <v>0.16100000000000003</v>
      </c>
      <c r="H134" s="62">
        <f>IF((H133+I134)&gt;(1.1*Variables!$E$50),(1.1*Variables!$E$50),IF((H133+I134)&gt;0,H133+I134,0))</f>
        <v>0.9982000000000002</v>
      </c>
      <c r="I134" s="64">
        <f t="shared" si="4"/>
        <v>0</v>
      </c>
      <c r="J134" s="63">
        <f>IF(SUM(E130:E133)&lt;Variables!$B$3,-H133,0)</f>
        <v>-0.9982000000000002</v>
      </c>
      <c r="K134" s="64">
        <f>IF(AND(H133&lt;Variables!$B$6*Variables!$E$50,OR(SUM(D131:D134)&gt;Variables!$B$5,SUM(E131:E134)&gt;Variables!$B$4)),Variables!$B$6*Variables!$E$50+Variables!$B$7*$G$1*Variables!$E$50*SUM(D131:D134),0)</f>
        <v>0</v>
      </c>
      <c r="L134" s="64">
        <f>IF(B134="Winter",Variables!$B$8*H133,0)</f>
        <v>0</v>
      </c>
      <c r="M134" s="64">
        <f>IF(AND(B134="Spring",AND(NOT(H133=0),H133&lt;(Variables!$B$9*Variables!$E$50))),(Variables!$B$10*Variables!$E$50+Variables!$B$11*Variables!$E$50*SUM(E131:E134)+$G$1*SUM(D133:D134)*Variables!$E$50*Variables!$B$12),0)</f>
        <v>-1.2541573642180792</v>
      </c>
      <c r="N134" s="64">
        <f>IF(AND(B134="Spring",AND(SUM(D131:D134)&gt;Variables!$B$13,SUM(D127:D130)&gt;Variables!$B$13)),-Variables!$B$14*Variables!$E$50,0)</f>
        <v>0</v>
      </c>
      <c r="O134" s="64">
        <f>IF(AND(B134="Summer",SUM(C130:D134)&gt;Variables!$B$15),(Variables!$B$16*Variables!$E$50*SUM(C130:C134)+$G$1*Variables!$B$16*Variables!$E$50*SUM(D130:D134)+$G$1*Variables!$E$50*Variables!$B$17*F134),0)</f>
        <v>0</v>
      </c>
      <c r="P134" s="64">
        <f>IF(AND(AND(B134="Autumn",SUM(D133:E134)&gt;0),NOT(H133=0)),Variables!$B$18*Variables!$E$50+Variables!$B$19*Variables!$E$50*SUM(E133:E134)+$G$1*Variables!$B$19*Variables!$E$50*SUM(D133:D134),0)</f>
        <v>0</v>
      </c>
      <c r="Q134" s="64">
        <f>IF(AND(B134="Autumn",AND((E134+E133)&lt;Variables!$B$20,(D133+D134)=0)),-Variables!$B$21*Variables!$E$50,0)</f>
        <v>0</v>
      </c>
      <c r="R134" s="64">
        <f>IF(B134="Autumn",(SUM(F133:F134)*$G$1*Variables!$B$22*Variables!$E$50),0)</f>
        <v>0</v>
      </c>
      <c r="S134" s="64">
        <f>IF(B134="Spring",($G$1*Variables!$E$50*SUM('Guts (option 2)'!F133:F134)*Variables!$B$23),0)</f>
        <v>0</v>
      </c>
      <c r="T134" s="63">
        <f>IF((H133+SUM(J134:Q134))&lt;(Variables!$B$26*Variables!$E$50),$F$1*((Variables!$B$26*Variables!$E$50)-H133-SUM(J134:Q134)),0)</f>
        <v>2.2523573642180796</v>
      </c>
      <c r="U134" s="64">
        <f>IF(AND(AND(B134="Autumn",SUM(D131:E134)&gt;Variables!$B$27),SUM(J134:Q134)&lt;Variables!$B$28*H133),$F$1*(Variables!$B$28*H133-SUM(J134:Q134)),0)</f>
        <v>0</v>
      </c>
      <c r="V134" s="96">
        <f>IF(AND((J134+K134)=0,(Q134+T134)=0),$H$1*H134*Variables!$I$23*0.25,0)</f>
        <v>0</v>
      </c>
      <c r="W134" s="97">
        <f>IF(AND((K134+J134)=0,(T134+Q134)=0),$I$1*H134*Variables!$Q$23*0.25,0)</f>
        <v>0</v>
      </c>
      <c r="X134" s="95">
        <f>IF(AND(NOT(K134=0),(H134-H133)&gt;0),(H134-H133)*(Variables!$M$5*$H$1+Variables!$U$5*$I$1),0)+IF(AND(NOT((J134+N134+Q134)=0),(H133-H134)&gt;0),(H133-H134)*(Variables!$M$4*$H$1+Variables!$U$4*$I$1),0)</f>
        <v>0</v>
      </c>
      <c r="Y134" s="95">
        <f>IF(SUM(T134,U133:U134)&gt;0,H134*Variables!$Y$11*0.25*(1-$J$1),0)</f>
        <v>-6.9874000000000018</v>
      </c>
      <c r="Z134" s="95">
        <f>IF(T134=0,H134*$J$1*Variables!$Y$5*0.25,0)</f>
        <v>0</v>
      </c>
      <c r="AA134" s="95">
        <f t="shared" si="2"/>
        <v>-6.9874000000000018</v>
      </c>
      <c r="AB134" s="91">
        <f>AA134/Variables!$E$49</f>
        <v>-1.1270000000000002</v>
      </c>
    </row>
    <row r="135" spans="1:28" x14ac:dyDescent="0.25">
      <c r="A135" s="61">
        <f>'Water runs'!C142</f>
        <v>14304</v>
      </c>
      <c r="B135" s="61" t="str">
        <f>'Water runs'!B142</f>
        <v>Summer</v>
      </c>
      <c r="C135" s="54">
        <f>'Water runs'!D142/100</f>
        <v>0.85549999999999993</v>
      </c>
      <c r="D135" s="108">
        <f>VLOOKUP(ROW(D135)+4,'Water runs'!$BS$3:$CF$423,MATCH($B$1,Scenarios,0)+1)</f>
        <v>6.7987870054394731E-2</v>
      </c>
      <c r="E135" s="54">
        <f>IF(B135=Variables!$D$8,C135-Variables!$E$8,IF(B135=Variables!$D$9,C135-Variables!$E$9,IF(B135=Variables!$D$10,C135-Variables!$E$10,IF(B135=Variables!$D$11,C135-Variables!$E$11,"ELSE"))))</f>
        <v>-0.40287013605442179</v>
      </c>
      <c r="F135" s="108">
        <f>VLOOKUP(ROW(F135)+4,'Water runs'!$CH$3:$CU$423,MATCH($B$1,Scenarios,0)+1)</f>
        <v>0</v>
      </c>
      <c r="G135" s="65">
        <f>H135/Variables!$E$49</f>
        <v>0.18514896016595542</v>
      </c>
      <c r="H135" s="62">
        <f>IF((H134+I135)&gt;(1.1*Variables!$E$50),(1.1*Variables!$E$50),IF((H134+I135)&gt;0,H134+I135,0))</f>
        <v>1.1479235530289236</v>
      </c>
      <c r="I135" s="64">
        <f t="shared" si="4"/>
        <v>0.14972355302892337</v>
      </c>
      <c r="J135" s="63">
        <f>IF(SUM(E131:E134)&lt;Variables!$B$3,-H134,0)</f>
        <v>-0.9982000000000002</v>
      </c>
      <c r="K135" s="64">
        <f>IF(AND(H134&lt;Variables!$B$6*Variables!$E$50,OR(SUM(D132:D135)&gt;Variables!$B$5,SUM(E132:E135)&gt;Variables!$B$4)),Variables!$B$6*Variables!$E$50+Variables!$B$7*$G$1*Variables!$E$50*SUM(D132:D135),0)</f>
        <v>1.1479235530289236</v>
      </c>
      <c r="L135" s="64">
        <f>IF(B135="Winter",Variables!$B$8*H134,0)</f>
        <v>0</v>
      </c>
      <c r="M135" s="64">
        <f>IF(AND(B135="Spring",AND(NOT(H134=0),H134&lt;(Variables!$B$9*Variables!$E$50))),(Variables!$B$10*Variables!$E$50+Variables!$B$11*Variables!$E$50*SUM(E132:E135)+$G$1*SUM(D134:D135)*Variables!$E$50*Variables!$B$12),0)</f>
        <v>0</v>
      </c>
      <c r="N135" s="64">
        <f>IF(AND(B135="Spring",AND(SUM(D132:D135)&gt;Variables!$B$13,SUM(D128:D131)&gt;Variables!$B$13)),-Variables!$B$14*Variables!$E$50,0)</f>
        <v>0</v>
      </c>
      <c r="O135" s="64">
        <f>IF(AND(B135="Summer",SUM(C131:D135)&gt;Variables!$B$15),(Variables!$B$16*Variables!$E$50*SUM(C131:C135)+$G$1*Variables!$B$16*Variables!$E$50*SUM(D131:D135)+$G$1*Variables!$E$50*Variables!$B$17*F135),0)</f>
        <v>0</v>
      </c>
      <c r="P135" s="64">
        <f>IF(AND(AND(B135="Autumn",SUM(D134:E135)&gt;0),NOT(H134=0)),Variables!$B$18*Variables!$E$50+Variables!$B$19*Variables!$E$50*SUM(E134:E135)+$G$1*Variables!$B$19*Variables!$E$50*SUM(D134:D135),0)</f>
        <v>0</v>
      </c>
      <c r="Q135" s="64">
        <f>IF(AND(B135="Autumn",AND((E135+E134)&lt;Variables!$B$20,(D134+D135)=0)),-Variables!$B$21*Variables!$E$50,0)</f>
        <v>0</v>
      </c>
      <c r="R135" s="64">
        <f>IF(B135="Autumn",(SUM(F134:F135)*$G$1*Variables!$B$22*Variables!$E$50),0)</f>
        <v>0</v>
      </c>
      <c r="S135" s="64">
        <f>IF(B135="Spring",($G$1*Variables!$E$50*SUM('Guts (option 2)'!F134:F135)*Variables!$B$23),0)</f>
        <v>0</v>
      </c>
      <c r="T135" s="63">
        <f>IF((H134+SUM(J135:Q135))&lt;(Variables!$B$26*Variables!$E$50),$F$1*((Variables!$B$26*Variables!$E$50)-H134-SUM(J135:Q135)),0)</f>
        <v>0</v>
      </c>
      <c r="U135" s="64">
        <f>IF(AND(AND(B135="Autumn",SUM(D132:E135)&gt;Variables!$B$27),SUM(J135:Q135)&lt;Variables!$B$28*H134),$F$1*(Variables!$B$28*H134-SUM(J135:Q135)),0)</f>
        <v>0</v>
      </c>
      <c r="V135" s="96">
        <f>IF(AND((J135+K135)=0,(Q135+T135)=0),$H$1*H135*Variables!$I$23*0.25,0)</f>
        <v>0</v>
      </c>
      <c r="W135" s="97">
        <f>IF(AND((K135+J135)=0,(T135+Q135)=0),$I$1*H135*Variables!$Q$23*0.25,0)</f>
        <v>0</v>
      </c>
      <c r="X135" s="95">
        <f>IF(AND(NOT(K135=0),(H135-H134)&gt;0),(H135-H134)*(Variables!$M$5*$H$1+Variables!$U$5*$I$1),0)+IF(AND(NOT((J135+N135+Q135)=0),(H134-H135)&gt;0),(H134-H135)*(Variables!$M$4*$H$1+Variables!$U$4*$I$1),0)</f>
        <v>-12.47696275241028</v>
      </c>
      <c r="Y135" s="95">
        <f>IF(SUM(T135,U134:U135)&gt;0,H135*Variables!$Y$11*0.25*(1-$J$1),0)</f>
        <v>0</v>
      </c>
      <c r="Z135" s="95">
        <f>IF(T135=0,H135*$J$1*Variables!$Y$5*0.25,0)</f>
        <v>2.4871676982293343</v>
      </c>
      <c r="AA135" s="95">
        <f t="shared" si="2"/>
        <v>-9.989795054180945</v>
      </c>
      <c r="AB135" s="91">
        <f>AA135/Variables!$E$49</f>
        <v>-1.6112572668033782</v>
      </c>
    </row>
    <row r="136" spans="1:28" x14ac:dyDescent="0.25">
      <c r="A136" s="61">
        <f>'Water runs'!C143</f>
        <v>14396</v>
      </c>
      <c r="B136" s="61" t="str">
        <f>'Water runs'!B143</f>
        <v>Autumn</v>
      </c>
      <c r="C136" s="54">
        <f>'Water runs'!D143/100</f>
        <v>1.2301428571428601</v>
      </c>
      <c r="D136" s="108">
        <f>VLOOKUP(ROW(D136)+4,'Water runs'!$BS$3:$CF$423,MATCH($B$1,Scenarios,0)+1)</f>
        <v>7.0415442719261437E-2</v>
      </c>
      <c r="E136" s="54">
        <f>IF(B136=Variables!$D$8,C136-Variables!$E$8,IF(B136=Variables!$D$9,C136-Variables!$E$9,IF(B136=Variables!$D$10,C136-Variables!$E$10,IF(B136=Variables!$D$11,C136-Variables!$E$11,"ELSE"))))</f>
        <v>0.23549955782313226</v>
      </c>
      <c r="F136" s="108">
        <f>VLOOKUP(ROW(F136)+4,'Water runs'!$CH$3:$CU$423,MATCH($B$1,Scenarios,0)+1)</f>
        <v>0</v>
      </c>
      <c r="G136" s="65">
        <f>H136/Variables!$E$49</f>
        <v>0.18514896016595542</v>
      </c>
      <c r="H136" s="62">
        <f>IF((H135+I136)&gt;(1.1*Variables!$E$50),(1.1*Variables!$E$50),IF((H135+I136)&gt;0,H135+I136,0))</f>
        <v>1.1479235530289236</v>
      </c>
      <c r="I136" s="64">
        <f t="shared" si="4"/>
        <v>0</v>
      </c>
      <c r="J136" s="63">
        <f>IF(SUM(E132:E135)&lt;Variables!$B$3,-H135,0)</f>
        <v>0</v>
      </c>
      <c r="K136" s="64">
        <f>IF(AND(H135&lt;Variables!$B$6*Variables!$E$50,OR(SUM(D133:D136)&gt;Variables!$B$5,SUM(E133:E136)&gt;Variables!$B$4)),Variables!$B$6*Variables!$E$50+Variables!$B$7*$G$1*Variables!$E$50*SUM(D133:D136),0)</f>
        <v>0</v>
      </c>
      <c r="L136" s="64">
        <f>IF(B136="Winter",Variables!$B$8*H135,0)</f>
        <v>0</v>
      </c>
      <c r="M136" s="64">
        <f>IF(AND(B136="Spring",AND(NOT(H135=0),H135&lt;(Variables!$B$9*Variables!$E$50))),(Variables!$B$10*Variables!$E$50+Variables!$B$11*Variables!$E$50*SUM(E133:E136)+$G$1*SUM(D135:D136)*Variables!$E$50*Variables!$B$12),0)</f>
        <v>0</v>
      </c>
      <c r="N136" s="64">
        <f>IF(AND(B136="Spring",AND(SUM(D133:D136)&gt;Variables!$B$13,SUM(D129:D132)&gt;Variables!$B$13)),-Variables!$B$14*Variables!$E$50,0)</f>
        <v>0</v>
      </c>
      <c r="O136" s="64">
        <f>IF(AND(B136="Summer",SUM(C132:D136)&gt;Variables!$B$15),(Variables!$B$16*Variables!$E$50*SUM(C132:C136)+$G$1*Variables!$B$16*Variables!$E$50*SUM(D132:D136)+$G$1*Variables!$E$50*Variables!$B$17*F136),0)</f>
        <v>0</v>
      </c>
      <c r="P136" s="64">
        <f>IF(AND(AND(B136="Autumn",SUM(D135:E136)&gt;0),NOT(H135=0)),Variables!$B$18*Variables!$E$50+Variables!$B$19*Variables!$E$50*SUM(E135:E136)+$G$1*Variables!$B$19*Variables!$E$50*SUM(D135:D136),0)</f>
        <v>0</v>
      </c>
      <c r="Q136" s="64">
        <f>IF(AND(B136="Autumn",AND((E136+E135)&lt;Variables!$B$20,(D135+D136)=0)),-Variables!$B$21*Variables!$E$50,0)</f>
        <v>0</v>
      </c>
      <c r="R136" s="64">
        <f>IF(B136="Autumn",(SUM(F135:F136)*$G$1*Variables!$B$22*Variables!$E$50),0)</f>
        <v>0</v>
      </c>
      <c r="S136" s="64">
        <f>IF(B136="Spring",($G$1*Variables!$E$50*SUM('Guts (option 2)'!F135:F136)*Variables!$B$23),0)</f>
        <v>0</v>
      </c>
      <c r="T136" s="63">
        <f>IF((H135+SUM(J136:Q136))&lt;(Variables!$B$26*Variables!$E$50),$F$1*((Variables!$B$26*Variables!$E$50)-H135-SUM(J136:Q136)),0)</f>
        <v>0</v>
      </c>
      <c r="U136" s="64">
        <f>IF(AND(AND(B136="Autumn",SUM(D133:E136)&gt;Variables!$B$27),SUM(J136:Q136)&lt;Variables!$B$28*H135),$F$1*(Variables!$B$28*H135-SUM(J136:Q136)),0)</f>
        <v>0</v>
      </c>
      <c r="V136" s="96">
        <f>IF(AND((J136+K136)=0,(Q136+T136)=0),$H$1*H136*Variables!$I$23*0.25,0)</f>
        <v>7.3735530184667706</v>
      </c>
      <c r="W136" s="97">
        <f>IF(AND((K136+J136)=0,(T136+Q136)=0),$I$1*H136*Variables!$Q$23*0.25,0)</f>
        <v>7.7181596690860523</v>
      </c>
      <c r="X136" s="95">
        <f>IF(AND(NOT(K136=0),(H136-H135)&gt;0),(H136-H135)*(Variables!$M$5*$H$1+Variables!$U$5*$I$1),0)+IF(AND(NOT((J136+N136+Q136)=0),(H135-H136)&gt;0),(H135-H136)*(Variables!$M$4*$H$1+Variables!$U$4*$I$1),0)</f>
        <v>0</v>
      </c>
      <c r="Y136" s="95">
        <f>IF(SUM(T136,U135:U136)&gt;0,H136*Variables!$Y$11*0.25*(1-$J$1),0)</f>
        <v>0</v>
      </c>
      <c r="Z136" s="95">
        <f>IF(T136=0,H136*$J$1*Variables!$Y$5*0.25,0)</f>
        <v>2.4871676982293343</v>
      </c>
      <c r="AA136" s="95">
        <f t="shared" si="2"/>
        <v>17.578880385782156</v>
      </c>
      <c r="AB136" s="91">
        <f>AA136/Variables!$E$49</f>
        <v>2.83530328802938</v>
      </c>
    </row>
    <row r="137" spans="1:28" x14ac:dyDescent="0.25">
      <c r="A137" s="61">
        <f>'Water runs'!C144</f>
        <v>14488</v>
      </c>
      <c r="B137" s="61" t="str">
        <f>'Water runs'!B144</f>
        <v>Winter</v>
      </c>
      <c r="C137" s="54">
        <f>'Water runs'!D144/100</f>
        <v>1.1114285714285699</v>
      </c>
      <c r="D137" s="108">
        <f>VLOOKUP(ROW(D137)+4,'Water runs'!$BS$3:$CF$423,MATCH($B$1,Scenarios,0)+1)</f>
        <v>0</v>
      </c>
      <c r="E137" s="54">
        <f>IF(B137=Variables!$D$8,C137-Variables!$E$8,IF(B137=Variables!$D$9,C137-Variables!$E$9,IF(B137=Variables!$D$10,C137-Variables!$E$10,IF(B137=Variables!$D$11,C137-Variables!$E$11,"ELSE"))))</f>
        <v>0.53966094576719414</v>
      </c>
      <c r="F137" s="108">
        <f>VLOOKUP(ROW(F137)+4,'Water runs'!$CH$3:$CU$423,MATCH($B$1,Scenarios,0)+1)</f>
        <v>0</v>
      </c>
      <c r="G137" s="65">
        <f>H137/Variables!$E$49</f>
        <v>0.161</v>
      </c>
      <c r="H137" s="62">
        <f>IF((H136+I137)&gt;(1.1*Variables!$E$50),(1.1*Variables!$E$50),IF((H136+I137)&gt;0,H136+I137,0))</f>
        <v>0.99820000000000009</v>
      </c>
      <c r="I137" s="64">
        <f t="shared" si="4"/>
        <v>-0.14972355302892348</v>
      </c>
      <c r="J137" s="63">
        <f>IF(SUM(E133:E136)&lt;Variables!$B$3,-H136,0)</f>
        <v>0</v>
      </c>
      <c r="K137" s="64">
        <f>IF(AND(H136&lt;Variables!$B$6*Variables!$E$50,OR(SUM(D134:D137)&gt;Variables!$B$5,SUM(E134:E137)&gt;Variables!$B$4)),Variables!$B$6*Variables!$E$50+Variables!$B$7*$G$1*Variables!$E$50*SUM(D134:D137),0)</f>
        <v>0</v>
      </c>
      <c r="L137" s="64">
        <f>IF(B137="Winter",Variables!$B$8*H136,0)</f>
        <v>-0.57160307638692487</v>
      </c>
      <c r="M137" s="64">
        <f>IF(AND(B137="Spring",AND(NOT(H136=0),H136&lt;(Variables!$B$9*Variables!$E$50))),(Variables!$B$10*Variables!$E$50+Variables!$B$11*Variables!$E$50*SUM(E134:E137)+$G$1*SUM(D136:D137)*Variables!$E$50*Variables!$B$12),0)</f>
        <v>0</v>
      </c>
      <c r="N137" s="64">
        <f>IF(AND(B137="Spring",AND(SUM(D134:D137)&gt;Variables!$B$13,SUM(D130:D133)&gt;Variables!$B$13)),-Variables!$B$14*Variables!$E$50,0)</f>
        <v>0</v>
      </c>
      <c r="O137" s="64">
        <f>IF(AND(B137="Summer",SUM(C133:D137)&gt;Variables!$B$15),(Variables!$B$16*Variables!$E$50*SUM(C133:C137)+$G$1*Variables!$B$16*Variables!$E$50*SUM(D133:D137)+$G$1*Variables!$E$50*Variables!$B$17*F137),0)</f>
        <v>0</v>
      </c>
      <c r="P137" s="64">
        <f>IF(AND(AND(B137="Autumn",SUM(D136:E137)&gt;0),NOT(H136=0)),Variables!$B$18*Variables!$E$50+Variables!$B$19*Variables!$E$50*SUM(E136:E137)+$G$1*Variables!$B$19*Variables!$E$50*SUM(D136:D137),0)</f>
        <v>0</v>
      </c>
      <c r="Q137" s="64">
        <f>IF(AND(B137="Autumn",AND((E137+E136)&lt;Variables!$B$20,(D136+D137)=0)),-Variables!$B$21*Variables!$E$50,0)</f>
        <v>0</v>
      </c>
      <c r="R137" s="64">
        <f>IF(B137="Autumn",(SUM(F136:F137)*$G$1*Variables!$B$22*Variables!$E$50),0)</f>
        <v>0</v>
      </c>
      <c r="S137" s="64">
        <f>IF(B137="Spring",($G$1*Variables!$E$50*SUM('Guts (option 2)'!F136:F137)*Variables!$B$23),0)</f>
        <v>0</v>
      </c>
      <c r="T137" s="63">
        <f>IF((H136+SUM(J137:Q137))&lt;(Variables!$B$26*Variables!$E$50),$F$1*((Variables!$B$26*Variables!$E$50)-H136-SUM(J137:Q137)),0)</f>
        <v>0.42187952335800138</v>
      </c>
      <c r="U137" s="64">
        <f>IF(AND(AND(B137="Autumn",SUM(D134:E137)&gt;Variables!$B$27),SUM(J137:Q137)&lt;Variables!$B$28*H136),$F$1*(Variables!$B$28*H136-SUM(J137:Q137)),0)</f>
        <v>0</v>
      </c>
      <c r="V137" s="96">
        <f>IF(AND((J137+K137)=0,(Q137+T137)=0),$H$1*H137*Variables!$I$23*0.25,0)</f>
        <v>0</v>
      </c>
      <c r="W137" s="97">
        <f>IF(AND((K137+J137)=0,(T137+Q137)=0),$I$1*H137*Variables!$Q$23*0.25,0)</f>
        <v>0</v>
      </c>
      <c r="X137" s="95">
        <f>IF(AND(NOT(K137=0),(H137-H136)&gt;0),(H137-H136)*(Variables!$M$5*$H$1+Variables!$U$5*$I$1),0)+IF(AND(NOT((J137+N137+Q137)=0),(H136-H137)&gt;0),(H136-H137)*(Variables!$M$4*$H$1+Variables!$U$4*$I$1),0)</f>
        <v>0</v>
      </c>
      <c r="Y137" s="95">
        <f>IF(SUM(T137,U136:U137)&gt;0,H137*Variables!$Y$11*0.25*(1-$J$1),0)</f>
        <v>-6.9874000000000018</v>
      </c>
      <c r="Z137" s="95">
        <f>IF(T137=0,H137*$J$1*Variables!$Y$5*0.25,0)</f>
        <v>0</v>
      </c>
      <c r="AA137" s="95">
        <f t="shared" si="2"/>
        <v>-6.9874000000000018</v>
      </c>
      <c r="AB137" s="91">
        <f>AA137/Variables!$E$49</f>
        <v>-1.1270000000000002</v>
      </c>
    </row>
    <row r="138" spans="1:28" x14ac:dyDescent="0.25">
      <c r="A138" s="61">
        <f>'Water runs'!C145</f>
        <v>14579</v>
      </c>
      <c r="B138" s="61" t="str">
        <f>'Water runs'!B145</f>
        <v>Spring</v>
      </c>
      <c r="C138" s="54">
        <f>'Water runs'!D145/100</f>
        <v>0.35166666666666702</v>
      </c>
      <c r="D138" s="108">
        <f>VLOOKUP(ROW(D138)+4,'Water runs'!$BS$3:$CF$423,MATCH($B$1,Scenarios,0)+1)</f>
        <v>0</v>
      </c>
      <c r="E138" s="54">
        <f>IF(B138=Variables!$D$8,C138-Variables!$E$8,IF(B138=Variables!$D$9,C138-Variables!$E$9,IF(B138=Variables!$D$10,C138-Variables!$E$10,IF(B138=Variables!$D$11,C138-Variables!$E$11,"ELSE"))))</f>
        <v>-0.41231554232804213</v>
      </c>
      <c r="F138" s="108">
        <f>VLOOKUP(ROW(F138)+4,'Water runs'!$CH$3:$CU$423,MATCH($B$1,Scenarios,0)+1)</f>
        <v>0</v>
      </c>
      <c r="G138" s="65">
        <f>H138/Variables!$E$49</f>
        <v>0.34178110041299542</v>
      </c>
      <c r="H138" s="62">
        <f>IF((H137+I138)&gt;(1.1*Variables!$E$50),(1.1*Variables!$E$50),IF((H137+I138)&gt;0,H137+I138,0))</f>
        <v>2.1190428225605715</v>
      </c>
      <c r="I138" s="64">
        <f t="shared" si="4"/>
        <v>1.1208428225605713</v>
      </c>
      <c r="J138" s="63">
        <f>IF(SUM(E134:E137)&lt;Variables!$B$3,-H137,0)</f>
        <v>0</v>
      </c>
      <c r="K138" s="64">
        <f>IF(AND(H137&lt;Variables!$B$6*Variables!$E$50,OR(SUM(D135:D138)&gt;Variables!$B$5,SUM(E135:E138)&gt;Variables!$B$4)),Variables!$B$6*Variables!$E$50+Variables!$B$7*$G$1*Variables!$E$50*SUM(D135:D138),0)</f>
        <v>1.1481024355885636</v>
      </c>
      <c r="L138" s="64">
        <f>IF(B138="Winter",Variables!$B$8*H137,0)</f>
        <v>0</v>
      </c>
      <c r="M138" s="64">
        <f>IF(AND(B138="Spring",AND(NOT(H137=0),H137&lt;(Variables!$B$9*Variables!$E$50))),(Variables!$B$10*Variables!$E$50+Variables!$B$11*Variables!$E$50*SUM(E135:E138)+$G$1*SUM(D137:D138)*Variables!$E$50*Variables!$B$12),0)</f>
        <v>-2.7259613027992395E-2</v>
      </c>
      <c r="N138" s="64">
        <f>IF(AND(B138="Spring",AND(SUM(D135:D138)&gt;Variables!$B$13,SUM(D131:D134)&gt;Variables!$B$13)),-Variables!$B$14*Variables!$E$50,0)</f>
        <v>0</v>
      </c>
      <c r="O138" s="64">
        <f>IF(AND(B138="Summer",SUM(C134:D138)&gt;Variables!$B$15),(Variables!$B$16*Variables!$E$50*SUM(C134:C138)+$G$1*Variables!$B$16*Variables!$E$50*SUM(D134:D138)+$G$1*Variables!$E$50*Variables!$B$17*F138),0)</f>
        <v>0</v>
      </c>
      <c r="P138" s="64">
        <f>IF(AND(AND(B138="Autumn",SUM(D137:E138)&gt;0),NOT(H137=0)),Variables!$B$18*Variables!$E$50+Variables!$B$19*Variables!$E$50*SUM(E137:E138)+$G$1*Variables!$B$19*Variables!$E$50*SUM(D137:D138),0)</f>
        <v>0</v>
      </c>
      <c r="Q138" s="64">
        <f>IF(AND(B138="Autumn",AND((E138+E137)&lt;Variables!$B$20,(D137+D138)=0)),-Variables!$B$21*Variables!$E$50,0)</f>
        <v>0</v>
      </c>
      <c r="R138" s="64">
        <f>IF(B138="Autumn",(SUM(F137:F138)*$G$1*Variables!$B$22*Variables!$E$50),0)</f>
        <v>0</v>
      </c>
      <c r="S138" s="64">
        <f>IF(B138="Spring",($G$1*Variables!$E$50*SUM('Guts (option 2)'!F137:F138)*Variables!$B$23),0)</f>
        <v>0</v>
      </c>
      <c r="T138" s="63">
        <f>IF((H137+SUM(J138:Q138))&lt;(Variables!$B$26*Variables!$E$50),$F$1*((Variables!$B$26*Variables!$E$50)-H137-SUM(J138:Q138)),0)</f>
        <v>0</v>
      </c>
      <c r="U138" s="64">
        <f>IF(AND(AND(B138="Autumn",SUM(D135:E138)&gt;Variables!$B$27),SUM(J138:Q138)&lt;Variables!$B$28*H137),$F$1*(Variables!$B$28*H137-SUM(J138:Q138)),0)</f>
        <v>0</v>
      </c>
      <c r="V138" s="96">
        <f>IF(AND((J138+K138)=0,(Q138+T138)=0),$H$1*H138*Variables!$I$23*0.25,0)</f>
        <v>0</v>
      </c>
      <c r="W138" s="97">
        <f>IF(AND((K138+J138)=0,(T138+Q138)=0),$I$1*H138*Variables!$Q$23*0.25,0)</f>
        <v>0</v>
      </c>
      <c r="X138" s="95">
        <f>IF(AND(NOT(K138=0),(H138-H137)&gt;0),(H138-H137)*(Variables!$M$5*$H$1+Variables!$U$5*$I$1),0)+IF(AND(NOT((J138+N138+Q138)=0),(H137-H138)&gt;0),(H137-H138)*(Variables!$M$4*$H$1+Variables!$U$4*$I$1),0)</f>
        <v>-93.403568546714268</v>
      </c>
      <c r="Y138" s="95">
        <f>IF(SUM(T138,U137:U138)&gt;0,H138*Variables!$Y$11*0.25*(1-$J$1),0)</f>
        <v>0</v>
      </c>
      <c r="Z138" s="95">
        <f>IF(T138=0,H138*$J$1*Variables!$Y$5*0.25,0)</f>
        <v>4.5912594488812379</v>
      </c>
      <c r="AA138" s="95">
        <f t="shared" si="2"/>
        <v>-88.812309097833037</v>
      </c>
      <c r="AB138" s="91">
        <f>AA138/Variables!$E$49</f>
        <v>-14.324565983521458</v>
      </c>
    </row>
    <row r="139" spans="1:28" x14ac:dyDescent="0.25">
      <c r="A139" s="61">
        <f>'Water runs'!C146</f>
        <v>14669</v>
      </c>
      <c r="B139" s="61" t="str">
        <f>'Water runs'!B146</f>
        <v>Summer</v>
      </c>
      <c r="C139" s="54">
        <f>'Water runs'!D146/100</f>
        <v>0.32426190476190497</v>
      </c>
      <c r="D139" s="108">
        <f>VLOOKUP(ROW(D139)+4,'Water runs'!$BS$3:$CF$423,MATCH($B$1,Scenarios,0)+1)</f>
        <v>5.449370145448499E-2</v>
      </c>
      <c r="E139" s="54">
        <f>IF(B139=Variables!$D$8,C139-Variables!$E$8,IF(B139=Variables!$D$9,C139-Variables!$E$9,IF(B139=Variables!$D$10,C139-Variables!$E$10,IF(B139=Variables!$D$11,C139-Variables!$E$11,"ELSE"))))</f>
        <v>-0.93410823129251674</v>
      </c>
      <c r="F139" s="108">
        <f>VLOOKUP(ROW(F139)+4,'Water runs'!$CH$3:$CU$423,MATCH($B$1,Scenarios,0)+1)</f>
        <v>0</v>
      </c>
      <c r="G139" s="65">
        <f>H139/Variables!$E$49</f>
        <v>0.34178110041299542</v>
      </c>
      <c r="H139" s="62">
        <f>IF((H138+I139)&gt;(1.1*Variables!$E$50),(1.1*Variables!$E$50),IF((H138+I139)&gt;0,H138+I139,0))</f>
        <v>2.1190428225605715</v>
      </c>
      <c r="I139" s="64">
        <f t="shared" si="4"/>
        <v>0</v>
      </c>
      <c r="J139" s="63">
        <f>IF(SUM(E135:E138)&lt;Variables!$B$3,-H138,0)</f>
        <v>0</v>
      </c>
      <c r="K139" s="64">
        <f>IF(AND(H138&lt;Variables!$B$6*Variables!$E$50,OR(SUM(D136:D139)&gt;Variables!$B$5,SUM(E136:E139)&gt;Variables!$B$4)),Variables!$B$6*Variables!$E$50+Variables!$B$7*$G$1*Variables!$E$50*SUM(D136:D139),0)</f>
        <v>0</v>
      </c>
      <c r="L139" s="64">
        <f>IF(B139="Winter",Variables!$B$8*H138,0)</f>
        <v>0</v>
      </c>
      <c r="M139" s="64">
        <f>IF(AND(B139="Spring",AND(NOT(H138=0),H138&lt;(Variables!$B$9*Variables!$E$50))),(Variables!$B$10*Variables!$E$50+Variables!$B$11*Variables!$E$50*SUM(E136:E139)+$G$1*SUM(D138:D139)*Variables!$E$50*Variables!$B$12),0)</f>
        <v>0</v>
      </c>
      <c r="N139" s="64">
        <f>IF(AND(B139="Spring",AND(SUM(D136:D139)&gt;Variables!$B$13,SUM(D132:D135)&gt;Variables!$B$13)),-Variables!$B$14*Variables!$E$50,0)</f>
        <v>0</v>
      </c>
      <c r="O139" s="64">
        <f>IF(AND(B139="Summer",SUM(C135:D139)&gt;Variables!$B$15),(Variables!$B$16*Variables!$E$50*SUM(C135:C139)+$G$1*Variables!$B$16*Variables!$E$50*SUM(D135:D139)+$G$1*Variables!$E$50*Variables!$B$17*F139),0)</f>
        <v>0</v>
      </c>
      <c r="P139" s="64">
        <f>IF(AND(AND(B139="Autumn",SUM(D138:E139)&gt;0),NOT(H138=0)),Variables!$B$18*Variables!$E$50+Variables!$B$19*Variables!$E$50*SUM(E138:E139)+$G$1*Variables!$B$19*Variables!$E$50*SUM(D138:D139),0)</f>
        <v>0</v>
      </c>
      <c r="Q139" s="64">
        <f>IF(AND(B139="Autumn",AND((E139+E138)&lt;Variables!$B$20,(D138+D139)=0)),-Variables!$B$21*Variables!$E$50,0)</f>
        <v>0</v>
      </c>
      <c r="R139" s="64">
        <f>IF(B139="Autumn",(SUM(F138:F139)*$G$1*Variables!$B$22*Variables!$E$50),0)</f>
        <v>0</v>
      </c>
      <c r="S139" s="64">
        <f>IF(B139="Spring",($G$1*Variables!$E$50*SUM('Guts (option 2)'!F138:F139)*Variables!$B$23),0)</f>
        <v>0</v>
      </c>
      <c r="T139" s="63">
        <f>IF((H138+SUM(J139:Q139))&lt;(Variables!$B$26*Variables!$E$50),$F$1*((Variables!$B$26*Variables!$E$50)-H138-SUM(J139:Q139)),0)</f>
        <v>0</v>
      </c>
      <c r="U139" s="64">
        <f>IF(AND(AND(B139="Autumn",SUM(D136:E139)&gt;Variables!$B$27),SUM(J139:Q139)&lt;Variables!$B$28*H138),$F$1*(Variables!$B$28*H138-SUM(J139:Q139)),0)</f>
        <v>0</v>
      </c>
      <c r="V139" s="96">
        <f>IF(AND((J139+K139)=0,(Q139+T139)=0),$H$1*H139*Variables!$I$23*0.25,0)</f>
        <v>13.611424349055198</v>
      </c>
      <c r="W139" s="97">
        <f>IF(AND((K139+J139)=0,(T139+Q139)=0),$I$1*H139*Variables!$Q$23*0.25,0)</f>
        <v>14.24756100438788</v>
      </c>
      <c r="X139" s="95">
        <f>IF(AND(NOT(K139=0),(H139-H138)&gt;0),(H139-H138)*(Variables!$M$5*$H$1+Variables!$U$5*$I$1),0)+IF(AND(NOT((J139+N139+Q139)=0),(H138-H139)&gt;0),(H138-H139)*(Variables!$M$4*$H$1+Variables!$U$4*$I$1),0)</f>
        <v>0</v>
      </c>
      <c r="Y139" s="95">
        <f>IF(SUM(T139,U138:U139)&gt;0,H139*Variables!$Y$11*0.25*(1-$J$1),0)</f>
        <v>0</v>
      </c>
      <c r="Z139" s="95">
        <f>IF(T139=0,H139*$J$1*Variables!$Y$5*0.25,0)</f>
        <v>4.5912594488812379</v>
      </c>
      <c r="AA139" s="95">
        <f t="shared" si="2"/>
        <v>32.450244802324313</v>
      </c>
      <c r="AB139" s="91">
        <f>AA139/Variables!$E$49</f>
        <v>5.2339104519877919</v>
      </c>
    </row>
    <row r="140" spans="1:28" x14ac:dyDescent="0.25">
      <c r="A140" s="61">
        <f>'Water runs'!C147</f>
        <v>14762</v>
      </c>
      <c r="B140" s="61" t="str">
        <f>'Water runs'!B147</f>
        <v>Autumn</v>
      </c>
      <c r="C140" s="54">
        <f>'Water runs'!D147/100</f>
        <v>0.91014285714285703</v>
      </c>
      <c r="D140" s="108">
        <f>VLOOKUP(ROW(D140)+4,'Water runs'!$BS$3:$CF$423,MATCH($B$1,Scenarios,0)+1)</f>
        <v>0.10236898154379687</v>
      </c>
      <c r="E140" s="54">
        <f>IF(B140=Variables!$D$8,C140-Variables!$E$8,IF(B140=Variables!$D$9,C140-Variables!$E$9,IF(B140=Variables!$D$10,C140-Variables!$E$10,IF(B140=Variables!$D$11,C140-Variables!$E$11,"ELSE"))))</f>
        <v>-8.4500442176870805E-2</v>
      </c>
      <c r="F140" s="108">
        <f>VLOOKUP(ROW(F140)+4,'Water runs'!$CH$3:$CU$423,MATCH($B$1,Scenarios,0)+1)</f>
        <v>0</v>
      </c>
      <c r="G140" s="65">
        <f>H140/Variables!$E$49</f>
        <v>0.34178110041299542</v>
      </c>
      <c r="H140" s="62">
        <f>IF((H139+I140)&gt;(1.1*Variables!$E$50),(1.1*Variables!$E$50),IF((H139+I140)&gt;0,H139+I140,0))</f>
        <v>2.1190428225605715</v>
      </c>
      <c r="I140" s="64">
        <f t="shared" si="4"/>
        <v>0</v>
      </c>
      <c r="J140" s="63">
        <f>IF(SUM(E136:E139)&lt;Variables!$B$3,-H139,0)</f>
        <v>0</v>
      </c>
      <c r="K140" s="64">
        <f>IF(AND(H139&lt;Variables!$B$6*Variables!$E$50,OR(SUM(D137:D140)&gt;Variables!$B$5,SUM(E137:E140)&gt;Variables!$B$4)),Variables!$B$6*Variables!$E$50+Variables!$B$7*$G$1*Variables!$E$50*SUM(D137:D140),0)</f>
        <v>0</v>
      </c>
      <c r="L140" s="64">
        <f>IF(B140="Winter",Variables!$B$8*H139,0)</f>
        <v>0</v>
      </c>
      <c r="M140" s="64">
        <f>IF(AND(B140="Spring",AND(NOT(H139=0),H139&lt;(Variables!$B$9*Variables!$E$50))),(Variables!$B$10*Variables!$E$50+Variables!$B$11*Variables!$E$50*SUM(E137:E140)+$G$1*SUM(D139:D140)*Variables!$E$50*Variables!$B$12),0)</f>
        <v>0</v>
      </c>
      <c r="N140" s="64">
        <f>IF(AND(B140="Spring",AND(SUM(D137:D140)&gt;Variables!$B$13,SUM(D133:D136)&gt;Variables!$B$13)),-Variables!$B$14*Variables!$E$50,0)</f>
        <v>0</v>
      </c>
      <c r="O140" s="64">
        <f>IF(AND(B140="Summer",SUM(C136:D140)&gt;Variables!$B$15),(Variables!$B$16*Variables!$E$50*SUM(C136:C140)+$G$1*Variables!$B$16*Variables!$E$50*SUM(D136:D140)+$G$1*Variables!$E$50*Variables!$B$17*F140),0)</f>
        <v>0</v>
      </c>
      <c r="P140" s="64">
        <f>IF(AND(AND(B140="Autumn",SUM(D139:E140)&gt;0),NOT(H139=0)),Variables!$B$18*Variables!$E$50+Variables!$B$19*Variables!$E$50*SUM(E139:E140)+$G$1*Variables!$B$19*Variables!$E$50*SUM(D139:D140),0)</f>
        <v>0</v>
      </c>
      <c r="Q140" s="64">
        <f>IF(AND(B140="Autumn",AND((E140+E139)&lt;Variables!$B$20,(D139+D140)=0)),-Variables!$B$21*Variables!$E$50,0)</f>
        <v>0</v>
      </c>
      <c r="R140" s="64">
        <f>IF(B140="Autumn",(SUM(F139:F140)*$G$1*Variables!$B$22*Variables!$E$50),0)</f>
        <v>0</v>
      </c>
      <c r="S140" s="64">
        <f>IF(B140="Spring",($G$1*Variables!$E$50*SUM('Guts (option 2)'!F139:F140)*Variables!$B$23),0)</f>
        <v>0</v>
      </c>
      <c r="T140" s="63">
        <f>IF((H139+SUM(J140:Q140))&lt;(Variables!$B$26*Variables!$E$50),$F$1*((Variables!$B$26*Variables!$E$50)-H139-SUM(J140:Q140)),0)</f>
        <v>0</v>
      </c>
      <c r="U140" s="64">
        <f>IF(AND(AND(B140="Autumn",SUM(D137:E140)&gt;Variables!$B$27),SUM(J140:Q140)&lt;Variables!$B$28*H139),$F$1*(Variables!$B$28*H139-SUM(J140:Q140)),0)</f>
        <v>0</v>
      </c>
      <c r="V140" s="96">
        <f>IF(AND((J140+K140)=0,(Q140+T140)=0),$H$1*H140*Variables!$I$23*0.25,0)</f>
        <v>13.611424349055198</v>
      </c>
      <c r="W140" s="97">
        <f>IF(AND((K140+J140)=0,(T140+Q140)=0),$I$1*H140*Variables!$Q$23*0.25,0)</f>
        <v>14.24756100438788</v>
      </c>
      <c r="X140" s="95">
        <f>IF(AND(NOT(K140=0),(H140-H139)&gt;0),(H140-H139)*(Variables!$M$5*$H$1+Variables!$U$5*$I$1),0)+IF(AND(NOT((J140+N140+Q140)=0),(H139-H140)&gt;0),(H139-H140)*(Variables!$M$4*$H$1+Variables!$U$4*$I$1),0)</f>
        <v>0</v>
      </c>
      <c r="Y140" s="95">
        <f>IF(SUM(T140,U139:U140)&gt;0,H140*Variables!$Y$11*0.25*(1-$J$1),0)</f>
        <v>0</v>
      </c>
      <c r="Z140" s="95">
        <f>IF(T140=0,H140*$J$1*Variables!$Y$5*0.25,0)</f>
        <v>4.5912594488812379</v>
      </c>
      <c r="AA140" s="95">
        <f t="shared" si="2"/>
        <v>32.450244802324313</v>
      </c>
      <c r="AB140" s="91">
        <f>AA140/Variables!$E$49</f>
        <v>5.2339104519877919</v>
      </c>
    </row>
    <row r="141" spans="1:28" x14ac:dyDescent="0.25">
      <c r="A141" s="61">
        <f>'Water runs'!C148</f>
        <v>14854</v>
      </c>
      <c r="B141" s="61" t="str">
        <f>'Water runs'!B148</f>
        <v>Winter</v>
      </c>
      <c r="C141" s="54">
        <f>'Water runs'!D148/100</f>
        <v>0</v>
      </c>
      <c r="D141" s="108">
        <f>VLOOKUP(ROW(D141)+4,'Water runs'!$BS$3:$CF$423,MATCH($B$1,Scenarios,0)+1)</f>
        <v>0</v>
      </c>
      <c r="E141" s="54">
        <f>IF(B141=Variables!$D$8,C141-Variables!$E$8,IF(B141=Variables!$D$9,C141-Variables!$E$9,IF(B141=Variables!$D$10,C141-Variables!$E$10,IF(B141=Variables!$D$11,C141-Variables!$E$11,"ELSE"))))</f>
        <v>-0.57176762566137573</v>
      </c>
      <c r="F141" s="108">
        <f>VLOOKUP(ROW(F141)+4,'Water runs'!$CH$3:$CU$423,MATCH($B$1,Scenarios,0)+1)</f>
        <v>0</v>
      </c>
      <c r="G141" s="65">
        <f>H141/Variables!$E$49</f>
        <v>0.17159282617514271</v>
      </c>
      <c r="H141" s="62">
        <f>IF((H140+I141)&gt;(1.1*Variables!$E$50),(1.1*Variables!$E$50),IF((H140+I141)&gt;0,H140+I141,0))</f>
        <v>1.0638755222858849</v>
      </c>
      <c r="I141" s="64">
        <f t="shared" si="4"/>
        <v>-1.0551673002746866</v>
      </c>
      <c r="J141" s="63">
        <f>IF(SUM(E137:E140)&lt;Variables!$B$3,-H140,0)</f>
        <v>0</v>
      </c>
      <c r="K141" s="64">
        <f>IF(AND(H140&lt;Variables!$B$6*Variables!$E$50,OR(SUM(D138:D141)&gt;Variables!$B$5,SUM(E138:E141)&gt;Variables!$B$4)),Variables!$B$6*Variables!$E$50+Variables!$B$7*$G$1*Variables!$E$50*SUM(D138:D141),0)</f>
        <v>0</v>
      </c>
      <c r="L141" s="64">
        <f>IF(B141="Winter",Variables!$B$8*H140,0)</f>
        <v>-1.0551673002746866</v>
      </c>
      <c r="M141" s="64">
        <f>IF(AND(B141="Spring",AND(NOT(H140=0),H140&lt;(Variables!$B$9*Variables!$E$50))),(Variables!$B$10*Variables!$E$50+Variables!$B$11*Variables!$E$50*SUM(E138:E141)+$G$1*SUM(D140:D141)*Variables!$E$50*Variables!$B$12),0)</f>
        <v>0</v>
      </c>
      <c r="N141" s="64">
        <f>IF(AND(B141="Spring",AND(SUM(D138:D141)&gt;Variables!$B$13,SUM(D134:D137)&gt;Variables!$B$13)),-Variables!$B$14*Variables!$E$50,0)</f>
        <v>0</v>
      </c>
      <c r="O141" s="64">
        <f>IF(AND(B141="Summer",SUM(C137:D141)&gt;Variables!$B$15),(Variables!$B$16*Variables!$E$50*SUM(C137:C141)+$G$1*Variables!$B$16*Variables!$E$50*SUM(D137:D141)+$G$1*Variables!$E$50*Variables!$B$17*F141),0)</f>
        <v>0</v>
      </c>
      <c r="P141" s="64">
        <f>IF(AND(AND(B141="Autumn",SUM(D140:E141)&gt;0),NOT(H140=0)),Variables!$B$18*Variables!$E$50+Variables!$B$19*Variables!$E$50*SUM(E140:E141)+$G$1*Variables!$B$19*Variables!$E$50*SUM(D140:D141),0)</f>
        <v>0</v>
      </c>
      <c r="Q141" s="64">
        <f>IF(AND(B141="Autumn",AND((E141+E140)&lt;Variables!$B$20,(D140+D141)=0)),-Variables!$B$21*Variables!$E$50,0)</f>
        <v>0</v>
      </c>
      <c r="R141" s="64">
        <f>IF(B141="Autumn",(SUM(F140:F141)*$G$1*Variables!$B$22*Variables!$E$50),0)</f>
        <v>0</v>
      </c>
      <c r="S141" s="64">
        <f>IF(B141="Spring",($G$1*Variables!$E$50*SUM('Guts (option 2)'!F140:F141)*Variables!$B$23),0)</f>
        <v>0</v>
      </c>
      <c r="T141" s="63">
        <f>IF((H140+SUM(J141:Q141))&lt;(Variables!$B$26*Variables!$E$50),$F$1*((Variables!$B$26*Variables!$E$50)-H140-SUM(J141:Q141)),0)</f>
        <v>0</v>
      </c>
      <c r="U141" s="64">
        <f>IF(AND(AND(B141="Autumn",SUM(D138:E141)&gt;Variables!$B$27),SUM(J141:Q141)&lt;Variables!$B$28*H140),$F$1*(Variables!$B$28*H140-SUM(J141:Q141)),0)</f>
        <v>0</v>
      </c>
      <c r="V141" s="96">
        <f>IF(AND((J141+K141)=0,(Q141+T141)=0),$H$1*H141*Variables!$I$23*0.25,0)</f>
        <v>6.8336802985924479</v>
      </c>
      <c r="W141" s="97">
        <f>IF(AND((K141+J141)=0,(T141+Q141)=0),$I$1*H141*Variables!$Q$23*0.25,0)</f>
        <v>7.1530557303826692</v>
      </c>
      <c r="X141" s="95">
        <f>IF(AND(NOT(K141=0),(H141-H140)&gt;0),(H141-H140)*(Variables!$M$5*$H$1+Variables!$U$5*$I$1),0)+IF(AND(NOT((J141+N141+Q141)=0),(H140-H141)&gt;0),(H140-H141)*(Variables!$M$4*$H$1+Variables!$U$4*$I$1),0)</f>
        <v>0</v>
      </c>
      <c r="Y141" s="95">
        <f>IF(SUM(T141,U140:U141)&gt;0,H141*Variables!$Y$11*0.25*(1-$J$1),0)</f>
        <v>0</v>
      </c>
      <c r="Z141" s="95">
        <f>IF(T141=0,H141*$J$1*Variables!$Y$5*0.25,0)</f>
        <v>2.3050636316194169</v>
      </c>
      <c r="AA141" s="95">
        <f t="shared" si="2"/>
        <v>16.291799660594535</v>
      </c>
      <c r="AB141" s="91">
        <f>AA141/Variables!$E$49</f>
        <v>2.6277096226765377</v>
      </c>
    </row>
    <row r="142" spans="1:28" x14ac:dyDescent="0.25">
      <c r="A142" s="61">
        <f>'Water runs'!C149</f>
        <v>14945</v>
      </c>
      <c r="B142" s="61" t="str">
        <f>'Water runs'!B149</f>
        <v>Spring</v>
      </c>
      <c r="C142" s="54">
        <f>'Water runs'!D149/100</f>
        <v>0.45157142857142901</v>
      </c>
      <c r="D142" s="108">
        <f>VLOOKUP(ROW(D142)+4,'Water runs'!$BS$3:$CF$423,MATCH($B$1,Scenarios,0)+1)</f>
        <v>0</v>
      </c>
      <c r="E142" s="54">
        <f>IF(B142=Variables!$D$8,C142-Variables!$E$8,IF(B142=Variables!$D$9,C142-Variables!$E$9,IF(B142=Variables!$D$10,C142-Variables!$E$10,IF(B142=Variables!$D$11,C142-Variables!$E$11,"ELSE"))))</f>
        <v>-0.31241078042328013</v>
      </c>
      <c r="F142" s="108">
        <f>VLOOKUP(ROW(F142)+4,'Water runs'!$CH$3:$CU$423,MATCH($B$1,Scenarios,0)+1)</f>
        <v>0</v>
      </c>
      <c r="G142" s="65">
        <f>H142/Variables!$E$49</f>
        <v>0.161</v>
      </c>
      <c r="H142" s="62">
        <f>IF((H141+I142)&gt;(1.1*Variables!$E$50),(1.1*Variables!$E$50),IF((H141+I142)&gt;0,H141+I142,0))</f>
        <v>0.99819999999999998</v>
      </c>
      <c r="I142" s="64">
        <f t="shared" si="4"/>
        <v>-6.5675522285884913E-2</v>
      </c>
      <c r="J142" s="63">
        <f>IF(SUM(E138:E141)&lt;Variables!$B$3,-H141,0)</f>
        <v>-1.0638755222858849</v>
      </c>
      <c r="K142" s="64">
        <f>IF(AND(H141&lt;Variables!$B$6*Variables!$E$50,OR(SUM(D139:D142)&gt;Variables!$B$5,SUM(E139:E142)&gt;Variables!$B$4)),Variables!$B$6*Variables!$E$50+Variables!$B$7*$G$1*Variables!$E$50*SUM(D139:D142),0)</f>
        <v>1.1490763888803555</v>
      </c>
      <c r="L142" s="64">
        <f>IF(B142="Winter",Variables!$B$8*H141,0)</f>
        <v>0</v>
      </c>
      <c r="M142" s="64">
        <f>IF(AND(B142="Spring",AND(NOT(H141=0),H141&lt;(Variables!$B$9*Variables!$E$50))),(Variables!$B$10*Variables!$E$50+Variables!$B$11*Variables!$E$50*SUM(E139:E142)+$G$1*SUM(D141:D142)*Variables!$E$50*Variables!$B$12),0)</f>
        <v>-1.2959153765768467</v>
      </c>
      <c r="N142" s="64">
        <f>IF(AND(B142="Spring",AND(SUM(D139:D142)&gt;Variables!$B$13,SUM(D135:D138)&gt;Variables!$B$13)),-Variables!$B$14*Variables!$E$50,0)</f>
        <v>0</v>
      </c>
      <c r="O142" s="64">
        <f>IF(AND(B142="Summer",SUM(C138:D142)&gt;Variables!$B$15),(Variables!$B$16*Variables!$E$50*SUM(C138:C142)+$G$1*Variables!$B$16*Variables!$E$50*SUM(D138:D142)+$G$1*Variables!$E$50*Variables!$B$17*F142),0)</f>
        <v>0</v>
      </c>
      <c r="P142" s="64">
        <f>IF(AND(AND(B142="Autumn",SUM(D141:E142)&gt;0),NOT(H141=0)),Variables!$B$18*Variables!$E$50+Variables!$B$19*Variables!$E$50*SUM(E141:E142)+$G$1*Variables!$B$19*Variables!$E$50*SUM(D141:D142),0)</f>
        <v>0</v>
      </c>
      <c r="Q142" s="64">
        <f>IF(AND(B142="Autumn",AND((E142+E141)&lt;Variables!$B$20,(D141+D142)=0)),-Variables!$B$21*Variables!$E$50,0)</f>
        <v>0</v>
      </c>
      <c r="R142" s="64">
        <f>IF(B142="Autumn",(SUM(F141:F142)*$G$1*Variables!$B$22*Variables!$E$50),0)</f>
        <v>0</v>
      </c>
      <c r="S142" s="64">
        <f>IF(B142="Spring",($G$1*Variables!$E$50*SUM('Guts (option 2)'!F141:F142)*Variables!$B$23),0)</f>
        <v>0</v>
      </c>
      <c r="T142" s="63">
        <f>IF((H141+SUM(J142:Q142))&lt;(Variables!$B$26*Variables!$E$50),$F$1*((Variables!$B$26*Variables!$E$50)-H141-SUM(J142:Q142)),0)</f>
        <v>1.1450389876964913</v>
      </c>
      <c r="U142" s="64">
        <f>IF(AND(AND(B142="Autumn",SUM(D139:E142)&gt;Variables!$B$27),SUM(J142:Q142)&lt;Variables!$B$28*H141),$F$1*(Variables!$B$28*H141-SUM(J142:Q142)),0)</f>
        <v>0</v>
      </c>
      <c r="V142" s="96">
        <f>IF(AND((J142+K142)=0,(Q142+T142)=0),$H$1*H142*Variables!$I$23*0.25,0)</f>
        <v>0</v>
      </c>
      <c r="W142" s="97">
        <f>IF(AND((K142+J142)=0,(T142+Q142)=0),$I$1*H142*Variables!$Q$23*0.25,0)</f>
        <v>0</v>
      </c>
      <c r="X142" s="95">
        <f>IF(AND(NOT(K142=0),(H142-H141)&gt;0),(H142-H141)*(Variables!$M$5*$H$1+Variables!$U$5*$I$1),0)+IF(AND(NOT((J142+N142+Q142)=0),(H141-H142)&gt;0),(H141-H142)*(Variables!$M$4*$H$1+Variables!$U$4*$I$1),0)</f>
        <v>2.7364800952452044</v>
      </c>
      <c r="Y142" s="95">
        <f>IF(SUM(T142,U141:U142)&gt;0,H142*Variables!$Y$11*0.25*(1-$J$1),0)</f>
        <v>-6.9874000000000009</v>
      </c>
      <c r="Z142" s="95">
        <f>IF(T142=0,H142*$J$1*Variables!$Y$5*0.25,0)</f>
        <v>0</v>
      </c>
      <c r="AA142" s="95">
        <f t="shared" si="2"/>
        <v>-4.250919904754797</v>
      </c>
      <c r="AB142" s="91">
        <f>AA142/Variables!$E$49</f>
        <v>-0.68563224270238654</v>
      </c>
    </row>
    <row r="143" spans="1:28" x14ac:dyDescent="0.25">
      <c r="A143" s="61">
        <f>'Water runs'!C150</f>
        <v>15035</v>
      </c>
      <c r="B143" s="61" t="str">
        <f>'Water runs'!B150</f>
        <v>Summer</v>
      </c>
      <c r="C143" s="54">
        <f>'Water runs'!D150/100</f>
        <v>2.1008571428571399</v>
      </c>
      <c r="D143" s="108">
        <f>VLOOKUP(ROW(D143)+4,'Water runs'!$BS$3:$CF$423,MATCH($B$1,Scenarios,0)+1)</f>
        <v>0.29397936642412054</v>
      </c>
      <c r="E143" s="54">
        <f>IF(B143=Variables!$D$8,C143-Variables!$E$8,IF(B143=Variables!$D$9,C143-Variables!$E$9,IF(B143=Variables!$D$10,C143-Variables!$E$10,IF(B143=Variables!$D$11,C143-Variables!$E$11,"ELSE"))))</f>
        <v>0.84248700680271815</v>
      </c>
      <c r="F143" s="108">
        <f>VLOOKUP(ROW(F143)+4,'Water runs'!$CH$3:$CU$423,MATCH($B$1,Scenarios,0)+1)</f>
        <v>0.64328221126058005</v>
      </c>
      <c r="G143" s="65">
        <f>H143/Variables!$E$49</f>
        <v>0.18737292444120698</v>
      </c>
      <c r="H143" s="62">
        <f>IF((H142+I143)&gt;(1.1*Variables!$E$50),(1.1*Variables!$E$50),IF((H142+I143)&gt;0,H142+I143,0))</f>
        <v>1.1617121315354833</v>
      </c>
      <c r="I143" s="64">
        <f t="shared" si="4"/>
        <v>0.16351213153548327</v>
      </c>
      <c r="J143" s="63">
        <f>IF(SUM(E139:E142)&lt;Variables!$B$3,-H142,0)</f>
        <v>-0.99819999999999998</v>
      </c>
      <c r="K143" s="64">
        <f>IF(AND(H142&lt;Variables!$B$6*Variables!$E$50,OR(SUM(D140:D143)&gt;Variables!$B$5,SUM(E140:E143)&gt;Variables!$B$4)),Variables!$B$6*Variables!$E$50+Variables!$B$7*$G$1*Variables!$E$50*SUM(D140:D143),0)</f>
        <v>1.1617121315354833</v>
      </c>
      <c r="L143" s="64">
        <f>IF(B143="Winter",Variables!$B$8*H142,0)</f>
        <v>0</v>
      </c>
      <c r="M143" s="64">
        <f>IF(AND(B143="Spring",AND(NOT(H142=0),H142&lt;(Variables!$B$9*Variables!$E$50))),(Variables!$B$10*Variables!$E$50+Variables!$B$11*Variables!$E$50*SUM(E140:E143)+$G$1*SUM(D142:D143)*Variables!$E$50*Variables!$B$12),0)</f>
        <v>0</v>
      </c>
      <c r="N143" s="64">
        <f>IF(AND(B143="Spring",AND(SUM(D140:D143)&gt;Variables!$B$13,SUM(D136:D139)&gt;Variables!$B$13)),-Variables!$B$14*Variables!$E$50,0)</f>
        <v>0</v>
      </c>
      <c r="O143" s="64">
        <f>IF(AND(B143="Summer",SUM(C139:D143)&gt;Variables!$B$15),(Variables!$B$16*Variables!$E$50*SUM(C139:C143)+$G$1*Variables!$B$16*Variables!$E$50*SUM(D139:D143)+$G$1*Variables!$E$50*Variables!$B$17*F143),0)</f>
        <v>0</v>
      </c>
      <c r="P143" s="64">
        <f>IF(AND(AND(B143="Autumn",SUM(D142:E143)&gt;0),NOT(H142=0)),Variables!$B$18*Variables!$E$50+Variables!$B$19*Variables!$E$50*SUM(E142:E143)+$G$1*Variables!$B$19*Variables!$E$50*SUM(D142:D143),0)</f>
        <v>0</v>
      </c>
      <c r="Q143" s="64">
        <f>IF(AND(B143="Autumn",AND((E143+E142)&lt;Variables!$B$20,(D142+D143)=0)),-Variables!$B$21*Variables!$E$50,0)</f>
        <v>0</v>
      </c>
      <c r="R143" s="64">
        <f>IF(B143="Autumn",(SUM(F142:F143)*$G$1*Variables!$B$22*Variables!$E$50),0)</f>
        <v>0</v>
      </c>
      <c r="S143" s="64">
        <f>IF(B143="Spring",($G$1*Variables!$E$50*SUM('Guts (option 2)'!F142:F143)*Variables!$B$23),0)</f>
        <v>0</v>
      </c>
      <c r="T143" s="63">
        <f>IF((H142+SUM(J143:Q143))&lt;(Variables!$B$26*Variables!$E$50),$F$1*((Variables!$B$26*Variables!$E$50)-H142-SUM(J143:Q143)),0)</f>
        <v>0</v>
      </c>
      <c r="U143" s="64">
        <f>IF(AND(AND(B143="Autumn",SUM(D140:E143)&gt;Variables!$B$27),SUM(J143:Q143)&lt;Variables!$B$28*H142),$F$1*(Variables!$B$28*H142-SUM(J143:Q143)),0)</f>
        <v>0</v>
      </c>
      <c r="V143" s="96">
        <f>IF(AND((J143+K143)=0,(Q143+T143)=0),$H$1*H143*Variables!$I$23*0.25,0)</f>
        <v>0</v>
      </c>
      <c r="W143" s="97">
        <f>IF(AND((K143+J143)=0,(T143+Q143)=0),$I$1*H143*Variables!$Q$23*0.25,0)</f>
        <v>0</v>
      </c>
      <c r="X143" s="95">
        <f>IF(AND(NOT(K143=0),(H143-H142)&gt;0),(H143-H142)*(Variables!$M$5*$H$1+Variables!$U$5*$I$1),0)+IF(AND(NOT((J143+N143+Q143)=0),(H142-H143)&gt;0),(H142-H143)*(Variables!$M$4*$H$1+Variables!$U$4*$I$1),0)</f>
        <v>-13.626010961290271</v>
      </c>
      <c r="Y143" s="95">
        <f>IF(SUM(T143,U142:U143)&gt;0,H143*Variables!$Y$11*0.25*(1-$J$1),0)</f>
        <v>0</v>
      </c>
      <c r="Z143" s="95">
        <f>IF(T143=0,H143*$J$1*Variables!$Y$5*0.25,0)</f>
        <v>2.5170429516602133</v>
      </c>
      <c r="AA143" s="95">
        <f t="shared" si="2"/>
        <v>-11.108968009630058</v>
      </c>
      <c r="AB143" s="91">
        <f>AA143/Variables!$E$49</f>
        <v>-1.7917690338112995</v>
      </c>
    </row>
    <row r="144" spans="1:28" x14ac:dyDescent="0.25">
      <c r="A144" s="61">
        <f>'Water runs'!C151</f>
        <v>15127</v>
      </c>
      <c r="B144" s="61" t="str">
        <f>'Water runs'!B151</f>
        <v>Autumn</v>
      </c>
      <c r="C144" s="54">
        <f>'Water runs'!D151/100</f>
        <v>0.38</v>
      </c>
      <c r="D144" s="108">
        <f>VLOOKUP(ROW(D144)+4,'Water runs'!$BS$3:$CF$423,MATCH($B$1,Scenarios,0)+1)</f>
        <v>0.28704423629640774</v>
      </c>
      <c r="E144" s="54">
        <f>IF(B144=Variables!$D$8,C144-Variables!$E$8,IF(B144=Variables!$D$9,C144-Variables!$E$9,IF(B144=Variables!$D$10,C144-Variables!$E$10,IF(B144=Variables!$D$11,C144-Variables!$E$11,"ELSE"))))</f>
        <v>-0.61464329931972783</v>
      </c>
      <c r="F144" s="108">
        <f>VLOOKUP(ROW(F144)+4,'Water runs'!$CH$3:$CU$423,MATCH($B$1,Scenarios,0)+1)</f>
        <v>0.27085566789919158</v>
      </c>
      <c r="G144" s="65">
        <f>H144/Variables!$E$49</f>
        <v>0.49924960873488461</v>
      </c>
      <c r="H144" s="62">
        <f>IF((H143+I144)&gt;(1.1*Variables!$E$50),(1.1*Variables!$E$50),IF((H143+I144)&gt;0,H143+I144,0))</f>
        <v>3.0953475741562846</v>
      </c>
      <c r="I144" s="64">
        <f t="shared" si="4"/>
        <v>1.9336354426208016</v>
      </c>
      <c r="J144" s="63">
        <f>IF(SUM(E140:E143)&lt;Variables!$B$3,-H143,0)</f>
        <v>0</v>
      </c>
      <c r="K144" s="64">
        <f>IF(AND(H143&lt;Variables!$B$6*Variables!$E$50,OR(SUM(D141:D144)&gt;Variables!$B$5,SUM(E141:E144)&gt;Variables!$B$4)),Variables!$B$6*Variables!$E$50+Variables!$B$7*$G$1*Variables!$E$50*SUM(D141:D144),0)</f>
        <v>0</v>
      </c>
      <c r="L144" s="64">
        <f>IF(B144="Winter",Variables!$B$8*H143,0)</f>
        <v>0</v>
      </c>
      <c r="M144" s="64">
        <f>IF(AND(B144="Spring",AND(NOT(H143=0),H143&lt;(Variables!$B$9*Variables!$E$50))),(Variables!$B$10*Variables!$E$50+Variables!$B$11*Variables!$E$50*SUM(E141:E144)+$G$1*SUM(D143:D144)*Variables!$E$50*Variables!$B$12),0)</f>
        <v>0</v>
      </c>
      <c r="N144" s="64">
        <f>IF(AND(B144="Spring",AND(SUM(D141:D144)&gt;Variables!$B$13,SUM(D137:D140)&gt;Variables!$B$13)),-Variables!$B$14*Variables!$E$50,0)</f>
        <v>0</v>
      </c>
      <c r="O144" s="64">
        <f>IF(AND(B144="Summer",SUM(C140:D144)&gt;Variables!$B$15),(Variables!$B$16*Variables!$E$50*SUM(C140:C144)+$G$1*Variables!$B$16*Variables!$E$50*SUM(D140:D144)+$G$1*Variables!$E$50*Variables!$B$17*F144),0)</f>
        <v>0</v>
      </c>
      <c r="P144" s="64">
        <f>IF(AND(AND(B144="Autumn",SUM(D143:E144)&gt;0),NOT(H143=0)),Variables!$B$18*Variables!$E$50+Variables!$B$19*Variables!$E$50*SUM(E143:E144)+$G$1*Variables!$B$19*Variables!$E$50*SUM(D143:D144),0)</f>
        <v>1.8048413665133216</v>
      </c>
      <c r="Q144" s="64">
        <f>IF(AND(B144="Autumn",AND((E144+E143)&lt;Variables!$B$20,(D143+D144)=0)),-Variables!$B$21*Variables!$E$50,0)</f>
        <v>0</v>
      </c>
      <c r="R144" s="64">
        <f>IF(B144="Autumn",(SUM(F143:F144)*$G$1*Variables!$B$22*Variables!$E$50),0)</f>
        <v>0.12879407610747984</v>
      </c>
      <c r="S144" s="64">
        <f>IF(B144="Spring",($G$1*Variables!$E$50*SUM('Guts (option 2)'!F143:F144)*Variables!$B$23),0)</f>
        <v>0</v>
      </c>
      <c r="T144" s="63">
        <f>IF((H143+SUM(J144:Q144))&lt;(Variables!$B$26*Variables!$E$50),$F$1*((Variables!$B$26*Variables!$E$50)-H143-SUM(J144:Q144)),0)</f>
        <v>0</v>
      </c>
      <c r="U144" s="64">
        <f>IF(AND(AND(B144="Autumn",SUM(D141:E144)&gt;Variables!$B$27),SUM(J144:Q144)&lt;Variables!$B$28*H143),$F$1*(Variables!$B$28*H143-SUM(J144:Q144)),0)</f>
        <v>0</v>
      </c>
      <c r="V144" s="96">
        <f>IF(AND((J144+K144)=0,(Q144+T144)=0),$H$1*H144*Variables!$I$23*0.25,0)</f>
        <v>19.882604018709245</v>
      </c>
      <c r="W144" s="97">
        <f>IF(AND((K144+J144)=0,(T144+Q144)=0),$I$1*H144*Variables!$Q$23*0.25,0)</f>
        <v>20.811827360470957</v>
      </c>
      <c r="X144" s="95">
        <f>IF(AND(NOT(K144=0),(H144-H143)&gt;0),(H144-H143)*(Variables!$M$5*$H$1+Variables!$U$5*$I$1),0)+IF(AND(NOT((J144+N144+Q144)=0),(H143-H144)&gt;0),(H143-H144)*(Variables!$M$4*$H$1+Variables!$U$4*$I$1),0)</f>
        <v>0</v>
      </c>
      <c r="Y144" s="95">
        <f>IF(SUM(T144,U143:U144)&gt;0,H144*Variables!$Y$11*0.25*(1-$J$1),0)</f>
        <v>0</v>
      </c>
      <c r="Z144" s="95">
        <f>IF(T144=0,H144*$J$1*Variables!$Y$5*0.25,0)</f>
        <v>6.7065864106719495</v>
      </c>
      <c r="AA144" s="95">
        <f t="shared" ref="AA144:AA207" si="5">SUM(V144:Z144)</f>
        <v>47.401017789852148</v>
      </c>
      <c r="AB144" s="91">
        <f>AA144/Variables!$E$49</f>
        <v>7.6453254499761529</v>
      </c>
    </row>
    <row r="145" spans="1:28" x14ac:dyDescent="0.25">
      <c r="A145" s="61">
        <f>'Water runs'!C152</f>
        <v>15219</v>
      </c>
      <c r="B145" s="61" t="str">
        <f>'Water runs'!B152</f>
        <v>Winter</v>
      </c>
      <c r="C145" s="54">
        <f>'Water runs'!D152/100</f>
        <v>0</v>
      </c>
      <c r="D145" s="108">
        <f>VLOOKUP(ROW(D145)+4,'Water runs'!$BS$3:$CF$423,MATCH($B$1,Scenarios,0)+1)</f>
        <v>0</v>
      </c>
      <c r="E145" s="54">
        <f>IF(B145=Variables!$D$8,C145-Variables!$E$8,IF(B145=Variables!$D$9,C145-Variables!$E$9,IF(B145=Variables!$D$10,C145-Variables!$E$10,IF(B145=Variables!$D$11,C145-Variables!$E$11,"ELSE"))))</f>
        <v>-0.57176762566137573</v>
      </c>
      <c r="F145" s="108">
        <f>VLOOKUP(ROW(F145)+4,'Water runs'!$CH$3:$CU$423,MATCH($B$1,Scenarios,0)+1)</f>
        <v>0</v>
      </c>
      <c r="G145" s="65">
        <f>H145/Variables!$E$49</f>
        <v>0.2506506393306579</v>
      </c>
      <c r="H145" s="62">
        <f>IF((H144+I145)&gt;(1.1*Variables!$E$50),(1.1*Variables!$E$50),IF((H144+I145)&gt;0,H144+I145,0))</f>
        <v>1.5540339638500789</v>
      </c>
      <c r="I145" s="64">
        <f t="shared" si="4"/>
        <v>-1.5413136103062057</v>
      </c>
      <c r="J145" s="63">
        <f>IF(SUM(E141:E144)&lt;Variables!$B$3,-H144,0)</f>
        <v>0</v>
      </c>
      <c r="K145" s="64">
        <f>IF(AND(H144&lt;Variables!$B$6*Variables!$E$50,OR(SUM(D142:D145)&gt;Variables!$B$5,SUM(E142:E145)&gt;Variables!$B$4)),Variables!$B$6*Variables!$E$50+Variables!$B$7*$G$1*Variables!$E$50*SUM(D142:D145),0)</f>
        <v>0</v>
      </c>
      <c r="L145" s="64">
        <f>IF(B145="Winter",Variables!$B$8*H144,0)</f>
        <v>-1.5413136103062057</v>
      </c>
      <c r="M145" s="64">
        <f>IF(AND(B145="Spring",AND(NOT(H144=0),H144&lt;(Variables!$B$9*Variables!$E$50))),(Variables!$B$10*Variables!$E$50+Variables!$B$11*Variables!$E$50*SUM(E142:E145)+$G$1*SUM(D144:D145)*Variables!$E$50*Variables!$B$12),0)</f>
        <v>0</v>
      </c>
      <c r="N145" s="64">
        <f>IF(AND(B145="Spring",AND(SUM(D142:D145)&gt;Variables!$B$13,SUM(D138:D141)&gt;Variables!$B$13)),-Variables!$B$14*Variables!$E$50,0)</f>
        <v>0</v>
      </c>
      <c r="O145" s="64">
        <f>IF(AND(B145="Summer",SUM(C141:D145)&gt;Variables!$B$15),(Variables!$B$16*Variables!$E$50*SUM(C141:C145)+$G$1*Variables!$B$16*Variables!$E$50*SUM(D141:D145)+$G$1*Variables!$E$50*Variables!$B$17*F145),0)</f>
        <v>0</v>
      </c>
      <c r="P145" s="64">
        <f>IF(AND(AND(B145="Autumn",SUM(D144:E145)&gt;0),NOT(H144=0)),Variables!$B$18*Variables!$E$50+Variables!$B$19*Variables!$E$50*SUM(E144:E145)+$G$1*Variables!$B$19*Variables!$E$50*SUM(D144:D145),0)</f>
        <v>0</v>
      </c>
      <c r="Q145" s="64">
        <f>IF(AND(B145="Autumn",AND((E145+E144)&lt;Variables!$B$20,(D144+D145)=0)),-Variables!$B$21*Variables!$E$50,0)</f>
        <v>0</v>
      </c>
      <c r="R145" s="64">
        <f>IF(B145="Autumn",(SUM(F144:F145)*$G$1*Variables!$B$22*Variables!$E$50),0)</f>
        <v>0</v>
      </c>
      <c r="S145" s="64">
        <f>IF(B145="Spring",($G$1*Variables!$E$50*SUM('Guts (option 2)'!F144:F145)*Variables!$B$23),0)</f>
        <v>0</v>
      </c>
      <c r="T145" s="63">
        <f>IF((H144+SUM(J145:Q145))&lt;(Variables!$B$26*Variables!$E$50),$F$1*((Variables!$B$26*Variables!$E$50)-H144-SUM(J145:Q145)),0)</f>
        <v>0</v>
      </c>
      <c r="U145" s="64">
        <f>IF(AND(AND(B145="Autumn",SUM(D142:E145)&gt;Variables!$B$27),SUM(J145:Q145)&lt;Variables!$B$28*H144),$F$1*(Variables!$B$28*H144-SUM(J145:Q145)),0)</f>
        <v>0</v>
      </c>
      <c r="V145" s="96">
        <f>IF(AND((J145+K145)=0,(Q145+T145)=0),$H$1*H145*Variables!$I$23*0.25,0)</f>
        <v>9.9821558628285327</v>
      </c>
      <c r="W145" s="97">
        <f>IF(AND((K145+J145)=0,(T145+Q145)=0),$I$1*H145*Variables!$Q$23*0.25,0)</f>
        <v>10.448676858776324</v>
      </c>
      <c r="X145" s="95">
        <f>IF(AND(NOT(K145=0),(H145-H144)&gt;0),(H145-H144)*(Variables!$M$5*$H$1+Variables!$U$5*$I$1),0)+IF(AND(NOT((J145+N145+Q145)=0),(H144-H145)&gt;0),(H144-H145)*(Variables!$M$4*$H$1+Variables!$U$4*$I$1),0)</f>
        <v>0</v>
      </c>
      <c r="Y145" s="95">
        <f>IF(SUM(T145,U144:U145)&gt;0,H145*Variables!$Y$11*0.25*(1-$J$1),0)</f>
        <v>0</v>
      </c>
      <c r="Z145" s="95">
        <f>IF(T145=0,H145*$J$1*Variables!$Y$5*0.25,0)</f>
        <v>3.3670735883418375</v>
      </c>
      <c r="AA145" s="95">
        <f t="shared" si="5"/>
        <v>23.797906309946697</v>
      </c>
      <c r="AB145" s="91">
        <f>AA145/Variables!$E$49</f>
        <v>3.8383719854752738</v>
      </c>
    </row>
    <row r="146" spans="1:28" x14ac:dyDescent="0.25">
      <c r="A146" s="61">
        <f>'Water runs'!C153</f>
        <v>15310</v>
      </c>
      <c r="B146" s="61" t="str">
        <f>'Water runs'!B153</f>
        <v>Spring</v>
      </c>
      <c r="C146" s="54">
        <f>'Water runs'!D153/100</f>
        <v>0.11785714285714301</v>
      </c>
      <c r="D146" s="108">
        <f>VLOOKUP(ROW(D146)+4,'Water runs'!$BS$3:$CF$423,MATCH($B$1,Scenarios,0)+1)</f>
        <v>0</v>
      </c>
      <c r="E146" s="54">
        <f>IF(B146=Variables!$D$8,C146-Variables!$E$8,IF(B146=Variables!$D$9,C146-Variables!$E$9,IF(B146=Variables!$D$10,C146-Variables!$E$10,IF(B146=Variables!$D$11,C146-Variables!$E$11,"ELSE"))))</f>
        <v>-0.64612506613756615</v>
      </c>
      <c r="F146" s="108">
        <f>VLOOKUP(ROW(F146)+4,'Water runs'!$CH$3:$CU$423,MATCH($B$1,Scenarios,0)+1)</f>
        <v>0</v>
      </c>
      <c r="G146" s="65">
        <f>H146/Variables!$E$49</f>
        <v>0.161</v>
      </c>
      <c r="H146" s="62">
        <f>IF((H145+I146)&gt;(1.1*Variables!$E$50),(1.1*Variables!$E$50),IF((H145+I146)&gt;0,H145+I146,0))</f>
        <v>0.99820000000000009</v>
      </c>
      <c r="I146" s="64">
        <f t="shared" si="4"/>
        <v>-0.55583396385007877</v>
      </c>
      <c r="J146" s="63">
        <f>IF(SUM(E142:E145)&lt;Variables!$B$3,-H145,0)</f>
        <v>0</v>
      </c>
      <c r="K146" s="64">
        <f>IF(AND(H145&lt;Variables!$B$6*Variables!$E$50,OR(SUM(D143:D146)&gt;Variables!$B$5,SUM(E143:E146)&gt;Variables!$B$4)),Variables!$B$6*Variables!$E$50+Variables!$B$7*$G$1*Variables!$E$50*SUM(D143:D146),0)</f>
        <v>0</v>
      </c>
      <c r="L146" s="64">
        <f>IF(B146="Winter",Variables!$B$8*H145,0)</f>
        <v>0</v>
      </c>
      <c r="M146" s="64">
        <f>IF(AND(B146="Spring",AND(NOT(H145=0),H145&lt;(Variables!$B$9*Variables!$E$50))),(Variables!$B$10*Variables!$E$50+Variables!$B$11*Variables!$E$50*SUM(E143:E146)+$G$1*SUM(D145:D146)*Variables!$E$50*Variables!$B$12),0)</f>
        <v>-0.67428443052074571</v>
      </c>
      <c r="N146" s="64">
        <f>IF(AND(B146="Spring",AND(SUM(D143:D146)&gt;Variables!$B$13,SUM(D139:D142)&gt;Variables!$B$13)),-Variables!$B$14*Variables!$E$50,0)</f>
        <v>0</v>
      </c>
      <c r="O146" s="64">
        <f>IF(AND(B146="Summer",SUM(C142:D146)&gt;Variables!$B$15),(Variables!$B$16*Variables!$E$50*SUM(C142:C146)+$G$1*Variables!$B$16*Variables!$E$50*SUM(D142:D146)+$G$1*Variables!$E$50*Variables!$B$17*F146),0)</f>
        <v>0</v>
      </c>
      <c r="P146" s="64">
        <f>IF(AND(AND(B146="Autumn",SUM(D145:E146)&gt;0),NOT(H145=0)),Variables!$B$18*Variables!$E$50+Variables!$B$19*Variables!$E$50*SUM(E145:E146)+$G$1*Variables!$B$19*Variables!$E$50*SUM(D145:D146),0)</f>
        <v>0</v>
      </c>
      <c r="Q146" s="64">
        <f>IF(AND(B146="Autumn",AND((E146+E145)&lt;Variables!$B$20,(D145+D146)=0)),-Variables!$B$21*Variables!$E$50,0)</f>
        <v>0</v>
      </c>
      <c r="R146" s="64">
        <f>IF(B146="Autumn",(SUM(F145:F146)*$G$1*Variables!$B$22*Variables!$E$50),0)</f>
        <v>0</v>
      </c>
      <c r="S146" s="64">
        <f>IF(B146="Spring",($G$1*Variables!$E$50*SUM('Guts (option 2)'!F145:F146)*Variables!$B$23),0)</f>
        <v>0</v>
      </c>
      <c r="T146" s="63">
        <f>IF((H145+SUM(J146:Q146))&lt;(Variables!$B$26*Variables!$E$50),$F$1*((Variables!$B$26*Variables!$E$50)-H145-SUM(J146:Q146)),0)</f>
        <v>0.11845046667066694</v>
      </c>
      <c r="U146" s="64">
        <f>IF(AND(AND(B146="Autumn",SUM(D143:E146)&gt;Variables!$B$27),SUM(J146:Q146)&lt;Variables!$B$28*H145),$F$1*(Variables!$B$28*H145-SUM(J146:Q146)),0)</f>
        <v>0</v>
      </c>
      <c r="V146" s="96">
        <f>IF(AND((J146+K146)=0,(Q146+T146)=0),$H$1*H146*Variables!$I$23*0.25,0)</f>
        <v>0</v>
      </c>
      <c r="W146" s="97">
        <f>IF(AND((K146+J146)=0,(T146+Q146)=0),$I$1*H146*Variables!$Q$23*0.25,0)</f>
        <v>0</v>
      </c>
      <c r="X146" s="95">
        <f>IF(AND(NOT(K146=0),(H146-H145)&gt;0),(H146-H145)*(Variables!$M$5*$H$1+Variables!$U$5*$I$1),0)+IF(AND(NOT((J146+N146+Q146)=0),(H145-H146)&gt;0),(H145-H146)*(Variables!$M$4*$H$1+Variables!$U$4*$I$1),0)</f>
        <v>0</v>
      </c>
      <c r="Y146" s="95">
        <f>IF(SUM(T146,U145:U146)&gt;0,H146*Variables!$Y$11*0.25*(1-$J$1),0)</f>
        <v>-6.9874000000000018</v>
      </c>
      <c r="Z146" s="95">
        <f>IF(T146=0,H146*$J$1*Variables!$Y$5*0.25,0)</f>
        <v>0</v>
      </c>
      <c r="AA146" s="95">
        <f t="shared" si="5"/>
        <v>-6.9874000000000018</v>
      </c>
      <c r="AB146" s="91">
        <f>AA146/Variables!$E$49</f>
        <v>-1.1270000000000002</v>
      </c>
    </row>
    <row r="147" spans="1:28" x14ac:dyDescent="0.25">
      <c r="A147" s="61">
        <f>'Water runs'!C154</f>
        <v>15400</v>
      </c>
      <c r="B147" s="61" t="str">
        <f>'Water runs'!B154</f>
        <v>Summer</v>
      </c>
      <c r="C147" s="54">
        <f>'Water runs'!D154/100</f>
        <v>0.81885714285714295</v>
      </c>
      <c r="D147" s="108">
        <f>VLOOKUP(ROW(D147)+4,'Water runs'!$BS$3:$CF$423,MATCH($B$1,Scenarios,0)+1)</f>
        <v>0.11271031441262401</v>
      </c>
      <c r="E147" s="54">
        <f>IF(B147=Variables!$D$8,C147-Variables!$E$8,IF(B147=Variables!$D$9,C147-Variables!$E$9,IF(B147=Variables!$D$10,C147-Variables!$E$10,IF(B147=Variables!$D$11,C147-Variables!$E$11,"ELSE"))))</f>
        <v>-0.43951299319727877</v>
      </c>
      <c r="F147" s="108">
        <f>VLOOKUP(ROW(F147)+4,'Water runs'!$CH$3:$CU$423,MATCH($B$1,Scenarios,0)+1)</f>
        <v>0</v>
      </c>
      <c r="G147" s="65">
        <f>H147/Variables!$E$49</f>
        <v>0.34840191122653386</v>
      </c>
      <c r="H147" s="62">
        <f>IF((H146+I147)&gt;(1.1*Variables!$E$50),(1.1*Variables!$E$50),IF((H146+I147)&gt;0,H146+I147,0))</f>
        <v>2.1600918496045098</v>
      </c>
      <c r="I147" s="64">
        <f t="shared" si="4"/>
        <v>1.1618918496045099</v>
      </c>
      <c r="J147" s="63">
        <f>IF(SUM(E143:E146)&lt;Variables!$B$3,-H146,0)</f>
        <v>0</v>
      </c>
      <c r="K147" s="64">
        <f>IF(AND(H146&lt;Variables!$B$6*Variables!$E$50,OR(SUM(D144:D147)&gt;Variables!$B$5,SUM(E144:E147)&gt;Variables!$B$4)),Variables!$B$6*Variables!$E$50+Variables!$B$7*$G$1*Variables!$E$50*SUM(D144:D147),0)</f>
        <v>1.1618918496045099</v>
      </c>
      <c r="L147" s="64">
        <f>IF(B147="Winter",Variables!$B$8*H146,0)</f>
        <v>0</v>
      </c>
      <c r="M147" s="64">
        <f>IF(AND(B147="Spring",AND(NOT(H146=0),H146&lt;(Variables!$B$9*Variables!$E$50))),(Variables!$B$10*Variables!$E$50+Variables!$B$11*Variables!$E$50*SUM(E144:E147)+$G$1*SUM(D146:D147)*Variables!$E$50*Variables!$B$12),0)</f>
        <v>0</v>
      </c>
      <c r="N147" s="64">
        <f>IF(AND(B147="Spring",AND(SUM(D144:D147)&gt;Variables!$B$13,SUM(D140:D143)&gt;Variables!$B$13)),-Variables!$B$14*Variables!$E$50,0)</f>
        <v>0</v>
      </c>
      <c r="O147" s="64">
        <f>IF(AND(B147="Summer",SUM(C143:D147)&gt;Variables!$B$15),(Variables!$B$16*Variables!$E$50*SUM(C143:C147)+$G$1*Variables!$B$16*Variables!$E$50*SUM(D143:D147)+$G$1*Variables!$E$50*Variables!$B$17*F147),0)</f>
        <v>0</v>
      </c>
      <c r="P147" s="64">
        <f>IF(AND(AND(B147="Autumn",SUM(D146:E147)&gt;0),NOT(H146=0)),Variables!$B$18*Variables!$E$50+Variables!$B$19*Variables!$E$50*SUM(E146:E147)+$G$1*Variables!$B$19*Variables!$E$50*SUM(D146:D147),0)</f>
        <v>0</v>
      </c>
      <c r="Q147" s="64">
        <f>IF(AND(B147="Autumn",AND((E147+E146)&lt;Variables!$B$20,(D146+D147)=0)),-Variables!$B$21*Variables!$E$50,0)</f>
        <v>0</v>
      </c>
      <c r="R147" s="64">
        <f>IF(B147="Autumn",(SUM(F146:F147)*$G$1*Variables!$B$22*Variables!$E$50),0)</f>
        <v>0</v>
      </c>
      <c r="S147" s="64">
        <f>IF(B147="Spring",($G$1*Variables!$E$50*SUM('Guts (option 2)'!F146:F147)*Variables!$B$23),0)</f>
        <v>0</v>
      </c>
      <c r="T147" s="63">
        <f>IF((H146+SUM(J147:Q147))&lt;(Variables!$B$26*Variables!$E$50),$F$1*((Variables!$B$26*Variables!$E$50)-H146-SUM(J147:Q147)),0)</f>
        <v>0</v>
      </c>
      <c r="U147" s="64">
        <f>IF(AND(AND(B147="Autumn",SUM(D144:E147)&gt;Variables!$B$27),SUM(J147:Q147)&lt;Variables!$B$28*H146),$F$1*(Variables!$B$28*H146-SUM(J147:Q147)),0)</f>
        <v>0</v>
      </c>
      <c r="V147" s="96">
        <f>IF(AND((J147+K147)=0,(Q147+T147)=0),$H$1*H147*Variables!$I$23*0.25,0)</f>
        <v>0</v>
      </c>
      <c r="W147" s="97">
        <f>IF(AND((K147+J147)=0,(T147+Q147)=0),$I$1*H147*Variables!$Q$23*0.25,0)</f>
        <v>0</v>
      </c>
      <c r="X147" s="95">
        <f>IF(AND(NOT(K147=0),(H147-H146)&gt;0),(H147-H146)*(Variables!$M$5*$H$1+Variables!$U$5*$I$1),0)+IF(AND(NOT((J147+N147+Q147)=0),(H146-H147)&gt;0),(H146-H147)*(Variables!$M$4*$H$1+Variables!$U$4*$I$1),0)</f>
        <v>-96.824320800375801</v>
      </c>
      <c r="Y147" s="95">
        <f>IF(SUM(T147,U146:U147)&gt;0,H147*Variables!$Y$11*0.25*(1-$J$1),0)</f>
        <v>0</v>
      </c>
      <c r="Z147" s="95">
        <f>IF(T147=0,H147*$J$1*Variables!$Y$5*0.25,0)</f>
        <v>4.6801990074764381</v>
      </c>
      <c r="AA147" s="95">
        <f t="shared" si="5"/>
        <v>-92.144121792899369</v>
      </c>
      <c r="AB147" s="91">
        <f>AA147/Variables!$E$49</f>
        <v>-14.861955127886995</v>
      </c>
    </row>
    <row r="148" spans="1:28" x14ac:dyDescent="0.25">
      <c r="A148" s="61">
        <f>'Water runs'!C155</f>
        <v>15492</v>
      </c>
      <c r="B148" s="61" t="str">
        <f>'Water runs'!B155</f>
        <v>Autumn</v>
      </c>
      <c r="C148" s="54">
        <f>'Water runs'!D155/100</f>
        <v>0.97857142857142909</v>
      </c>
      <c r="D148" s="108">
        <f>VLOOKUP(ROW(D148)+4,'Water runs'!$BS$3:$CF$423,MATCH($B$1,Scenarios,0)+1)</f>
        <v>0.33648564121647834</v>
      </c>
      <c r="E148" s="54">
        <f>IF(B148=Variables!$D$8,C148-Variables!$E$8,IF(B148=Variables!$D$9,C148-Variables!$E$9,IF(B148=Variables!$D$10,C148-Variables!$E$10,IF(B148=Variables!$D$11,C148-Variables!$E$11,"ELSE"))))</f>
        <v>-1.6071870748298744E-2</v>
      </c>
      <c r="F148" s="108">
        <f>VLOOKUP(ROW(F148)+4,'Water runs'!$CH$3:$CU$423,MATCH($B$1,Scenarios,0)+1)</f>
        <v>0.41714344531627329</v>
      </c>
      <c r="G148" s="65">
        <f>H148/Variables!$E$49</f>
        <v>0.17047933599666998</v>
      </c>
      <c r="H148" s="62">
        <f>IF((H147+I148)&gt;(1.1*Variables!$E$50),(1.1*Variables!$E$50),IF((H147+I148)&gt;0,H147+I148,0))</f>
        <v>1.056971883179354</v>
      </c>
      <c r="I148" s="64">
        <f t="shared" si="4"/>
        <v>-1.1031199664251559</v>
      </c>
      <c r="J148" s="63">
        <f>IF(SUM(E144:E147)&lt;Variables!$B$3,-H147,0)</f>
        <v>-2.1600918496045098</v>
      </c>
      <c r="K148" s="64">
        <f>IF(AND(H147&lt;Variables!$B$6*Variables!$E$50,OR(SUM(D145:D148)&gt;Variables!$B$5,SUM(E145:E148)&gt;Variables!$B$4)),Variables!$B$6*Variables!$E$50+Variables!$B$7*$G$1*Variables!$E$50*SUM(D145:D148),0)</f>
        <v>0</v>
      </c>
      <c r="L148" s="64">
        <f>IF(B148="Winter",Variables!$B$8*H147,0)</f>
        <v>0</v>
      </c>
      <c r="M148" s="64">
        <f>IF(AND(B148="Spring",AND(NOT(H147=0),H147&lt;(Variables!$B$9*Variables!$E$50))),(Variables!$B$10*Variables!$E$50+Variables!$B$11*Variables!$E$50*SUM(E145:E148)+$G$1*SUM(D147:D148)*Variables!$E$50*Variables!$B$12),0)</f>
        <v>0</v>
      </c>
      <c r="N148" s="64">
        <f>IF(AND(B148="Spring",AND(SUM(D145:D148)&gt;Variables!$B$13,SUM(D141:D144)&gt;Variables!$B$13)),-Variables!$B$14*Variables!$E$50,0)</f>
        <v>0</v>
      </c>
      <c r="O148" s="64">
        <f>IF(AND(B148="Summer",SUM(C144:D148)&gt;Variables!$B$15),(Variables!$B$16*Variables!$E$50*SUM(C144:C148)+$G$1*Variables!$B$16*Variables!$E$50*SUM(D144:D148)+$G$1*Variables!$E$50*Variables!$B$17*F148),0)</f>
        <v>0</v>
      </c>
      <c r="P148" s="64">
        <f>IF(AND(AND(B148="Autumn",SUM(D147:E148)&gt;0),NOT(H147=0)),Variables!$B$18*Variables!$E$50+Variables!$B$19*Variables!$E$50*SUM(E147:E148)+$G$1*Variables!$B$19*Variables!$E$50*SUM(D147:D148),0)</f>
        <v>0</v>
      </c>
      <c r="Q148" s="64">
        <f>IF(AND(B148="Autumn",AND((E148+E147)&lt;Variables!$B$20,(D147+D148)=0)),-Variables!$B$21*Variables!$E$50,0)</f>
        <v>0</v>
      </c>
      <c r="R148" s="64">
        <f>IF(B148="Autumn",(SUM(F147:F148)*$G$1*Variables!$B$22*Variables!$E$50),0)</f>
        <v>5.8771883179353925E-2</v>
      </c>
      <c r="S148" s="64">
        <f>IF(B148="Spring",($G$1*Variables!$E$50*SUM('Guts (option 2)'!F147:F148)*Variables!$B$23),0)</f>
        <v>0</v>
      </c>
      <c r="T148" s="63">
        <f>IF((H147+SUM(J148:Q148))&lt;(Variables!$B$26*Variables!$E$50),$F$1*((Variables!$B$26*Variables!$E$50)-H147-SUM(J148:Q148)),0)</f>
        <v>0.9982000000000002</v>
      </c>
      <c r="U148" s="64">
        <f>IF(AND(AND(B148="Autumn",SUM(D145:E148)&gt;Variables!$B$27),SUM(J148:Q148)&lt;Variables!$B$28*H147),$F$1*(Variables!$B$28*H147-SUM(J148:Q148)),0)</f>
        <v>0</v>
      </c>
      <c r="V148" s="96">
        <f>IF(AND((J148+K148)=0,(Q148+T148)=0),$H$1*H148*Variables!$I$23*0.25,0)</f>
        <v>0</v>
      </c>
      <c r="W148" s="97">
        <f>IF(AND((K148+J148)=0,(T148+Q148)=0),$I$1*H148*Variables!$Q$23*0.25,0)</f>
        <v>0</v>
      </c>
      <c r="X148" s="95">
        <f>IF(AND(NOT(K148=0),(H148-H147)&gt;0),(H148-H147)*(Variables!$M$5*$H$1+Variables!$U$5*$I$1),0)+IF(AND(NOT((J148+N148+Q148)=0),(H147-H148)&gt;0),(H147-H148)*(Variables!$M$4*$H$1+Variables!$U$4*$I$1),0)</f>
        <v>45.963331934381493</v>
      </c>
      <c r="Y148" s="95">
        <f>IF(SUM(T148,U147:U148)&gt;0,H148*Variables!$Y$11*0.25*(1-$J$1),0)</f>
        <v>-7.3988031822554783</v>
      </c>
      <c r="Z148" s="95">
        <f>IF(T148=0,H148*$J$1*Variables!$Y$5*0.25,0)</f>
        <v>0</v>
      </c>
      <c r="AA148" s="95">
        <f t="shared" si="5"/>
        <v>38.564528752126016</v>
      </c>
      <c r="AB148" s="91">
        <f>AA148/Variables!$E$49</f>
        <v>6.2200852826009703</v>
      </c>
    </row>
    <row r="149" spans="1:28" x14ac:dyDescent="0.25">
      <c r="A149" s="61">
        <f>'Water runs'!C156</f>
        <v>15584</v>
      </c>
      <c r="B149" s="61" t="str">
        <f>'Water runs'!B156</f>
        <v>Winter</v>
      </c>
      <c r="C149" s="54">
        <f>'Water runs'!D156/100</f>
        <v>0.70928571428571408</v>
      </c>
      <c r="D149" s="108">
        <f>VLOOKUP(ROW(D149)+4,'Water runs'!$BS$3:$CF$423,MATCH($B$1,Scenarios,0)+1)</f>
        <v>0</v>
      </c>
      <c r="E149" s="54">
        <f>IF(B149=Variables!$D$8,C149-Variables!$E$8,IF(B149=Variables!$D$9,C149-Variables!$E$9,IF(B149=Variables!$D$10,C149-Variables!$E$10,IF(B149=Variables!$D$11,C149-Variables!$E$11,"ELSE"))))</f>
        <v>0.13751808862433834</v>
      </c>
      <c r="F149" s="108">
        <f>VLOOKUP(ROW(F149)+4,'Water runs'!$CH$3:$CU$423,MATCH($B$1,Scenarios,0)+1)</f>
        <v>0</v>
      </c>
      <c r="G149" s="65">
        <f>H149/Variables!$E$49</f>
        <v>0.27341261862115651</v>
      </c>
      <c r="H149" s="62">
        <f>IF((H148+I149)&gt;(1.1*Variables!$E$50),(1.1*Variables!$E$50),IF((H148+I149)&gt;0,H148+I149,0))</f>
        <v>1.6951582354511703</v>
      </c>
      <c r="I149" s="64">
        <f t="shared" si="4"/>
        <v>0.6381863522718163</v>
      </c>
      <c r="J149" s="63">
        <f>IF(SUM(E145:E148)&lt;Variables!$B$3,-H148,0)</f>
        <v>0</v>
      </c>
      <c r="K149" s="64">
        <f>IF(AND(H148&lt;Variables!$B$6*Variables!$E$50,OR(SUM(D146:D149)&gt;Variables!$B$5,SUM(E146:E149)&gt;Variables!$B$4)),Variables!$B$6*Variables!$E$50+Variables!$B$7*$G$1*Variables!$E$50*SUM(D146:D149),0)</f>
        <v>1.1645004770109026</v>
      </c>
      <c r="L149" s="64">
        <f>IF(B149="Winter",Variables!$B$8*H148,0)</f>
        <v>-0.52631412473908634</v>
      </c>
      <c r="M149" s="64">
        <f>IF(AND(B149="Spring",AND(NOT(H148=0),H148&lt;(Variables!$B$9*Variables!$E$50))),(Variables!$B$10*Variables!$E$50+Variables!$B$11*Variables!$E$50*SUM(E146:E149)+$G$1*SUM(D148:D149)*Variables!$E$50*Variables!$B$12),0)</f>
        <v>0</v>
      </c>
      <c r="N149" s="64">
        <f>IF(AND(B149="Spring",AND(SUM(D146:D149)&gt;Variables!$B$13,SUM(D142:D145)&gt;Variables!$B$13)),-Variables!$B$14*Variables!$E$50,0)</f>
        <v>0</v>
      </c>
      <c r="O149" s="64">
        <f>IF(AND(B149="Summer",SUM(C145:D149)&gt;Variables!$B$15),(Variables!$B$16*Variables!$E$50*SUM(C145:C149)+$G$1*Variables!$B$16*Variables!$E$50*SUM(D145:D149)+$G$1*Variables!$E$50*Variables!$B$17*F149),0)</f>
        <v>0</v>
      </c>
      <c r="P149" s="64">
        <f>IF(AND(AND(B149="Autumn",SUM(D148:E149)&gt;0),NOT(H148=0)),Variables!$B$18*Variables!$E$50+Variables!$B$19*Variables!$E$50*SUM(E148:E149)+$G$1*Variables!$B$19*Variables!$E$50*SUM(D148:D149),0)</f>
        <v>0</v>
      </c>
      <c r="Q149" s="64">
        <f>IF(AND(B149="Autumn",AND((E149+E148)&lt;Variables!$B$20,(D148+D149)=0)),-Variables!$B$21*Variables!$E$50,0)</f>
        <v>0</v>
      </c>
      <c r="R149" s="64">
        <f>IF(B149="Autumn",(SUM(F148:F149)*$G$1*Variables!$B$22*Variables!$E$50),0)</f>
        <v>0</v>
      </c>
      <c r="S149" s="64">
        <f>IF(B149="Spring",($G$1*Variables!$E$50*SUM('Guts (option 2)'!F148:F149)*Variables!$B$23),0)</f>
        <v>0</v>
      </c>
      <c r="T149" s="63">
        <f>IF((H148+SUM(J149:Q149))&lt;(Variables!$B$26*Variables!$E$50),$F$1*((Variables!$B$26*Variables!$E$50)-H148-SUM(J149:Q149)),0)</f>
        <v>0</v>
      </c>
      <c r="U149" s="64">
        <f>IF(AND(AND(B149="Autumn",SUM(D146:E149)&gt;Variables!$B$27),SUM(J149:Q149)&lt;Variables!$B$28*H148),$F$1*(Variables!$B$28*H148-SUM(J149:Q149)),0)</f>
        <v>0</v>
      </c>
      <c r="V149" s="96">
        <f>IF(AND((J149+K149)=0,(Q149+T149)=0),$H$1*H149*Variables!$I$23*0.25,0)</f>
        <v>0</v>
      </c>
      <c r="W149" s="97">
        <f>IF(AND((K149+J149)=0,(T149+Q149)=0),$I$1*H149*Variables!$Q$23*0.25,0)</f>
        <v>0</v>
      </c>
      <c r="X149" s="95">
        <f>IF(AND(NOT(K149=0),(H149-H148)&gt;0),(H149-H148)*(Variables!$M$5*$H$1+Variables!$U$5*$I$1),0)+IF(AND(NOT((J149+N149+Q149)=0),(H148-H149)&gt;0),(H148-H149)*(Variables!$M$4*$H$1+Variables!$U$4*$I$1),0)</f>
        <v>-53.182196022651354</v>
      </c>
      <c r="Y149" s="95">
        <f>IF(SUM(T149,U148:U149)&gt;0,H149*Variables!$Y$11*0.25*(1-$J$1),0)</f>
        <v>0</v>
      </c>
      <c r="Z149" s="95">
        <f>IF(T149=0,H149*$J$1*Variables!$Y$5*0.25,0)</f>
        <v>3.6728428434775355</v>
      </c>
      <c r="AA149" s="95">
        <f t="shared" si="5"/>
        <v>-49.509353179173822</v>
      </c>
      <c r="AB149" s="91">
        <f>AA149/Variables!$E$49</f>
        <v>-7.9853795450280352</v>
      </c>
    </row>
    <row r="150" spans="1:28" x14ac:dyDescent="0.25">
      <c r="A150" s="61">
        <f>'Water runs'!C157</f>
        <v>15675</v>
      </c>
      <c r="B150" s="61" t="str">
        <f>'Water runs'!B157</f>
        <v>Spring</v>
      </c>
      <c r="C150" s="54">
        <f>'Water runs'!D157/100</f>
        <v>0.7811904761904761</v>
      </c>
      <c r="D150" s="108">
        <f>VLOOKUP(ROW(D150)+4,'Water runs'!$BS$3:$CF$423,MATCH($B$1,Scenarios,0)+1)</f>
        <v>0</v>
      </c>
      <c r="E150" s="54">
        <f>IF(B150=Variables!$D$8,C150-Variables!$E$8,IF(B150=Variables!$D$9,C150-Variables!$E$9,IF(B150=Variables!$D$10,C150-Variables!$E$10,IF(B150=Variables!$D$11,C150-Variables!$E$11,"ELSE"))))</f>
        <v>1.7208267195766958E-2</v>
      </c>
      <c r="F150" s="108">
        <f>VLOOKUP(ROW(F150)+4,'Water runs'!$CH$3:$CU$423,MATCH($B$1,Scenarios,0)+1)</f>
        <v>0</v>
      </c>
      <c r="G150" s="65">
        <f>H150/Variables!$E$49</f>
        <v>0.24036371494317024</v>
      </c>
      <c r="H150" s="62">
        <f>IF((H149+I150)&gt;(1.1*Variables!$E$50),(1.1*Variables!$E$50),IF((H149+I150)&gt;0,H149+I150,0))</f>
        <v>1.4902550326476556</v>
      </c>
      <c r="I150" s="64">
        <f t="shared" si="4"/>
        <v>-0.20490320280351471</v>
      </c>
      <c r="J150" s="63">
        <f>IF(SUM(E146:E149)&lt;Variables!$B$3,-H149,0)</f>
        <v>0</v>
      </c>
      <c r="K150" s="64">
        <f>IF(AND(H149&lt;Variables!$B$6*Variables!$E$50,OR(SUM(D147:D150)&gt;Variables!$B$5,SUM(E147:E150)&gt;Variables!$B$4)),Variables!$B$6*Variables!$E$50+Variables!$B$7*$G$1*Variables!$E$50*SUM(D147:D150),0)</f>
        <v>0</v>
      </c>
      <c r="L150" s="64">
        <f>IF(B150="Winter",Variables!$B$8*H149,0)</f>
        <v>0</v>
      </c>
      <c r="M150" s="64">
        <f>IF(AND(B150="Spring",AND(NOT(H149=0),H149&lt;(Variables!$B$9*Variables!$E$50))),(Variables!$B$10*Variables!$E$50+Variables!$B$11*Variables!$E$50*SUM(E147:E150)+$G$1*SUM(D149:D150)*Variables!$E$50*Variables!$B$12),0)</f>
        <v>-0.20490320280351471</v>
      </c>
      <c r="N150" s="64">
        <f>IF(AND(B150="Spring",AND(SUM(D147:D150)&gt;Variables!$B$13,SUM(D143:D146)&gt;Variables!$B$13)),-Variables!$B$14*Variables!$E$50,0)</f>
        <v>0</v>
      </c>
      <c r="O150" s="64">
        <f>IF(AND(B150="Summer",SUM(C146:D150)&gt;Variables!$B$15),(Variables!$B$16*Variables!$E$50*SUM(C146:C150)+$G$1*Variables!$B$16*Variables!$E$50*SUM(D146:D150)+$G$1*Variables!$E$50*Variables!$B$17*F150),0)</f>
        <v>0</v>
      </c>
      <c r="P150" s="64">
        <f>IF(AND(AND(B150="Autumn",SUM(D149:E150)&gt;0),NOT(H149=0)),Variables!$B$18*Variables!$E$50+Variables!$B$19*Variables!$E$50*SUM(E149:E150)+$G$1*Variables!$B$19*Variables!$E$50*SUM(D149:D150),0)</f>
        <v>0</v>
      </c>
      <c r="Q150" s="64">
        <f>IF(AND(B150="Autumn",AND((E150+E149)&lt;Variables!$B$20,(D149+D150)=0)),-Variables!$B$21*Variables!$E$50,0)</f>
        <v>0</v>
      </c>
      <c r="R150" s="64">
        <f>IF(B150="Autumn",(SUM(F149:F150)*$G$1*Variables!$B$22*Variables!$E$50),0)</f>
        <v>0</v>
      </c>
      <c r="S150" s="64">
        <f>IF(B150="Spring",($G$1*Variables!$E$50*SUM('Guts (option 2)'!F149:F150)*Variables!$B$23),0)</f>
        <v>0</v>
      </c>
      <c r="T150" s="63">
        <f>IF((H149+SUM(J150:Q150))&lt;(Variables!$B$26*Variables!$E$50),$F$1*((Variables!$B$26*Variables!$E$50)-H149-SUM(J150:Q150)),0)</f>
        <v>0</v>
      </c>
      <c r="U150" s="64">
        <f>IF(AND(AND(B150="Autumn",SUM(D147:E150)&gt;Variables!$B$27),SUM(J150:Q150)&lt;Variables!$B$28*H149),$F$1*(Variables!$B$28*H149-SUM(J150:Q150)),0)</f>
        <v>0</v>
      </c>
      <c r="V150" s="96">
        <f>IF(AND((J150+K150)=0,(Q150+T150)=0),$H$1*H150*Variables!$I$23*0.25,0)</f>
        <v>9.5724793391250742</v>
      </c>
      <c r="W150" s="97">
        <f>IF(AND((K150+J150)=0,(T150+Q150)=0),$I$1*H150*Variables!$Q$23*0.25,0)</f>
        <v>10.019853899925899</v>
      </c>
      <c r="X150" s="95">
        <f>IF(AND(NOT(K150=0),(H150-H149)&gt;0),(H150-H149)*(Variables!$M$5*$H$1+Variables!$U$5*$I$1),0)+IF(AND(NOT((J150+N150+Q150)=0),(H149-H150)&gt;0),(H149-H150)*(Variables!$M$4*$H$1+Variables!$U$4*$I$1),0)</f>
        <v>0</v>
      </c>
      <c r="Y150" s="95">
        <f>IF(SUM(T150,U149:U150)&gt;0,H150*Variables!$Y$11*0.25*(1-$J$1),0)</f>
        <v>0</v>
      </c>
      <c r="Z150" s="95">
        <f>IF(T150=0,H150*$J$1*Variables!$Y$5*0.25,0)</f>
        <v>3.2288859040699203</v>
      </c>
      <c r="AA150" s="95">
        <f t="shared" si="5"/>
        <v>22.821219143120892</v>
      </c>
      <c r="AB150" s="91">
        <f>AA150/Variables!$E$49</f>
        <v>3.6808417972775631</v>
      </c>
    </row>
    <row r="151" spans="1:28" x14ac:dyDescent="0.25">
      <c r="A151" s="61">
        <f>'Water runs'!C158</f>
        <v>15765</v>
      </c>
      <c r="B151" s="61" t="str">
        <f>'Water runs'!B158</f>
        <v>Summer</v>
      </c>
      <c r="C151" s="54">
        <f>'Water runs'!D158/100</f>
        <v>1.88014285714286</v>
      </c>
      <c r="D151" s="108">
        <f>VLOOKUP(ROW(D151)+4,'Water runs'!$BS$3:$CF$423,MATCH($B$1,Scenarios,0)+1)</f>
        <v>0.18920577360074109</v>
      </c>
      <c r="E151" s="54">
        <f>IF(B151=Variables!$D$8,C151-Variables!$E$8,IF(B151=Variables!$D$9,C151-Variables!$E$9,IF(B151=Variables!$D$10,C151-Variables!$E$10,IF(B151=Variables!$D$11,C151-Variables!$E$11,"ELSE"))))</f>
        <v>0.62177272108843828</v>
      </c>
      <c r="F151" s="108">
        <f>VLOOKUP(ROW(F151)+4,'Water runs'!$CH$3:$CU$423,MATCH($B$1,Scenarios,0)+1)</f>
        <v>0.1765204000031671</v>
      </c>
      <c r="G151" s="65">
        <f>H151/Variables!$E$49</f>
        <v>0.24036371494317024</v>
      </c>
      <c r="H151" s="62">
        <f>IF((H150+I151)&gt;(1.1*Variables!$E$50),(1.1*Variables!$E$50),IF((H150+I151)&gt;0,H150+I151,0))</f>
        <v>1.4902550326476556</v>
      </c>
      <c r="I151" s="64">
        <f t="shared" si="4"/>
        <v>0</v>
      </c>
      <c r="J151" s="63">
        <f>IF(SUM(E147:E150)&lt;Variables!$B$3,-H150,0)</f>
        <v>0</v>
      </c>
      <c r="K151" s="64">
        <f>IF(AND(H150&lt;Variables!$B$6*Variables!$E$50,OR(SUM(D148:D151)&gt;Variables!$B$5,SUM(E148:E151)&gt;Variables!$B$4)),Variables!$B$6*Variables!$E$50+Variables!$B$7*$G$1*Variables!$E$50*SUM(D148:D151),0)</f>
        <v>0</v>
      </c>
      <c r="L151" s="64">
        <f>IF(B151="Winter",Variables!$B$8*H150,0)</f>
        <v>0</v>
      </c>
      <c r="M151" s="64">
        <f>IF(AND(B151="Spring",AND(NOT(H150=0),H150&lt;(Variables!$B$9*Variables!$E$50))),(Variables!$B$10*Variables!$E$50+Variables!$B$11*Variables!$E$50*SUM(E148:E151)+$G$1*SUM(D150:D151)*Variables!$E$50*Variables!$B$12),0)</f>
        <v>0</v>
      </c>
      <c r="N151" s="64">
        <f>IF(AND(B151="Spring",AND(SUM(D148:D151)&gt;Variables!$B$13,SUM(D144:D147)&gt;Variables!$B$13)),-Variables!$B$14*Variables!$E$50,0)</f>
        <v>0</v>
      </c>
      <c r="O151" s="64">
        <f>IF(AND(B151="Summer",SUM(C147:D151)&gt;Variables!$B$15),(Variables!$B$16*Variables!$E$50*SUM(C147:C151)+$G$1*Variables!$B$16*Variables!$E$50*SUM(D147:D151)+$G$1*Variables!$E$50*Variables!$B$17*F151),0)</f>
        <v>0</v>
      </c>
      <c r="P151" s="64">
        <f>IF(AND(AND(B151="Autumn",SUM(D150:E151)&gt;0),NOT(H150=0)),Variables!$B$18*Variables!$E$50+Variables!$B$19*Variables!$E$50*SUM(E150:E151)+$G$1*Variables!$B$19*Variables!$E$50*SUM(D150:D151),0)</f>
        <v>0</v>
      </c>
      <c r="Q151" s="64">
        <f>IF(AND(B151="Autumn",AND((E151+E150)&lt;Variables!$B$20,(D150+D151)=0)),-Variables!$B$21*Variables!$E$50,0)</f>
        <v>0</v>
      </c>
      <c r="R151" s="64">
        <f>IF(B151="Autumn",(SUM(F150:F151)*$G$1*Variables!$B$22*Variables!$E$50),0)</f>
        <v>0</v>
      </c>
      <c r="S151" s="64">
        <f>IF(B151="Spring",($G$1*Variables!$E$50*SUM('Guts (option 2)'!F150:F151)*Variables!$B$23),0)</f>
        <v>0</v>
      </c>
      <c r="T151" s="63">
        <f>IF((H150+SUM(J151:Q151))&lt;(Variables!$B$26*Variables!$E$50),$F$1*((Variables!$B$26*Variables!$E$50)-H150-SUM(J151:Q151)),0)</f>
        <v>0</v>
      </c>
      <c r="U151" s="64">
        <f>IF(AND(AND(B151="Autumn",SUM(D148:E151)&gt;Variables!$B$27),SUM(J151:Q151)&lt;Variables!$B$28*H150),$F$1*(Variables!$B$28*H150-SUM(J151:Q151)),0)</f>
        <v>0</v>
      </c>
      <c r="V151" s="96">
        <f>IF(AND((J151+K151)=0,(Q151+T151)=0),$H$1*H151*Variables!$I$23*0.25,0)</f>
        <v>9.5724793391250742</v>
      </c>
      <c r="W151" s="97">
        <f>IF(AND((K151+J151)=0,(T151+Q151)=0),$I$1*H151*Variables!$Q$23*0.25,0)</f>
        <v>10.019853899925899</v>
      </c>
      <c r="X151" s="95">
        <f>IF(AND(NOT(K151=0),(H151-H150)&gt;0),(H151-H150)*(Variables!$M$5*$H$1+Variables!$U$5*$I$1),0)+IF(AND(NOT((J151+N151+Q151)=0),(H150-H151)&gt;0),(H150-H151)*(Variables!$M$4*$H$1+Variables!$U$4*$I$1),0)</f>
        <v>0</v>
      </c>
      <c r="Y151" s="95">
        <f>IF(SUM(T151,U150:U151)&gt;0,H151*Variables!$Y$11*0.25*(1-$J$1),0)</f>
        <v>0</v>
      </c>
      <c r="Z151" s="95">
        <f>IF(T151=0,H151*$J$1*Variables!$Y$5*0.25,0)</f>
        <v>3.2288859040699203</v>
      </c>
      <c r="AA151" s="95">
        <f t="shared" si="5"/>
        <v>22.821219143120892</v>
      </c>
      <c r="AB151" s="91">
        <f>AA151/Variables!$E$49</f>
        <v>3.6808417972775631</v>
      </c>
    </row>
    <row r="152" spans="1:28" x14ac:dyDescent="0.25">
      <c r="A152" s="61">
        <f>'Water runs'!C159</f>
        <v>15857</v>
      </c>
      <c r="B152" s="61" t="str">
        <f>'Water runs'!B159</f>
        <v>Autumn</v>
      </c>
      <c r="C152" s="54">
        <f>'Water runs'!D159/100</f>
        <v>0.16491428571428599</v>
      </c>
      <c r="D152" s="108">
        <f>VLOOKUP(ROW(D152)+4,'Water runs'!$BS$3:$CF$423,MATCH($B$1,Scenarios,0)+1)</f>
        <v>0</v>
      </c>
      <c r="E152" s="54">
        <f>IF(B152=Variables!$D$8,C152-Variables!$E$8,IF(B152=Variables!$D$9,C152-Variables!$E$9,IF(B152=Variables!$D$10,C152-Variables!$E$10,IF(B152=Variables!$D$11,C152-Variables!$E$11,"ELSE"))))</f>
        <v>-0.82972901360544182</v>
      </c>
      <c r="F152" s="108">
        <f>VLOOKUP(ROW(F152)+4,'Water runs'!$CH$3:$CU$423,MATCH($B$1,Scenarios,0)+1)</f>
        <v>0</v>
      </c>
      <c r="G152" s="65">
        <f>H152/Variables!$E$49</f>
        <v>0.2443750357506396</v>
      </c>
      <c r="H152" s="62">
        <f>IF((H151+I152)&gt;(1.1*Variables!$E$50),(1.1*Variables!$E$50),IF((H151+I152)&gt;0,H151+I152,0))</f>
        <v>1.5151252216539655</v>
      </c>
      <c r="I152" s="64">
        <f t="shared" si="4"/>
        <v>2.487018900630978E-2</v>
      </c>
      <c r="J152" s="63">
        <f>IF(SUM(E148:E151)&lt;Variables!$B$3,-H151,0)</f>
        <v>0</v>
      </c>
      <c r="K152" s="64">
        <f>IF(AND(H151&lt;Variables!$B$6*Variables!$E$50,OR(SUM(D149:D152)&gt;Variables!$B$5,SUM(E149:E152)&gt;Variables!$B$4)),Variables!$B$6*Variables!$E$50+Variables!$B$7*$G$1*Variables!$E$50*SUM(D149:D152),0)</f>
        <v>0</v>
      </c>
      <c r="L152" s="64">
        <f>IF(B152="Winter",Variables!$B$8*H151,0)</f>
        <v>0</v>
      </c>
      <c r="M152" s="64">
        <f>IF(AND(B152="Spring",AND(NOT(H151=0),H151&lt;(Variables!$B$9*Variables!$E$50))),(Variables!$B$10*Variables!$E$50+Variables!$B$11*Variables!$E$50*SUM(E149:E152)+$G$1*SUM(D151:D152)*Variables!$E$50*Variables!$B$12),0)</f>
        <v>0</v>
      </c>
      <c r="N152" s="64">
        <f>IF(AND(B152="Spring",AND(SUM(D149:D152)&gt;Variables!$B$13,SUM(D145:D148)&gt;Variables!$B$13)),-Variables!$B$14*Variables!$E$50,0)</f>
        <v>0</v>
      </c>
      <c r="O152" s="64">
        <f>IF(AND(B152="Summer",SUM(C148:D152)&gt;Variables!$B$15),(Variables!$B$16*Variables!$E$50*SUM(C148:C152)+$G$1*Variables!$B$16*Variables!$E$50*SUM(D148:D152)+$G$1*Variables!$E$50*Variables!$B$17*F152),0)</f>
        <v>0</v>
      </c>
      <c r="P152" s="64">
        <f>IF(AND(AND(B152="Autumn",SUM(D151:E152)&gt;0),NOT(H151=0)),Variables!$B$18*Variables!$E$50+Variables!$B$19*Variables!$E$50*SUM(E151:E152)+$G$1*Variables!$B$19*Variables!$E$50*SUM(D151:D152),0)</f>
        <v>0</v>
      </c>
      <c r="Q152" s="64">
        <f>IF(AND(B152="Autumn",AND((E152+E151)&lt;Variables!$B$20,(D151+D152)=0)),-Variables!$B$21*Variables!$E$50,0)</f>
        <v>0</v>
      </c>
      <c r="R152" s="64">
        <f>IF(B152="Autumn",(SUM(F151:F152)*$G$1*Variables!$B$22*Variables!$E$50),0)</f>
        <v>2.487018900630978E-2</v>
      </c>
      <c r="S152" s="64">
        <f>IF(B152="Spring",($G$1*Variables!$E$50*SUM('Guts (option 2)'!F151:F152)*Variables!$B$23),0)</f>
        <v>0</v>
      </c>
      <c r="T152" s="63">
        <f>IF((H151+SUM(J152:Q152))&lt;(Variables!$B$26*Variables!$E$50),$F$1*((Variables!$B$26*Variables!$E$50)-H151-SUM(J152:Q152)),0)</f>
        <v>0</v>
      </c>
      <c r="U152" s="64">
        <f>IF(AND(AND(B152="Autumn",SUM(D149:E152)&gt;Variables!$B$27),SUM(J152:Q152)&lt;Variables!$B$28*H151),$F$1*(Variables!$B$28*H151-SUM(J152:Q152)),0)</f>
        <v>0</v>
      </c>
      <c r="V152" s="96">
        <f>IF(AND((J152+K152)=0,(Q152+T152)=0),$H$1*H152*Variables!$I$23*0.25,0)</f>
        <v>9.7322300966850541</v>
      </c>
      <c r="W152" s="97">
        <f>IF(AND((K152+J152)=0,(T152+Q152)=0),$I$1*H152*Variables!$Q$23*0.25,0)</f>
        <v>10.187070688225573</v>
      </c>
      <c r="X152" s="95">
        <f>IF(AND(NOT(K152=0),(H152-H151)&gt;0),(H152-H151)*(Variables!$M$5*$H$1+Variables!$U$5*$I$1),0)+IF(AND(NOT((J152+N152+Q152)=0),(H151-H152)&gt;0),(H151-H152)*(Variables!$M$4*$H$1+Variables!$U$4*$I$1),0)</f>
        <v>0</v>
      </c>
      <c r="Y152" s="95">
        <f>IF(SUM(T152,U151:U152)&gt;0,H152*Variables!$Y$11*0.25*(1-$J$1),0)</f>
        <v>0</v>
      </c>
      <c r="Z152" s="95">
        <f>IF(T152=0,H152*$J$1*Variables!$Y$5*0.25,0)</f>
        <v>3.2827713135835914</v>
      </c>
      <c r="AA152" s="95">
        <f t="shared" si="5"/>
        <v>23.202072098494217</v>
      </c>
      <c r="AB152" s="91">
        <f>AA152/Variables!$E$49</f>
        <v>3.7422696933055186</v>
      </c>
    </row>
    <row r="153" spans="1:28" x14ac:dyDescent="0.25">
      <c r="A153" s="61">
        <f>'Water runs'!C160</f>
        <v>15949</v>
      </c>
      <c r="B153" s="61" t="str">
        <f>'Water runs'!B160</f>
        <v>Winter</v>
      </c>
      <c r="C153" s="54">
        <f>'Water runs'!D160/100</f>
        <v>0.435142857142857</v>
      </c>
      <c r="D153" s="108">
        <f>VLOOKUP(ROW(D153)+4,'Water runs'!$BS$3:$CF$423,MATCH($B$1,Scenarios,0)+1)</f>
        <v>0</v>
      </c>
      <c r="E153" s="54">
        <f>IF(B153=Variables!$D$8,C153-Variables!$E$8,IF(B153=Variables!$D$9,C153-Variables!$E$9,IF(B153=Variables!$D$10,C153-Variables!$E$10,IF(B153=Variables!$D$11,C153-Variables!$E$11,"ELSE"))))</f>
        <v>-0.13662476851851874</v>
      </c>
      <c r="F153" s="108">
        <f>VLOOKUP(ROW(F153)+4,'Water runs'!$CH$3:$CU$423,MATCH($B$1,Scenarios,0)+1)</f>
        <v>0</v>
      </c>
      <c r="G153" s="65">
        <f>H153/Variables!$E$49</f>
        <v>0.161</v>
      </c>
      <c r="H153" s="62">
        <f>IF((H152+I153)&gt;(1.1*Variables!$E$50),(1.1*Variables!$E$50),IF((H152+I153)&gt;0,H152+I153,0))</f>
        <v>0.99820000000000009</v>
      </c>
      <c r="I153" s="64">
        <f t="shared" si="4"/>
        <v>-0.51692522165396537</v>
      </c>
      <c r="J153" s="63">
        <f>IF(SUM(E149:E152)&lt;Variables!$B$3,-H152,0)</f>
        <v>0</v>
      </c>
      <c r="K153" s="64">
        <f>IF(AND(H152&lt;Variables!$B$6*Variables!$E$50,OR(SUM(D150:D153)&gt;Variables!$B$5,SUM(E150:E153)&gt;Variables!$B$4)),Variables!$B$6*Variables!$E$50+Variables!$B$7*$G$1*Variables!$E$50*SUM(D150:D153),0)</f>
        <v>0</v>
      </c>
      <c r="L153" s="64">
        <f>IF(B153="Winter",Variables!$B$8*H152,0)</f>
        <v>-0.75444940172510488</v>
      </c>
      <c r="M153" s="64">
        <f>IF(AND(B153="Spring",AND(NOT(H152=0),H152&lt;(Variables!$B$9*Variables!$E$50))),(Variables!$B$10*Variables!$E$50+Variables!$B$11*Variables!$E$50*SUM(E150:E153)+$G$1*SUM(D152:D153)*Variables!$E$50*Variables!$B$12),0)</f>
        <v>0</v>
      </c>
      <c r="N153" s="64">
        <f>IF(AND(B153="Spring",AND(SUM(D150:D153)&gt;Variables!$B$13,SUM(D146:D149)&gt;Variables!$B$13)),-Variables!$B$14*Variables!$E$50,0)</f>
        <v>0</v>
      </c>
      <c r="O153" s="64">
        <f>IF(AND(B153="Summer",SUM(C149:D153)&gt;Variables!$B$15),(Variables!$B$16*Variables!$E$50*SUM(C149:C153)+$G$1*Variables!$B$16*Variables!$E$50*SUM(D149:D153)+$G$1*Variables!$E$50*Variables!$B$17*F153),0)</f>
        <v>0</v>
      </c>
      <c r="P153" s="64">
        <f>IF(AND(AND(B153="Autumn",SUM(D152:E153)&gt;0),NOT(H152=0)),Variables!$B$18*Variables!$E$50+Variables!$B$19*Variables!$E$50*SUM(E152:E153)+$G$1*Variables!$B$19*Variables!$E$50*SUM(D152:D153),0)</f>
        <v>0</v>
      </c>
      <c r="Q153" s="64">
        <f>IF(AND(B153="Autumn",AND((E153+E152)&lt;Variables!$B$20,(D152+D153)=0)),-Variables!$B$21*Variables!$E$50,0)</f>
        <v>0</v>
      </c>
      <c r="R153" s="64">
        <f>IF(B153="Autumn",(SUM(F152:F153)*$G$1*Variables!$B$22*Variables!$E$50),0)</f>
        <v>0</v>
      </c>
      <c r="S153" s="64">
        <f>IF(B153="Spring",($G$1*Variables!$E$50*SUM('Guts (option 2)'!F152:F153)*Variables!$B$23),0)</f>
        <v>0</v>
      </c>
      <c r="T153" s="63">
        <f>IF((H152+SUM(J153:Q153))&lt;(Variables!$B$26*Variables!$E$50),$F$1*((Variables!$B$26*Variables!$E$50)-H152-SUM(J153:Q153)),0)</f>
        <v>0.23752418007113951</v>
      </c>
      <c r="U153" s="64">
        <f>IF(AND(AND(B153="Autumn",SUM(D150:E153)&gt;Variables!$B$27),SUM(J153:Q153)&lt;Variables!$B$28*H152),$F$1*(Variables!$B$28*H152-SUM(J153:Q153)),0)</f>
        <v>0</v>
      </c>
      <c r="V153" s="96">
        <f>IF(AND((J153+K153)=0,(Q153+T153)=0),$H$1*H153*Variables!$I$23*0.25,0)</f>
        <v>0</v>
      </c>
      <c r="W153" s="97">
        <f>IF(AND((K153+J153)=0,(T153+Q153)=0),$I$1*H153*Variables!$Q$23*0.25,0)</f>
        <v>0</v>
      </c>
      <c r="X153" s="95">
        <f>IF(AND(NOT(K153=0),(H153-H152)&gt;0),(H153-H152)*(Variables!$M$5*$H$1+Variables!$U$5*$I$1),0)+IF(AND(NOT((J153+N153+Q153)=0),(H152-H153)&gt;0),(H152-H153)*(Variables!$M$4*$H$1+Variables!$U$4*$I$1),0)</f>
        <v>0</v>
      </c>
      <c r="Y153" s="95">
        <f>IF(SUM(T153,U152:U153)&gt;0,H153*Variables!$Y$11*0.25*(1-$J$1),0)</f>
        <v>-6.9874000000000018</v>
      </c>
      <c r="Z153" s="95">
        <f>IF(T153=0,H153*$J$1*Variables!$Y$5*0.25,0)</f>
        <v>0</v>
      </c>
      <c r="AA153" s="95">
        <f t="shared" si="5"/>
        <v>-6.9874000000000018</v>
      </c>
      <c r="AB153" s="91">
        <f>AA153/Variables!$E$49</f>
        <v>-1.1270000000000002</v>
      </c>
    </row>
    <row r="154" spans="1:28" x14ac:dyDescent="0.25">
      <c r="A154" s="61">
        <f>'Water runs'!C161</f>
        <v>16040</v>
      </c>
      <c r="B154" s="61" t="str">
        <f>'Water runs'!B161</f>
        <v>Spring</v>
      </c>
      <c r="C154" s="54">
        <f>'Water runs'!D161/100</f>
        <v>0.51085714285714301</v>
      </c>
      <c r="D154" s="108">
        <f>VLOOKUP(ROW(D154)+4,'Water runs'!$BS$3:$CF$423,MATCH($B$1,Scenarios,0)+1)</f>
        <v>0</v>
      </c>
      <c r="E154" s="54">
        <f>IF(B154=Variables!$D$8,C154-Variables!$E$8,IF(B154=Variables!$D$9,C154-Variables!$E$9,IF(B154=Variables!$D$10,C154-Variables!$E$10,IF(B154=Variables!$D$11,C154-Variables!$E$11,"ELSE"))))</f>
        <v>-0.25312506613756613</v>
      </c>
      <c r="F154" s="108">
        <f>VLOOKUP(ROW(F154)+4,'Water runs'!$CH$3:$CU$423,MATCH($B$1,Scenarios,0)+1)</f>
        <v>0</v>
      </c>
      <c r="G154" s="65">
        <f>H154/Variables!$E$49</f>
        <v>0.28095292456412557</v>
      </c>
      <c r="H154" s="62">
        <f>IF((H153+I154)&gt;(1.1*Variables!$E$50),(1.1*Variables!$E$50),IF((H153+I154)&gt;0,H153+I154,0))</f>
        <v>1.7419081322975787</v>
      </c>
      <c r="I154" s="64">
        <f t="shared" si="4"/>
        <v>0.74370813229757848</v>
      </c>
      <c r="J154" s="63">
        <f>IF(SUM(E150:E153)&lt;Variables!$B$3,-H153,0)</f>
        <v>0</v>
      </c>
      <c r="K154" s="64">
        <f>IF(AND(H153&lt;Variables!$B$6*Variables!$E$50,OR(SUM(D151:D154)&gt;Variables!$B$5,SUM(E151:E154)&gt;Variables!$B$4)),Variables!$B$6*Variables!$E$50+Variables!$B$7*$G$1*Variables!$E$50*SUM(D151:D154),0)</f>
        <v>1.1507828750267224</v>
      </c>
      <c r="L154" s="64">
        <f>IF(B154="Winter",Variables!$B$8*H153,0)</f>
        <v>0</v>
      </c>
      <c r="M154" s="64">
        <f>IF(AND(B154="Spring",AND(NOT(H153=0),H153&lt;(Variables!$B$9*Variables!$E$50))),(Variables!$B$10*Variables!$E$50+Variables!$B$11*Variables!$E$50*SUM(E151:E154)+$G$1*SUM(D153:D154)*Variables!$E$50*Variables!$B$12),0)</f>
        <v>-0.40707474272914396</v>
      </c>
      <c r="N154" s="64">
        <f>IF(AND(B154="Spring",AND(SUM(D151:D154)&gt;Variables!$B$13,SUM(D147:D150)&gt;Variables!$B$13)),-Variables!$B$14*Variables!$E$50,0)</f>
        <v>0</v>
      </c>
      <c r="O154" s="64">
        <f>IF(AND(B154="Summer",SUM(C150:D154)&gt;Variables!$B$15),(Variables!$B$16*Variables!$E$50*SUM(C150:C154)+$G$1*Variables!$B$16*Variables!$E$50*SUM(D150:D154)+$G$1*Variables!$E$50*Variables!$B$17*F154),0)</f>
        <v>0</v>
      </c>
      <c r="P154" s="64">
        <f>IF(AND(AND(B154="Autumn",SUM(D153:E154)&gt;0),NOT(H153=0)),Variables!$B$18*Variables!$E$50+Variables!$B$19*Variables!$E$50*SUM(E153:E154)+$G$1*Variables!$B$19*Variables!$E$50*SUM(D153:D154),0)</f>
        <v>0</v>
      </c>
      <c r="Q154" s="64">
        <f>IF(AND(B154="Autumn",AND((E154+E153)&lt;Variables!$B$20,(D153+D154)=0)),-Variables!$B$21*Variables!$E$50,0)</f>
        <v>0</v>
      </c>
      <c r="R154" s="64">
        <f>IF(B154="Autumn",(SUM(F153:F154)*$G$1*Variables!$B$22*Variables!$E$50),0)</f>
        <v>0</v>
      </c>
      <c r="S154" s="64">
        <f>IF(B154="Spring",($G$1*Variables!$E$50*SUM('Guts (option 2)'!F153:F154)*Variables!$B$23),0)</f>
        <v>0</v>
      </c>
      <c r="T154" s="63">
        <f>IF((H153+SUM(J154:Q154))&lt;(Variables!$B$26*Variables!$E$50),$F$1*((Variables!$B$26*Variables!$E$50)-H153-SUM(J154:Q154)),0)</f>
        <v>0</v>
      </c>
      <c r="U154" s="64">
        <f>IF(AND(AND(B154="Autumn",SUM(D151:E154)&gt;Variables!$B$27),SUM(J154:Q154)&lt;Variables!$B$28*H153),$F$1*(Variables!$B$28*H153-SUM(J154:Q154)),0)</f>
        <v>0</v>
      </c>
      <c r="V154" s="96">
        <f>IF(AND((J154+K154)=0,(Q154+T154)=0),$H$1*H154*Variables!$I$23*0.25,0)</f>
        <v>0</v>
      </c>
      <c r="W154" s="97">
        <f>IF(AND((K154+J154)=0,(T154+Q154)=0),$I$1*H154*Variables!$Q$23*0.25,0)</f>
        <v>0</v>
      </c>
      <c r="X154" s="95">
        <f>IF(AND(NOT(K154=0),(H154-H153)&gt;0),(H154-H153)*(Variables!$M$5*$H$1+Variables!$U$5*$I$1),0)+IF(AND(NOT((J154+N154+Q154)=0),(H153-H154)&gt;0),(H153-H154)*(Variables!$M$4*$H$1+Variables!$U$4*$I$1),0)</f>
        <v>-61.975677691464881</v>
      </c>
      <c r="Y154" s="95">
        <f>IF(SUM(T154,U153:U154)&gt;0,H154*Variables!$Y$11*0.25*(1-$J$1),0)</f>
        <v>0</v>
      </c>
      <c r="Z154" s="95">
        <f>IF(T154=0,H154*$J$1*Variables!$Y$5*0.25,0)</f>
        <v>3.7741342866447538</v>
      </c>
      <c r="AA154" s="95">
        <f t="shared" si="5"/>
        <v>-58.201543404820129</v>
      </c>
      <c r="AB154" s="91">
        <f>AA154/Variables!$E$49</f>
        <v>-9.3873457104548592</v>
      </c>
    </row>
    <row r="155" spans="1:28" x14ac:dyDescent="0.25">
      <c r="A155" s="61">
        <f>'Water runs'!C162</f>
        <v>16130</v>
      </c>
      <c r="B155" s="61" t="str">
        <f>'Water runs'!B162</f>
        <v>Summer</v>
      </c>
      <c r="C155" s="54">
        <f>'Water runs'!D162/100</f>
        <v>0.17857142857142899</v>
      </c>
      <c r="D155" s="108">
        <f>VLOOKUP(ROW(D155)+4,'Water runs'!$BS$3:$CF$423,MATCH($B$1,Scenarios,0)+1)</f>
        <v>6.0538879959461276E-3</v>
      </c>
      <c r="E155" s="54">
        <f>IF(B155=Variables!$D$8,C155-Variables!$E$8,IF(B155=Variables!$D$9,C155-Variables!$E$9,IF(B155=Variables!$D$10,C155-Variables!$E$10,IF(B155=Variables!$D$11,C155-Variables!$E$11,"ELSE"))))</f>
        <v>-1.0797987074829927</v>
      </c>
      <c r="F155" s="108">
        <f>VLOOKUP(ROW(F155)+4,'Water runs'!$CH$3:$CU$423,MATCH($B$1,Scenarios,0)+1)</f>
        <v>0</v>
      </c>
      <c r="G155" s="65">
        <f>H155/Variables!$E$49</f>
        <v>0.28095292456412557</v>
      </c>
      <c r="H155" s="62">
        <f>IF((H154+I155)&gt;(1.1*Variables!$E$50),(1.1*Variables!$E$50),IF((H154+I155)&gt;0,H154+I155,0))</f>
        <v>1.7419081322975787</v>
      </c>
      <c r="I155" s="64">
        <f t="shared" si="4"/>
        <v>0</v>
      </c>
      <c r="J155" s="63">
        <f>IF(SUM(E151:E154)&lt;Variables!$B$3,-H154,0)</f>
        <v>0</v>
      </c>
      <c r="K155" s="64">
        <f>IF(AND(H154&lt;Variables!$B$6*Variables!$E$50,OR(SUM(D152:D155)&gt;Variables!$B$5,SUM(E152:E155)&gt;Variables!$B$4)),Variables!$B$6*Variables!$E$50+Variables!$B$7*$G$1*Variables!$E$50*SUM(D152:D155),0)</f>
        <v>0</v>
      </c>
      <c r="L155" s="64">
        <f>IF(B155="Winter",Variables!$B$8*H154,0)</f>
        <v>0</v>
      </c>
      <c r="M155" s="64">
        <f>IF(AND(B155="Spring",AND(NOT(H154=0),H154&lt;(Variables!$B$9*Variables!$E$50))),(Variables!$B$10*Variables!$E$50+Variables!$B$11*Variables!$E$50*SUM(E152:E155)+$G$1*SUM(D154:D155)*Variables!$E$50*Variables!$B$12),0)</f>
        <v>0</v>
      </c>
      <c r="N155" s="64">
        <f>IF(AND(B155="Spring",AND(SUM(D152:D155)&gt;Variables!$B$13,SUM(D148:D151)&gt;Variables!$B$13)),-Variables!$B$14*Variables!$E$50,0)</f>
        <v>0</v>
      </c>
      <c r="O155" s="64">
        <f>IF(AND(B155="Summer",SUM(C151:D155)&gt;Variables!$B$15),(Variables!$B$16*Variables!$E$50*SUM(C151:C155)+$G$1*Variables!$B$16*Variables!$E$50*SUM(D151:D155)+$G$1*Variables!$E$50*Variables!$B$17*F155),0)</f>
        <v>0</v>
      </c>
      <c r="P155" s="64">
        <f>IF(AND(AND(B155="Autumn",SUM(D154:E155)&gt;0),NOT(H154=0)),Variables!$B$18*Variables!$E$50+Variables!$B$19*Variables!$E$50*SUM(E154:E155)+$G$1*Variables!$B$19*Variables!$E$50*SUM(D154:D155),0)</f>
        <v>0</v>
      </c>
      <c r="Q155" s="64">
        <f>IF(AND(B155="Autumn",AND((E155+E154)&lt;Variables!$B$20,(D154+D155)=0)),-Variables!$B$21*Variables!$E$50,0)</f>
        <v>0</v>
      </c>
      <c r="R155" s="64">
        <f>IF(B155="Autumn",(SUM(F154:F155)*$G$1*Variables!$B$22*Variables!$E$50),0)</f>
        <v>0</v>
      </c>
      <c r="S155" s="64">
        <f>IF(B155="Spring",($G$1*Variables!$E$50*SUM('Guts (option 2)'!F154:F155)*Variables!$B$23),0)</f>
        <v>0</v>
      </c>
      <c r="T155" s="63">
        <f>IF((H154+SUM(J155:Q155))&lt;(Variables!$B$26*Variables!$E$50),$F$1*((Variables!$B$26*Variables!$E$50)-H154-SUM(J155:Q155)),0)</f>
        <v>0</v>
      </c>
      <c r="U155" s="64">
        <f>IF(AND(AND(B155="Autumn",SUM(D152:E155)&gt;Variables!$B$27),SUM(J155:Q155)&lt;Variables!$B$28*H154),$F$1*(Variables!$B$28*H154-SUM(J155:Q155)),0)</f>
        <v>0</v>
      </c>
      <c r="V155" s="96">
        <f>IF(AND((J155+K155)=0,(Q155+T155)=0),$H$1*H155*Variables!$I$23*0.25,0)</f>
        <v>11.188943665198062</v>
      </c>
      <c r="W155" s="97">
        <f>IF(AND((K155+J155)=0,(T155+Q155)=0),$I$1*H155*Variables!$Q$23*0.25,0)</f>
        <v>11.711864486513795</v>
      </c>
      <c r="X155" s="95">
        <f>IF(AND(NOT(K155=0),(H155-H154)&gt;0),(H155-H154)*(Variables!$M$5*$H$1+Variables!$U$5*$I$1),0)+IF(AND(NOT((J155+N155+Q155)=0),(H154-H155)&gt;0),(H154-H155)*(Variables!$M$4*$H$1+Variables!$U$4*$I$1),0)</f>
        <v>0</v>
      </c>
      <c r="Y155" s="95">
        <f>IF(SUM(T155,U154:U155)&gt;0,H155*Variables!$Y$11*0.25*(1-$J$1),0)</f>
        <v>0</v>
      </c>
      <c r="Z155" s="95">
        <f>IF(T155=0,H155*$J$1*Variables!$Y$5*0.25,0)</f>
        <v>3.7741342866447538</v>
      </c>
      <c r="AA155" s="95">
        <f t="shared" si="5"/>
        <v>26.674942438356609</v>
      </c>
      <c r="AB155" s="91">
        <f>AA155/Variables!$E$49</f>
        <v>4.3024100707026784</v>
      </c>
    </row>
    <row r="156" spans="1:28" x14ac:dyDescent="0.25">
      <c r="A156" s="61">
        <f>'Water runs'!C163</f>
        <v>16223</v>
      </c>
      <c r="B156" s="61" t="str">
        <f>'Water runs'!B163</f>
        <v>Autumn</v>
      </c>
      <c r="C156" s="54">
        <f>'Water runs'!D163/100</f>
        <v>0</v>
      </c>
      <c r="D156" s="108">
        <f>VLOOKUP(ROW(D156)+4,'Water runs'!$BS$3:$CF$423,MATCH($B$1,Scenarios,0)+1)</f>
        <v>0</v>
      </c>
      <c r="E156" s="54">
        <f>IF(B156=Variables!$D$8,C156-Variables!$E$8,IF(B156=Variables!$D$9,C156-Variables!$E$9,IF(B156=Variables!$D$10,C156-Variables!$E$10,IF(B156=Variables!$D$11,C156-Variables!$E$11,"ELSE"))))</f>
        <v>-0.99464329931972784</v>
      </c>
      <c r="F156" s="108">
        <f>VLOOKUP(ROW(F156)+4,'Water runs'!$CH$3:$CU$423,MATCH($B$1,Scenarios,0)+1)</f>
        <v>0</v>
      </c>
      <c r="G156" s="65">
        <f>H156/Variables!$E$49</f>
        <v>0.161</v>
      </c>
      <c r="H156" s="62">
        <f>IF((H155+I156)&gt;(1.1*Variables!$E$50),(1.1*Variables!$E$50),IF((H155+I156)&gt;0,H155+I156,0))</f>
        <v>0.99820000000000009</v>
      </c>
      <c r="I156" s="64">
        <f t="shared" si="4"/>
        <v>-0.74370813229757859</v>
      </c>
      <c r="J156" s="63">
        <f>IF(SUM(E152:E155)&lt;Variables!$B$3,-H155,0)</f>
        <v>-1.7419081322975787</v>
      </c>
      <c r="K156" s="64">
        <f>IF(AND(H155&lt;Variables!$B$6*Variables!$E$50,OR(SUM(D153:D156)&gt;Variables!$B$5,SUM(E153:E156)&gt;Variables!$B$4)),Variables!$B$6*Variables!$E$50+Variables!$B$7*$G$1*Variables!$E$50*SUM(D153:D156),0)</f>
        <v>0</v>
      </c>
      <c r="L156" s="64">
        <f>IF(B156="Winter",Variables!$B$8*H155,0)</f>
        <v>0</v>
      </c>
      <c r="M156" s="64">
        <f>IF(AND(B156="Spring",AND(NOT(H155=0),H155&lt;(Variables!$B$9*Variables!$E$50))),(Variables!$B$10*Variables!$E$50+Variables!$B$11*Variables!$E$50*SUM(E153:E156)+$G$1*SUM(D155:D156)*Variables!$E$50*Variables!$B$12),0)</f>
        <v>0</v>
      </c>
      <c r="N156" s="64">
        <f>IF(AND(B156="Spring",AND(SUM(D153:D156)&gt;Variables!$B$13,SUM(D149:D152)&gt;Variables!$B$13)),-Variables!$B$14*Variables!$E$50,0)</f>
        <v>0</v>
      </c>
      <c r="O156" s="64">
        <f>IF(AND(B156="Summer",SUM(C152:D156)&gt;Variables!$B$15),(Variables!$B$16*Variables!$E$50*SUM(C152:C156)+$G$1*Variables!$B$16*Variables!$E$50*SUM(D152:D156)+$G$1*Variables!$E$50*Variables!$B$17*F156),0)</f>
        <v>0</v>
      </c>
      <c r="P156" s="64">
        <f>IF(AND(AND(B156="Autumn",SUM(D155:E156)&gt;0),NOT(H155=0)),Variables!$B$18*Variables!$E$50+Variables!$B$19*Variables!$E$50*SUM(E155:E156)+$G$1*Variables!$B$19*Variables!$E$50*SUM(D155:D156),0)</f>
        <v>0</v>
      </c>
      <c r="Q156" s="64">
        <f>IF(AND(B156="Autumn",AND((E156+E155)&lt;Variables!$B$20,(D155+D156)=0)),-Variables!$B$21*Variables!$E$50,0)</f>
        <v>0</v>
      </c>
      <c r="R156" s="64">
        <f>IF(B156="Autumn",(SUM(F155:F156)*$G$1*Variables!$B$22*Variables!$E$50),0)</f>
        <v>0</v>
      </c>
      <c r="S156" s="64">
        <f>IF(B156="Spring",($G$1*Variables!$E$50*SUM('Guts (option 2)'!F155:F156)*Variables!$B$23),0)</f>
        <v>0</v>
      </c>
      <c r="T156" s="63">
        <f>IF((H155+SUM(J156:Q156))&lt;(Variables!$B$26*Variables!$E$50),$F$1*((Variables!$B$26*Variables!$E$50)-H155-SUM(J156:Q156)),0)</f>
        <v>0.99820000000000009</v>
      </c>
      <c r="U156" s="64">
        <f>IF(AND(AND(B156="Autumn",SUM(D153:E156)&gt;Variables!$B$27),SUM(J156:Q156)&lt;Variables!$B$28*H155),$F$1*(Variables!$B$28*H155-SUM(J156:Q156)),0)</f>
        <v>0</v>
      </c>
      <c r="V156" s="96">
        <f>IF(AND((J156+K156)=0,(Q156+T156)=0),$H$1*H156*Variables!$I$23*0.25,0)</f>
        <v>0</v>
      </c>
      <c r="W156" s="97">
        <f>IF(AND((K156+J156)=0,(T156+Q156)=0),$I$1*H156*Variables!$Q$23*0.25,0)</f>
        <v>0</v>
      </c>
      <c r="X156" s="95">
        <f>IF(AND(NOT(K156=0),(H156-H155)&gt;0),(H156-H155)*(Variables!$M$5*$H$1+Variables!$U$5*$I$1),0)+IF(AND(NOT((J156+N156+Q156)=0),(H155-H156)&gt;0),(H155-H156)*(Variables!$M$4*$H$1+Variables!$U$4*$I$1),0)</f>
        <v>30.987838845732441</v>
      </c>
      <c r="Y156" s="95">
        <f>IF(SUM(T156,U155:U156)&gt;0,H156*Variables!$Y$11*0.25*(1-$J$1),0)</f>
        <v>-6.9874000000000018</v>
      </c>
      <c r="Z156" s="95">
        <f>IF(T156=0,H156*$J$1*Variables!$Y$5*0.25,0)</f>
        <v>0</v>
      </c>
      <c r="AA156" s="95">
        <f t="shared" si="5"/>
        <v>24.00043884573244</v>
      </c>
      <c r="AB156" s="91">
        <f>AA156/Variables!$E$49</f>
        <v>3.871038523505232</v>
      </c>
    </row>
    <row r="157" spans="1:28" x14ac:dyDescent="0.25">
      <c r="A157" s="61">
        <f>'Water runs'!C164</f>
        <v>16315</v>
      </c>
      <c r="B157" s="61" t="str">
        <f>'Water runs'!B164</f>
        <v>Winter</v>
      </c>
      <c r="C157" s="54">
        <f>'Water runs'!D164/100</f>
        <v>0.74314285714285699</v>
      </c>
      <c r="D157" s="108">
        <f>VLOOKUP(ROW(D157)+4,'Water runs'!$BS$3:$CF$423,MATCH($B$1,Scenarios,0)+1)</f>
        <v>0</v>
      </c>
      <c r="E157" s="54">
        <f>IF(B157=Variables!$D$8,C157-Variables!$E$8,IF(B157=Variables!$D$9,C157-Variables!$E$9,IF(B157=Variables!$D$10,C157-Variables!$E$10,IF(B157=Variables!$D$11,C157-Variables!$E$11,"ELSE"))))</f>
        <v>0.17137523148148126</v>
      </c>
      <c r="F157" s="108">
        <f>VLOOKUP(ROW(F157)+4,'Water runs'!$CH$3:$CU$423,MATCH($B$1,Scenarios,0)+1)</f>
        <v>0</v>
      </c>
      <c r="G157" s="65">
        <f>H157/Variables!$E$49</f>
        <v>0.161</v>
      </c>
      <c r="H157" s="62">
        <f>IF((H156+I157)&gt;(1.1*Variables!$E$50),(1.1*Variables!$E$50),IF((H156+I157)&gt;0,H156+I157,0))</f>
        <v>0.99820000000000009</v>
      </c>
      <c r="I157" s="64">
        <f t="shared" si="4"/>
        <v>0</v>
      </c>
      <c r="J157" s="63">
        <f>IF(SUM(E153:E156)&lt;Variables!$B$3,-H156,0)</f>
        <v>-0.99820000000000009</v>
      </c>
      <c r="K157" s="64">
        <f>IF(AND(H156&lt;Variables!$B$6*Variables!$E$50,OR(SUM(D154:D157)&gt;Variables!$B$5,SUM(E154:E157)&gt;Variables!$B$4)),Variables!$B$6*Variables!$E$50+Variables!$B$7*$G$1*Variables!$E$50*SUM(D154:D157),0)</f>
        <v>0</v>
      </c>
      <c r="L157" s="64">
        <f>IF(B157="Winter",Variables!$B$8*H156,0)</f>
        <v>-0.49704894489176149</v>
      </c>
      <c r="M157" s="64">
        <f>IF(AND(B157="Spring",AND(NOT(H156=0),H156&lt;(Variables!$B$9*Variables!$E$50))),(Variables!$B$10*Variables!$E$50+Variables!$B$11*Variables!$E$50*SUM(E154:E157)+$G$1*SUM(D156:D157)*Variables!$E$50*Variables!$B$12),0)</f>
        <v>0</v>
      </c>
      <c r="N157" s="64">
        <f>IF(AND(B157="Spring",AND(SUM(D154:D157)&gt;Variables!$B$13,SUM(D150:D153)&gt;Variables!$B$13)),-Variables!$B$14*Variables!$E$50,0)</f>
        <v>0</v>
      </c>
      <c r="O157" s="64">
        <f>IF(AND(B157="Summer",SUM(C153:D157)&gt;Variables!$B$15),(Variables!$B$16*Variables!$E$50*SUM(C153:C157)+$G$1*Variables!$B$16*Variables!$E$50*SUM(D153:D157)+$G$1*Variables!$E$50*Variables!$B$17*F157),0)</f>
        <v>0</v>
      </c>
      <c r="P157" s="64">
        <f>IF(AND(AND(B157="Autumn",SUM(D156:E157)&gt;0),NOT(H156=0)),Variables!$B$18*Variables!$E$50+Variables!$B$19*Variables!$E$50*SUM(E156:E157)+$G$1*Variables!$B$19*Variables!$E$50*SUM(D156:D157),0)</f>
        <v>0</v>
      </c>
      <c r="Q157" s="64">
        <f>IF(AND(B157="Autumn",AND((E157+E156)&lt;Variables!$B$20,(D156+D157)=0)),-Variables!$B$21*Variables!$E$50,0)</f>
        <v>0</v>
      </c>
      <c r="R157" s="64">
        <f>IF(B157="Autumn",(SUM(F156:F157)*$G$1*Variables!$B$22*Variables!$E$50),0)</f>
        <v>0</v>
      </c>
      <c r="S157" s="64">
        <f>IF(B157="Spring",($G$1*Variables!$E$50*SUM('Guts (option 2)'!F156:F157)*Variables!$B$23),0)</f>
        <v>0</v>
      </c>
      <c r="T157" s="63">
        <f>IF((H156+SUM(J157:Q157))&lt;(Variables!$B$26*Variables!$E$50),$F$1*((Variables!$B$26*Variables!$E$50)-H156-SUM(J157:Q157)),0)</f>
        <v>1.4952489448917616</v>
      </c>
      <c r="U157" s="64">
        <f>IF(AND(AND(B157="Autumn",SUM(D154:E157)&gt;Variables!$B$27),SUM(J157:Q157)&lt;Variables!$B$28*H156),$F$1*(Variables!$B$28*H156-SUM(J157:Q157)),0)</f>
        <v>0</v>
      </c>
      <c r="V157" s="96">
        <f>IF(AND((J157+K157)=0,(Q157+T157)=0),$H$1*H157*Variables!$I$23*0.25,0)</f>
        <v>0</v>
      </c>
      <c r="W157" s="97">
        <f>IF(AND((K157+J157)=0,(T157+Q157)=0),$I$1*H157*Variables!$Q$23*0.25,0)</f>
        <v>0</v>
      </c>
      <c r="X157" s="95">
        <f>IF(AND(NOT(K157=0),(H157-H156)&gt;0),(H157-H156)*(Variables!$M$5*$H$1+Variables!$U$5*$I$1),0)+IF(AND(NOT((J157+N157+Q157)=0),(H156-H157)&gt;0),(H156-H157)*(Variables!$M$4*$H$1+Variables!$U$4*$I$1),0)</f>
        <v>0</v>
      </c>
      <c r="Y157" s="95">
        <f>IF(SUM(T157,U156:U157)&gt;0,H157*Variables!$Y$11*0.25*(1-$J$1),0)</f>
        <v>-6.9874000000000018</v>
      </c>
      <c r="Z157" s="95">
        <f>IF(T157=0,H157*$J$1*Variables!$Y$5*0.25,0)</f>
        <v>0</v>
      </c>
      <c r="AA157" s="95">
        <f t="shared" si="5"/>
        <v>-6.9874000000000018</v>
      </c>
      <c r="AB157" s="91">
        <f>AA157/Variables!$E$49</f>
        <v>-1.1270000000000002</v>
      </c>
    </row>
    <row r="158" spans="1:28" x14ac:dyDescent="0.25">
      <c r="A158" s="61">
        <f>'Water runs'!C165</f>
        <v>16406</v>
      </c>
      <c r="B158" s="61" t="str">
        <f>'Water runs'!B165</f>
        <v>Spring</v>
      </c>
      <c r="C158" s="54">
        <f>'Water runs'!D165/100</f>
        <v>0.129142857142857</v>
      </c>
      <c r="D158" s="108">
        <f>VLOOKUP(ROW(D158)+4,'Water runs'!$BS$3:$CF$423,MATCH($B$1,Scenarios,0)+1)</f>
        <v>0</v>
      </c>
      <c r="E158" s="54">
        <f>IF(B158=Variables!$D$8,C158-Variables!$E$8,IF(B158=Variables!$D$9,C158-Variables!$E$9,IF(B158=Variables!$D$10,C158-Variables!$E$10,IF(B158=Variables!$D$11,C158-Variables!$E$11,"ELSE"))))</f>
        <v>-0.63483935185185214</v>
      </c>
      <c r="F158" s="108">
        <f>VLOOKUP(ROW(F158)+4,'Water runs'!$CH$3:$CU$423,MATCH($B$1,Scenarios,0)+1)</f>
        <v>0</v>
      </c>
      <c r="G158" s="65">
        <f>H158/Variables!$E$49</f>
        <v>0.161</v>
      </c>
      <c r="H158" s="62">
        <f>IF((H157+I158)&gt;(1.1*Variables!$E$50),(1.1*Variables!$E$50),IF((H157+I158)&gt;0,H157+I158,0))</f>
        <v>0.99820000000000009</v>
      </c>
      <c r="I158" s="64">
        <f t="shared" si="4"/>
        <v>0</v>
      </c>
      <c r="J158" s="63">
        <f>IF(SUM(E154:E157)&lt;Variables!$B$3,-H157,0)</f>
        <v>-0.99820000000000009</v>
      </c>
      <c r="K158" s="64">
        <f>IF(AND(H157&lt;Variables!$B$6*Variables!$E$50,OR(SUM(D155:D158)&gt;Variables!$B$5,SUM(E155:E158)&gt;Variables!$B$4)),Variables!$B$6*Variables!$E$50+Variables!$B$7*$G$1*Variables!$E$50*SUM(D155:D158),0)</f>
        <v>0</v>
      </c>
      <c r="L158" s="64">
        <f>IF(B158="Winter",Variables!$B$8*H157,0)</f>
        <v>0</v>
      </c>
      <c r="M158" s="64">
        <f>IF(AND(B158="Spring",AND(NOT(H157=0),H157&lt;(Variables!$B$9*Variables!$E$50))),(Variables!$B$10*Variables!$E$50+Variables!$B$11*Variables!$E$50*SUM(E155:E158)+$G$1*SUM(D157:D158)*Variables!$E$50*Variables!$B$12),0)</f>
        <v>-1.7284706259846088</v>
      </c>
      <c r="N158" s="64">
        <f>IF(AND(B158="Spring",AND(SUM(D155:D158)&gt;Variables!$B$13,SUM(D151:D154)&gt;Variables!$B$13)),-Variables!$B$14*Variables!$E$50,0)</f>
        <v>0</v>
      </c>
      <c r="O158" s="64">
        <f>IF(AND(B158="Summer",SUM(C154:D158)&gt;Variables!$B$15),(Variables!$B$16*Variables!$E$50*SUM(C154:C158)+$G$1*Variables!$B$16*Variables!$E$50*SUM(D154:D158)+$G$1*Variables!$E$50*Variables!$B$17*F158),0)</f>
        <v>0</v>
      </c>
      <c r="P158" s="64">
        <f>IF(AND(AND(B158="Autumn",SUM(D157:E158)&gt;0),NOT(H157=0)),Variables!$B$18*Variables!$E$50+Variables!$B$19*Variables!$E$50*SUM(E157:E158)+$G$1*Variables!$B$19*Variables!$E$50*SUM(D157:D158),0)</f>
        <v>0</v>
      </c>
      <c r="Q158" s="64">
        <f>IF(AND(B158="Autumn",AND((E158+E157)&lt;Variables!$B$20,(D157+D158)=0)),-Variables!$B$21*Variables!$E$50,0)</f>
        <v>0</v>
      </c>
      <c r="R158" s="64">
        <f>IF(B158="Autumn",(SUM(F157:F158)*$G$1*Variables!$B$22*Variables!$E$50),0)</f>
        <v>0</v>
      </c>
      <c r="S158" s="64">
        <f>IF(B158="Spring",($G$1*Variables!$E$50*SUM('Guts (option 2)'!F157:F158)*Variables!$B$23),0)</f>
        <v>0</v>
      </c>
      <c r="T158" s="63">
        <f>IF((H157+SUM(J158:Q158))&lt;(Variables!$B$26*Variables!$E$50),$F$1*((Variables!$B$26*Variables!$E$50)-H157-SUM(J158:Q158)),0)</f>
        <v>2.726670625984609</v>
      </c>
      <c r="U158" s="64">
        <f>IF(AND(AND(B158="Autumn",SUM(D155:E158)&gt;Variables!$B$27),SUM(J158:Q158)&lt;Variables!$B$28*H157),$F$1*(Variables!$B$28*H157-SUM(J158:Q158)),0)</f>
        <v>0</v>
      </c>
      <c r="V158" s="96">
        <f>IF(AND((J158+K158)=0,(Q158+T158)=0),$H$1*H158*Variables!$I$23*0.25,0)</f>
        <v>0</v>
      </c>
      <c r="W158" s="97">
        <f>IF(AND((K158+J158)=0,(T158+Q158)=0),$I$1*H158*Variables!$Q$23*0.25,0)</f>
        <v>0</v>
      </c>
      <c r="X158" s="95">
        <f>IF(AND(NOT(K158=0),(H158-H157)&gt;0),(H158-H157)*(Variables!$M$5*$H$1+Variables!$U$5*$I$1),0)+IF(AND(NOT((J158+N158+Q158)=0),(H157-H158)&gt;0),(H157-H158)*(Variables!$M$4*$H$1+Variables!$U$4*$I$1),0)</f>
        <v>0</v>
      </c>
      <c r="Y158" s="95">
        <f>IF(SUM(T158,U157:U158)&gt;0,H158*Variables!$Y$11*0.25*(1-$J$1),0)</f>
        <v>-6.9874000000000018</v>
      </c>
      <c r="Z158" s="95">
        <f>IF(T158=0,H158*$J$1*Variables!$Y$5*0.25,0)</f>
        <v>0</v>
      </c>
      <c r="AA158" s="95">
        <f t="shared" si="5"/>
        <v>-6.9874000000000018</v>
      </c>
      <c r="AB158" s="91">
        <f>AA158/Variables!$E$49</f>
        <v>-1.1270000000000002</v>
      </c>
    </row>
    <row r="159" spans="1:28" x14ac:dyDescent="0.25">
      <c r="A159" s="61">
        <f>'Water runs'!C166</f>
        <v>16496</v>
      </c>
      <c r="B159" s="61" t="str">
        <f>'Water runs'!B166</f>
        <v>Summer</v>
      </c>
      <c r="C159" s="54">
        <f>'Water runs'!D166/100</f>
        <v>0.65042857142857202</v>
      </c>
      <c r="D159" s="108">
        <f>VLOOKUP(ROW(D159)+4,'Water runs'!$BS$3:$CF$423,MATCH($B$1,Scenarios,0)+1)</f>
        <v>0</v>
      </c>
      <c r="E159" s="54">
        <f>IF(B159=Variables!$D$8,C159-Variables!$E$8,IF(B159=Variables!$D$9,C159-Variables!$E$9,IF(B159=Variables!$D$10,C159-Variables!$E$10,IF(B159=Variables!$D$11,C159-Variables!$E$11,"ELSE"))))</f>
        <v>-0.6079415646258497</v>
      </c>
      <c r="F159" s="108">
        <f>VLOOKUP(ROW(F159)+4,'Water runs'!$CH$3:$CU$423,MATCH($B$1,Scenarios,0)+1)</f>
        <v>0</v>
      </c>
      <c r="G159" s="65">
        <f>H159/Variables!$E$49</f>
        <v>0.161</v>
      </c>
      <c r="H159" s="62">
        <f>IF((H158+I159)&gt;(1.1*Variables!$E$50),(1.1*Variables!$E$50),IF((H158+I159)&gt;0,H158+I159,0))</f>
        <v>0.99820000000000009</v>
      </c>
      <c r="I159" s="64">
        <f t="shared" si="4"/>
        <v>0</v>
      </c>
      <c r="J159" s="63">
        <f>IF(SUM(E155:E158)&lt;Variables!$B$3,-H158,0)</f>
        <v>-0.99820000000000009</v>
      </c>
      <c r="K159" s="64">
        <f>IF(AND(H158&lt;Variables!$B$6*Variables!$E$50,OR(SUM(D156:D159)&gt;Variables!$B$5,SUM(E156:E159)&gt;Variables!$B$4)),Variables!$B$6*Variables!$E$50+Variables!$B$7*$G$1*Variables!$E$50*SUM(D156:D159),0)</f>
        <v>0</v>
      </c>
      <c r="L159" s="64">
        <f>IF(B159="Winter",Variables!$B$8*H158,0)</f>
        <v>0</v>
      </c>
      <c r="M159" s="64">
        <f>IF(AND(B159="Spring",AND(NOT(H158=0),H158&lt;(Variables!$B$9*Variables!$E$50))),(Variables!$B$10*Variables!$E$50+Variables!$B$11*Variables!$E$50*SUM(E156:E159)+$G$1*SUM(D158:D159)*Variables!$E$50*Variables!$B$12),0)</f>
        <v>0</v>
      </c>
      <c r="N159" s="64">
        <f>IF(AND(B159="Spring",AND(SUM(D156:D159)&gt;Variables!$B$13,SUM(D152:D155)&gt;Variables!$B$13)),-Variables!$B$14*Variables!$E$50,0)</f>
        <v>0</v>
      </c>
      <c r="O159" s="64">
        <f>IF(AND(B159="Summer",SUM(C155:D159)&gt;Variables!$B$15),(Variables!$B$16*Variables!$E$50*SUM(C155:C159)+$G$1*Variables!$B$16*Variables!$E$50*SUM(D155:D159)+$G$1*Variables!$E$50*Variables!$B$17*F159),0)</f>
        <v>0</v>
      </c>
      <c r="P159" s="64">
        <f>IF(AND(AND(B159="Autumn",SUM(D158:E159)&gt;0),NOT(H158=0)),Variables!$B$18*Variables!$E$50+Variables!$B$19*Variables!$E$50*SUM(E158:E159)+$G$1*Variables!$B$19*Variables!$E$50*SUM(D158:D159),0)</f>
        <v>0</v>
      </c>
      <c r="Q159" s="64">
        <f>IF(AND(B159="Autumn",AND((E159+E158)&lt;Variables!$B$20,(D158+D159)=0)),-Variables!$B$21*Variables!$E$50,0)</f>
        <v>0</v>
      </c>
      <c r="R159" s="64">
        <f>IF(B159="Autumn",(SUM(F158:F159)*$G$1*Variables!$B$22*Variables!$E$50),0)</f>
        <v>0</v>
      </c>
      <c r="S159" s="64">
        <f>IF(B159="Spring",($G$1*Variables!$E$50*SUM('Guts (option 2)'!F158:F159)*Variables!$B$23),0)</f>
        <v>0</v>
      </c>
      <c r="T159" s="63">
        <f>IF((H158+SUM(J159:Q159))&lt;(Variables!$B$26*Variables!$E$50),$F$1*((Variables!$B$26*Variables!$E$50)-H158-SUM(J159:Q159)),0)</f>
        <v>0.99820000000000009</v>
      </c>
      <c r="U159" s="64">
        <f>IF(AND(AND(B159="Autumn",SUM(D156:E159)&gt;Variables!$B$27),SUM(J159:Q159)&lt;Variables!$B$28*H158),$F$1*(Variables!$B$28*H158-SUM(J159:Q159)),0)</f>
        <v>0</v>
      </c>
      <c r="V159" s="96">
        <f>IF(AND((J159+K159)=0,(Q159+T159)=0),$H$1*H159*Variables!$I$23*0.25,0)</f>
        <v>0</v>
      </c>
      <c r="W159" s="97">
        <f>IF(AND((K159+J159)=0,(T159+Q159)=0),$I$1*H159*Variables!$Q$23*0.25,0)</f>
        <v>0</v>
      </c>
      <c r="X159" s="95">
        <f>IF(AND(NOT(K159=0),(H159-H158)&gt;0),(H159-H158)*(Variables!$M$5*$H$1+Variables!$U$5*$I$1),0)+IF(AND(NOT((J159+N159+Q159)=0),(H158-H159)&gt;0),(H158-H159)*(Variables!$M$4*$H$1+Variables!$U$4*$I$1),0)</f>
        <v>0</v>
      </c>
      <c r="Y159" s="95">
        <f>IF(SUM(T159,U158:U159)&gt;0,H159*Variables!$Y$11*0.25*(1-$J$1),0)</f>
        <v>-6.9874000000000018</v>
      </c>
      <c r="Z159" s="95">
        <f>IF(T159=0,H159*$J$1*Variables!$Y$5*0.25,0)</f>
        <v>0</v>
      </c>
      <c r="AA159" s="95">
        <f t="shared" si="5"/>
        <v>-6.9874000000000018</v>
      </c>
      <c r="AB159" s="91">
        <f>AA159/Variables!$E$49</f>
        <v>-1.1270000000000002</v>
      </c>
    </row>
    <row r="160" spans="1:28" x14ac:dyDescent="0.25">
      <c r="A160" s="61">
        <f>'Water runs'!C167</f>
        <v>16588</v>
      </c>
      <c r="B160" s="61" t="str">
        <f>'Water runs'!B167</f>
        <v>Autumn</v>
      </c>
      <c r="C160" s="54">
        <f>'Water runs'!D167/100</f>
        <v>0.51083333333333303</v>
      </c>
      <c r="D160" s="108">
        <f>VLOOKUP(ROW(D160)+4,'Water runs'!$BS$3:$CF$423,MATCH($B$1,Scenarios,0)+1)</f>
        <v>1.4318403154419275E-2</v>
      </c>
      <c r="E160" s="54">
        <f>IF(B160=Variables!$D$8,C160-Variables!$E$8,IF(B160=Variables!$D$9,C160-Variables!$E$9,IF(B160=Variables!$D$10,C160-Variables!$E$10,IF(B160=Variables!$D$11,C160-Variables!$E$11,"ELSE"))))</f>
        <v>-0.48380996598639481</v>
      </c>
      <c r="F160" s="108">
        <f>VLOOKUP(ROW(F160)+4,'Water runs'!$CH$3:$CU$423,MATCH($B$1,Scenarios,0)+1)</f>
        <v>0</v>
      </c>
      <c r="G160" s="65">
        <f>H160/Variables!$E$49</f>
        <v>0.161</v>
      </c>
      <c r="H160" s="62">
        <f>IF((H159+I160)&gt;(1.1*Variables!$E$50),(1.1*Variables!$E$50),IF((H159+I160)&gt;0,H159+I160,0))</f>
        <v>0.99820000000000009</v>
      </c>
      <c r="I160" s="64">
        <f t="shared" si="4"/>
        <v>0</v>
      </c>
      <c r="J160" s="63">
        <f>IF(SUM(E156:E159)&lt;Variables!$B$3,-H159,0)</f>
        <v>-0.99820000000000009</v>
      </c>
      <c r="K160" s="64">
        <f>IF(AND(H159&lt;Variables!$B$6*Variables!$E$50,OR(SUM(D157:D160)&gt;Variables!$B$5,SUM(E157:E160)&gt;Variables!$B$4)),Variables!$B$6*Variables!$E$50+Variables!$B$7*$G$1*Variables!$E$50*SUM(D157:D160),0)</f>
        <v>0</v>
      </c>
      <c r="L160" s="64">
        <f>IF(B160="Winter",Variables!$B$8*H159,0)</f>
        <v>0</v>
      </c>
      <c r="M160" s="64">
        <f>IF(AND(B160="Spring",AND(NOT(H159=0),H159&lt;(Variables!$B$9*Variables!$E$50))),(Variables!$B$10*Variables!$E$50+Variables!$B$11*Variables!$E$50*SUM(E157:E160)+$G$1*SUM(D159:D160)*Variables!$E$50*Variables!$B$12),0)</f>
        <v>0</v>
      </c>
      <c r="N160" s="64">
        <f>IF(AND(B160="Spring",AND(SUM(D157:D160)&gt;Variables!$B$13,SUM(D153:D156)&gt;Variables!$B$13)),-Variables!$B$14*Variables!$E$50,0)</f>
        <v>0</v>
      </c>
      <c r="O160" s="64">
        <f>IF(AND(B160="Summer",SUM(C156:D160)&gt;Variables!$B$15),(Variables!$B$16*Variables!$E$50*SUM(C156:C160)+$G$1*Variables!$B$16*Variables!$E$50*SUM(D156:D160)+$G$1*Variables!$E$50*Variables!$B$17*F160),0)</f>
        <v>0</v>
      </c>
      <c r="P160" s="64">
        <f>IF(AND(AND(B160="Autumn",SUM(D159:E160)&gt;0),NOT(H159=0)),Variables!$B$18*Variables!$E$50+Variables!$B$19*Variables!$E$50*SUM(E159:E160)+$G$1*Variables!$B$19*Variables!$E$50*SUM(D159:D160),0)</f>
        <v>0</v>
      </c>
      <c r="Q160" s="64">
        <f>IF(AND(B160="Autumn",AND((E160+E159)&lt;Variables!$B$20,(D159+D160)=0)),-Variables!$B$21*Variables!$E$50,0)</f>
        <v>0</v>
      </c>
      <c r="R160" s="64">
        <f>IF(B160="Autumn",(SUM(F159:F160)*$G$1*Variables!$B$22*Variables!$E$50),0)</f>
        <v>0</v>
      </c>
      <c r="S160" s="64">
        <f>IF(B160="Spring",($G$1*Variables!$E$50*SUM('Guts (option 2)'!F159:F160)*Variables!$B$23),0)</f>
        <v>0</v>
      </c>
      <c r="T160" s="63">
        <f>IF((H159+SUM(J160:Q160))&lt;(Variables!$B$26*Variables!$E$50),$F$1*((Variables!$B$26*Variables!$E$50)-H159-SUM(J160:Q160)),0)</f>
        <v>0.99820000000000009</v>
      </c>
      <c r="U160" s="64">
        <f>IF(AND(AND(B160="Autumn",SUM(D157:E160)&gt;Variables!$B$27),SUM(J160:Q160)&lt;Variables!$B$28*H159),$F$1*(Variables!$B$28*H159-SUM(J160:Q160)),0)</f>
        <v>0</v>
      </c>
      <c r="V160" s="96">
        <f>IF(AND((J160+K160)=0,(Q160+T160)=0),$H$1*H160*Variables!$I$23*0.25,0)</f>
        <v>0</v>
      </c>
      <c r="W160" s="97">
        <f>IF(AND((K160+J160)=0,(T160+Q160)=0),$I$1*H160*Variables!$Q$23*0.25,0)</f>
        <v>0</v>
      </c>
      <c r="X160" s="95">
        <f>IF(AND(NOT(K160=0),(H160-H159)&gt;0),(H160-H159)*(Variables!$M$5*$H$1+Variables!$U$5*$I$1),0)+IF(AND(NOT((J160+N160+Q160)=0),(H159-H160)&gt;0),(H159-H160)*(Variables!$M$4*$H$1+Variables!$U$4*$I$1),0)</f>
        <v>0</v>
      </c>
      <c r="Y160" s="95">
        <f>IF(SUM(T160,U159:U160)&gt;0,H160*Variables!$Y$11*0.25*(1-$J$1),0)</f>
        <v>-6.9874000000000018</v>
      </c>
      <c r="Z160" s="95">
        <f>IF(T160=0,H160*$J$1*Variables!$Y$5*0.25,0)</f>
        <v>0</v>
      </c>
      <c r="AA160" s="95">
        <f t="shared" si="5"/>
        <v>-6.9874000000000018</v>
      </c>
      <c r="AB160" s="91">
        <f>AA160/Variables!$E$49</f>
        <v>-1.1270000000000002</v>
      </c>
    </row>
    <row r="161" spans="1:28" x14ac:dyDescent="0.25">
      <c r="A161" s="61">
        <f>'Water runs'!C168</f>
        <v>16680</v>
      </c>
      <c r="B161" s="61" t="str">
        <f>'Water runs'!B168</f>
        <v>Winter</v>
      </c>
      <c r="C161" s="54">
        <f>'Water runs'!D168/100</f>
        <v>0.84757142857142798</v>
      </c>
      <c r="D161" s="108">
        <f>VLOOKUP(ROW(D161)+4,'Water runs'!$BS$3:$CF$423,MATCH($B$1,Scenarios,0)+1)</f>
        <v>2.770409900315917E-3</v>
      </c>
      <c r="E161" s="54">
        <f>IF(B161=Variables!$D$8,C161-Variables!$E$8,IF(B161=Variables!$D$9,C161-Variables!$E$9,IF(B161=Variables!$D$10,C161-Variables!$E$10,IF(B161=Variables!$D$11,C161-Variables!$E$11,"ELSE"))))</f>
        <v>0.27580380291005224</v>
      </c>
      <c r="F161" s="108">
        <f>VLOOKUP(ROW(F161)+4,'Water runs'!$CH$3:$CU$423,MATCH($B$1,Scenarios,0)+1)</f>
        <v>0</v>
      </c>
      <c r="G161" s="65">
        <f>H161/Variables!$E$49</f>
        <v>0.161</v>
      </c>
      <c r="H161" s="62">
        <f>IF((H160+I161)&gt;(1.1*Variables!$E$50),(1.1*Variables!$E$50),IF((H160+I161)&gt;0,H160+I161,0))</f>
        <v>0.99820000000000009</v>
      </c>
      <c r="I161" s="64">
        <f t="shared" si="4"/>
        <v>0</v>
      </c>
      <c r="J161" s="63">
        <f>IF(SUM(E157:E160)&lt;Variables!$B$3,-H160,0)</f>
        <v>0</v>
      </c>
      <c r="K161" s="64">
        <f>IF(AND(H160&lt;Variables!$B$6*Variables!$E$50,OR(SUM(D158:D161)&gt;Variables!$B$5,SUM(E158:E161)&gt;Variables!$B$4)),Variables!$B$6*Variables!$E$50+Variables!$B$7*$G$1*Variables!$E$50*SUM(D158:D161),0)</f>
        <v>0</v>
      </c>
      <c r="L161" s="64">
        <f>IF(B161="Winter",Variables!$B$8*H160,0)</f>
        <v>-0.49704894489176149</v>
      </c>
      <c r="M161" s="64">
        <f>IF(AND(B161="Spring",AND(NOT(H160=0),H160&lt;(Variables!$B$9*Variables!$E$50))),(Variables!$B$10*Variables!$E$50+Variables!$B$11*Variables!$E$50*SUM(E158:E161)+$G$1*SUM(D160:D161)*Variables!$E$50*Variables!$B$12),0)</f>
        <v>0</v>
      </c>
      <c r="N161" s="64">
        <f>IF(AND(B161="Spring",AND(SUM(D158:D161)&gt;Variables!$B$13,SUM(D154:D157)&gt;Variables!$B$13)),-Variables!$B$14*Variables!$E$50,0)</f>
        <v>0</v>
      </c>
      <c r="O161" s="64">
        <f>IF(AND(B161="Summer",SUM(C157:D161)&gt;Variables!$B$15),(Variables!$B$16*Variables!$E$50*SUM(C157:C161)+$G$1*Variables!$B$16*Variables!$E$50*SUM(D157:D161)+$G$1*Variables!$E$50*Variables!$B$17*F161),0)</f>
        <v>0</v>
      </c>
      <c r="P161" s="64">
        <f>IF(AND(AND(B161="Autumn",SUM(D160:E161)&gt;0),NOT(H160=0)),Variables!$B$18*Variables!$E$50+Variables!$B$19*Variables!$E$50*SUM(E160:E161)+$G$1*Variables!$B$19*Variables!$E$50*SUM(D160:D161),0)</f>
        <v>0</v>
      </c>
      <c r="Q161" s="64">
        <f>IF(AND(B161="Autumn",AND((E161+E160)&lt;Variables!$B$20,(D160+D161)=0)),-Variables!$B$21*Variables!$E$50,0)</f>
        <v>0</v>
      </c>
      <c r="R161" s="64">
        <f>IF(B161="Autumn",(SUM(F160:F161)*$G$1*Variables!$B$22*Variables!$E$50),0)</f>
        <v>0</v>
      </c>
      <c r="S161" s="64">
        <f>IF(B161="Spring",($G$1*Variables!$E$50*SUM('Guts (option 2)'!F160:F161)*Variables!$B$23),0)</f>
        <v>0</v>
      </c>
      <c r="T161" s="63">
        <f>IF((H160+SUM(J161:Q161))&lt;(Variables!$B$26*Variables!$E$50),$F$1*((Variables!$B$26*Variables!$E$50)-H160-SUM(J161:Q161)),0)</f>
        <v>0.49704894489176149</v>
      </c>
      <c r="U161" s="64">
        <f>IF(AND(AND(B161="Autumn",SUM(D158:E161)&gt;Variables!$B$27),SUM(J161:Q161)&lt;Variables!$B$28*H160),$F$1*(Variables!$B$28*H160-SUM(J161:Q161)),0)</f>
        <v>0</v>
      </c>
      <c r="V161" s="96">
        <f>IF(AND((J161+K161)=0,(Q161+T161)=0),$H$1*H161*Variables!$I$23*0.25,0)</f>
        <v>0</v>
      </c>
      <c r="W161" s="97">
        <f>IF(AND((K161+J161)=0,(T161+Q161)=0),$I$1*H161*Variables!$Q$23*0.25,0)</f>
        <v>0</v>
      </c>
      <c r="X161" s="95">
        <f>IF(AND(NOT(K161=0),(H161-H160)&gt;0),(H161-H160)*(Variables!$M$5*$H$1+Variables!$U$5*$I$1),0)+IF(AND(NOT((J161+N161+Q161)=0),(H160-H161)&gt;0),(H160-H161)*(Variables!$M$4*$H$1+Variables!$U$4*$I$1),0)</f>
        <v>0</v>
      </c>
      <c r="Y161" s="95">
        <f>IF(SUM(T161,U160:U161)&gt;0,H161*Variables!$Y$11*0.25*(1-$J$1),0)</f>
        <v>-6.9874000000000018</v>
      </c>
      <c r="Z161" s="95">
        <f>IF(T161=0,H161*$J$1*Variables!$Y$5*0.25,0)</f>
        <v>0</v>
      </c>
      <c r="AA161" s="95">
        <f t="shared" si="5"/>
        <v>-6.9874000000000018</v>
      </c>
      <c r="AB161" s="91">
        <f>AA161/Variables!$E$49</f>
        <v>-1.1270000000000002</v>
      </c>
    </row>
    <row r="162" spans="1:28" x14ac:dyDescent="0.25">
      <c r="A162" s="61">
        <f>'Water runs'!C169</f>
        <v>16771</v>
      </c>
      <c r="B162" s="61" t="str">
        <f>'Water runs'!B169</f>
        <v>Spring</v>
      </c>
      <c r="C162" s="54">
        <f>'Water runs'!D169/100</f>
        <v>0.15014285714285699</v>
      </c>
      <c r="D162" s="108">
        <f>VLOOKUP(ROW(D162)+4,'Water runs'!$BS$3:$CF$423,MATCH($B$1,Scenarios,0)+1)</f>
        <v>0</v>
      </c>
      <c r="E162" s="54">
        <f>IF(B162=Variables!$D$8,C162-Variables!$E$8,IF(B162=Variables!$D$9,C162-Variables!$E$9,IF(B162=Variables!$D$10,C162-Variables!$E$10,IF(B162=Variables!$D$11,C162-Variables!$E$11,"ELSE"))))</f>
        <v>-0.61383935185185212</v>
      </c>
      <c r="F162" s="108">
        <f>VLOOKUP(ROW(F162)+4,'Water runs'!$CH$3:$CU$423,MATCH($B$1,Scenarios,0)+1)</f>
        <v>0</v>
      </c>
      <c r="G162" s="65">
        <f>H162/Variables!$E$49</f>
        <v>0.161</v>
      </c>
      <c r="H162" s="62">
        <f>IF((H161+I162)&gt;(1.1*Variables!$E$50),(1.1*Variables!$E$50),IF((H161+I162)&gt;0,H161+I162,0))</f>
        <v>0.99820000000000009</v>
      </c>
      <c r="I162" s="64">
        <f t="shared" si="4"/>
        <v>0</v>
      </c>
      <c r="J162" s="63">
        <f>IF(SUM(E158:E161)&lt;Variables!$B$3,-H161,0)</f>
        <v>0</v>
      </c>
      <c r="K162" s="64">
        <f>IF(AND(H161&lt;Variables!$B$6*Variables!$E$50,OR(SUM(D159:D162)&gt;Variables!$B$5,SUM(E159:E162)&gt;Variables!$B$4)),Variables!$B$6*Variables!$E$50+Variables!$B$7*$G$1*Variables!$E$50*SUM(D159:D162),0)</f>
        <v>0</v>
      </c>
      <c r="L162" s="64">
        <f>IF(B162="Winter",Variables!$B$8*H161,0)</f>
        <v>0</v>
      </c>
      <c r="M162" s="64">
        <f>IF(AND(B162="Spring",AND(NOT(H161=0),H161&lt;(Variables!$B$9*Variables!$E$50))),(Variables!$B$10*Variables!$E$50+Variables!$B$11*Variables!$E$50*SUM(E159:E162)+$G$1*SUM(D161:D162)*Variables!$E$50*Variables!$B$12),0)</f>
        <v>-0.97274759887090434</v>
      </c>
      <c r="N162" s="64">
        <f>IF(AND(B162="Spring",AND(SUM(D159:D162)&gt;Variables!$B$13,SUM(D155:D158)&gt;Variables!$B$13)),-Variables!$B$14*Variables!$E$50,0)</f>
        <v>0</v>
      </c>
      <c r="O162" s="64">
        <f>IF(AND(B162="Summer",SUM(C158:D162)&gt;Variables!$B$15),(Variables!$B$16*Variables!$E$50*SUM(C158:C162)+$G$1*Variables!$B$16*Variables!$E$50*SUM(D158:D162)+$G$1*Variables!$E$50*Variables!$B$17*F162),0)</f>
        <v>0</v>
      </c>
      <c r="P162" s="64">
        <f>IF(AND(AND(B162="Autumn",SUM(D161:E162)&gt;0),NOT(H161=0)),Variables!$B$18*Variables!$E$50+Variables!$B$19*Variables!$E$50*SUM(E161:E162)+$G$1*Variables!$B$19*Variables!$E$50*SUM(D161:D162),0)</f>
        <v>0</v>
      </c>
      <c r="Q162" s="64">
        <f>IF(AND(B162="Autumn",AND((E162+E161)&lt;Variables!$B$20,(D161+D162)=0)),-Variables!$B$21*Variables!$E$50,0)</f>
        <v>0</v>
      </c>
      <c r="R162" s="64">
        <f>IF(B162="Autumn",(SUM(F161:F162)*$G$1*Variables!$B$22*Variables!$E$50),0)</f>
        <v>0</v>
      </c>
      <c r="S162" s="64">
        <f>IF(B162="Spring",($G$1*Variables!$E$50*SUM('Guts (option 2)'!F161:F162)*Variables!$B$23),0)</f>
        <v>0</v>
      </c>
      <c r="T162" s="63">
        <f>IF((H161+SUM(J162:Q162))&lt;(Variables!$B$26*Variables!$E$50),$F$1*((Variables!$B$26*Variables!$E$50)-H161-SUM(J162:Q162)),0)</f>
        <v>0.97274759887090434</v>
      </c>
      <c r="U162" s="64">
        <f>IF(AND(AND(B162="Autumn",SUM(D159:E162)&gt;Variables!$B$27),SUM(J162:Q162)&lt;Variables!$B$28*H161),$F$1*(Variables!$B$28*H161-SUM(J162:Q162)),0)</f>
        <v>0</v>
      </c>
      <c r="V162" s="96">
        <f>IF(AND((J162+K162)=0,(Q162+T162)=0),$H$1*H162*Variables!$I$23*0.25,0)</f>
        <v>0</v>
      </c>
      <c r="W162" s="97">
        <f>IF(AND((K162+J162)=0,(T162+Q162)=0),$I$1*H162*Variables!$Q$23*0.25,0)</f>
        <v>0</v>
      </c>
      <c r="X162" s="95">
        <f>IF(AND(NOT(K162=0),(H162-H161)&gt;0),(H162-H161)*(Variables!$M$5*$H$1+Variables!$U$5*$I$1),0)+IF(AND(NOT((J162+N162+Q162)=0),(H161-H162)&gt;0),(H161-H162)*(Variables!$M$4*$H$1+Variables!$U$4*$I$1),0)</f>
        <v>0</v>
      </c>
      <c r="Y162" s="95">
        <f>IF(SUM(T162,U161:U162)&gt;0,H162*Variables!$Y$11*0.25*(1-$J$1),0)</f>
        <v>-6.9874000000000018</v>
      </c>
      <c r="Z162" s="95">
        <f>IF(T162=0,H162*$J$1*Variables!$Y$5*0.25,0)</f>
        <v>0</v>
      </c>
      <c r="AA162" s="95">
        <f t="shared" si="5"/>
        <v>-6.9874000000000018</v>
      </c>
      <c r="AB162" s="91">
        <f>AA162/Variables!$E$49</f>
        <v>-1.1270000000000002</v>
      </c>
    </row>
    <row r="163" spans="1:28" x14ac:dyDescent="0.25">
      <c r="A163" s="61">
        <f>'Water runs'!C170</f>
        <v>16861</v>
      </c>
      <c r="B163" s="61" t="str">
        <f>'Water runs'!B170</f>
        <v>Summer</v>
      </c>
      <c r="C163" s="54">
        <f>'Water runs'!D170/100</f>
        <v>0.9928571428571431</v>
      </c>
      <c r="D163" s="108">
        <f>VLOOKUP(ROW(D163)+4,'Water runs'!$BS$3:$CF$423,MATCH($B$1,Scenarios,0)+1)</f>
        <v>7.78050499212187E-2</v>
      </c>
      <c r="E163" s="54">
        <f>IF(B163=Variables!$D$8,C163-Variables!$E$8,IF(B163=Variables!$D$9,C163-Variables!$E$9,IF(B163=Variables!$D$10,C163-Variables!$E$10,IF(B163=Variables!$D$11,C163-Variables!$E$11,"ELSE"))))</f>
        <v>-0.26551299319727861</v>
      </c>
      <c r="F163" s="108">
        <f>VLOOKUP(ROW(F163)+4,'Water runs'!$CH$3:$CU$423,MATCH($B$1,Scenarios,0)+1)</f>
        <v>0</v>
      </c>
      <c r="G163" s="65">
        <f>H163/Variables!$E$49</f>
        <v>0.161</v>
      </c>
      <c r="H163" s="62">
        <f>IF((H162+I163)&gt;(1.1*Variables!$E$50),(1.1*Variables!$E$50),IF((H162+I163)&gt;0,H162+I163,0))</f>
        <v>0.99820000000000009</v>
      </c>
      <c r="I163" s="64">
        <f t="shared" si="4"/>
        <v>0</v>
      </c>
      <c r="J163" s="63">
        <f>IF(SUM(E159:E162)&lt;Variables!$B$3,-H162,0)</f>
        <v>0</v>
      </c>
      <c r="K163" s="64">
        <f>IF(AND(H162&lt;Variables!$B$6*Variables!$E$50,OR(SUM(D160:D163)&gt;Variables!$B$5,SUM(E160:E163)&gt;Variables!$B$4)),Variables!$B$6*Variables!$E$50+Variables!$B$7*$G$1*Variables!$E$50*SUM(D160:D163),0)</f>
        <v>0</v>
      </c>
      <c r="L163" s="64">
        <f>IF(B163="Winter",Variables!$B$8*H162,0)</f>
        <v>0</v>
      </c>
      <c r="M163" s="64">
        <f>IF(AND(B163="Spring",AND(NOT(H162=0),H162&lt;(Variables!$B$9*Variables!$E$50))),(Variables!$B$10*Variables!$E$50+Variables!$B$11*Variables!$E$50*SUM(E160:E163)+$G$1*SUM(D162:D163)*Variables!$E$50*Variables!$B$12),0)</f>
        <v>0</v>
      </c>
      <c r="N163" s="64">
        <f>IF(AND(B163="Spring",AND(SUM(D160:D163)&gt;Variables!$B$13,SUM(D156:D159)&gt;Variables!$B$13)),-Variables!$B$14*Variables!$E$50,0)</f>
        <v>0</v>
      </c>
      <c r="O163" s="64">
        <f>IF(AND(B163="Summer",SUM(C159:D163)&gt;Variables!$B$15),(Variables!$B$16*Variables!$E$50*SUM(C159:C163)+$G$1*Variables!$B$16*Variables!$E$50*SUM(D159:D163)+$G$1*Variables!$E$50*Variables!$B$17*F163),0)</f>
        <v>0</v>
      </c>
      <c r="P163" s="64">
        <f>IF(AND(AND(B163="Autumn",SUM(D162:E163)&gt;0),NOT(H162=0)),Variables!$B$18*Variables!$E$50+Variables!$B$19*Variables!$E$50*SUM(E162:E163)+$G$1*Variables!$B$19*Variables!$E$50*SUM(D162:D163),0)</f>
        <v>0</v>
      </c>
      <c r="Q163" s="64">
        <f>IF(AND(B163="Autumn",AND((E163+E162)&lt;Variables!$B$20,(D162+D163)=0)),-Variables!$B$21*Variables!$E$50,0)</f>
        <v>0</v>
      </c>
      <c r="R163" s="64">
        <f>IF(B163="Autumn",(SUM(F162:F163)*$G$1*Variables!$B$22*Variables!$E$50),0)</f>
        <v>0</v>
      </c>
      <c r="S163" s="64">
        <f>IF(B163="Spring",($G$1*Variables!$E$50*SUM('Guts (option 2)'!F162:F163)*Variables!$B$23),0)</f>
        <v>0</v>
      </c>
      <c r="T163" s="63">
        <f>IF((H162+SUM(J163:Q163))&lt;(Variables!$B$26*Variables!$E$50),$F$1*((Variables!$B$26*Variables!$E$50)-H162-SUM(J163:Q163)),0)</f>
        <v>0</v>
      </c>
      <c r="U163" s="64">
        <f>IF(AND(AND(B163="Autumn",SUM(D160:E163)&gt;Variables!$B$27),SUM(J163:Q163)&lt;Variables!$B$28*H162),$F$1*(Variables!$B$28*H162-SUM(J163:Q163)),0)</f>
        <v>0</v>
      </c>
      <c r="V163" s="96">
        <f>IF(AND((J163+K163)=0,(Q163+T163)=0),$H$1*H163*Variables!$I$23*0.25,0)</f>
        <v>6.4118212433333337</v>
      </c>
      <c r="W163" s="97">
        <f>IF(AND((K163+J163)=0,(T163+Q163)=0),$I$1*H163*Variables!$Q$23*0.25,0)</f>
        <v>6.7114808833333326</v>
      </c>
      <c r="X163" s="95">
        <f>IF(AND(NOT(K163=0),(H163-H162)&gt;0),(H163-H162)*(Variables!$M$5*$H$1+Variables!$U$5*$I$1),0)+IF(AND(NOT((J163+N163+Q163)=0),(H162-H163)&gt;0),(H162-H163)*(Variables!$M$4*$H$1+Variables!$U$4*$I$1),0)</f>
        <v>0</v>
      </c>
      <c r="Y163" s="95">
        <f>IF(SUM(T163,U162:U163)&gt;0,H163*Variables!$Y$11*0.25*(1-$J$1),0)</f>
        <v>0</v>
      </c>
      <c r="Z163" s="95">
        <f>IF(T163=0,H163*$J$1*Variables!$Y$5*0.25,0)</f>
        <v>2.1627666666666667</v>
      </c>
      <c r="AA163" s="95">
        <f t="shared" si="5"/>
        <v>15.286068793333332</v>
      </c>
      <c r="AB163" s="91">
        <f>AA163/Variables!$E$49</f>
        <v>2.4654949666666663</v>
      </c>
    </row>
    <row r="164" spans="1:28" x14ac:dyDescent="0.25">
      <c r="A164" s="61">
        <f>'Water runs'!C171</f>
        <v>16953</v>
      </c>
      <c r="B164" s="61" t="str">
        <f>'Water runs'!B171</f>
        <v>Autumn</v>
      </c>
      <c r="C164" s="54">
        <f>'Water runs'!D171/100</f>
        <v>0.46028571428571396</v>
      </c>
      <c r="D164" s="108">
        <f>VLOOKUP(ROW(D164)+4,'Water runs'!$BS$3:$CF$423,MATCH($B$1,Scenarios,0)+1)</f>
        <v>0</v>
      </c>
      <c r="E164" s="54">
        <f>IF(B164=Variables!$D$8,C164-Variables!$E$8,IF(B164=Variables!$D$9,C164-Variables!$E$9,IF(B164=Variables!$D$10,C164-Variables!$E$10,IF(B164=Variables!$D$11,C164-Variables!$E$11,"ELSE"))))</f>
        <v>-0.53435758503401387</v>
      </c>
      <c r="F164" s="108">
        <f>VLOOKUP(ROW(F164)+4,'Water runs'!$CH$3:$CU$423,MATCH($B$1,Scenarios,0)+1)</f>
        <v>0</v>
      </c>
      <c r="G164" s="65">
        <f>H164/Variables!$E$49</f>
        <v>0.161</v>
      </c>
      <c r="H164" s="62">
        <f>IF((H163+I164)&gt;(1.1*Variables!$E$50),(1.1*Variables!$E$50),IF((H163+I164)&gt;0,H163+I164,0))</f>
        <v>0.99820000000000009</v>
      </c>
      <c r="I164" s="64">
        <f t="shared" si="4"/>
        <v>0</v>
      </c>
      <c r="J164" s="63">
        <f>IF(SUM(E160:E163)&lt;Variables!$B$3,-H163,0)</f>
        <v>0</v>
      </c>
      <c r="K164" s="64">
        <f>IF(AND(H163&lt;Variables!$B$6*Variables!$E$50,OR(SUM(D161:D164)&gt;Variables!$B$5,SUM(E161:E164)&gt;Variables!$B$4)),Variables!$B$6*Variables!$E$50+Variables!$B$7*$G$1*Variables!$E$50*SUM(D161:D164),0)</f>
        <v>0</v>
      </c>
      <c r="L164" s="64">
        <f>IF(B164="Winter",Variables!$B$8*H163,0)</f>
        <v>0</v>
      </c>
      <c r="M164" s="64">
        <f>IF(AND(B164="Spring",AND(NOT(H163=0),H163&lt;(Variables!$B$9*Variables!$E$50))),(Variables!$B$10*Variables!$E$50+Variables!$B$11*Variables!$E$50*SUM(E161:E164)+$G$1*SUM(D163:D164)*Variables!$E$50*Variables!$B$12),0)</f>
        <v>0</v>
      </c>
      <c r="N164" s="64">
        <f>IF(AND(B164="Spring",AND(SUM(D161:D164)&gt;Variables!$B$13,SUM(D157:D160)&gt;Variables!$B$13)),-Variables!$B$14*Variables!$E$50,0)</f>
        <v>0</v>
      </c>
      <c r="O164" s="64">
        <f>IF(AND(B164="Summer",SUM(C160:D164)&gt;Variables!$B$15),(Variables!$B$16*Variables!$E$50*SUM(C160:C164)+$G$1*Variables!$B$16*Variables!$E$50*SUM(D160:D164)+$G$1*Variables!$E$50*Variables!$B$17*F164),0)</f>
        <v>0</v>
      </c>
      <c r="P164" s="64">
        <f>IF(AND(AND(B164="Autumn",SUM(D163:E164)&gt;0),NOT(H163=0)),Variables!$B$18*Variables!$E$50+Variables!$B$19*Variables!$E$50*SUM(E163:E164)+$G$1*Variables!$B$19*Variables!$E$50*SUM(D163:D164),0)</f>
        <v>0</v>
      </c>
      <c r="Q164" s="64">
        <f>IF(AND(B164="Autumn",AND((E164+E163)&lt;Variables!$B$20,(D163+D164)=0)),-Variables!$B$21*Variables!$E$50,0)</f>
        <v>0</v>
      </c>
      <c r="R164" s="64">
        <f>IF(B164="Autumn",(SUM(F163:F164)*$G$1*Variables!$B$22*Variables!$E$50),0)</f>
        <v>0</v>
      </c>
      <c r="S164" s="64">
        <f>IF(B164="Spring",($G$1*Variables!$E$50*SUM('Guts (option 2)'!F163:F164)*Variables!$B$23),0)</f>
        <v>0</v>
      </c>
      <c r="T164" s="63">
        <f>IF((H163+SUM(J164:Q164))&lt;(Variables!$B$26*Variables!$E$50),$F$1*((Variables!$B$26*Variables!$E$50)-H163-SUM(J164:Q164)),0)</f>
        <v>0</v>
      </c>
      <c r="U164" s="64">
        <f>IF(AND(AND(B164="Autumn",SUM(D161:E164)&gt;Variables!$B$27),SUM(J164:Q164)&lt;Variables!$B$28*H163),$F$1*(Variables!$B$28*H163-SUM(J164:Q164)),0)</f>
        <v>0</v>
      </c>
      <c r="V164" s="96">
        <f>IF(AND((J164+K164)=0,(Q164+T164)=0),$H$1*H164*Variables!$I$23*0.25,0)</f>
        <v>6.4118212433333337</v>
      </c>
      <c r="W164" s="97">
        <f>IF(AND((K164+J164)=0,(T164+Q164)=0),$I$1*H164*Variables!$Q$23*0.25,0)</f>
        <v>6.7114808833333326</v>
      </c>
      <c r="X164" s="95">
        <f>IF(AND(NOT(K164=0),(H164-H163)&gt;0),(H164-H163)*(Variables!$M$5*$H$1+Variables!$U$5*$I$1),0)+IF(AND(NOT((J164+N164+Q164)=0),(H163-H164)&gt;0),(H163-H164)*(Variables!$M$4*$H$1+Variables!$U$4*$I$1),0)</f>
        <v>0</v>
      </c>
      <c r="Y164" s="95">
        <f>IF(SUM(T164,U163:U164)&gt;0,H164*Variables!$Y$11*0.25*(1-$J$1),0)</f>
        <v>0</v>
      </c>
      <c r="Z164" s="95">
        <f>IF(T164=0,H164*$J$1*Variables!$Y$5*0.25,0)</f>
        <v>2.1627666666666667</v>
      </c>
      <c r="AA164" s="95">
        <f t="shared" si="5"/>
        <v>15.286068793333332</v>
      </c>
      <c r="AB164" s="91">
        <f>AA164/Variables!$E$49</f>
        <v>2.4654949666666663</v>
      </c>
    </row>
    <row r="165" spans="1:28" x14ac:dyDescent="0.25">
      <c r="A165" s="61">
        <f>'Water runs'!C172</f>
        <v>17045</v>
      </c>
      <c r="B165" s="61" t="str">
        <f>'Water runs'!B172</f>
        <v>Winter</v>
      </c>
      <c r="C165" s="54">
        <f>'Water runs'!D172/100</f>
        <v>0.17399999999999999</v>
      </c>
      <c r="D165" s="108">
        <f>VLOOKUP(ROW(D165)+4,'Water runs'!$BS$3:$CF$423,MATCH($B$1,Scenarios,0)+1)</f>
        <v>0</v>
      </c>
      <c r="E165" s="54">
        <f>IF(B165=Variables!$D$8,C165-Variables!$E$8,IF(B165=Variables!$D$9,C165-Variables!$E$9,IF(B165=Variables!$D$10,C165-Variables!$E$10,IF(B165=Variables!$D$11,C165-Variables!$E$11,"ELSE"))))</f>
        <v>-0.39776762566137575</v>
      </c>
      <c r="F165" s="108">
        <f>VLOOKUP(ROW(F165)+4,'Water runs'!$CH$3:$CU$423,MATCH($B$1,Scenarios,0)+1)</f>
        <v>0</v>
      </c>
      <c r="G165" s="65">
        <f>H165/Variables!$E$49</f>
        <v>0.161</v>
      </c>
      <c r="H165" s="62">
        <f>IF((H164+I165)&gt;(1.1*Variables!$E$50),(1.1*Variables!$E$50),IF((H164+I165)&gt;0,H164+I165,0))</f>
        <v>0.99820000000000009</v>
      </c>
      <c r="I165" s="64">
        <f t="shared" si="4"/>
        <v>0</v>
      </c>
      <c r="J165" s="63">
        <f>IF(SUM(E161:E164)&lt;Variables!$B$3,-H164,0)</f>
        <v>0</v>
      </c>
      <c r="K165" s="64">
        <f>IF(AND(H164&lt;Variables!$B$6*Variables!$E$50,OR(SUM(D162:D165)&gt;Variables!$B$5,SUM(E162:E165)&gt;Variables!$B$4)),Variables!$B$6*Variables!$E$50+Variables!$B$7*$G$1*Variables!$E$50*SUM(D162:D165),0)</f>
        <v>0</v>
      </c>
      <c r="L165" s="64">
        <f>IF(B165="Winter",Variables!$B$8*H164,0)</f>
        <v>-0.49704894489176149</v>
      </c>
      <c r="M165" s="64">
        <f>IF(AND(B165="Spring",AND(NOT(H164=0),H164&lt;(Variables!$B$9*Variables!$E$50))),(Variables!$B$10*Variables!$E$50+Variables!$B$11*Variables!$E$50*SUM(E162:E165)+$G$1*SUM(D164:D165)*Variables!$E$50*Variables!$B$12),0)</f>
        <v>0</v>
      </c>
      <c r="N165" s="64">
        <f>IF(AND(B165="Spring",AND(SUM(D162:D165)&gt;Variables!$B$13,SUM(D158:D161)&gt;Variables!$B$13)),-Variables!$B$14*Variables!$E$50,0)</f>
        <v>0</v>
      </c>
      <c r="O165" s="64">
        <f>IF(AND(B165="Summer",SUM(C161:D165)&gt;Variables!$B$15),(Variables!$B$16*Variables!$E$50*SUM(C161:C165)+$G$1*Variables!$B$16*Variables!$E$50*SUM(D161:D165)+$G$1*Variables!$E$50*Variables!$B$17*F165),0)</f>
        <v>0</v>
      </c>
      <c r="P165" s="64">
        <f>IF(AND(AND(B165="Autumn",SUM(D164:E165)&gt;0),NOT(H164=0)),Variables!$B$18*Variables!$E$50+Variables!$B$19*Variables!$E$50*SUM(E164:E165)+$G$1*Variables!$B$19*Variables!$E$50*SUM(D164:D165),0)</f>
        <v>0</v>
      </c>
      <c r="Q165" s="64">
        <f>IF(AND(B165="Autumn",AND((E165+E164)&lt;Variables!$B$20,(D164+D165)=0)),-Variables!$B$21*Variables!$E$50,0)</f>
        <v>0</v>
      </c>
      <c r="R165" s="64">
        <f>IF(B165="Autumn",(SUM(F164:F165)*$G$1*Variables!$B$22*Variables!$E$50),0)</f>
        <v>0</v>
      </c>
      <c r="S165" s="64">
        <f>IF(B165="Spring",($G$1*Variables!$E$50*SUM('Guts (option 2)'!F164:F165)*Variables!$B$23),0)</f>
        <v>0</v>
      </c>
      <c r="T165" s="63">
        <f>IF((H164+SUM(J165:Q165))&lt;(Variables!$B$26*Variables!$E$50),$F$1*((Variables!$B$26*Variables!$E$50)-H164-SUM(J165:Q165)),0)</f>
        <v>0.49704894489176149</v>
      </c>
      <c r="U165" s="64">
        <f>IF(AND(AND(B165="Autumn",SUM(D162:E165)&gt;Variables!$B$27),SUM(J165:Q165)&lt;Variables!$B$28*H164),$F$1*(Variables!$B$28*H164-SUM(J165:Q165)),0)</f>
        <v>0</v>
      </c>
      <c r="V165" s="96">
        <f>IF(AND((J165+K165)=0,(Q165+T165)=0),$H$1*H165*Variables!$I$23*0.25,0)</f>
        <v>0</v>
      </c>
      <c r="W165" s="97">
        <f>IF(AND((K165+J165)=0,(T165+Q165)=0),$I$1*H165*Variables!$Q$23*0.25,0)</f>
        <v>0</v>
      </c>
      <c r="X165" s="95">
        <f>IF(AND(NOT(K165=0),(H165-H164)&gt;0),(H165-H164)*(Variables!$M$5*$H$1+Variables!$U$5*$I$1),0)+IF(AND(NOT((J165+N165+Q165)=0),(H164-H165)&gt;0),(H164-H165)*(Variables!$M$4*$H$1+Variables!$U$4*$I$1),0)</f>
        <v>0</v>
      </c>
      <c r="Y165" s="95">
        <f>IF(SUM(T165,U164:U165)&gt;0,H165*Variables!$Y$11*0.25*(1-$J$1),0)</f>
        <v>-6.9874000000000018</v>
      </c>
      <c r="Z165" s="95">
        <f>IF(T165=0,H165*$J$1*Variables!$Y$5*0.25,0)</f>
        <v>0</v>
      </c>
      <c r="AA165" s="95">
        <f t="shared" si="5"/>
        <v>-6.9874000000000018</v>
      </c>
      <c r="AB165" s="91">
        <f>AA165/Variables!$E$49</f>
        <v>-1.1270000000000002</v>
      </c>
    </row>
    <row r="166" spans="1:28" x14ac:dyDescent="0.25">
      <c r="A166" s="61">
        <f>'Water runs'!C173</f>
        <v>17136</v>
      </c>
      <c r="B166" s="61" t="str">
        <f>'Water runs'!B173</f>
        <v>Spring</v>
      </c>
      <c r="C166" s="54">
        <f>'Water runs'!D173/100</f>
        <v>0.76971428571428602</v>
      </c>
      <c r="D166" s="108">
        <f>VLOOKUP(ROW(D166)+4,'Water runs'!$BS$3:$CF$423,MATCH($B$1,Scenarios,0)+1)</f>
        <v>0</v>
      </c>
      <c r="E166" s="54">
        <f>IF(B166=Variables!$D$8,C166-Variables!$E$8,IF(B166=Variables!$D$9,C166-Variables!$E$9,IF(B166=Variables!$D$10,C166-Variables!$E$10,IF(B166=Variables!$D$11,C166-Variables!$E$11,"ELSE"))))</f>
        <v>5.7320767195768729E-3</v>
      </c>
      <c r="F166" s="108">
        <f>VLOOKUP(ROW(F166)+4,'Water runs'!$CH$3:$CU$423,MATCH($B$1,Scenarios,0)+1)</f>
        <v>0</v>
      </c>
      <c r="G166" s="65">
        <f>H166/Variables!$E$49</f>
        <v>0.161</v>
      </c>
      <c r="H166" s="62">
        <f>IF((H165+I166)&gt;(1.1*Variables!$E$50),(1.1*Variables!$E$50),IF((H165+I166)&gt;0,H165+I166,0))</f>
        <v>0.99820000000000009</v>
      </c>
      <c r="I166" s="64">
        <f t="shared" si="4"/>
        <v>0</v>
      </c>
      <c r="J166" s="63">
        <f>IF(SUM(E162:E165)&lt;Variables!$B$3,-H165,0)</f>
        <v>-0.99820000000000009</v>
      </c>
      <c r="K166" s="64">
        <f>IF(AND(H165&lt;Variables!$B$6*Variables!$E$50,OR(SUM(D163:D166)&gt;Variables!$B$5,SUM(E163:E166)&gt;Variables!$B$4)),Variables!$B$6*Variables!$E$50+Variables!$B$7*$G$1*Variables!$E$50*SUM(D163:D166),0)</f>
        <v>0</v>
      </c>
      <c r="L166" s="64">
        <f>IF(B166="Winter",Variables!$B$8*H165,0)</f>
        <v>0</v>
      </c>
      <c r="M166" s="64">
        <f>IF(AND(B166="Spring",AND(NOT(H165=0),H165&lt;(Variables!$B$9*Variables!$E$50))),(Variables!$B$10*Variables!$E$50+Variables!$B$11*Variables!$E$50*SUM(E163:E166)+$G$1*SUM(D165:D166)*Variables!$E$50*Variables!$B$12),0)</f>
        <v>-0.81176159657431468</v>
      </c>
      <c r="N166" s="64">
        <f>IF(AND(B166="Spring",AND(SUM(D163:D166)&gt;Variables!$B$13,SUM(D159:D162)&gt;Variables!$B$13)),-Variables!$B$14*Variables!$E$50,0)</f>
        <v>0</v>
      </c>
      <c r="O166" s="64">
        <f>IF(AND(B166="Summer",SUM(C162:D166)&gt;Variables!$B$15),(Variables!$B$16*Variables!$E$50*SUM(C162:C166)+$G$1*Variables!$B$16*Variables!$E$50*SUM(D162:D166)+$G$1*Variables!$E$50*Variables!$B$17*F166),0)</f>
        <v>0</v>
      </c>
      <c r="P166" s="64">
        <f>IF(AND(AND(B166="Autumn",SUM(D165:E166)&gt;0),NOT(H165=0)),Variables!$B$18*Variables!$E$50+Variables!$B$19*Variables!$E$50*SUM(E165:E166)+$G$1*Variables!$B$19*Variables!$E$50*SUM(D165:D166),0)</f>
        <v>0</v>
      </c>
      <c r="Q166" s="64">
        <f>IF(AND(B166="Autumn",AND((E166+E165)&lt;Variables!$B$20,(D165+D166)=0)),-Variables!$B$21*Variables!$E$50,0)</f>
        <v>0</v>
      </c>
      <c r="R166" s="64">
        <f>IF(B166="Autumn",(SUM(F165:F166)*$G$1*Variables!$B$22*Variables!$E$50),0)</f>
        <v>0</v>
      </c>
      <c r="S166" s="64">
        <f>IF(B166="Spring",($G$1*Variables!$E$50*SUM('Guts (option 2)'!F165:F166)*Variables!$B$23),0)</f>
        <v>0</v>
      </c>
      <c r="T166" s="63">
        <f>IF((H165+SUM(J166:Q166))&lt;(Variables!$B$26*Variables!$E$50),$F$1*((Variables!$B$26*Variables!$E$50)-H165-SUM(J166:Q166)),0)</f>
        <v>1.8099615965743148</v>
      </c>
      <c r="U166" s="64">
        <f>IF(AND(AND(B166="Autumn",SUM(D163:E166)&gt;Variables!$B$27),SUM(J166:Q166)&lt;Variables!$B$28*H165),$F$1*(Variables!$B$28*H165-SUM(J166:Q166)),0)</f>
        <v>0</v>
      </c>
      <c r="V166" s="96">
        <f>IF(AND((J166+K166)=0,(Q166+T166)=0),$H$1*H166*Variables!$I$23*0.25,0)</f>
        <v>0</v>
      </c>
      <c r="W166" s="97">
        <f>IF(AND((K166+J166)=0,(T166+Q166)=0),$I$1*H166*Variables!$Q$23*0.25,0)</f>
        <v>0</v>
      </c>
      <c r="X166" s="95">
        <f>IF(AND(NOT(K166=0),(H166-H165)&gt;0),(H166-H165)*(Variables!$M$5*$H$1+Variables!$U$5*$I$1),0)+IF(AND(NOT((J166+N166+Q166)=0),(H165-H166)&gt;0),(H165-H166)*(Variables!$M$4*$H$1+Variables!$U$4*$I$1),0)</f>
        <v>0</v>
      </c>
      <c r="Y166" s="95">
        <f>IF(SUM(T166,U165:U166)&gt;0,H166*Variables!$Y$11*0.25*(1-$J$1),0)</f>
        <v>-6.9874000000000018</v>
      </c>
      <c r="Z166" s="95">
        <f>IF(T166=0,H166*$J$1*Variables!$Y$5*0.25,0)</f>
        <v>0</v>
      </c>
      <c r="AA166" s="95">
        <f t="shared" si="5"/>
        <v>-6.9874000000000018</v>
      </c>
      <c r="AB166" s="91">
        <f>AA166/Variables!$E$49</f>
        <v>-1.1270000000000002</v>
      </c>
    </row>
    <row r="167" spans="1:28" x14ac:dyDescent="0.25">
      <c r="A167" s="61">
        <f>'Water runs'!C174</f>
        <v>17226</v>
      </c>
      <c r="B167" s="61" t="str">
        <f>'Water runs'!B174</f>
        <v>Summer</v>
      </c>
      <c r="C167" s="54">
        <f>'Water runs'!D174/100</f>
        <v>1.58507142857143</v>
      </c>
      <c r="D167" s="108">
        <f>VLOOKUP(ROW(D167)+4,'Water runs'!$BS$3:$CF$423,MATCH($B$1,Scenarios,0)+1)</f>
        <v>4.1154720148219699E-2</v>
      </c>
      <c r="E167" s="54">
        <f>IF(B167=Variables!$D$8,C167-Variables!$E$8,IF(B167=Variables!$D$9,C167-Variables!$E$9,IF(B167=Variables!$D$10,C167-Variables!$E$10,IF(B167=Variables!$D$11,C167-Variables!$E$11,"ELSE"))))</f>
        <v>0.3267012925170083</v>
      </c>
      <c r="F167" s="108">
        <f>VLOOKUP(ROW(F167)+4,'Water runs'!$CH$3:$CU$423,MATCH($B$1,Scenarios,0)+1)</f>
        <v>0</v>
      </c>
      <c r="G167" s="65">
        <f>H167/Variables!$E$49</f>
        <v>0.161</v>
      </c>
      <c r="H167" s="62">
        <f>IF((H166+I167)&gt;(1.1*Variables!$E$50),(1.1*Variables!$E$50),IF((H166+I167)&gt;0,H166+I167,0))</f>
        <v>0.99820000000000009</v>
      </c>
      <c r="I167" s="64">
        <f t="shared" si="4"/>
        <v>0</v>
      </c>
      <c r="J167" s="63">
        <f>IF(SUM(E163:E166)&lt;Variables!$B$3,-H166,0)</f>
        <v>0</v>
      </c>
      <c r="K167" s="64">
        <f>IF(AND(H166&lt;Variables!$B$6*Variables!$E$50,OR(SUM(D164:D167)&gt;Variables!$B$5,SUM(E164:E167)&gt;Variables!$B$4)),Variables!$B$6*Variables!$E$50+Variables!$B$7*$G$1*Variables!$E$50*SUM(D164:D167),0)</f>
        <v>0</v>
      </c>
      <c r="L167" s="64">
        <f>IF(B167="Winter",Variables!$B$8*H166,0)</f>
        <v>0</v>
      </c>
      <c r="M167" s="64">
        <f>IF(AND(B167="Spring",AND(NOT(H166=0),H166&lt;(Variables!$B$9*Variables!$E$50))),(Variables!$B$10*Variables!$E$50+Variables!$B$11*Variables!$E$50*SUM(E164:E167)+$G$1*SUM(D166:D167)*Variables!$E$50*Variables!$B$12),0)</f>
        <v>0</v>
      </c>
      <c r="N167" s="64">
        <f>IF(AND(B167="Spring",AND(SUM(D164:D167)&gt;Variables!$B$13,SUM(D160:D163)&gt;Variables!$B$13)),-Variables!$B$14*Variables!$E$50,0)</f>
        <v>0</v>
      </c>
      <c r="O167" s="64">
        <f>IF(AND(B167="Summer",SUM(C163:D167)&gt;Variables!$B$15),(Variables!$B$16*Variables!$E$50*SUM(C163:C167)+$G$1*Variables!$B$16*Variables!$E$50*SUM(D163:D167)+$G$1*Variables!$E$50*Variables!$B$17*F167),0)</f>
        <v>0</v>
      </c>
      <c r="P167" s="64">
        <f>IF(AND(AND(B167="Autumn",SUM(D166:E167)&gt;0),NOT(H166=0)),Variables!$B$18*Variables!$E$50+Variables!$B$19*Variables!$E$50*SUM(E166:E167)+$G$1*Variables!$B$19*Variables!$E$50*SUM(D166:D167),0)</f>
        <v>0</v>
      </c>
      <c r="Q167" s="64">
        <f>IF(AND(B167="Autumn",AND((E167+E166)&lt;Variables!$B$20,(D166+D167)=0)),-Variables!$B$21*Variables!$E$50,0)</f>
        <v>0</v>
      </c>
      <c r="R167" s="64">
        <f>IF(B167="Autumn",(SUM(F166:F167)*$G$1*Variables!$B$22*Variables!$E$50),0)</f>
        <v>0</v>
      </c>
      <c r="S167" s="64">
        <f>IF(B167="Spring",($G$1*Variables!$E$50*SUM('Guts (option 2)'!F166:F167)*Variables!$B$23),0)</f>
        <v>0</v>
      </c>
      <c r="T167" s="63">
        <f>IF((H166+SUM(J167:Q167))&lt;(Variables!$B$26*Variables!$E$50),$F$1*((Variables!$B$26*Variables!$E$50)-H166-SUM(J167:Q167)),0)</f>
        <v>0</v>
      </c>
      <c r="U167" s="64">
        <f>IF(AND(AND(B167="Autumn",SUM(D164:E167)&gt;Variables!$B$27),SUM(J167:Q167)&lt;Variables!$B$28*H166),$F$1*(Variables!$B$28*H166-SUM(J167:Q167)),0)</f>
        <v>0</v>
      </c>
      <c r="V167" s="96">
        <f>IF(AND((J167+K167)=0,(Q167+T167)=0),$H$1*H167*Variables!$I$23*0.25,0)</f>
        <v>6.4118212433333337</v>
      </c>
      <c r="W167" s="97">
        <f>IF(AND((K167+J167)=0,(T167+Q167)=0),$I$1*H167*Variables!$Q$23*0.25,0)</f>
        <v>6.7114808833333326</v>
      </c>
      <c r="X167" s="95">
        <f>IF(AND(NOT(K167=0),(H167-H166)&gt;0),(H167-H166)*(Variables!$M$5*$H$1+Variables!$U$5*$I$1),0)+IF(AND(NOT((J167+N167+Q167)=0),(H166-H167)&gt;0),(H166-H167)*(Variables!$M$4*$H$1+Variables!$U$4*$I$1),0)</f>
        <v>0</v>
      </c>
      <c r="Y167" s="95">
        <f>IF(SUM(T167,U166:U167)&gt;0,H167*Variables!$Y$11*0.25*(1-$J$1),0)</f>
        <v>0</v>
      </c>
      <c r="Z167" s="95">
        <f>IF(T167=0,H167*$J$1*Variables!$Y$5*0.25,0)</f>
        <v>2.1627666666666667</v>
      </c>
      <c r="AA167" s="95">
        <f t="shared" si="5"/>
        <v>15.286068793333332</v>
      </c>
      <c r="AB167" s="91">
        <f>AA167/Variables!$E$49</f>
        <v>2.4654949666666663</v>
      </c>
    </row>
    <row r="168" spans="1:28" x14ac:dyDescent="0.25">
      <c r="A168" s="61">
        <f>'Water runs'!C175</f>
        <v>17318</v>
      </c>
      <c r="B168" s="61" t="str">
        <f>'Water runs'!B175</f>
        <v>Autumn</v>
      </c>
      <c r="C168" s="54">
        <f>'Water runs'!D175/100</f>
        <v>0.89800000000000002</v>
      </c>
      <c r="D168" s="108">
        <f>VLOOKUP(ROW(D168)+4,'Water runs'!$BS$3:$CF$423,MATCH($B$1,Scenarios,0)+1)</f>
        <v>0.24954671058361508</v>
      </c>
      <c r="E168" s="54">
        <f>IF(B168=Variables!$D$8,C168-Variables!$E$8,IF(B168=Variables!$D$9,C168-Variables!$E$9,IF(B168=Variables!$D$10,C168-Variables!$E$10,IF(B168=Variables!$D$11,C168-Variables!$E$11,"ELSE"))))</f>
        <v>-9.6643299319727816E-2</v>
      </c>
      <c r="F168" s="108">
        <f>VLOOKUP(ROW(F168)+4,'Water runs'!$CH$3:$CU$423,MATCH($B$1,Scenarios,0)+1)</f>
        <v>0.21457889611160816</v>
      </c>
      <c r="G168" s="65">
        <f>H168/Variables!$E$49</f>
        <v>0.56845965737200588</v>
      </c>
      <c r="H168" s="62">
        <f>IF((H167+I168)&gt;(1.1*Variables!$E$50),(1.1*Variables!$E$50),IF((H167+I168)&gt;0,H167+I168,0))</f>
        <v>3.5244498757064364</v>
      </c>
      <c r="I168" s="64">
        <f t="shared" si="4"/>
        <v>2.5262498757064362</v>
      </c>
      <c r="J168" s="63">
        <f>IF(SUM(E164:E167)&lt;Variables!$B$3,-H167,0)</f>
        <v>0</v>
      </c>
      <c r="K168" s="64">
        <f>IF(AND(H167&lt;Variables!$B$6*Variables!$E$50,OR(SUM(D165:D168)&gt;Variables!$B$5,SUM(E165:E168)&gt;Variables!$B$4)),Variables!$B$6*Variables!$E$50+Variables!$B$7*$G$1*Variables!$E$50*SUM(D165:D168),0)</f>
        <v>1.156137988888273</v>
      </c>
      <c r="L168" s="64">
        <f>IF(B168="Winter",Variables!$B$8*H167,0)</f>
        <v>0</v>
      </c>
      <c r="M168" s="64">
        <f>IF(AND(B168="Spring",AND(NOT(H167=0),H167&lt;(Variables!$B$9*Variables!$E$50))),(Variables!$B$10*Variables!$E$50+Variables!$B$11*Variables!$E$50*SUM(E165:E168)+$G$1*SUM(D167:D168)*Variables!$E$50*Variables!$B$12),0)</f>
        <v>0</v>
      </c>
      <c r="N168" s="64">
        <f>IF(AND(B168="Spring",AND(SUM(D165:D168)&gt;Variables!$B$13,SUM(D161:D164)&gt;Variables!$B$13)),-Variables!$B$14*Variables!$E$50,0)</f>
        <v>0</v>
      </c>
      <c r="O168" s="64">
        <f>IF(AND(B168="Summer",SUM(C164:D168)&gt;Variables!$B$15),(Variables!$B$16*Variables!$E$50*SUM(C164:C168)+$G$1*Variables!$B$16*Variables!$E$50*SUM(D164:D168)+$G$1*Variables!$E$50*Variables!$B$17*F168),0)</f>
        <v>0</v>
      </c>
      <c r="P168" s="64">
        <f>IF(AND(AND(B168="Autumn",SUM(D167:E168)&gt;0),NOT(H167=0)),Variables!$B$18*Variables!$E$50+Variables!$B$19*Variables!$E$50*SUM(E167:E168)+$G$1*Variables!$B$19*Variables!$E$50*SUM(D167:D168),0)</f>
        <v>1.339879586738596</v>
      </c>
      <c r="Q168" s="64">
        <f>IF(AND(B168="Autumn",AND((E168+E167)&lt;Variables!$B$20,(D167+D168)=0)),-Variables!$B$21*Variables!$E$50,0)</f>
        <v>0</v>
      </c>
      <c r="R168" s="64">
        <f>IF(B168="Autumn",(SUM(F167:F168)*$G$1*Variables!$B$22*Variables!$E$50),0)</f>
        <v>3.0232300079567325E-2</v>
      </c>
      <c r="S168" s="64">
        <f>IF(B168="Spring",($G$1*Variables!$E$50*SUM('Guts (option 2)'!F167:F168)*Variables!$B$23),0)</f>
        <v>0</v>
      </c>
      <c r="T168" s="63">
        <f>IF((H167+SUM(J168:Q168))&lt;(Variables!$B$26*Variables!$E$50),$F$1*((Variables!$B$26*Variables!$E$50)-H167-SUM(J168:Q168)),0)</f>
        <v>0</v>
      </c>
      <c r="U168" s="64">
        <f>IF(AND(AND(B168="Autumn",SUM(D165:E168)&gt;Variables!$B$27),SUM(J168:Q168)&lt;Variables!$B$28*H167),$F$1*(Variables!$B$28*H167-SUM(J168:Q168)),0)</f>
        <v>0</v>
      </c>
      <c r="V168" s="96">
        <f>IF(AND((J168+K168)=0,(Q168+T168)=0),$H$1*H168*Variables!$I$23*0.25,0)</f>
        <v>0</v>
      </c>
      <c r="W168" s="97">
        <f>IF(AND((K168+J168)=0,(T168+Q168)=0),$I$1*H168*Variables!$Q$23*0.25,0)</f>
        <v>0</v>
      </c>
      <c r="X168" s="95">
        <f>IF(AND(NOT(K168=0),(H168-H167)&gt;0),(H168-H167)*(Variables!$M$5*$H$1+Variables!$U$5*$I$1),0)+IF(AND(NOT((J168+N168+Q168)=0),(H167-H168)&gt;0),(H167-H168)*(Variables!$M$4*$H$1+Variables!$U$4*$I$1),0)</f>
        <v>-210.52082297553633</v>
      </c>
      <c r="Y168" s="95">
        <f>IF(SUM(T168,U167:U168)&gt;0,H168*Variables!$Y$11*0.25*(1-$J$1),0)</f>
        <v>0</v>
      </c>
      <c r="Z168" s="95">
        <f>IF(T168=0,H168*$J$1*Variables!$Y$5*0.25,0)</f>
        <v>7.6363080640306125</v>
      </c>
      <c r="AA168" s="95">
        <f t="shared" si="5"/>
        <v>-202.88451491150573</v>
      </c>
      <c r="AB168" s="91">
        <f>AA168/Variables!$E$49</f>
        <v>-32.723308856694473</v>
      </c>
    </row>
    <row r="169" spans="1:28" x14ac:dyDescent="0.25">
      <c r="A169" s="61">
        <f>'Water runs'!C176</f>
        <v>17410</v>
      </c>
      <c r="B169" s="61" t="str">
        <f>'Water runs'!B176</f>
        <v>Winter</v>
      </c>
      <c r="C169" s="54">
        <f>'Water runs'!D176/100</f>
        <v>0.652107142857143</v>
      </c>
      <c r="D169" s="108">
        <f>VLOOKUP(ROW(D169)+4,'Water runs'!$BS$3:$CF$423,MATCH($B$1,Scenarios,0)+1)</f>
        <v>0</v>
      </c>
      <c r="E169" s="54">
        <f>IF(B169=Variables!$D$8,C169-Variables!$E$8,IF(B169=Variables!$D$9,C169-Variables!$E$9,IF(B169=Variables!$D$10,C169-Variables!$E$10,IF(B169=Variables!$D$11,C169-Variables!$E$11,"ELSE"))))</f>
        <v>8.0339517195767263E-2</v>
      </c>
      <c r="F169" s="108">
        <f>VLOOKUP(ROW(F169)+4,'Water runs'!$CH$3:$CU$423,MATCH($B$1,Scenarios,0)+1)</f>
        <v>0</v>
      </c>
      <c r="G169" s="65">
        <f>H169/Variables!$E$49</f>
        <v>0.28539787325029903</v>
      </c>
      <c r="H169" s="62">
        <f>IF((H168+I169)&gt;(1.1*Variables!$E$50),(1.1*Variables!$E$50),IF((H168+I169)&gt;0,H168+I169,0))</f>
        <v>1.7694668141518541</v>
      </c>
      <c r="I169" s="64">
        <f t="shared" si="4"/>
        <v>-1.7549830615545823</v>
      </c>
      <c r="J169" s="63">
        <f>IF(SUM(E165:E168)&lt;Variables!$B$3,-H168,0)</f>
        <v>0</v>
      </c>
      <c r="K169" s="64">
        <f>IF(AND(H168&lt;Variables!$B$6*Variables!$E$50,OR(SUM(D166:D169)&gt;Variables!$B$5,SUM(E166:E169)&gt;Variables!$B$4)),Variables!$B$6*Variables!$E$50+Variables!$B$7*$G$1*Variables!$E$50*SUM(D166:D169),0)</f>
        <v>0</v>
      </c>
      <c r="L169" s="64">
        <f>IF(B169="Winter",Variables!$B$8*H168,0)</f>
        <v>-1.7549830615545823</v>
      </c>
      <c r="M169" s="64">
        <f>IF(AND(B169="Spring",AND(NOT(H168=0),H168&lt;(Variables!$B$9*Variables!$E$50))),(Variables!$B$10*Variables!$E$50+Variables!$B$11*Variables!$E$50*SUM(E166:E169)+$G$1*SUM(D168:D169)*Variables!$E$50*Variables!$B$12),0)</f>
        <v>0</v>
      </c>
      <c r="N169" s="64">
        <f>IF(AND(B169="Spring",AND(SUM(D166:D169)&gt;Variables!$B$13,SUM(D162:D165)&gt;Variables!$B$13)),-Variables!$B$14*Variables!$E$50,0)</f>
        <v>0</v>
      </c>
      <c r="O169" s="64">
        <f>IF(AND(B169="Summer",SUM(C165:D169)&gt;Variables!$B$15),(Variables!$B$16*Variables!$E$50*SUM(C165:C169)+$G$1*Variables!$B$16*Variables!$E$50*SUM(D165:D169)+$G$1*Variables!$E$50*Variables!$B$17*F169),0)</f>
        <v>0</v>
      </c>
      <c r="P169" s="64">
        <f>IF(AND(AND(B169="Autumn",SUM(D168:E169)&gt;0),NOT(H168=0)),Variables!$B$18*Variables!$E$50+Variables!$B$19*Variables!$E$50*SUM(E168:E169)+$G$1*Variables!$B$19*Variables!$E$50*SUM(D168:D169),0)</f>
        <v>0</v>
      </c>
      <c r="Q169" s="64">
        <f>IF(AND(B169="Autumn",AND((E169+E168)&lt;Variables!$B$20,(D168+D169)=0)),-Variables!$B$21*Variables!$E$50,0)</f>
        <v>0</v>
      </c>
      <c r="R169" s="64">
        <f>IF(B169="Autumn",(SUM(F168:F169)*$G$1*Variables!$B$22*Variables!$E$50),0)</f>
        <v>0</v>
      </c>
      <c r="S169" s="64">
        <f>IF(B169="Spring",($G$1*Variables!$E$50*SUM('Guts (option 2)'!F168:F169)*Variables!$B$23),0)</f>
        <v>0</v>
      </c>
      <c r="T169" s="63">
        <f>IF((H168+SUM(J169:Q169))&lt;(Variables!$B$26*Variables!$E$50),$F$1*((Variables!$B$26*Variables!$E$50)-H168-SUM(J169:Q169)),0)</f>
        <v>0</v>
      </c>
      <c r="U169" s="64">
        <f>IF(AND(AND(B169="Autumn",SUM(D166:E169)&gt;Variables!$B$27),SUM(J169:Q169)&lt;Variables!$B$28*H168),$F$1*(Variables!$B$28*H168-SUM(J169:Q169)),0)</f>
        <v>0</v>
      </c>
      <c r="V169" s="96">
        <f>IF(AND((J169+K169)=0,(Q169+T169)=0),$H$1*H169*Variables!$I$23*0.25,0)</f>
        <v>11.365963642909451</v>
      </c>
      <c r="W169" s="97">
        <f>IF(AND((K169+J169)=0,(T169+Q169)=0),$I$1*H169*Variables!$Q$23*0.25,0)</f>
        <v>11.897157580517836</v>
      </c>
      <c r="X169" s="95">
        <f>IF(AND(NOT(K169=0),(H169-H168)&gt;0),(H169-H168)*(Variables!$M$5*$H$1+Variables!$U$5*$I$1),0)+IF(AND(NOT((J169+N169+Q169)=0),(H168-H169)&gt;0),(H168-H169)*(Variables!$M$4*$H$1+Variables!$U$4*$I$1),0)</f>
        <v>0</v>
      </c>
      <c r="Y169" s="95">
        <f>IF(SUM(T169,U168:U169)&gt;0,H169*Variables!$Y$11*0.25*(1-$J$1),0)</f>
        <v>0</v>
      </c>
      <c r="Z169" s="95">
        <f>IF(T169=0,H169*$J$1*Variables!$Y$5*0.25,0)</f>
        <v>3.8338447639956841</v>
      </c>
      <c r="AA169" s="95">
        <f t="shared" si="5"/>
        <v>27.096965987422973</v>
      </c>
      <c r="AB169" s="91">
        <f>AA169/Variables!$E$49</f>
        <v>4.3704783850682212</v>
      </c>
    </row>
    <row r="170" spans="1:28" x14ac:dyDescent="0.25">
      <c r="A170" s="61">
        <f>'Water runs'!C177</f>
        <v>17501</v>
      </c>
      <c r="B170" s="61" t="str">
        <f>'Water runs'!B177</f>
        <v>Spring</v>
      </c>
      <c r="C170" s="54">
        <f>'Water runs'!D177/100</f>
        <v>1.2028000000000001</v>
      </c>
      <c r="D170" s="108">
        <f>VLOOKUP(ROW(D170)+4,'Water runs'!$BS$3:$CF$423,MATCH($B$1,Scenarios,0)+1)</f>
        <v>0</v>
      </c>
      <c r="E170" s="54">
        <f>IF(B170=Variables!$D$8,C170-Variables!$E$8,IF(B170=Variables!$D$9,C170-Variables!$E$9,IF(B170=Variables!$D$10,C170-Variables!$E$10,IF(B170=Variables!$D$11,C170-Variables!$E$11,"ELSE"))))</f>
        <v>0.43881779100529095</v>
      </c>
      <c r="F170" s="108">
        <f>VLOOKUP(ROW(F170)+4,'Water runs'!$CH$3:$CU$423,MATCH($B$1,Scenarios,0)+1)</f>
        <v>0</v>
      </c>
      <c r="G170" s="65">
        <f>H170/Variables!$E$49</f>
        <v>0.36769816944023004</v>
      </c>
      <c r="H170" s="62">
        <f>IF((H169+I170)&gt;(1.1*Variables!$E$50),(1.1*Variables!$E$50),IF((H169+I170)&gt;0,H169+I170,0))</f>
        <v>2.2797286505294263</v>
      </c>
      <c r="I170" s="64">
        <f t="shared" si="4"/>
        <v>0.51026183637757228</v>
      </c>
      <c r="J170" s="63">
        <f>IF(SUM(E166:E169)&lt;Variables!$B$3,-H169,0)</f>
        <v>0</v>
      </c>
      <c r="K170" s="64">
        <f>IF(AND(H169&lt;Variables!$B$6*Variables!$E$50,OR(SUM(D167:D170)&gt;Variables!$B$5,SUM(E167:E170)&gt;Variables!$B$4)),Variables!$B$6*Variables!$E$50+Variables!$B$7*$G$1*Variables!$E$50*SUM(D167:D170),0)</f>
        <v>0</v>
      </c>
      <c r="L170" s="64">
        <f>IF(B170="Winter",Variables!$B$8*H169,0)</f>
        <v>0</v>
      </c>
      <c r="M170" s="64">
        <f>IF(AND(B170="Spring",AND(NOT(H169=0),H169&lt;(Variables!$B$9*Variables!$E$50))),(Variables!$B$10*Variables!$E$50+Variables!$B$11*Variables!$E$50*SUM(E167:E170)+$G$1*SUM(D169:D170)*Variables!$E$50*Variables!$B$12),0)</f>
        <v>0.51026183637757228</v>
      </c>
      <c r="N170" s="64">
        <f>IF(AND(B170="Spring",AND(SUM(D167:D170)&gt;Variables!$B$13,SUM(D163:D166)&gt;Variables!$B$13)),-Variables!$B$14*Variables!$E$50,0)</f>
        <v>0</v>
      </c>
      <c r="O170" s="64">
        <f>IF(AND(B170="Summer",SUM(C166:D170)&gt;Variables!$B$15),(Variables!$B$16*Variables!$E$50*SUM(C166:C170)+$G$1*Variables!$B$16*Variables!$E$50*SUM(D166:D170)+$G$1*Variables!$E$50*Variables!$B$17*F170),0)</f>
        <v>0</v>
      </c>
      <c r="P170" s="64">
        <f>IF(AND(AND(B170="Autumn",SUM(D169:E170)&gt;0),NOT(H169=0)),Variables!$B$18*Variables!$E$50+Variables!$B$19*Variables!$E$50*SUM(E169:E170)+$G$1*Variables!$B$19*Variables!$E$50*SUM(D169:D170),0)</f>
        <v>0</v>
      </c>
      <c r="Q170" s="64">
        <f>IF(AND(B170="Autumn",AND((E170+E169)&lt;Variables!$B$20,(D169+D170)=0)),-Variables!$B$21*Variables!$E$50,0)</f>
        <v>0</v>
      </c>
      <c r="R170" s="64">
        <f>IF(B170="Autumn",(SUM(F169:F170)*$G$1*Variables!$B$22*Variables!$E$50),0)</f>
        <v>0</v>
      </c>
      <c r="S170" s="64">
        <f>IF(B170="Spring",($G$1*Variables!$E$50*SUM('Guts (option 2)'!F169:F170)*Variables!$B$23),0)</f>
        <v>0</v>
      </c>
      <c r="T170" s="63">
        <f>IF((H169+SUM(J170:Q170))&lt;(Variables!$B$26*Variables!$E$50),$F$1*((Variables!$B$26*Variables!$E$50)-H169-SUM(J170:Q170)),0)</f>
        <v>0</v>
      </c>
      <c r="U170" s="64">
        <f>IF(AND(AND(B170="Autumn",SUM(D167:E170)&gt;Variables!$B$27),SUM(J170:Q170)&lt;Variables!$B$28*H169),$F$1*(Variables!$B$28*H169-SUM(J170:Q170)),0)</f>
        <v>0</v>
      </c>
      <c r="V170" s="96">
        <f>IF(AND((J170+K170)=0,(Q170+T170)=0),$H$1*H170*Variables!$I$23*0.25,0)</f>
        <v>14.643571018333208</v>
      </c>
      <c r="W170" s="97">
        <f>IF(AND((K170+J170)=0,(T170+Q170)=0),$I$1*H170*Variables!$Q$23*0.25,0)</f>
        <v>15.32794555922214</v>
      </c>
      <c r="X170" s="95">
        <f>IF(AND(NOT(K170=0),(H170-H169)&gt;0),(H170-H169)*(Variables!$M$5*$H$1+Variables!$U$5*$I$1),0)+IF(AND(NOT((J170+N170+Q170)=0),(H169-H170)&gt;0),(H169-H170)*(Variables!$M$4*$H$1+Variables!$U$4*$I$1),0)</f>
        <v>0</v>
      </c>
      <c r="Y170" s="95">
        <f>IF(SUM(T170,U169:U170)&gt;0,H170*Variables!$Y$11*0.25*(1-$J$1),0)</f>
        <v>0</v>
      </c>
      <c r="Z170" s="95">
        <f>IF(T170=0,H170*$J$1*Variables!$Y$5*0.25,0)</f>
        <v>4.9394120761470903</v>
      </c>
      <c r="AA170" s="95">
        <f t="shared" si="5"/>
        <v>34.910928653702442</v>
      </c>
      <c r="AB170" s="91">
        <f>AA170/Variables!$E$49</f>
        <v>5.6307949441455554</v>
      </c>
    </row>
    <row r="171" spans="1:28" x14ac:dyDescent="0.25">
      <c r="A171" s="61">
        <f>'Water runs'!C178</f>
        <v>17591</v>
      </c>
      <c r="B171" s="61" t="str">
        <f>'Water runs'!B178</f>
        <v>Summer</v>
      </c>
      <c r="C171" s="54">
        <f>'Water runs'!D178/100</f>
        <v>1.40197619047619</v>
      </c>
      <c r="D171" s="108">
        <f>VLOOKUP(ROW(D171)+4,'Water runs'!$BS$3:$CF$423,MATCH($B$1,Scenarios,0)+1)</f>
        <v>0.15647471476417074</v>
      </c>
      <c r="E171" s="54">
        <f>IF(B171=Variables!$D$8,C171-Variables!$E$8,IF(B171=Variables!$D$9,C171-Variables!$E$9,IF(B171=Variables!$D$10,C171-Variables!$E$10,IF(B171=Variables!$D$11,C171-Variables!$E$11,"ELSE"))))</f>
        <v>0.14360605442176833</v>
      </c>
      <c r="F171" s="108">
        <f>VLOOKUP(ROW(F171)+4,'Water runs'!$CH$3:$CU$423,MATCH($B$1,Scenarios,0)+1)</f>
        <v>9.9589070380604758E-2</v>
      </c>
      <c r="G171" s="65">
        <f>H171/Variables!$E$49</f>
        <v>0.36769816944023004</v>
      </c>
      <c r="H171" s="62">
        <f>IF((H170+I171)&gt;(1.1*Variables!$E$50),(1.1*Variables!$E$50),IF((H170+I171)&gt;0,H170+I171,0))</f>
        <v>2.2797286505294263</v>
      </c>
      <c r="I171" s="64">
        <f t="shared" si="4"/>
        <v>0</v>
      </c>
      <c r="J171" s="63">
        <f>IF(SUM(E167:E170)&lt;Variables!$B$3,-H170,0)</f>
        <v>0</v>
      </c>
      <c r="K171" s="64">
        <f>IF(AND(H170&lt;Variables!$B$6*Variables!$E$50,OR(SUM(D168:D171)&gt;Variables!$B$5,SUM(E168:E171)&gt;Variables!$B$4)),Variables!$B$6*Variables!$E$50+Variables!$B$7*$G$1*Variables!$E$50*SUM(D168:D171),0)</f>
        <v>0</v>
      </c>
      <c r="L171" s="64">
        <f>IF(B171="Winter",Variables!$B$8*H170,0)</f>
        <v>0</v>
      </c>
      <c r="M171" s="64">
        <f>IF(AND(B171="Spring",AND(NOT(H170=0),H170&lt;(Variables!$B$9*Variables!$E$50))),(Variables!$B$10*Variables!$E$50+Variables!$B$11*Variables!$E$50*SUM(E168:E171)+$G$1*SUM(D170:D171)*Variables!$E$50*Variables!$B$12),0)</f>
        <v>0</v>
      </c>
      <c r="N171" s="64">
        <f>IF(AND(B171="Spring",AND(SUM(D168:D171)&gt;Variables!$B$13,SUM(D164:D167)&gt;Variables!$B$13)),-Variables!$B$14*Variables!$E$50,0)</f>
        <v>0</v>
      </c>
      <c r="O171" s="64">
        <f>IF(AND(B171="Summer",SUM(C167:D171)&gt;Variables!$B$15),(Variables!$B$16*Variables!$E$50*SUM(C167:C171)+$G$1*Variables!$B$16*Variables!$E$50*SUM(D167:D171)+$G$1*Variables!$E$50*Variables!$B$17*F171),0)</f>
        <v>0</v>
      </c>
      <c r="P171" s="64">
        <f>IF(AND(AND(B171="Autumn",SUM(D170:E171)&gt;0),NOT(H170=0)),Variables!$B$18*Variables!$E$50+Variables!$B$19*Variables!$E$50*SUM(E170:E171)+$G$1*Variables!$B$19*Variables!$E$50*SUM(D170:D171),0)</f>
        <v>0</v>
      </c>
      <c r="Q171" s="64">
        <f>IF(AND(B171="Autumn",AND((E171+E170)&lt;Variables!$B$20,(D170+D171)=0)),-Variables!$B$21*Variables!$E$50,0)</f>
        <v>0</v>
      </c>
      <c r="R171" s="64">
        <f>IF(B171="Autumn",(SUM(F170:F171)*$G$1*Variables!$B$22*Variables!$E$50),0)</f>
        <v>0</v>
      </c>
      <c r="S171" s="64">
        <f>IF(B171="Spring",($G$1*Variables!$E$50*SUM('Guts (option 2)'!F170:F171)*Variables!$B$23),0)</f>
        <v>0</v>
      </c>
      <c r="T171" s="63">
        <f>IF((H170+SUM(J171:Q171))&lt;(Variables!$B$26*Variables!$E$50),$F$1*((Variables!$B$26*Variables!$E$50)-H170-SUM(J171:Q171)),0)</f>
        <v>0</v>
      </c>
      <c r="U171" s="64">
        <f>IF(AND(AND(B171="Autumn",SUM(D168:E171)&gt;Variables!$B$27),SUM(J171:Q171)&lt;Variables!$B$28*H170),$F$1*(Variables!$B$28*H170-SUM(J171:Q171)),0)</f>
        <v>0</v>
      </c>
      <c r="V171" s="96">
        <f>IF(AND((J171+K171)=0,(Q171+T171)=0),$H$1*H171*Variables!$I$23*0.25,0)</f>
        <v>14.643571018333208</v>
      </c>
      <c r="W171" s="97">
        <f>IF(AND((K171+J171)=0,(T171+Q171)=0),$I$1*H171*Variables!$Q$23*0.25,0)</f>
        <v>15.32794555922214</v>
      </c>
      <c r="X171" s="95">
        <f>IF(AND(NOT(K171=0),(H171-H170)&gt;0),(H171-H170)*(Variables!$M$5*$H$1+Variables!$U$5*$I$1),0)+IF(AND(NOT((J171+N171+Q171)=0),(H170-H171)&gt;0),(H170-H171)*(Variables!$M$4*$H$1+Variables!$U$4*$I$1),0)</f>
        <v>0</v>
      </c>
      <c r="Y171" s="95">
        <f>IF(SUM(T171,U170:U171)&gt;0,H171*Variables!$Y$11*0.25*(1-$J$1),0)</f>
        <v>0</v>
      </c>
      <c r="Z171" s="95">
        <f>IF(T171=0,H171*$J$1*Variables!$Y$5*0.25,0)</f>
        <v>4.9394120761470903</v>
      </c>
      <c r="AA171" s="95">
        <f t="shared" si="5"/>
        <v>34.910928653702442</v>
      </c>
      <c r="AB171" s="91">
        <f>AA171/Variables!$E$49</f>
        <v>5.6307949441455554</v>
      </c>
    </row>
    <row r="172" spans="1:28" x14ac:dyDescent="0.25">
      <c r="A172" s="61">
        <f>'Water runs'!C179</f>
        <v>17684</v>
      </c>
      <c r="B172" s="61" t="str">
        <f>'Water runs'!B179</f>
        <v>Autumn</v>
      </c>
      <c r="C172" s="54">
        <f>'Water runs'!D179/100</f>
        <v>1.2302380952381</v>
      </c>
      <c r="D172" s="108">
        <f>VLOOKUP(ROW(D172)+4,'Water runs'!$BS$3:$CF$423,MATCH($B$1,Scenarios,0)+1)</f>
        <v>0</v>
      </c>
      <c r="E172" s="54">
        <f>IF(B172=Variables!$D$8,C172-Variables!$E$8,IF(B172=Variables!$D$9,C172-Variables!$E$9,IF(B172=Variables!$D$10,C172-Variables!$E$10,IF(B172=Variables!$D$11,C172-Variables!$E$11,"ELSE"))))</f>
        <v>0.23559479591837218</v>
      </c>
      <c r="F172" s="108">
        <f>VLOOKUP(ROW(F172)+4,'Water runs'!$CH$3:$CU$423,MATCH($B$1,Scenarios,0)+1)</f>
        <v>0</v>
      </c>
      <c r="G172" s="65">
        <f>H172/Variables!$E$49</f>
        <v>0.603640970125493</v>
      </c>
      <c r="H172" s="62">
        <f>IF((H171+I172)&gt;(1.1*Variables!$E$50),(1.1*Variables!$E$50),IF((H171+I172)&gt;0,H171+I172,0))</f>
        <v>3.7425740147780568</v>
      </c>
      <c r="I172" s="64">
        <f t="shared" si="4"/>
        <v>1.4628453642486305</v>
      </c>
      <c r="J172" s="63">
        <f>IF(SUM(E168:E171)&lt;Variables!$B$3,-H171,0)</f>
        <v>0</v>
      </c>
      <c r="K172" s="64">
        <f>IF(AND(H171&lt;Variables!$B$6*Variables!$E$50,OR(SUM(D169:D172)&gt;Variables!$B$5,SUM(E169:E172)&gt;Variables!$B$4)),Variables!$B$6*Variables!$E$50+Variables!$B$7*$G$1*Variables!$E$50*SUM(D169:D172),0)</f>
        <v>0</v>
      </c>
      <c r="L172" s="64">
        <f>IF(B172="Winter",Variables!$B$8*H171,0)</f>
        <v>0</v>
      </c>
      <c r="M172" s="64">
        <f>IF(AND(B172="Spring",AND(NOT(H171=0),H171&lt;(Variables!$B$9*Variables!$E$50))),(Variables!$B$10*Variables!$E$50+Variables!$B$11*Variables!$E$50*SUM(E169:E172)+$G$1*SUM(D171:D172)*Variables!$E$50*Variables!$B$12),0)</f>
        <v>0</v>
      </c>
      <c r="N172" s="64">
        <f>IF(AND(B172="Spring",AND(SUM(D169:D172)&gt;Variables!$B$13,SUM(D165:D168)&gt;Variables!$B$13)),-Variables!$B$14*Variables!$E$50,0)</f>
        <v>0</v>
      </c>
      <c r="O172" s="64">
        <f>IF(AND(B172="Summer",SUM(C168:D172)&gt;Variables!$B$15),(Variables!$B$16*Variables!$E$50*SUM(C168:C172)+$G$1*Variables!$B$16*Variables!$E$50*SUM(D168:D172)+$G$1*Variables!$E$50*Variables!$B$17*F172),0)</f>
        <v>0</v>
      </c>
      <c r="P172" s="64">
        <f>IF(AND(AND(B172="Autumn",SUM(D171:E172)&gt;0),NOT(H171=0)),Variables!$B$18*Variables!$E$50+Variables!$B$19*Variables!$E$50*SUM(E171:E172)+$G$1*Variables!$B$19*Variables!$E$50*SUM(D171:D172),0)</f>
        <v>1.4488141304462832</v>
      </c>
      <c r="Q172" s="64">
        <f>IF(AND(B172="Autumn",AND((E172+E171)&lt;Variables!$B$20,(D171+D172)=0)),-Variables!$B$21*Variables!$E$50,0)</f>
        <v>0</v>
      </c>
      <c r="R172" s="64">
        <f>IF(B172="Autumn",(SUM(F171:F172)*$G$1*Variables!$B$22*Variables!$E$50),0)</f>
        <v>1.4031233802347429E-2</v>
      </c>
      <c r="S172" s="64">
        <f>IF(B172="Spring",($G$1*Variables!$E$50*SUM('Guts (option 2)'!F171:F172)*Variables!$B$23),0)</f>
        <v>0</v>
      </c>
      <c r="T172" s="63">
        <f>IF((H171+SUM(J172:Q172))&lt;(Variables!$B$26*Variables!$E$50),$F$1*((Variables!$B$26*Variables!$E$50)-H171-SUM(J172:Q172)),0)</f>
        <v>0</v>
      </c>
      <c r="U172" s="64">
        <f>IF(AND(AND(B172="Autumn",SUM(D169:E172)&gt;Variables!$B$27),SUM(J172:Q172)&lt;Variables!$B$28*H171),$F$1*(Variables!$B$28*H171-SUM(J172:Q172)),0)</f>
        <v>0</v>
      </c>
      <c r="V172" s="96">
        <f>IF(AND((J172+K172)=0,(Q172+T172)=0),$H$1*H172*Variables!$I$23*0.25,0)</f>
        <v>24.039987550291791</v>
      </c>
      <c r="W172" s="97">
        <f>IF(AND((K172+J172)=0,(T172+Q172)=0),$I$1*H172*Variables!$Q$23*0.25,0)</f>
        <v>25.163508269528158</v>
      </c>
      <c r="X172" s="95">
        <f>IF(AND(NOT(K172=0),(H172-H171)&gt;0),(H172-H171)*(Variables!$M$5*$H$1+Variables!$U$5*$I$1),0)+IF(AND(NOT((J172+N172+Q172)=0),(H171-H172)&gt;0),(H171-H172)*(Variables!$M$4*$H$1+Variables!$U$4*$I$1),0)</f>
        <v>0</v>
      </c>
      <c r="Y172" s="95">
        <f>IF(SUM(T172,U171:U172)&gt;0,H172*Variables!$Y$11*0.25*(1-$J$1),0)</f>
        <v>0</v>
      </c>
      <c r="Z172" s="95">
        <f>IF(T172=0,H172*$J$1*Variables!$Y$5*0.25,0)</f>
        <v>8.1089103653524557</v>
      </c>
      <c r="AA172" s="95">
        <f t="shared" si="5"/>
        <v>57.312406185172406</v>
      </c>
      <c r="AB172" s="91">
        <f>AA172/Variables!$E$49</f>
        <v>9.2439364814794196</v>
      </c>
    </row>
    <row r="173" spans="1:28" x14ac:dyDescent="0.25">
      <c r="A173" s="61">
        <f>'Water runs'!C180</f>
        <v>17776</v>
      </c>
      <c r="B173" s="61" t="str">
        <f>'Water runs'!B180</f>
        <v>Winter</v>
      </c>
      <c r="C173" s="54">
        <f>'Water runs'!D180/100</f>
        <v>1.26342857142857</v>
      </c>
      <c r="D173" s="108">
        <f>VLOOKUP(ROW(D173)+4,'Water runs'!$BS$3:$CF$423,MATCH($B$1,Scenarios,0)+1)</f>
        <v>1.7035764337009793E-2</v>
      </c>
      <c r="E173" s="54">
        <f>IF(B173=Variables!$D$8,C173-Variables!$E$8,IF(B173=Variables!$D$9,C173-Variables!$E$9,IF(B173=Variables!$D$10,C173-Variables!$E$10,IF(B173=Variables!$D$11,C173-Variables!$E$11,"ELSE"))))</f>
        <v>0.69166094576719428</v>
      </c>
      <c r="F173" s="108">
        <f>VLOOKUP(ROW(F173)+4,'Water runs'!$CH$3:$CU$423,MATCH($B$1,Scenarios,0)+1)</f>
        <v>0</v>
      </c>
      <c r="G173" s="65">
        <f>H173/Variables!$E$49</f>
        <v>0.30306081855835659</v>
      </c>
      <c r="H173" s="62">
        <f>IF((H172+I173)&gt;(1.1*Variables!$E$50),(1.1*Variables!$E$50),IF((H172+I173)&gt;0,H172+I173,0))</f>
        <v>1.8789770750618109</v>
      </c>
      <c r="I173" s="64">
        <f t="shared" si="4"/>
        <v>-1.863596939716246</v>
      </c>
      <c r="J173" s="63">
        <f>IF(SUM(E169:E172)&lt;Variables!$B$3,-H172,0)</f>
        <v>0</v>
      </c>
      <c r="K173" s="64">
        <f>IF(AND(H172&lt;Variables!$B$6*Variables!$E$50,OR(SUM(D170:D173)&gt;Variables!$B$5,SUM(E170:E173)&gt;Variables!$B$4)),Variables!$B$6*Variables!$E$50+Variables!$B$7*$G$1*Variables!$E$50*SUM(D170:D173),0)</f>
        <v>0</v>
      </c>
      <c r="L173" s="64">
        <f>IF(B173="Winter",Variables!$B$8*H172,0)</f>
        <v>-1.863596939716246</v>
      </c>
      <c r="M173" s="64">
        <f>IF(AND(B173="Spring",AND(NOT(H172=0),H172&lt;(Variables!$B$9*Variables!$E$50))),(Variables!$B$10*Variables!$E$50+Variables!$B$11*Variables!$E$50*SUM(E170:E173)+$G$1*SUM(D172:D173)*Variables!$E$50*Variables!$B$12),0)</f>
        <v>0</v>
      </c>
      <c r="N173" s="64">
        <f>IF(AND(B173="Spring",AND(SUM(D170:D173)&gt;Variables!$B$13,SUM(D166:D169)&gt;Variables!$B$13)),-Variables!$B$14*Variables!$E$50,0)</f>
        <v>0</v>
      </c>
      <c r="O173" s="64">
        <f>IF(AND(B173="Summer",SUM(C169:D173)&gt;Variables!$B$15),(Variables!$B$16*Variables!$E$50*SUM(C169:C173)+$G$1*Variables!$B$16*Variables!$E$50*SUM(D169:D173)+$G$1*Variables!$E$50*Variables!$B$17*F173),0)</f>
        <v>0</v>
      </c>
      <c r="P173" s="64">
        <f>IF(AND(AND(B173="Autumn",SUM(D172:E173)&gt;0),NOT(H172=0)),Variables!$B$18*Variables!$E$50+Variables!$B$19*Variables!$E$50*SUM(E172:E173)+$G$1*Variables!$B$19*Variables!$E$50*SUM(D172:D173),0)</f>
        <v>0</v>
      </c>
      <c r="Q173" s="64">
        <f>IF(AND(B173="Autumn",AND((E173+E172)&lt;Variables!$B$20,(D172+D173)=0)),-Variables!$B$21*Variables!$E$50,0)</f>
        <v>0</v>
      </c>
      <c r="R173" s="64">
        <f>IF(B173="Autumn",(SUM(F172:F173)*$G$1*Variables!$B$22*Variables!$E$50),0)</f>
        <v>0</v>
      </c>
      <c r="S173" s="64">
        <f>IF(B173="Spring",($G$1*Variables!$E$50*SUM('Guts (option 2)'!F172:F173)*Variables!$B$23),0)</f>
        <v>0</v>
      </c>
      <c r="T173" s="63">
        <f>IF((H172+SUM(J173:Q173))&lt;(Variables!$B$26*Variables!$E$50),$F$1*((Variables!$B$26*Variables!$E$50)-H172-SUM(J173:Q173)),0)</f>
        <v>0</v>
      </c>
      <c r="U173" s="64">
        <f>IF(AND(AND(B173="Autumn",SUM(D170:E173)&gt;Variables!$B$27),SUM(J173:Q173)&lt;Variables!$B$28*H172),$F$1*(Variables!$B$28*H172-SUM(J173:Q173)),0)</f>
        <v>0</v>
      </c>
      <c r="V173" s="96">
        <f>IF(AND((J173+K173)=0,(Q173+T173)=0),$H$1*H173*Variables!$I$23*0.25,0)</f>
        <v>12.069390027667451</v>
      </c>
      <c r="W173" s="97">
        <f>IF(AND((K173+J173)=0,(T173+Q173)=0),$I$1*H173*Variables!$Q$23*0.25,0)</f>
        <v>12.633458945601005</v>
      </c>
      <c r="X173" s="95">
        <f>IF(AND(NOT(K173=0),(H173-H172)&gt;0),(H173-H172)*(Variables!$M$5*$H$1+Variables!$U$5*$I$1),0)+IF(AND(NOT((J173+N173+Q173)=0),(H172-H173)&gt;0),(H172-H173)*(Variables!$M$4*$H$1+Variables!$U$4*$I$1),0)</f>
        <v>0</v>
      </c>
      <c r="Y173" s="95">
        <f>IF(SUM(T173,U172:U173)&gt;0,H173*Variables!$Y$11*0.25*(1-$J$1),0)</f>
        <v>0</v>
      </c>
      <c r="Z173" s="95">
        <f>IF(T173=0,H173*$J$1*Variables!$Y$5*0.25,0)</f>
        <v>4.0711169959672571</v>
      </c>
      <c r="AA173" s="95">
        <f t="shared" si="5"/>
        <v>28.773965969235711</v>
      </c>
      <c r="AB173" s="91">
        <f>AA173/Variables!$E$49</f>
        <v>4.6409622531025336</v>
      </c>
    </row>
    <row r="174" spans="1:28" x14ac:dyDescent="0.25">
      <c r="A174" s="61">
        <f>'Water runs'!C181</f>
        <v>17867</v>
      </c>
      <c r="B174" s="61" t="str">
        <f>'Water runs'!B181</f>
        <v>Spring</v>
      </c>
      <c r="C174" s="54">
        <f>'Water runs'!D181/100</f>
        <v>0.45971428571428602</v>
      </c>
      <c r="D174" s="108">
        <f>VLOOKUP(ROW(D174)+4,'Water runs'!$BS$3:$CF$423,MATCH($B$1,Scenarios,0)+1)</f>
        <v>0</v>
      </c>
      <c r="E174" s="54">
        <f>IF(B174=Variables!$D$8,C174-Variables!$E$8,IF(B174=Variables!$D$9,C174-Variables!$E$9,IF(B174=Variables!$D$10,C174-Variables!$E$10,IF(B174=Variables!$D$11,C174-Variables!$E$11,"ELSE"))))</f>
        <v>-0.30426792328042312</v>
      </c>
      <c r="F174" s="108">
        <f>VLOOKUP(ROW(F174)+4,'Water runs'!$CH$3:$CU$423,MATCH($B$1,Scenarios,0)+1)</f>
        <v>0</v>
      </c>
      <c r="G174" s="65">
        <f>H174/Variables!$E$49</f>
        <v>0.38828732201802141</v>
      </c>
      <c r="H174" s="62">
        <f>IF((H173+I174)&gt;(1.1*Variables!$E$50),(1.1*Variables!$E$50),IF((H173+I174)&gt;0,H173+I174,0))</f>
        <v>2.4073813965117328</v>
      </c>
      <c r="I174" s="64">
        <f t="shared" si="4"/>
        <v>0.52840432144992211</v>
      </c>
      <c r="J174" s="63">
        <f>IF(SUM(E170:E173)&lt;Variables!$B$3,-H173,0)</f>
        <v>0</v>
      </c>
      <c r="K174" s="64">
        <f>IF(AND(H173&lt;Variables!$B$6*Variables!$E$50,OR(SUM(D171:D174)&gt;Variables!$B$5,SUM(E171:E174)&gt;Variables!$B$4)),Variables!$B$6*Variables!$E$50+Variables!$B$7*$G$1*Variables!$E$50*SUM(D171:D174),0)</f>
        <v>0</v>
      </c>
      <c r="L174" s="64">
        <f>IF(B174="Winter",Variables!$B$8*H173,0)</f>
        <v>0</v>
      </c>
      <c r="M174" s="64">
        <f>IF(AND(B174="Spring",AND(NOT(H173=0),H173&lt;(Variables!$B$9*Variables!$E$50))),(Variables!$B$10*Variables!$E$50+Variables!$B$11*Variables!$E$50*SUM(E171:E174)+$G$1*SUM(D173:D174)*Variables!$E$50*Variables!$B$12),0)</f>
        <v>0.52840432144992211</v>
      </c>
      <c r="N174" s="64">
        <f>IF(AND(B174="Spring",AND(SUM(D171:D174)&gt;Variables!$B$13,SUM(D167:D170)&gt;Variables!$B$13)),-Variables!$B$14*Variables!$E$50,0)</f>
        <v>0</v>
      </c>
      <c r="O174" s="64">
        <f>IF(AND(B174="Summer",SUM(C170:D174)&gt;Variables!$B$15),(Variables!$B$16*Variables!$E$50*SUM(C170:C174)+$G$1*Variables!$B$16*Variables!$E$50*SUM(D170:D174)+$G$1*Variables!$E$50*Variables!$B$17*F174),0)</f>
        <v>0</v>
      </c>
      <c r="P174" s="64">
        <f>IF(AND(AND(B174="Autumn",SUM(D173:E174)&gt;0),NOT(H173=0)),Variables!$B$18*Variables!$E$50+Variables!$B$19*Variables!$E$50*SUM(E173:E174)+$G$1*Variables!$B$19*Variables!$E$50*SUM(D173:D174),0)</f>
        <v>0</v>
      </c>
      <c r="Q174" s="64">
        <f>IF(AND(B174="Autumn",AND((E174+E173)&lt;Variables!$B$20,(D173+D174)=0)),-Variables!$B$21*Variables!$E$50,0)</f>
        <v>0</v>
      </c>
      <c r="R174" s="64">
        <f>IF(B174="Autumn",(SUM(F173:F174)*$G$1*Variables!$B$22*Variables!$E$50),0)</f>
        <v>0</v>
      </c>
      <c r="S174" s="64">
        <f>IF(B174="Spring",($G$1*Variables!$E$50*SUM('Guts (option 2)'!F173:F174)*Variables!$B$23),0)</f>
        <v>0</v>
      </c>
      <c r="T174" s="63">
        <f>IF((H173+SUM(J174:Q174))&lt;(Variables!$B$26*Variables!$E$50),$F$1*((Variables!$B$26*Variables!$E$50)-H173-SUM(J174:Q174)),0)</f>
        <v>0</v>
      </c>
      <c r="U174" s="64">
        <f>IF(AND(AND(B174="Autumn",SUM(D171:E174)&gt;Variables!$B$27),SUM(J174:Q174)&lt;Variables!$B$28*H173),$F$1*(Variables!$B$28*H173-SUM(J174:Q174)),0)</f>
        <v>0</v>
      </c>
      <c r="V174" s="96">
        <f>IF(AND((J174+K174)=0,(Q174+T174)=0),$H$1*H174*Variables!$I$23*0.25,0)</f>
        <v>15.463533539330189</v>
      </c>
      <c r="W174" s="97">
        <f>IF(AND((K174+J174)=0,(T174+Q174)=0),$I$1*H174*Variables!$Q$23*0.25,0)</f>
        <v>16.18622943456301</v>
      </c>
      <c r="X174" s="95">
        <f>IF(AND(NOT(K174=0),(H174-H173)&gt;0),(H174-H173)*(Variables!$M$5*$H$1+Variables!$U$5*$I$1),0)+IF(AND(NOT((J174+N174+Q174)=0),(H173-H174)&gt;0),(H173-H174)*(Variables!$M$4*$H$1+Variables!$U$4*$I$1),0)</f>
        <v>0</v>
      </c>
      <c r="Y174" s="95">
        <f>IF(SUM(T174,U173:U174)&gt;0,H174*Variables!$Y$11*0.25*(1-$J$1),0)</f>
        <v>0</v>
      </c>
      <c r="Z174" s="95">
        <f>IF(T174=0,H174*$J$1*Variables!$Y$5*0.25,0)</f>
        <v>5.215993025775421</v>
      </c>
      <c r="AA174" s="95">
        <f t="shared" si="5"/>
        <v>36.865755999668622</v>
      </c>
      <c r="AB174" s="91">
        <f>AA174/Variables!$E$49</f>
        <v>5.9460896773659062</v>
      </c>
    </row>
    <row r="175" spans="1:28" x14ac:dyDescent="0.25">
      <c r="A175" s="61">
        <f>'Water runs'!C182</f>
        <v>17957</v>
      </c>
      <c r="B175" s="61" t="str">
        <f>'Water runs'!B182</f>
        <v>Summer</v>
      </c>
      <c r="C175" s="54">
        <f>'Water runs'!D182/100</f>
        <v>1.0521190476190501</v>
      </c>
      <c r="D175" s="108">
        <f>VLOOKUP(ROW(D175)+4,'Water runs'!$BS$3:$CF$423,MATCH($B$1,Scenarios,0)+1)</f>
        <v>0</v>
      </c>
      <c r="E175" s="54">
        <f>IF(B175=Variables!$D$8,C175-Variables!$E$8,IF(B175=Variables!$D$9,C175-Variables!$E$9,IF(B175=Variables!$D$10,C175-Variables!$E$10,IF(B175=Variables!$D$11,C175-Variables!$E$11,"ELSE"))))</f>
        <v>-0.20625108843537165</v>
      </c>
      <c r="F175" s="108">
        <f>VLOOKUP(ROW(F175)+4,'Water runs'!$CH$3:$CU$423,MATCH($B$1,Scenarios,0)+1)</f>
        <v>0</v>
      </c>
      <c r="G175" s="65">
        <f>H175/Variables!$E$49</f>
        <v>0.38828732201802141</v>
      </c>
      <c r="H175" s="62">
        <f>IF((H174+I175)&gt;(1.1*Variables!$E$50),(1.1*Variables!$E$50),IF((H174+I175)&gt;0,H174+I175,0))</f>
        <v>2.4073813965117328</v>
      </c>
      <c r="I175" s="64">
        <f t="shared" si="4"/>
        <v>0</v>
      </c>
      <c r="J175" s="63">
        <f>IF(SUM(E171:E174)&lt;Variables!$B$3,-H174,0)</f>
        <v>0</v>
      </c>
      <c r="K175" s="64">
        <f>IF(AND(H174&lt;Variables!$B$6*Variables!$E$50,OR(SUM(D172:D175)&gt;Variables!$B$5,SUM(E172:E175)&gt;Variables!$B$4)),Variables!$B$6*Variables!$E$50+Variables!$B$7*$G$1*Variables!$E$50*SUM(D172:D175),0)</f>
        <v>0</v>
      </c>
      <c r="L175" s="64">
        <f>IF(B175="Winter",Variables!$B$8*H174,0)</f>
        <v>0</v>
      </c>
      <c r="M175" s="64">
        <f>IF(AND(B175="Spring",AND(NOT(H174=0),H174&lt;(Variables!$B$9*Variables!$E$50))),(Variables!$B$10*Variables!$E$50+Variables!$B$11*Variables!$E$50*SUM(E172:E175)+$G$1*SUM(D174:D175)*Variables!$E$50*Variables!$B$12),0)</f>
        <v>0</v>
      </c>
      <c r="N175" s="64">
        <f>IF(AND(B175="Spring",AND(SUM(D172:D175)&gt;Variables!$B$13,SUM(D168:D171)&gt;Variables!$B$13)),-Variables!$B$14*Variables!$E$50,0)</f>
        <v>0</v>
      </c>
      <c r="O175" s="64">
        <f>IF(AND(B175="Summer",SUM(C171:D175)&gt;Variables!$B$15),(Variables!$B$16*Variables!$E$50*SUM(C171:C175)+$G$1*Variables!$B$16*Variables!$E$50*SUM(D171:D175)+$G$1*Variables!$E$50*Variables!$B$17*F175),0)</f>
        <v>0</v>
      </c>
      <c r="P175" s="64">
        <f>IF(AND(AND(B175="Autumn",SUM(D174:E175)&gt;0),NOT(H174=0)),Variables!$B$18*Variables!$E$50+Variables!$B$19*Variables!$E$50*SUM(E174:E175)+$G$1*Variables!$B$19*Variables!$E$50*SUM(D174:D175),0)</f>
        <v>0</v>
      </c>
      <c r="Q175" s="64">
        <f>IF(AND(B175="Autumn",AND((E175+E174)&lt;Variables!$B$20,(D174+D175)=0)),-Variables!$B$21*Variables!$E$50,0)</f>
        <v>0</v>
      </c>
      <c r="R175" s="64">
        <f>IF(B175="Autumn",(SUM(F174:F175)*$G$1*Variables!$B$22*Variables!$E$50),0)</f>
        <v>0</v>
      </c>
      <c r="S175" s="64">
        <f>IF(B175="Spring",($G$1*Variables!$E$50*SUM('Guts (option 2)'!F174:F175)*Variables!$B$23),0)</f>
        <v>0</v>
      </c>
      <c r="T175" s="63">
        <f>IF((H174+SUM(J175:Q175))&lt;(Variables!$B$26*Variables!$E$50),$F$1*((Variables!$B$26*Variables!$E$50)-H174-SUM(J175:Q175)),0)</f>
        <v>0</v>
      </c>
      <c r="U175" s="64">
        <f>IF(AND(AND(B175="Autumn",SUM(D172:E175)&gt;Variables!$B$27),SUM(J175:Q175)&lt;Variables!$B$28*H174),$F$1*(Variables!$B$28*H174-SUM(J175:Q175)),0)</f>
        <v>0</v>
      </c>
      <c r="V175" s="96">
        <f>IF(AND((J175+K175)=0,(Q175+T175)=0),$H$1*H175*Variables!$I$23*0.25,0)</f>
        <v>15.463533539330189</v>
      </c>
      <c r="W175" s="97">
        <f>IF(AND((K175+J175)=0,(T175+Q175)=0),$I$1*H175*Variables!$Q$23*0.25,0)</f>
        <v>16.18622943456301</v>
      </c>
      <c r="X175" s="95">
        <f>IF(AND(NOT(K175=0),(H175-H174)&gt;0),(H175-H174)*(Variables!$M$5*$H$1+Variables!$U$5*$I$1),0)+IF(AND(NOT((J175+N175+Q175)=0),(H174-H175)&gt;0),(H174-H175)*(Variables!$M$4*$H$1+Variables!$U$4*$I$1),0)</f>
        <v>0</v>
      </c>
      <c r="Y175" s="95">
        <f>IF(SUM(T175,U174:U175)&gt;0,H175*Variables!$Y$11*0.25*(1-$J$1),0)</f>
        <v>0</v>
      </c>
      <c r="Z175" s="95">
        <f>IF(T175=0,H175*$J$1*Variables!$Y$5*0.25,0)</f>
        <v>5.215993025775421</v>
      </c>
      <c r="AA175" s="95">
        <f t="shared" si="5"/>
        <v>36.865755999668622</v>
      </c>
      <c r="AB175" s="91">
        <f>AA175/Variables!$E$49</f>
        <v>5.9460896773659062</v>
      </c>
    </row>
    <row r="176" spans="1:28" x14ac:dyDescent="0.25">
      <c r="A176" s="61">
        <f>'Water runs'!C183</f>
        <v>18049</v>
      </c>
      <c r="B176" s="61" t="str">
        <f>'Water runs'!B183</f>
        <v>Autumn</v>
      </c>
      <c r="C176" s="54">
        <f>'Water runs'!D183/100</f>
        <v>1.4872857142857101</v>
      </c>
      <c r="D176" s="108">
        <f>VLOOKUP(ROW(D176)+4,'Water runs'!$BS$3:$CF$423,MATCH($B$1,Scenarios,0)+1)</f>
        <v>4.0803965193706999E-2</v>
      </c>
      <c r="E176" s="54">
        <f>IF(B176=Variables!$D$8,C176-Variables!$E$8,IF(B176=Variables!$D$9,C176-Variables!$E$9,IF(B176=Variables!$D$10,C176-Variables!$E$10,IF(B176=Variables!$D$11,C176-Variables!$E$11,"ELSE"))))</f>
        <v>0.49264241496598227</v>
      </c>
      <c r="F176" s="108">
        <f>VLOOKUP(ROW(F176)+4,'Water runs'!$CH$3:$CU$423,MATCH($B$1,Scenarios,0)+1)</f>
        <v>0</v>
      </c>
      <c r="G176" s="65">
        <f>H176/Variables!$E$49</f>
        <v>0.55904216982289268</v>
      </c>
      <c r="H176" s="62">
        <f>IF((H175+I176)&gt;(1.1*Variables!$E$50),(1.1*Variables!$E$50),IF((H175+I176)&gt;0,H175+I176,0))</f>
        <v>3.4660614529019345</v>
      </c>
      <c r="I176" s="64">
        <f t="shared" si="4"/>
        <v>1.0586800563902017</v>
      </c>
      <c r="J176" s="63">
        <f>IF(SUM(E172:E175)&lt;Variables!$B$3,-H175,0)</f>
        <v>0</v>
      </c>
      <c r="K176" s="64">
        <f>IF(AND(H175&lt;Variables!$B$6*Variables!$E$50,OR(SUM(D173:D176)&gt;Variables!$B$5,SUM(E173:E176)&gt;Variables!$B$4)),Variables!$B$6*Variables!$E$50+Variables!$B$7*$G$1*Variables!$E$50*SUM(D173:D176),0)</f>
        <v>0</v>
      </c>
      <c r="L176" s="64">
        <f>IF(B176="Winter",Variables!$B$8*H175,0)</f>
        <v>0</v>
      </c>
      <c r="M176" s="64">
        <f>IF(AND(B176="Spring",AND(NOT(H175=0),H175&lt;(Variables!$B$9*Variables!$E$50))),(Variables!$B$10*Variables!$E$50+Variables!$B$11*Variables!$E$50*SUM(E173:E176)+$G$1*SUM(D175:D176)*Variables!$E$50*Variables!$B$12),0)</f>
        <v>0</v>
      </c>
      <c r="N176" s="64">
        <f>IF(AND(B176="Spring",AND(SUM(D173:D176)&gt;Variables!$B$13,SUM(D169:D172)&gt;Variables!$B$13)),-Variables!$B$14*Variables!$E$50,0)</f>
        <v>0</v>
      </c>
      <c r="O176" s="64">
        <f>IF(AND(B176="Summer",SUM(C172:D176)&gt;Variables!$B$15),(Variables!$B$16*Variables!$E$50*SUM(C172:C176)+$G$1*Variables!$B$16*Variables!$E$50*SUM(D172:D176)+$G$1*Variables!$E$50*Variables!$B$17*F176),0)</f>
        <v>0</v>
      </c>
      <c r="P176" s="64">
        <f>IF(AND(AND(B176="Autumn",SUM(D175:E176)&gt;0),NOT(H175=0)),Variables!$B$18*Variables!$E$50+Variables!$B$19*Variables!$E$50*SUM(E175:E176)+$G$1*Variables!$B$19*Variables!$E$50*SUM(D175:D176),0)</f>
        <v>1.0586800563902017</v>
      </c>
      <c r="Q176" s="64">
        <f>IF(AND(B176="Autumn",AND((E176+E175)&lt;Variables!$B$20,(D175+D176)=0)),-Variables!$B$21*Variables!$E$50,0)</f>
        <v>0</v>
      </c>
      <c r="R176" s="64">
        <f>IF(B176="Autumn",(SUM(F175:F176)*$G$1*Variables!$B$22*Variables!$E$50),0)</f>
        <v>0</v>
      </c>
      <c r="S176" s="64">
        <f>IF(B176="Spring",($G$1*Variables!$E$50*SUM('Guts (option 2)'!F175:F176)*Variables!$B$23),0)</f>
        <v>0</v>
      </c>
      <c r="T176" s="63">
        <f>IF((H175+SUM(J176:Q176))&lt;(Variables!$B$26*Variables!$E$50),$F$1*((Variables!$B$26*Variables!$E$50)-H175-SUM(J176:Q176)),0)</f>
        <v>0</v>
      </c>
      <c r="U176" s="64">
        <f>IF(AND(AND(B176="Autumn",SUM(D173:E176)&gt;Variables!$B$27),SUM(J176:Q176)&lt;Variables!$B$28*H175),$F$1*(Variables!$B$28*H175-SUM(J176:Q176)),0)</f>
        <v>0</v>
      </c>
      <c r="V176" s="96">
        <f>IF(AND((J176+K176)=0,(Q176+T176)=0),$H$1*H176*Variables!$I$23*0.25,0)</f>
        <v>22.263841368879405</v>
      </c>
      <c r="W176" s="97">
        <f>IF(AND((K176+J176)=0,(T176+Q176)=0),$I$1*H176*Variables!$Q$23*0.25,0)</f>
        <v>23.304353017040562</v>
      </c>
      <c r="X176" s="95">
        <f>IF(AND(NOT(K176=0),(H176-H175)&gt;0),(H176-H175)*(Variables!$M$5*$H$1+Variables!$U$5*$I$1),0)+IF(AND(NOT((J176+N176+Q176)=0),(H175-H176)&gt;0),(H175-H176)*(Variables!$M$4*$H$1+Variables!$U$4*$I$1),0)</f>
        <v>0</v>
      </c>
      <c r="Y176" s="95">
        <f>IF(SUM(T176,U175:U176)&gt;0,H176*Variables!$Y$11*0.25*(1-$J$1),0)</f>
        <v>0</v>
      </c>
      <c r="Z176" s="95">
        <f>IF(T176=0,H176*$J$1*Variables!$Y$5*0.25,0)</f>
        <v>7.509799814620858</v>
      </c>
      <c r="AA176" s="95">
        <f t="shared" si="5"/>
        <v>53.077994200540822</v>
      </c>
      <c r="AB176" s="91">
        <f>AA176/Variables!$E$49</f>
        <v>8.5609668065388416</v>
      </c>
    </row>
    <row r="177" spans="1:28" x14ac:dyDescent="0.25">
      <c r="A177" s="61">
        <f>'Water runs'!C184</f>
        <v>18141</v>
      </c>
      <c r="B177" s="61" t="str">
        <f>'Water runs'!B184</f>
        <v>Winter</v>
      </c>
      <c r="C177" s="54">
        <f>'Water runs'!D184/100</f>
        <v>0.38614285714285701</v>
      </c>
      <c r="D177" s="108">
        <f>VLOOKUP(ROW(D177)+4,'Water runs'!$BS$3:$CF$423,MATCH($B$1,Scenarios,0)+1)</f>
        <v>0</v>
      </c>
      <c r="E177" s="54">
        <f>IF(B177=Variables!$D$8,C177-Variables!$E$8,IF(B177=Variables!$D$9,C177-Variables!$E$9,IF(B177=Variables!$D$10,C177-Variables!$E$10,IF(B177=Variables!$D$11,C177-Variables!$E$11,"ELSE"))))</f>
        <v>-0.18562476851851872</v>
      </c>
      <c r="F177" s="108">
        <f>VLOOKUP(ROW(F177)+4,'Water runs'!$CH$3:$CU$423,MATCH($B$1,Scenarios,0)+1)</f>
        <v>0</v>
      </c>
      <c r="G177" s="65">
        <f>H177/Variables!$E$49</f>
        <v>0.28066977885868738</v>
      </c>
      <c r="H177" s="62">
        <f>IF((H176+I177)&gt;(1.1*Variables!$E$50),(1.1*Variables!$E$50),IF((H176+I177)&gt;0,H176+I177,0))</f>
        <v>1.7401526289238618</v>
      </c>
      <c r="I177" s="64">
        <f t="shared" si="4"/>
        <v>-1.7259088239780727</v>
      </c>
      <c r="J177" s="63">
        <f>IF(SUM(E173:E176)&lt;Variables!$B$3,-H176,0)</f>
        <v>0</v>
      </c>
      <c r="K177" s="64">
        <f>IF(AND(H176&lt;Variables!$B$6*Variables!$E$50,OR(SUM(D174:D177)&gt;Variables!$B$5,SUM(E174:E177)&gt;Variables!$B$4)),Variables!$B$6*Variables!$E$50+Variables!$B$7*$G$1*Variables!$E$50*SUM(D174:D177),0)</f>
        <v>0</v>
      </c>
      <c r="L177" s="64">
        <f>IF(B177="Winter",Variables!$B$8*H176,0)</f>
        <v>-1.7259088239780727</v>
      </c>
      <c r="M177" s="64">
        <f>IF(AND(B177="Spring",AND(NOT(H176=0),H176&lt;(Variables!$B$9*Variables!$E$50))),(Variables!$B$10*Variables!$E$50+Variables!$B$11*Variables!$E$50*SUM(E174:E177)+$G$1*SUM(D176:D177)*Variables!$E$50*Variables!$B$12),0)</f>
        <v>0</v>
      </c>
      <c r="N177" s="64">
        <f>IF(AND(B177="Spring",AND(SUM(D174:D177)&gt;Variables!$B$13,SUM(D170:D173)&gt;Variables!$B$13)),-Variables!$B$14*Variables!$E$50,0)</f>
        <v>0</v>
      </c>
      <c r="O177" s="64">
        <f>IF(AND(B177="Summer",SUM(C173:D177)&gt;Variables!$B$15),(Variables!$B$16*Variables!$E$50*SUM(C173:C177)+$G$1*Variables!$B$16*Variables!$E$50*SUM(D173:D177)+$G$1*Variables!$E$50*Variables!$B$17*F177),0)</f>
        <v>0</v>
      </c>
      <c r="P177" s="64">
        <f>IF(AND(AND(B177="Autumn",SUM(D176:E177)&gt;0),NOT(H176=0)),Variables!$B$18*Variables!$E$50+Variables!$B$19*Variables!$E$50*SUM(E176:E177)+$G$1*Variables!$B$19*Variables!$E$50*SUM(D176:D177),0)</f>
        <v>0</v>
      </c>
      <c r="Q177" s="64">
        <f>IF(AND(B177="Autumn",AND((E177+E176)&lt;Variables!$B$20,(D176+D177)=0)),-Variables!$B$21*Variables!$E$50,0)</f>
        <v>0</v>
      </c>
      <c r="R177" s="64">
        <f>IF(B177="Autumn",(SUM(F176:F177)*$G$1*Variables!$B$22*Variables!$E$50),0)</f>
        <v>0</v>
      </c>
      <c r="S177" s="64">
        <f>IF(B177="Spring",($G$1*Variables!$E$50*SUM('Guts (option 2)'!F176:F177)*Variables!$B$23),0)</f>
        <v>0</v>
      </c>
      <c r="T177" s="63">
        <f>IF((H176+SUM(J177:Q177))&lt;(Variables!$B$26*Variables!$E$50),$F$1*((Variables!$B$26*Variables!$E$50)-H176-SUM(J177:Q177)),0)</f>
        <v>0</v>
      </c>
      <c r="U177" s="64">
        <f>IF(AND(AND(B177="Autumn",SUM(D174:E177)&gt;Variables!$B$27),SUM(J177:Q177)&lt;Variables!$B$28*H176),$F$1*(Variables!$B$28*H176-SUM(J177:Q177)),0)</f>
        <v>0</v>
      </c>
      <c r="V177" s="96">
        <f>IF(AND((J177+K177)=0,(Q177+T177)=0),$H$1*H177*Variables!$I$23*0.25,0)</f>
        <v>11.177667394085718</v>
      </c>
      <c r="W177" s="97">
        <f>IF(AND((K177+J177)=0,(T177+Q177)=0),$I$1*H177*Variables!$Q$23*0.25,0)</f>
        <v>11.700061213288661</v>
      </c>
      <c r="X177" s="95">
        <f>IF(AND(NOT(K177=0),(H177-H176)&gt;0),(H177-H176)*(Variables!$M$5*$H$1+Variables!$U$5*$I$1),0)+IF(AND(NOT((J177+N177+Q177)=0),(H176-H177)&gt;0),(H176-H177)*(Variables!$M$4*$H$1+Variables!$U$4*$I$1),0)</f>
        <v>0</v>
      </c>
      <c r="Y177" s="95">
        <f>IF(SUM(T177,U176:U177)&gt;0,H177*Variables!$Y$11*0.25*(1-$J$1),0)</f>
        <v>0</v>
      </c>
      <c r="Z177" s="95">
        <f>IF(T177=0,H177*$J$1*Variables!$Y$5*0.25,0)</f>
        <v>3.7703306960017007</v>
      </c>
      <c r="AA177" s="95">
        <f t="shared" si="5"/>
        <v>26.64805930337608</v>
      </c>
      <c r="AB177" s="91">
        <f>AA177/Variables!$E$49</f>
        <v>4.2980740811896903</v>
      </c>
    </row>
    <row r="178" spans="1:28" x14ac:dyDescent="0.25">
      <c r="A178" s="61">
        <f>'Water runs'!C185</f>
        <v>18232</v>
      </c>
      <c r="B178" s="61" t="str">
        <f>'Water runs'!B185</f>
        <v>Spring</v>
      </c>
      <c r="C178" s="54">
        <f>'Water runs'!D185/100</f>
        <v>1.1365714285714299</v>
      </c>
      <c r="D178" s="108">
        <f>VLOOKUP(ROW(D178)+4,'Water runs'!$BS$3:$CF$423,MATCH($B$1,Scenarios,0)+1)</f>
        <v>0.15117617716688175</v>
      </c>
      <c r="E178" s="54">
        <f>IF(B178=Variables!$D$8,C178-Variables!$E$8,IF(B178=Variables!$D$9,C178-Variables!$E$9,IF(B178=Variables!$D$10,C178-Variables!$E$10,IF(B178=Variables!$D$11,C178-Variables!$E$11,"ELSE"))))</f>
        <v>0.37258921957672075</v>
      </c>
      <c r="F178" s="108">
        <f>VLOOKUP(ROW(F178)+4,'Water runs'!$CH$3:$CU$423,MATCH($B$1,Scenarios,0)+1)</f>
        <v>0.12698437834028772</v>
      </c>
      <c r="G178" s="65">
        <f>H178/Variables!$E$49</f>
        <v>0.34431473019254027</v>
      </c>
      <c r="H178" s="62">
        <f>IF((H177+I178)&gt;(1.1*Variables!$E$50),(1.1*Variables!$E$50),IF((H177+I178)&gt;0,H177+I178,0))</f>
        <v>2.1347513271937499</v>
      </c>
      <c r="I178" s="64">
        <f t="shared" si="4"/>
        <v>0.39459869826988836</v>
      </c>
      <c r="J178" s="63">
        <f>IF(SUM(E174:E177)&lt;Variables!$B$3,-H177,0)</f>
        <v>0</v>
      </c>
      <c r="K178" s="64">
        <f>IF(AND(H177&lt;Variables!$B$6*Variables!$E$50,OR(SUM(D175:D178)&gt;Variables!$B$5,SUM(E175:E178)&gt;Variables!$B$4)),Variables!$B$6*Variables!$E$50+Variables!$B$7*$G$1*Variables!$E$50*SUM(D175:D178),0)</f>
        <v>0</v>
      </c>
      <c r="L178" s="64">
        <f>IF(B178="Winter",Variables!$B$8*H177,0)</f>
        <v>0</v>
      </c>
      <c r="M178" s="64">
        <f>IF(AND(B178="Spring",AND(NOT(H177=0),H177&lt;(Variables!$B$9*Variables!$E$50))),(Variables!$B$10*Variables!$E$50+Variables!$B$11*Variables!$E$50*SUM(E175:E178)+$G$1*SUM(D177:D178)*Variables!$E$50*Variables!$B$12),0)</f>
        <v>0.37834960266665507</v>
      </c>
      <c r="N178" s="64">
        <f>IF(AND(B178="Spring",AND(SUM(D175:D178)&gt;Variables!$B$13,SUM(D171:D174)&gt;Variables!$B$13)),-Variables!$B$14*Variables!$E$50,0)</f>
        <v>0</v>
      </c>
      <c r="O178" s="64">
        <f>IF(AND(B178="Summer",SUM(C174:D178)&gt;Variables!$B$15),(Variables!$B$16*Variables!$E$50*SUM(C174:C178)+$G$1*Variables!$B$16*Variables!$E$50*SUM(D174:D178)+$G$1*Variables!$E$50*Variables!$B$17*F178),0)</f>
        <v>0</v>
      </c>
      <c r="P178" s="64">
        <f>IF(AND(AND(B178="Autumn",SUM(D177:E178)&gt;0),NOT(H177=0)),Variables!$B$18*Variables!$E$50+Variables!$B$19*Variables!$E$50*SUM(E177:E178)+$G$1*Variables!$B$19*Variables!$E$50*SUM(D177:D178),0)</f>
        <v>0</v>
      </c>
      <c r="Q178" s="64">
        <f>IF(AND(B178="Autumn",AND((E178+E177)&lt;Variables!$B$20,(D177+D178)=0)),-Variables!$B$21*Variables!$E$50,0)</f>
        <v>0</v>
      </c>
      <c r="R178" s="64">
        <f>IF(B178="Autumn",(SUM(F177:F178)*$G$1*Variables!$B$22*Variables!$E$50),0)</f>
        <v>0</v>
      </c>
      <c r="S178" s="64">
        <f>IF(B178="Spring",($G$1*Variables!$E$50*SUM('Guts (option 2)'!F177:F178)*Variables!$B$23),0)</f>
        <v>1.6249095603233302E-2</v>
      </c>
      <c r="T178" s="63">
        <f>IF((H177+SUM(J178:Q178))&lt;(Variables!$B$26*Variables!$E$50),$F$1*((Variables!$B$26*Variables!$E$50)-H177-SUM(J178:Q178)),0)</f>
        <v>0</v>
      </c>
      <c r="U178" s="64">
        <f>IF(AND(AND(B178="Autumn",SUM(D175:E178)&gt;Variables!$B$27),SUM(J178:Q178)&lt;Variables!$B$28*H177),$F$1*(Variables!$B$28*H177-SUM(J178:Q178)),0)</f>
        <v>0</v>
      </c>
      <c r="V178" s="96">
        <f>IF(AND((J178+K178)=0,(Q178+T178)=0),$H$1*H178*Variables!$I$23*0.25,0)</f>
        <v>13.712326095907548</v>
      </c>
      <c r="W178" s="97">
        <f>IF(AND((K178+J178)=0,(T178+Q178)=0),$I$1*H178*Variables!$Q$23*0.25,0)</f>
        <v>14.353178444331109</v>
      </c>
      <c r="X178" s="95">
        <f>IF(AND(NOT(K178=0),(H178-H177)&gt;0),(H178-H177)*(Variables!$M$5*$H$1+Variables!$U$5*$I$1),0)+IF(AND(NOT((J178+N178+Q178)=0),(H177-H178)&gt;0),(H177-H178)*(Variables!$M$4*$H$1+Variables!$U$4*$I$1),0)</f>
        <v>0</v>
      </c>
      <c r="Y178" s="95">
        <f>IF(SUM(T178,U177:U178)&gt;0,H178*Variables!$Y$11*0.25*(1-$J$1),0)</f>
        <v>0</v>
      </c>
      <c r="Z178" s="95">
        <f>IF(T178=0,H178*$J$1*Variables!$Y$5*0.25,0)</f>
        <v>4.6252945422531244</v>
      </c>
      <c r="AA178" s="95">
        <f t="shared" si="5"/>
        <v>32.690799082491779</v>
      </c>
      <c r="AB178" s="91">
        <f>AA178/Variables!$E$49</f>
        <v>5.2727095294341577</v>
      </c>
    </row>
    <row r="179" spans="1:28" x14ac:dyDescent="0.25">
      <c r="A179" s="61">
        <f>'Water runs'!C186</f>
        <v>18322</v>
      </c>
      <c r="B179" s="61" t="str">
        <f>'Water runs'!B186</f>
        <v>Summer</v>
      </c>
      <c r="C179" s="54">
        <f>'Water runs'!D186/100</f>
        <v>1.7350000000000001</v>
      </c>
      <c r="D179" s="108">
        <f>VLOOKUP(ROW(D179)+4,'Water runs'!$BS$3:$CF$423,MATCH($B$1,Scenarios,0)+1)</f>
        <v>1.6124434872801845E-2</v>
      </c>
      <c r="E179" s="54">
        <f>IF(B179=Variables!$D$8,C179-Variables!$E$8,IF(B179=Variables!$D$9,C179-Variables!$E$9,IF(B179=Variables!$D$10,C179-Variables!$E$10,IF(B179=Variables!$D$11,C179-Variables!$E$11,"ELSE"))))</f>
        <v>0.47662986394557838</v>
      </c>
      <c r="F179" s="108">
        <f>VLOOKUP(ROW(F179)+4,'Water runs'!$CH$3:$CU$423,MATCH($B$1,Scenarios,0)+1)</f>
        <v>0</v>
      </c>
      <c r="G179" s="65">
        <f>H179/Variables!$E$49</f>
        <v>0.34431473019254027</v>
      </c>
      <c r="H179" s="62">
        <f>IF((H178+I179)&gt;(1.1*Variables!$E$50),(1.1*Variables!$E$50),IF((H178+I179)&gt;0,H178+I179,0))</f>
        <v>2.1347513271937499</v>
      </c>
      <c r="I179" s="64">
        <f t="shared" si="4"/>
        <v>0</v>
      </c>
      <c r="J179" s="63">
        <f>IF(SUM(E175:E178)&lt;Variables!$B$3,-H178,0)</f>
        <v>0</v>
      </c>
      <c r="K179" s="64">
        <f>IF(AND(H178&lt;Variables!$B$6*Variables!$E$50,OR(SUM(D176:D179)&gt;Variables!$B$5,SUM(E176:E179)&gt;Variables!$B$4)),Variables!$B$6*Variables!$E$50+Variables!$B$7*$G$1*Variables!$E$50*SUM(D176:D179),0)</f>
        <v>0</v>
      </c>
      <c r="L179" s="64">
        <f>IF(B179="Winter",Variables!$B$8*H178,0)</f>
        <v>0</v>
      </c>
      <c r="M179" s="64">
        <f>IF(AND(B179="Spring",AND(NOT(H178=0),H178&lt;(Variables!$B$9*Variables!$E$50))),(Variables!$B$10*Variables!$E$50+Variables!$B$11*Variables!$E$50*SUM(E176:E179)+$G$1*SUM(D178:D179)*Variables!$E$50*Variables!$B$12),0)</f>
        <v>0</v>
      </c>
      <c r="N179" s="64">
        <f>IF(AND(B179="Spring",AND(SUM(D176:D179)&gt;Variables!$B$13,SUM(D172:D175)&gt;Variables!$B$13)),-Variables!$B$14*Variables!$E$50,0)</f>
        <v>0</v>
      </c>
      <c r="O179" s="64">
        <f>IF(AND(B179="Summer",SUM(C175:D179)&gt;Variables!$B$15),(Variables!$B$16*Variables!$E$50*SUM(C175:C179)+$G$1*Variables!$B$16*Variables!$E$50*SUM(D175:D179)+$G$1*Variables!$E$50*Variables!$B$17*F179),0)</f>
        <v>0</v>
      </c>
      <c r="P179" s="64">
        <f>IF(AND(AND(B179="Autumn",SUM(D178:E179)&gt;0),NOT(H178=0)),Variables!$B$18*Variables!$E$50+Variables!$B$19*Variables!$E$50*SUM(E178:E179)+$G$1*Variables!$B$19*Variables!$E$50*SUM(D178:D179),0)</f>
        <v>0</v>
      </c>
      <c r="Q179" s="64">
        <f>IF(AND(B179="Autumn",AND((E179+E178)&lt;Variables!$B$20,(D178+D179)=0)),-Variables!$B$21*Variables!$E$50,0)</f>
        <v>0</v>
      </c>
      <c r="R179" s="64">
        <f>IF(B179="Autumn",(SUM(F178:F179)*$G$1*Variables!$B$22*Variables!$E$50),0)</f>
        <v>0</v>
      </c>
      <c r="S179" s="64">
        <f>IF(B179="Spring",($G$1*Variables!$E$50*SUM('Guts (option 2)'!F178:F179)*Variables!$B$23),0)</f>
        <v>0</v>
      </c>
      <c r="T179" s="63">
        <f>IF((H178+SUM(J179:Q179))&lt;(Variables!$B$26*Variables!$E$50),$F$1*((Variables!$B$26*Variables!$E$50)-H178-SUM(J179:Q179)),0)</f>
        <v>0</v>
      </c>
      <c r="U179" s="64">
        <f>IF(AND(AND(B179="Autumn",SUM(D176:E179)&gt;Variables!$B$27),SUM(J179:Q179)&lt;Variables!$B$28*H178),$F$1*(Variables!$B$28*H178-SUM(J179:Q179)),0)</f>
        <v>0</v>
      </c>
      <c r="V179" s="96">
        <f>IF(AND((J179+K179)=0,(Q179+T179)=0),$H$1*H179*Variables!$I$23*0.25,0)</f>
        <v>13.712326095907548</v>
      </c>
      <c r="W179" s="97">
        <f>IF(AND((K179+J179)=0,(T179+Q179)=0),$I$1*H179*Variables!$Q$23*0.25,0)</f>
        <v>14.353178444331109</v>
      </c>
      <c r="X179" s="95">
        <f>IF(AND(NOT(K179=0),(H179-H178)&gt;0),(H179-H178)*(Variables!$M$5*$H$1+Variables!$U$5*$I$1),0)+IF(AND(NOT((J179+N179+Q179)=0),(H178-H179)&gt;0),(H178-H179)*(Variables!$M$4*$H$1+Variables!$U$4*$I$1),0)</f>
        <v>0</v>
      </c>
      <c r="Y179" s="95">
        <f>IF(SUM(T179,U178:U179)&gt;0,H179*Variables!$Y$11*0.25*(1-$J$1),0)</f>
        <v>0</v>
      </c>
      <c r="Z179" s="95">
        <f>IF(T179=0,H179*$J$1*Variables!$Y$5*0.25,0)</f>
        <v>4.6252945422531244</v>
      </c>
      <c r="AA179" s="95">
        <f t="shared" si="5"/>
        <v>32.690799082491779</v>
      </c>
      <c r="AB179" s="91">
        <f>AA179/Variables!$E$49</f>
        <v>5.2727095294341577</v>
      </c>
    </row>
    <row r="180" spans="1:28" x14ac:dyDescent="0.25">
      <c r="A180" s="61">
        <f>'Water runs'!C187</f>
        <v>18414</v>
      </c>
      <c r="B180" s="61" t="str">
        <f>'Water runs'!B187</f>
        <v>Autumn</v>
      </c>
      <c r="C180" s="54">
        <f>'Water runs'!D187/100</f>
        <v>2.2694285714285702</v>
      </c>
      <c r="D180" s="108">
        <f>VLOOKUP(ROW(D180)+4,'Water runs'!$BS$3:$CF$423,MATCH($B$1,Scenarios,0)+1)</f>
        <v>0.32417042098512261</v>
      </c>
      <c r="E180" s="54">
        <f>IF(B180=Variables!$D$8,C180-Variables!$E$8,IF(B180=Variables!$D$9,C180-Variables!$E$9,IF(B180=Variables!$D$10,C180-Variables!$E$10,IF(B180=Variables!$D$11,C180-Variables!$E$11,"ELSE"))))</f>
        <v>1.2747852721088424</v>
      </c>
      <c r="F180" s="108">
        <f>VLOOKUP(ROW(F180)+4,'Water runs'!$CH$3:$CU$423,MATCH($B$1,Scenarios,0)+1)</f>
        <v>0.28368870695729975</v>
      </c>
      <c r="G180" s="65">
        <f>H180/Variables!$E$49</f>
        <v>1.1164070297199327</v>
      </c>
      <c r="H180" s="62">
        <f>IF((H179+I180)&gt;(1.1*Variables!$E$50),(1.1*Variables!$E$50),IF((H179+I180)&gt;0,H179+I180,0))</f>
        <v>6.9217235842635825</v>
      </c>
      <c r="I180" s="64">
        <f t="shared" si="4"/>
        <v>4.7869722570698325</v>
      </c>
      <c r="J180" s="63">
        <f>IF(SUM(E176:E179)&lt;Variables!$B$3,-H179,0)</f>
        <v>0</v>
      </c>
      <c r="K180" s="64">
        <f>IF(AND(H179&lt;Variables!$B$6*Variables!$E$50,OR(SUM(D177:D180)&gt;Variables!$B$5,SUM(E177:E180)&gt;Variables!$B$4)),Variables!$B$6*Variables!$E$50+Variables!$B$7*$G$1*Variables!$E$50*SUM(D177:D180),0)</f>
        <v>0</v>
      </c>
      <c r="L180" s="64">
        <f>IF(B180="Winter",Variables!$B$8*H179,0)</f>
        <v>0</v>
      </c>
      <c r="M180" s="64">
        <f>IF(AND(B180="Spring",AND(NOT(H179=0),H179&lt;(Variables!$B$9*Variables!$E$50))),(Variables!$B$10*Variables!$E$50+Variables!$B$11*Variables!$E$50*SUM(E177:E180)+$G$1*SUM(D179:D180)*Variables!$E$50*Variables!$B$12),0)</f>
        <v>0</v>
      </c>
      <c r="N180" s="64">
        <f>IF(AND(B180="Spring",AND(SUM(D177:D180)&gt;Variables!$B$13,SUM(D173:D176)&gt;Variables!$B$13)),-Variables!$B$14*Variables!$E$50,0)</f>
        <v>0</v>
      </c>
      <c r="O180" s="64">
        <f>IF(AND(B180="Summer",SUM(C176:D180)&gt;Variables!$B$15),(Variables!$B$16*Variables!$E$50*SUM(C176:C180)+$G$1*Variables!$B$16*Variables!$E$50*SUM(D176:D180)+$G$1*Variables!$E$50*Variables!$B$17*F180),0)</f>
        <v>0</v>
      </c>
      <c r="P180" s="64">
        <f>IF(AND(AND(B180="Autumn",SUM(D179:E180)&gt;0),NOT(H179=0)),Variables!$B$18*Variables!$E$50+Variables!$B$19*Variables!$E$50*SUM(E179:E180)+$G$1*Variables!$B$19*Variables!$E$50*SUM(D179:D180),0)</f>
        <v>4.7470029857512932</v>
      </c>
      <c r="Q180" s="64">
        <f>IF(AND(B180="Autumn",AND((E180+E179)&lt;Variables!$B$20,(D179+D180)=0)),-Variables!$B$21*Variables!$E$50,0)</f>
        <v>0</v>
      </c>
      <c r="R180" s="64">
        <f>IF(B180="Autumn",(SUM(F179:F180)*$G$1*Variables!$B$22*Variables!$E$50),0)</f>
        <v>3.9969271318539307E-2</v>
      </c>
      <c r="S180" s="64">
        <f>IF(B180="Spring",($G$1*Variables!$E$50*SUM('Guts (option 2)'!F179:F180)*Variables!$B$23),0)</f>
        <v>0</v>
      </c>
      <c r="T180" s="63">
        <f>IF((H179+SUM(J180:Q180))&lt;(Variables!$B$26*Variables!$E$50),$F$1*((Variables!$B$26*Variables!$E$50)-H179-SUM(J180:Q180)),0)</f>
        <v>0</v>
      </c>
      <c r="U180" s="64">
        <f>IF(AND(AND(B180="Autumn",SUM(D177:E180)&gt;Variables!$B$27),SUM(J180:Q180)&lt;Variables!$B$28*H179),$F$1*(Variables!$B$28*H179-SUM(J180:Q180)),0)</f>
        <v>0</v>
      </c>
      <c r="V180" s="96">
        <f>IF(AND((J180+K180)=0,(Q180+T180)=0),$H$1*H180*Variables!$I$23*0.25,0)</f>
        <v>44.46088390909896</v>
      </c>
      <c r="W180" s="97">
        <f>IF(AND((K180+J180)=0,(T180+Q180)=0),$I$1*H180*Variables!$Q$23*0.25,0)</f>
        <v>46.538785329094878</v>
      </c>
      <c r="X180" s="95">
        <f>IF(AND(NOT(K180=0),(H180-H179)&gt;0),(H180-H179)*(Variables!$M$5*$H$1+Variables!$U$5*$I$1),0)+IF(AND(NOT((J180+N180+Q180)=0),(H179-H180)&gt;0),(H179-H180)*(Variables!$M$4*$H$1+Variables!$U$4*$I$1),0)</f>
        <v>0</v>
      </c>
      <c r="Y180" s="95">
        <f>IF(SUM(T180,U179:U180)&gt;0,H180*Variables!$Y$11*0.25*(1-$J$1),0)</f>
        <v>0</v>
      </c>
      <c r="Z180" s="95">
        <f>IF(T180=0,H180*$J$1*Variables!$Y$5*0.25,0)</f>
        <v>14.997067765904429</v>
      </c>
      <c r="AA180" s="95">
        <f t="shared" si="5"/>
        <v>105.99673700409826</v>
      </c>
      <c r="AB180" s="91">
        <f>AA180/Variables!$E$49</f>
        <v>17.096247903886816</v>
      </c>
    </row>
    <row r="181" spans="1:28" x14ac:dyDescent="0.25">
      <c r="A181" s="61">
        <f>'Water runs'!C188</f>
        <v>18506</v>
      </c>
      <c r="B181" s="61" t="str">
        <f>'Water runs'!B188</f>
        <v>Winter</v>
      </c>
      <c r="C181" s="54">
        <f>'Water runs'!D188/100</f>
        <v>2.0548333333333302</v>
      </c>
      <c r="D181" s="108">
        <f>VLOOKUP(ROW(D181)+4,'Water runs'!$BS$3:$CF$423,MATCH($B$1,Scenarios,0)+1)</f>
        <v>1.1345592601683308</v>
      </c>
      <c r="E181" s="54">
        <f>IF(B181=Variables!$D$8,C181-Variables!$E$8,IF(B181=Variables!$D$9,C181-Variables!$E$9,IF(B181=Variables!$D$10,C181-Variables!$E$10,IF(B181=Variables!$D$11,C181-Variables!$E$11,"ELSE"))))</f>
        <v>1.4830657076719544</v>
      </c>
      <c r="F181" s="108">
        <f>VLOOKUP(ROW(F181)+4,'Water runs'!$CH$3:$CU$423,MATCH($B$1,Scenarios,0)+1)</f>
        <v>1.602199146469885</v>
      </c>
      <c r="G181" s="65">
        <f>H181/Variables!$E$49</f>
        <v>0.56049745629573111</v>
      </c>
      <c r="H181" s="62">
        <f>IF((H180+I181)&gt;(1.1*Variables!$E$50),(1.1*Variables!$E$50),IF((H180+I181)&gt;0,H180+I181,0))</f>
        <v>3.4750842290335333</v>
      </c>
      <c r="I181" s="64">
        <f t="shared" si="4"/>
        <v>-3.4466393552300492</v>
      </c>
      <c r="J181" s="63">
        <f>IF(SUM(E177:E180)&lt;Variables!$B$3,-H180,0)</f>
        <v>0</v>
      </c>
      <c r="K181" s="64">
        <f>IF(AND(H180&lt;Variables!$B$6*Variables!$E$50,OR(SUM(D178:D181)&gt;Variables!$B$5,SUM(E178:E181)&gt;Variables!$B$4)),Variables!$B$6*Variables!$E$50+Variables!$B$7*$G$1*Variables!$E$50*SUM(D178:D181),0)</f>
        <v>0</v>
      </c>
      <c r="L181" s="64">
        <f>IF(B181="Winter",Variables!$B$8*H180,0)</f>
        <v>-3.4466393552300492</v>
      </c>
      <c r="M181" s="64">
        <f>IF(AND(B181="Spring",AND(NOT(H180=0),H180&lt;(Variables!$B$9*Variables!$E$50))),(Variables!$B$10*Variables!$E$50+Variables!$B$11*Variables!$E$50*SUM(E178:E181)+$G$1*SUM(D180:D181)*Variables!$E$50*Variables!$B$12),0)</f>
        <v>0</v>
      </c>
      <c r="N181" s="64">
        <f>IF(AND(B181="Spring",AND(SUM(D178:D181)&gt;Variables!$B$13,SUM(D174:D177)&gt;Variables!$B$13)),-Variables!$B$14*Variables!$E$50,0)</f>
        <v>0</v>
      </c>
      <c r="O181" s="64">
        <f>IF(AND(B181="Summer",SUM(C177:D181)&gt;Variables!$B$15),(Variables!$B$16*Variables!$E$50*SUM(C177:C181)+$G$1*Variables!$B$16*Variables!$E$50*SUM(D177:D181)+$G$1*Variables!$E$50*Variables!$B$17*F181),0)</f>
        <v>0</v>
      </c>
      <c r="P181" s="64">
        <f>IF(AND(AND(B181="Autumn",SUM(D180:E181)&gt;0),NOT(H180=0)),Variables!$B$18*Variables!$E$50+Variables!$B$19*Variables!$E$50*SUM(E180:E181)+$G$1*Variables!$B$19*Variables!$E$50*SUM(D180:D181),0)</f>
        <v>0</v>
      </c>
      <c r="Q181" s="64">
        <f>IF(AND(B181="Autumn",AND((E181+E180)&lt;Variables!$B$20,(D180+D181)=0)),-Variables!$B$21*Variables!$E$50,0)</f>
        <v>0</v>
      </c>
      <c r="R181" s="64">
        <f>IF(B181="Autumn",(SUM(F180:F181)*$G$1*Variables!$B$22*Variables!$E$50),0)</f>
        <v>0</v>
      </c>
      <c r="S181" s="64">
        <f>IF(B181="Spring",($G$1*Variables!$E$50*SUM('Guts (option 2)'!F180:F181)*Variables!$B$23),0)</f>
        <v>0</v>
      </c>
      <c r="T181" s="63">
        <f>IF((H180+SUM(J181:Q181))&lt;(Variables!$B$26*Variables!$E$50),$F$1*((Variables!$B$26*Variables!$E$50)-H180-SUM(J181:Q181)),0)</f>
        <v>0</v>
      </c>
      <c r="U181" s="64">
        <f>IF(AND(AND(B181="Autumn",SUM(D178:E181)&gt;Variables!$B$27),SUM(J181:Q181)&lt;Variables!$B$28*H180),$F$1*(Variables!$B$28*H180-SUM(J181:Q181)),0)</f>
        <v>0</v>
      </c>
      <c r="V181" s="96">
        <f>IF(AND((J181+K181)=0,(Q181+T181)=0),$H$1*H181*Variables!$I$23*0.25,0)</f>
        <v>22.321798118703512</v>
      </c>
      <c r="W181" s="97">
        <f>IF(AND((K181+J181)=0,(T181+Q181)=0),$I$1*H181*Variables!$Q$23*0.25,0)</f>
        <v>23.365018404259377</v>
      </c>
      <c r="X181" s="95">
        <f>IF(AND(NOT(K181=0),(H181-H180)&gt;0),(H181-H180)*(Variables!$M$5*$H$1+Variables!$U$5*$I$1),0)+IF(AND(NOT((J181+N181+Q181)=0),(H180-H181)&gt;0),(H180-H181)*(Variables!$M$4*$H$1+Variables!$U$4*$I$1),0)</f>
        <v>0</v>
      </c>
      <c r="Y181" s="95">
        <f>IF(SUM(T181,U180:U181)&gt;0,H181*Variables!$Y$11*0.25*(1-$J$1),0)</f>
        <v>0</v>
      </c>
      <c r="Z181" s="95">
        <f>IF(T181=0,H181*$J$1*Variables!$Y$5*0.25,0)</f>
        <v>7.5293491629059881</v>
      </c>
      <c r="AA181" s="95">
        <f t="shared" si="5"/>
        <v>53.216165685868873</v>
      </c>
      <c r="AB181" s="91">
        <f>AA181/Variables!$E$49</f>
        <v>8.58325252997885</v>
      </c>
    </row>
    <row r="182" spans="1:28" x14ac:dyDescent="0.25">
      <c r="A182" s="61">
        <f>'Water runs'!C189</f>
        <v>18597</v>
      </c>
      <c r="B182" s="61" t="str">
        <f>'Water runs'!B189</f>
        <v>Spring</v>
      </c>
      <c r="C182" s="54">
        <f>'Water runs'!D189/100</f>
        <v>2.1552619047618999</v>
      </c>
      <c r="D182" s="108">
        <f>VLOOKUP(ROW(D182)+4,'Water runs'!$BS$3:$CF$423,MATCH($B$1,Scenarios,0)+1)</f>
        <v>0.12185765524667654</v>
      </c>
      <c r="E182" s="54">
        <f>IF(B182=Variables!$D$8,C182-Variables!$E$8,IF(B182=Variables!$D$9,C182-Variables!$E$9,IF(B182=Variables!$D$10,C182-Variables!$E$10,IF(B182=Variables!$D$11,C182-Variables!$E$11,"ELSE"))))</f>
        <v>1.3912796957671909</v>
      </c>
      <c r="F182" s="108">
        <f>VLOOKUP(ROW(F182)+4,'Water runs'!$CH$3:$CU$423,MATCH($B$1,Scenarios,0)+1)</f>
        <v>0.76970284800354716</v>
      </c>
      <c r="G182" s="65">
        <f>H182/Variables!$E$49</f>
        <v>0.60945097881081289</v>
      </c>
      <c r="H182" s="62">
        <f>IF((H181+I182)&gt;(1.1*Variables!$E$50),(1.1*Variables!$E$50),IF((H181+I182)&gt;0,H181+I182,0))</f>
        <v>3.7785960686270399</v>
      </c>
      <c r="I182" s="64">
        <f t="shared" si="4"/>
        <v>0.30351183959350653</v>
      </c>
      <c r="J182" s="63">
        <f>IF(SUM(E178:E181)&lt;Variables!$B$3,-H181,0)</f>
        <v>0</v>
      </c>
      <c r="K182" s="64">
        <f>IF(AND(H181&lt;Variables!$B$6*Variables!$E$50,OR(SUM(D179:D182)&gt;Variables!$B$5,SUM(E179:E182)&gt;Variables!$B$4)),Variables!$B$6*Variables!$E$50+Variables!$B$7*$G$1*Variables!$E$50*SUM(D179:D182),0)</f>
        <v>0</v>
      </c>
      <c r="L182" s="64">
        <f>IF(B182="Winter",Variables!$B$8*H181,0)</f>
        <v>0</v>
      </c>
      <c r="M182" s="64">
        <f>IF(AND(B182="Spring",AND(NOT(H181=0),H181&lt;(Variables!$B$9*Variables!$E$50))),(Variables!$B$10*Variables!$E$50+Variables!$B$11*Variables!$E$50*SUM(E179:E182)+$G$1*SUM(D181:D182)*Variables!$E$50*Variables!$B$12),0)</f>
        <v>0</v>
      </c>
      <c r="N182" s="64">
        <f>IF(AND(B182="Spring",AND(SUM(D179:D182)&gt;Variables!$B$13,SUM(D175:D178)&gt;Variables!$B$13)),-Variables!$B$14*Variables!$E$50,0)</f>
        <v>0</v>
      </c>
      <c r="O182" s="64">
        <f>IF(AND(B182="Summer",SUM(C178:D182)&gt;Variables!$B$15),(Variables!$B$16*Variables!$E$50*SUM(C178:C182)+$G$1*Variables!$B$16*Variables!$E$50*SUM(D178:D182)+$G$1*Variables!$E$50*Variables!$B$17*F182),0)</f>
        <v>0</v>
      </c>
      <c r="P182" s="64">
        <f>IF(AND(AND(B182="Autumn",SUM(D181:E182)&gt;0),NOT(H181=0)),Variables!$B$18*Variables!$E$50+Variables!$B$19*Variables!$E$50*SUM(E181:E182)+$G$1*Variables!$B$19*Variables!$E$50*SUM(D181:D182),0)</f>
        <v>0</v>
      </c>
      <c r="Q182" s="64">
        <f>IF(AND(B182="Autumn",AND((E182+E181)&lt;Variables!$B$20,(D181+D182)=0)),-Variables!$B$21*Variables!$E$50,0)</f>
        <v>0</v>
      </c>
      <c r="R182" s="64">
        <f>IF(B182="Autumn",(SUM(F181:F182)*$G$1*Variables!$B$22*Variables!$E$50),0)</f>
        <v>0</v>
      </c>
      <c r="S182" s="64">
        <f>IF(B182="Spring",($G$1*Variables!$E$50*SUM('Guts (option 2)'!F181:F182)*Variables!$B$23),0)</f>
        <v>0.30351183959350653</v>
      </c>
      <c r="T182" s="63">
        <f>IF((H181+SUM(J182:Q182))&lt;(Variables!$B$26*Variables!$E$50),$F$1*((Variables!$B$26*Variables!$E$50)-H181-SUM(J182:Q182)),0)</f>
        <v>0</v>
      </c>
      <c r="U182" s="64">
        <f>IF(AND(AND(B182="Autumn",SUM(D179:E182)&gt;Variables!$B$27),SUM(J182:Q182)&lt;Variables!$B$28*H181),$F$1*(Variables!$B$28*H181-SUM(J182:Q182)),0)</f>
        <v>0</v>
      </c>
      <c r="V182" s="96">
        <f>IF(AND((J182+K182)=0,(Q182+T182)=0),$H$1*H182*Variables!$I$23*0.25,0)</f>
        <v>24.271371010617784</v>
      </c>
      <c r="W182" s="97">
        <f>IF(AND((K182+J182)=0,(T182+Q182)=0),$I$1*H182*Variables!$Q$23*0.25,0)</f>
        <v>25.405705550419619</v>
      </c>
      <c r="X182" s="95">
        <f>IF(AND(NOT(K182=0),(H182-H181)&gt;0),(H182-H181)*(Variables!$M$5*$H$1+Variables!$U$5*$I$1),0)+IF(AND(NOT((J182+N182+Q182)=0),(H181-H182)&gt;0),(H181-H182)*(Variables!$M$4*$H$1+Variables!$U$4*$I$1),0)</f>
        <v>0</v>
      </c>
      <c r="Y182" s="95">
        <f>IF(SUM(T182,U181:U182)&gt;0,H182*Variables!$Y$11*0.25*(1-$J$1),0)</f>
        <v>0</v>
      </c>
      <c r="Z182" s="95">
        <f>IF(T182=0,H182*$J$1*Variables!$Y$5*0.25,0)</f>
        <v>8.1869581486919198</v>
      </c>
      <c r="AA182" s="95">
        <f t="shared" si="5"/>
        <v>57.864034709729324</v>
      </c>
      <c r="AB182" s="91">
        <f>AA182/Variables!$E$49</f>
        <v>9.3329088241498912</v>
      </c>
    </row>
    <row r="183" spans="1:28" x14ac:dyDescent="0.25">
      <c r="A183" s="61">
        <f>'Water runs'!C190</f>
        <v>18687</v>
      </c>
      <c r="B183" s="61" t="str">
        <f>'Water runs'!B190</f>
        <v>Summer</v>
      </c>
      <c r="C183" s="54">
        <f>'Water runs'!D190/100</f>
        <v>0.30614285714285699</v>
      </c>
      <c r="D183" s="108">
        <f>VLOOKUP(ROW(D183)+4,'Water runs'!$BS$3:$CF$423,MATCH($B$1,Scenarios,0)+1)</f>
        <v>0.65030443629799128</v>
      </c>
      <c r="E183" s="54">
        <f>IF(B183=Variables!$D$8,C183-Variables!$E$8,IF(B183=Variables!$D$9,C183-Variables!$E$9,IF(B183=Variables!$D$10,C183-Variables!$E$10,IF(B183=Variables!$D$11,C183-Variables!$E$11,"ELSE"))))</f>
        <v>-0.95222727891156467</v>
      </c>
      <c r="F183" s="108">
        <f>VLOOKUP(ROW(F183)+4,'Water runs'!$CH$3:$CU$423,MATCH($B$1,Scenarios,0)+1)</f>
        <v>0.76970284800354716</v>
      </c>
      <c r="G183" s="65">
        <f>H183/Variables!$E$49</f>
        <v>1.3687707795691331</v>
      </c>
      <c r="H183" s="62">
        <f>IF((H182+I183)&gt;(1.1*Variables!$E$50),(1.1*Variables!$E$50),IF((H182+I183)&gt;0,H182+I183,0))</f>
        <v>8.4863788333286259</v>
      </c>
      <c r="I183" s="64">
        <f t="shared" si="4"/>
        <v>4.7077827647015855</v>
      </c>
      <c r="J183" s="63">
        <f>IF(SUM(E179:E182)&lt;Variables!$B$3,-H182,0)</f>
        <v>0</v>
      </c>
      <c r="K183" s="64">
        <f>IF(AND(H182&lt;Variables!$B$6*Variables!$E$50,OR(SUM(D180:D183)&gt;Variables!$B$5,SUM(E180:E183)&gt;Variables!$B$4)),Variables!$B$6*Variables!$E$50+Variables!$B$7*$G$1*Variables!$E$50*SUM(D180:D183),0)</f>
        <v>0</v>
      </c>
      <c r="L183" s="64">
        <f>IF(B183="Winter",Variables!$B$8*H182,0)</f>
        <v>0</v>
      </c>
      <c r="M183" s="64">
        <f>IF(AND(B183="Spring",AND(NOT(H182=0),H182&lt;(Variables!$B$9*Variables!$E$50))),(Variables!$B$10*Variables!$E$50+Variables!$B$11*Variables!$E$50*SUM(E180:E183)+$G$1*SUM(D182:D183)*Variables!$E$50*Variables!$B$12),0)</f>
        <v>0</v>
      </c>
      <c r="N183" s="64">
        <f>IF(AND(B183="Spring",AND(SUM(D180:D183)&gt;Variables!$B$13,SUM(D176:D179)&gt;Variables!$B$13)),-Variables!$B$14*Variables!$E$50,0)</f>
        <v>0</v>
      </c>
      <c r="O183" s="64">
        <f>IF(AND(B183="Summer",SUM(C179:D183)&gt;Variables!$B$15),(Variables!$B$16*Variables!$E$50*SUM(C179:C183)+$G$1*Variables!$B$16*Variables!$E$50*SUM(D179:D183)+$G$1*Variables!$E$50*Variables!$B$17*F183),0)</f>
        <v>4.7077827647015855</v>
      </c>
      <c r="P183" s="64">
        <f>IF(AND(AND(B183="Autumn",SUM(D182:E183)&gt;0),NOT(H182=0)),Variables!$B$18*Variables!$E$50+Variables!$B$19*Variables!$E$50*SUM(E182:E183)+$G$1*Variables!$B$19*Variables!$E$50*SUM(D182:D183),0)</f>
        <v>0</v>
      </c>
      <c r="Q183" s="64">
        <f>IF(AND(B183="Autumn",AND((E183+E182)&lt;Variables!$B$20,(D182+D183)=0)),-Variables!$B$21*Variables!$E$50,0)</f>
        <v>0</v>
      </c>
      <c r="R183" s="64">
        <f>IF(B183="Autumn",(SUM(F182:F183)*$G$1*Variables!$B$22*Variables!$E$50),0)</f>
        <v>0</v>
      </c>
      <c r="S183" s="64">
        <f>IF(B183="Spring",($G$1*Variables!$E$50*SUM('Guts (option 2)'!F182:F183)*Variables!$B$23),0)</f>
        <v>0</v>
      </c>
      <c r="T183" s="63">
        <f>IF((H182+SUM(J183:Q183))&lt;(Variables!$B$26*Variables!$E$50),$F$1*((Variables!$B$26*Variables!$E$50)-H182-SUM(J183:Q183)),0)</f>
        <v>0</v>
      </c>
      <c r="U183" s="64">
        <f>IF(AND(AND(B183="Autumn",SUM(D180:E183)&gt;Variables!$B$27),SUM(J183:Q183)&lt;Variables!$B$28*H182),$F$1*(Variables!$B$28*H182-SUM(J183:Q183)),0)</f>
        <v>0</v>
      </c>
      <c r="V183" s="96">
        <f>IF(AND((J183+K183)=0,(Q183+T183)=0),$H$1*H183*Variables!$I$23*0.25,0)</f>
        <v>54.511264358355874</v>
      </c>
      <c r="W183" s="97">
        <f>IF(AND((K183+J183)=0,(T183+Q183)=0),$I$1*H183*Variables!$Q$23*0.25,0)</f>
        <v>57.058875284121115</v>
      </c>
      <c r="X183" s="95">
        <f>IF(AND(NOT(K183=0),(H183-H182)&gt;0),(H183-H182)*(Variables!$M$5*$H$1+Variables!$U$5*$I$1),0)+IF(AND(NOT((J183+N183+Q183)=0),(H182-H183)&gt;0),(H182-H183)*(Variables!$M$4*$H$1+Variables!$U$4*$I$1),0)</f>
        <v>0</v>
      </c>
      <c r="Y183" s="95">
        <f>IF(SUM(T183,U182:U183)&gt;0,H183*Variables!$Y$11*0.25*(1-$J$1),0)</f>
        <v>0</v>
      </c>
      <c r="Z183" s="95">
        <f>IF(T183=0,H183*$J$1*Variables!$Y$5*0.25,0)</f>
        <v>18.387154138878689</v>
      </c>
      <c r="AA183" s="95">
        <f t="shared" si="5"/>
        <v>129.95729378135567</v>
      </c>
      <c r="AB183" s="91">
        <f>AA183/Variables!$E$49</f>
        <v>20.960853835702526</v>
      </c>
    </row>
    <row r="184" spans="1:28" x14ac:dyDescent="0.25">
      <c r="A184" s="61">
        <f>'Water runs'!C191</f>
        <v>18779</v>
      </c>
      <c r="B184" s="61" t="str">
        <f>'Water runs'!B191</f>
        <v>Autumn</v>
      </c>
      <c r="C184" s="54">
        <f>'Water runs'!D191/100</f>
        <v>0.48799999999999999</v>
      </c>
      <c r="D184" s="108">
        <f>VLOOKUP(ROW(D184)+4,'Water runs'!$BS$3:$CF$423,MATCH($B$1,Scenarios,0)+1)</f>
        <v>1.6446686038685977E-2</v>
      </c>
      <c r="E184" s="54">
        <f>IF(B184=Variables!$D$8,C184-Variables!$E$8,IF(B184=Variables!$D$9,C184-Variables!$E$9,IF(B184=Variables!$D$10,C184-Variables!$E$10,IF(B184=Variables!$D$11,C184-Variables!$E$11,"ELSE"))))</f>
        <v>-0.50664329931972785</v>
      </c>
      <c r="F184" s="108">
        <f>VLOOKUP(ROW(F184)+4,'Water runs'!$CH$3:$CU$423,MATCH($B$1,Scenarios,0)+1)</f>
        <v>0.13081219962153304</v>
      </c>
      <c r="G184" s="65">
        <f>H184/Variables!$E$49</f>
        <v>2.0051812977355756</v>
      </c>
      <c r="H184" s="62">
        <f>IF((H183+I184)&gt;(1.1*Variables!$E$50),(1.1*Variables!$E$50),IF((H183+I184)&gt;0,H183+I184,0))</f>
        <v>12.43212404596057</v>
      </c>
      <c r="I184" s="64">
        <f t="shared" si="4"/>
        <v>3.9457452126319454</v>
      </c>
      <c r="J184" s="63">
        <f>IF(SUM(E180:E183)&lt;Variables!$B$3,-H183,0)</f>
        <v>0</v>
      </c>
      <c r="K184" s="64">
        <f>IF(AND(H183&lt;Variables!$B$6*Variables!$E$50,OR(SUM(D181:D184)&gt;Variables!$B$5,SUM(E181:E184)&gt;Variables!$B$4)),Variables!$B$6*Variables!$E$50+Variables!$B$7*$G$1*Variables!$E$50*SUM(D181:D184),0)</f>
        <v>0</v>
      </c>
      <c r="L184" s="64">
        <f>IF(B184="Winter",Variables!$B$8*H183,0)</f>
        <v>0</v>
      </c>
      <c r="M184" s="64">
        <f>IF(AND(B184="Spring",AND(NOT(H183=0),H183&lt;(Variables!$B$9*Variables!$E$50))),(Variables!$B$10*Variables!$E$50+Variables!$B$11*Variables!$E$50*SUM(E181:E184)+$G$1*SUM(D183:D184)*Variables!$E$50*Variables!$B$12),0)</f>
        <v>0</v>
      </c>
      <c r="N184" s="64">
        <f>IF(AND(B184="Spring",AND(SUM(D181:D184)&gt;Variables!$B$13,SUM(D177:D180)&gt;Variables!$B$13)),-Variables!$B$14*Variables!$E$50,0)</f>
        <v>0</v>
      </c>
      <c r="O184" s="64">
        <f>IF(AND(B184="Summer",SUM(C180:D184)&gt;Variables!$B$15),(Variables!$B$16*Variables!$E$50*SUM(C180:C184)+$G$1*Variables!$B$16*Variables!$E$50*SUM(D180:D184)+$G$1*Variables!$E$50*Variables!$B$17*F184),0)</f>
        <v>0</v>
      </c>
      <c r="P184" s="64">
        <f>IF(AND(AND(B184="Autumn",SUM(D183:E184)&gt;0),NOT(H183=0)),Variables!$B$18*Variables!$E$50+Variables!$B$19*Variables!$E$50*SUM(E183:E184)+$G$1*Variables!$B$19*Variables!$E$50*SUM(D183:D184),0)</f>
        <v>0</v>
      </c>
      <c r="Q184" s="64">
        <f>IF(AND(B184="Autumn",AND((E184+E183)&lt;Variables!$B$20,(D183+D184)=0)),-Variables!$B$21*Variables!$E$50,0)</f>
        <v>0</v>
      </c>
      <c r="R184" s="64">
        <f>IF(B184="Autumn",(SUM(F183:F184)*$G$1*Variables!$B$22*Variables!$E$50),0)</f>
        <v>0.12687473763406365</v>
      </c>
      <c r="S184" s="64">
        <f>IF(B184="Spring",($G$1*Variables!$E$50*SUM('Guts (option 2)'!F183:F184)*Variables!$B$23),0)</f>
        <v>0</v>
      </c>
      <c r="T184" s="63">
        <f>IF((H183+SUM(J184:Q184))&lt;(Variables!$B$26*Variables!$E$50),$F$1*((Variables!$B$26*Variables!$E$50)-H183-SUM(J184:Q184)),0)</f>
        <v>0</v>
      </c>
      <c r="U184" s="64">
        <f>IF(AND(AND(B184="Autumn",SUM(D181:E184)&gt;Variables!$B$27),SUM(J184:Q184)&lt;Variables!$B$28*H183),$F$1*(Variables!$B$28*H183-SUM(J184:Q184)),0)</f>
        <v>3.8188704749978819</v>
      </c>
      <c r="V184" s="96">
        <f>IF(AND((J184+K184)=0,(Q184+T184)=0),$H$1*H184*Variables!$I$23*0.25,0)</f>
        <v>79.856298394755697</v>
      </c>
      <c r="W184" s="97">
        <f>IF(AND((K184+J184)=0,(T184+Q184)=0),$I$1*H184*Variables!$Q$23*0.25,0)</f>
        <v>83.588422033353055</v>
      </c>
      <c r="X184" s="95">
        <f>IF(AND(NOT(K184=0),(H184-H183)&gt;0),(H184-H183)*(Variables!$M$5*$H$1+Variables!$U$5*$I$1),0)+IF(AND(NOT((J184+N184+Q184)=0),(H183-H184)&gt;0),(H183-H184)*(Variables!$M$4*$H$1+Variables!$U$4*$I$1),0)</f>
        <v>0</v>
      </c>
      <c r="Y184" s="95">
        <f>IF(SUM(T184,U183:U184)&gt;0,H184*Variables!$Y$11*0.25*(1-$J$1),0)</f>
        <v>-87.024868321724014</v>
      </c>
      <c r="Z184" s="95">
        <f>IF(T184=0,H184*$J$1*Variables!$Y$5*0.25,0)</f>
        <v>26.936268766247903</v>
      </c>
      <c r="AA184" s="95">
        <f t="shared" si="5"/>
        <v>103.35612087263264</v>
      </c>
      <c r="AB184" s="91">
        <f>AA184/Variables!$E$49</f>
        <v>16.670342076231073</v>
      </c>
    </row>
    <row r="185" spans="1:28" x14ac:dyDescent="0.25">
      <c r="A185" s="61">
        <f>'Water runs'!C192</f>
        <v>18871</v>
      </c>
      <c r="B185" s="61" t="str">
        <f>'Water runs'!B192</f>
        <v>Winter</v>
      </c>
      <c r="C185" s="54">
        <f>'Water runs'!D192/100</f>
        <v>0.623857142857143</v>
      </c>
      <c r="D185" s="108">
        <f>VLOOKUP(ROW(D185)+4,'Water runs'!$BS$3:$CF$423,MATCH($B$1,Scenarios,0)+1)</f>
        <v>0</v>
      </c>
      <c r="E185" s="54">
        <f>IF(B185=Variables!$D$8,C185-Variables!$E$8,IF(B185=Variables!$D$9,C185-Variables!$E$9,IF(B185=Variables!$D$10,C185-Variables!$E$10,IF(B185=Variables!$D$11,C185-Variables!$E$11,"ELSE"))))</f>
        <v>5.2089517195767265E-2</v>
      </c>
      <c r="F185" s="108">
        <f>VLOOKUP(ROW(F185)+4,'Water runs'!$CH$3:$CU$423,MATCH($B$1,Scenarios,0)+1)</f>
        <v>0</v>
      </c>
      <c r="G185" s="65">
        <f>H185/Variables!$E$49</f>
        <v>1.0067108024879692</v>
      </c>
      <c r="H185" s="62">
        <f>IF((H184+I185)&gt;(1.1*Variables!$E$50),(1.1*Variables!$E$50),IF((H184+I185)&gt;0,H184+I185,0))</f>
        <v>6.2416069754254089</v>
      </c>
      <c r="I185" s="64">
        <f t="shared" si="4"/>
        <v>-6.1905170705351615</v>
      </c>
      <c r="J185" s="63">
        <f>IF(SUM(E181:E184)&lt;Variables!$B$3,-H184,0)</f>
        <v>0</v>
      </c>
      <c r="K185" s="64">
        <f>IF(AND(H184&lt;Variables!$B$6*Variables!$E$50,OR(SUM(D182:D185)&gt;Variables!$B$5,SUM(E182:E185)&gt;Variables!$B$4)),Variables!$B$6*Variables!$E$50+Variables!$B$7*$G$1*Variables!$E$50*SUM(D182:D185),0)</f>
        <v>0</v>
      </c>
      <c r="L185" s="64">
        <f>IF(B185="Winter",Variables!$B$8*H184,0)</f>
        <v>-6.1905170705351615</v>
      </c>
      <c r="M185" s="64">
        <f>IF(AND(B185="Spring",AND(NOT(H184=0),H184&lt;(Variables!$B$9*Variables!$E$50))),(Variables!$B$10*Variables!$E$50+Variables!$B$11*Variables!$E$50*SUM(E182:E185)+$G$1*SUM(D184:D185)*Variables!$E$50*Variables!$B$12),0)</f>
        <v>0</v>
      </c>
      <c r="N185" s="64">
        <f>IF(AND(B185="Spring",AND(SUM(D182:D185)&gt;Variables!$B$13,SUM(D178:D181)&gt;Variables!$B$13)),-Variables!$B$14*Variables!$E$50,0)</f>
        <v>0</v>
      </c>
      <c r="O185" s="64">
        <f>IF(AND(B185="Summer",SUM(C181:D185)&gt;Variables!$B$15),(Variables!$B$16*Variables!$E$50*SUM(C181:C185)+$G$1*Variables!$B$16*Variables!$E$50*SUM(D181:D185)+$G$1*Variables!$E$50*Variables!$B$17*F185),0)</f>
        <v>0</v>
      </c>
      <c r="P185" s="64">
        <f>IF(AND(AND(B185="Autumn",SUM(D184:E185)&gt;0),NOT(H184=0)),Variables!$B$18*Variables!$E$50+Variables!$B$19*Variables!$E$50*SUM(E184:E185)+$G$1*Variables!$B$19*Variables!$E$50*SUM(D184:D185),0)</f>
        <v>0</v>
      </c>
      <c r="Q185" s="64">
        <f>IF(AND(B185="Autumn",AND((E185+E184)&lt;Variables!$B$20,(D184+D185)=0)),-Variables!$B$21*Variables!$E$50,0)</f>
        <v>0</v>
      </c>
      <c r="R185" s="64">
        <f>IF(B185="Autumn",(SUM(F184:F185)*$G$1*Variables!$B$22*Variables!$E$50),0)</f>
        <v>0</v>
      </c>
      <c r="S185" s="64">
        <f>IF(B185="Spring",($G$1*Variables!$E$50*SUM('Guts (option 2)'!F184:F185)*Variables!$B$23),0)</f>
        <v>0</v>
      </c>
      <c r="T185" s="63">
        <f>IF((H184+SUM(J185:Q185))&lt;(Variables!$B$26*Variables!$E$50),$F$1*((Variables!$B$26*Variables!$E$50)-H184-SUM(J185:Q185)),0)</f>
        <v>0</v>
      </c>
      <c r="U185" s="64">
        <f>IF(AND(AND(B185="Autumn",SUM(D182:E185)&gt;Variables!$B$27),SUM(J185:Q185)&lt;Variables!$B$28*H184),$F$1*(Variables!$B$28*H184-SUM(J185:Q185)),0)</f>
        <v>0</v>
      </c>
      <c r="V185" s="96">
        <f>IF(AND((J185+K185)=0,(Q185+T185)=0),$H$1*H185*Variables!$I$23*0.25,0)</f>
        <v>40.092234219164645</v>
      </c>
      <c r="W185" s="97">
        <f>IF(AND((K185+J185)=0,(T185+Q185)=0),$I$1*H185*Variables!$Q$23*0.25,0)</f>
        <v>41.965964633187347</v>
      </c>
      <c r="X185" s="95">
        <f>IF(AND(NOT(K185=0),(H185-H184)&gt;0),(H185-H184)*(Variables!$M$5*$H$1+Variables!$U$5*$I$1),0)+IF(AND(NOT((J185+N185+Q185)=0),(H184-H185)&gt;0),(H184-H185)*(Variables!$M$4*$H$1+Variables!$U$4*$I$1),0)</f>
        <v>0</v>
      </c>
      <c r="Y185" s="95">
        <f>IF(SUM(T185,U184:U185)&gt;0,H185*Variables!$Y$11*0.25*(1-$J$1),0)</f>
        <v>-43.691248827977866</v>
      </c>
      <c r="Z185" s="95">
        <f>IF(T185=0,H185*$J$1*Variables!$Y$5*0.25,0)</f>
        <v>13.523481780088384</v>
      </c>
      <c r="AA185" s="95">
        <f t="shared" si="5"/>
        <v>51.890431804462509</v>
      </c>
      <c r="AB185" s="91">
        <f>AA185/Variables!$E$49</f>
        <v>8.3694244845907271</v>
      </c>
    </row>
    <row r="186" spans="1:28" x14ac:dyDescent="0.25">
      <c r="A186" s="61">
        <f>'Water runs'!C193</f>
        <v>18962</v>
      </c>
      <c r="B186" s="61" t="str">
        <f>'Water runs'!B193</f>
        <v>Spring</v>
      </c>
      <c r="C186" s="54">
        <f>'Water runs'!D193/100</f>
        <v>0.33885714285714302</v>
      </c>
      <c r="D186" s="108">
        <f>VLOOKUP(ROW(D186)+4,'Water runs'!$BS$3:$CF$423,MATCH($B$1,Scenarios,0)+1)</f>
        <v>0</v>
      </c>
      <c r="E186" s="54">
        <f>IF(B186=Variables!$D$8,C186-Variables!$E$8,IF(B186=Variables!$D$9,C186-Variables!$E$9,IF(B186=Variables!$D$10,C186-Variables!$E$10,IF(B186=Variables!$D$11,C186-Variables!$E$11,"ELSE"))))</f>
        <v>-0.42512506613756612</v>
      </c>
      <c r="F186" s="108">
        <f>VLOOKUP(ROW(F186)+4,'Water runs'!$CH$3:$CU$423,MATCH($B$1,Scenarios,0)+1)</f>
        <v>0</v>
      </c>
      <c r="G186" s="65">
        <f>H186/Variables!$E$49</f>
        <v>1.0067108024879692</v>
      </c>
      <c r="H186" s="62">
        <f>IF((H185+I186)&gt;(1.1*Variables!$E$50),(1.1*Variables!$E$50),IF((H185+I186)&gt;0,H185+I186,0))</f>
        <v>6.2416069754254089</v>
      </c>
      <c r="I186" s="64">
        <f t="shared" si="4"/>
        <v>0</v>
      </c>
      <c r="J186" s="63">
        <f>IF(SUM(E182:E185)&lt;Variables!$B$3,-H185,0)</f>
        <v>0</v>
      </c>
      <c r="K186" s="64">
        <f>IF(AND(H185&lt;Variables!$B$6*Variables!$E$50,OR(SUM(D183:D186)&gt;Variables!$B$5,SUM(E183:E186)&gt;Variables!$B$4)),Variables!$B$6*Variables!$E$50+Variables!$B$7*$G$1*Variables!$E$50*SUM(D183:D186),0)</f>
        <v>0</v>
      </c>
      <c r="L186" s="64">
        <f>IF(B186="Winter",Variables!$B$8*H185,0)</f>
        <v>0</v>
      </c>
      <c r="M186" s="64">
        <f>IF(AND(B186="Spring",AND(NOT(H185=0),H185&lt;(Variables!$B$9*Variables!$E$50))),(Variables!$B$10*Variables!$E$50+Variables!$B$11*Variables!$E$50*SUM(E183:E186)+$G$1*SUM(D185:D186)*Variables!$E$50*Variables!$B$12),0)</f>
        <v>0</v>
      </c>
      <c r="N186" s="64">
        <f>IF(AND(B186="Spring",AND(SUM(D183:D186)&gt;Variables!$B$13,SUM(D179:D182)&gt;Variables!$B$13)),-Variables!$B$14*Variables!$E$50,0)</f>
        <v>0</v>
      </c>
      <c r="O186" s="64">
        <f>IF(AND(B186="Summer",SUM(C182:D186)&gt;Variables!$B$15),(Variables!$B$16*Variables!$E$50*SUM(C182:C186)+$G$1*Variables!$B$16*Variables!$E$50*SUM(D182:D186)+$G$1*Variables!$E$50*Variables!$B$17*F186),0)</f>
        <v>0</v>
      </c>
      <c r="P186" s="64">
        <f>IF(AND(AND(B186="Autumn",SUM(D185:E186)&gt;0),NOT(H185=0)),Variables!$B$18*Variables!$E$50+Variables!$B$19*Variables!$E$50*SUM(E185:E186)+$G$1*Variables!$B$19*Variables!$E$50*SUM(D185:D186),0)</f>
        <v>0</v>
      </c>
      <c r="Q186" s="64">
        <f>IF(AND(B186="Autumn",AND((E186+E185)&lt;Variables!$B$20,(D185+D186)=0)),-Variables!$B$21*Variables!$E$50,0)</f>
        <v>0</v>
      </c>
      <c r="R186" s="64">
        <f>IF(B186="Autumn",(SUM(F185:F186)*$G$1*Variables!$B$22*Variables!$E$50),0)</f>
        <v>0</v>
      </c>
      <c r="S186" s="64">
        <f>IF(B186="Spring",($G$1*Variables!$E$50*SUM('Guts (option 2)'!F185:F186)*Variables!$B$23),0)</f>
        <v>0</v>
      </c>
      <c r="T186" s="63">
        <f>IF((H185+SUM(J186:Q186))&lt;(Variables!$B$26*Variables!$E$50),$F$1*((Variables!$B$26*Variables!$E$50)-H185-SUM(J186:Q186)),0)</f>
        <v>0</v>
      </c>
      <c r="U186" s="64">
        <f>IF(AND(AND(B186="Autumn",SUM(D183:E186)&gt;Variables!$B$27),SUM(J186:Q186)&lt;Variables!$B$28*H185),$F$1*(Variables!$B$28*H185-SUM(J186:Q186)),0)</f>
        <v>0</v>
      </c>
      <c r="V186" s="96">
        <f>IF(AND((J186+K186)=0,(Q186+T186)=0),$H$1*H186*Variables!$I$23*0.25,0)</f>
        <v>40.092234219164645</v>
      </c>
      <c r="W186" s="97">
        <f>IF(AND((K186+J186)=0,(T186+Q186)=0),$I$1*H186*Variables!$Q$23*0.25,0)</f>
        <v>41.965964633187347</v>
      </c>
      <c r="X186" s="95">
        <f>IF(AND(NOT(K186=0),(H186-H185)&gt;0),(H186-H185)*(Variables!$M$5*$H$1+Variables!$U$5*$I$1),0)+IF(AND(NOT((J186+N186+Q186)=0),(H185-H186)&gt;0),(H185-H186)*(Variables!$M$4*$H$1+Variables!$U$4*$I$1),0)</f>
        <v>0</v>
      </c>
      <c r="Y186" s="95">
        <f>IF(SUM(T186,U185:U186)&gt;0,H186*Variables!$Y$11*0.25*(1-$J$1),0)</f>
        <v>0</v>
      </c>
      <c r="Z186" s="95">
        <f>IF(T186=0,H186*$J$1*Variables!$Y$5*0.25,0)</f>
        <v>13.523481780088384</v>
      </c>
      <c r="AA186" s="95">
        <f t="shared" si="5"/>
        <v>95.581680632440381</v>
      </c>
      <c r="AB186" s="91">
        <f>AA186/Variables!$E$49</f>
        <v>15.416400102006513</v>
      </c>
    </row>
    <row r="187" spans="1:28" x14ac:dyDescent="0.25">
      <c r="A187" s="61">
        <f>'Water runs'!C194</f>
        <v>19052</v>
      </c>
      <c r="B187" s="61" t="str">
        <f>'Water runs'!B194</f>
        <v>Summer</v>
      </c>
      <c r="C187" s="54">
        <f>'Water runs'!D194/100</f>
        <v>0.56285714285714294</v>
      </c>
      <c r="D187" s="108">
        <f>VLOOKUP(ROW(D187)+4,'Water runs'!$BS$3:$CF$423,MATCH($B$1,Scenarios,0)+1)</f>
        <v>0</v>
      </c>
      <c r="E187" s="54">
        <f>IF(B187=Variables!$D$8,C187-Variables!$E$8,IF(B187=Variables!$D$9,C187-Variables!$E$9,IF(B187=Variables!$D$10,C187-Variables!$E$10,IF(B187=Variables!$D$11,C187-Variables!$E$11,"ELSE"))))</f>
        <v>-0.69551299319727877</v>
      </c>
      <c r="F187" s="108">
        <f>VLOOKUP(ROW(F187)+4,'Water runs'!$CH$3:$CU$423,MATCH($B$1,Scenarios,0)+1)</f>
        <v>0</v>
      </c>
      <c r="G187" s="65">
        <f>H187/Variables!$E$49</f>
        <v>0.16099999999999995</v>
      </c>
      <c r="H187" s="62">
        <f>IF((H186+I187)&gt;(1.1*Variables!$E$50),(1.1*Variables!$E$50),IF((H186+I187)&gt;0,H186+I187,0))</f>
        <v>0.99819999999999975</v>
      </c>
      <c r="I187" s="64">
        <f t="shared" si="4"/>
        <v>-5.2434069754254091</v>
      </c>
      <c r="J187" s="63">
        <f>IF(SUM(E183:E186)&lt;Variables!$B$3,-H186,0)</f>
        <v>-6.2416069754254089</v>
      </c>
      <c r="K187" s="64">
        <f>IF(AND(H186&lt;Variables!$B$6*Variables!$E$50,OR(SUM(D184:D187)&gt;Variables!$B$5,SUM(E184:E187)&gt;Variables!$B$4)),Variables!$B$6*Variables!$E$50+Variables!$B$7*$G$1*Variables!$E$50*SUM(D184:D187),0)</f>
        <v>0</v>
      </c>
      <c r="L187" s="64">
        <f>IF(B187="Winter",Variables!$B$8*H186,0)</f>
        <v>0</v>
      </c>
      <c r="M187" s="64">
        <f>IF(AND(B187="Spring",AND(NOT(H186=0),H186&lt;(Variables!$B$9*Variables!$E$50))),(Variables!$B$10*Variables!$E$50+Variables!$B$11*Variables!$E$50*SUM(E184:E187)+$G$1*SUM(D186:D187)*Variables!$E$50*Variables!$B$12),0)</f>
        <v>0</v>
      </c>
      <c r="N187" s="64">
        <f>IF(AND(B187="Spring",AND(SUM(D184:D187)&gt;Variables!$B$13,SUM(D180:D183)&gt;Variables!$B$13)),-Variables!$B$14*Variables!$E$50,0)</f>
        <v>0</v>
      </c>
      <c r="O187" s="64">
        <f>IF(AND(B187="Summer",SUM(C183:D187)&gt;Variables!$B$15),(Variables!$B$16*Variables!$E$50*SUM(C183:C187)+$G$1*Variables!$B$16*Variables!$E$50*SUM(D183:D187)+$G$1*Variables!$E$50*Variables!$B$17*F187),0)</f>
        <v>0</v>
      </c>
      <c r="P187" s="64">
        <f>IF(AND(AND(B187="Autumn",SUM(D186:E187)&gt;0),NOT(H186=0)),Variables!$B$18*Variables!$E$50+Variables!$B$19*Variables!$E$50*SUM(E186:E187)+$G$1*Variables!$B$19*Variables!$E$50*SUM(D186:D187),0)</f>
        <v>0</v>
      </c>
      <c r="Q187" s="64">
        <f>IF(AND(B187="Autumn",AND((E187+E186)&lt;Variables!$B$20,(D186+D187)=0)),-Variables!$B$21*Variables!$E$50,0)</f>
        <v>0</v>
      </c>
      <c r="R187" s="64">
        <f>IF(B187="Autumn",(SUM(F186:F187)*$G$1*Variables!$B$22*Variables!$E$50),0)</f>
        <v>0</v>
      </c>
      <c r="S187" s="64">
        <f>IF(B187="Spring",($G$1*Variables!$E$50*SUM('Guts (option 2)'!F186:F187)*Variables!$B$23),0)</f>
        <v>0</v>
      </c>
      <c r="T187" s="63">
        <f>IF((H186+SUM(J187:Q187))&lt;(Variables!$B$26*Variables!$E$50),$F$1*((Variables!$B$26*Variables!$E$50)-H186-SUM(J187:Q187)),0)</f>
        <v>0.99819999999999975</v>
      </c>
      <c r="U187" s="64">
        <f>IF(AND(AND(B187="Autumn",SUM(D184:E187)&gt;Variables!$B$27),SUM(J187:Q187)&lt;Variables!$B$28*H186),$F$1*(Variables!$B$28*H186-SUM(J187:Q187)),0)</f>
        <v>0</v>
      </c>
      <c r="V187" s="96">
        <f>IF(AND((J187+K187)=0,(Q187+T187)=0),$H$1*H187*Variables!$I$23*0.25,0)</f>
        <v>0</v>
      </c>
      <c r="W187" s="97">
        <f>IF(AND((K187+J187)=0,(T187+Q187)=0),$I$1*H187*Variables!$Q$23*0.25,0)</f>
        <v>0</v>
      </c>
      <c r="X187" s="95">
        <f>IF(AND(NOT(K187=0),(H187-H186)&gt;0),(H187-H186)*(Variables!$M$5*$H$1+Variables!$U$5*$I$1),0)+IF(AND(NOT((J187+N187+Q187)=0),(H186-H187)&gt;0),(H186-H187)*(Variables!$M$4*$H$1+Variables!$U$4*$I$1),0)</f>
        <v>218.47529064272535</v>
      </c>
      <c r="Y187" s="95">
        <f>IF(SUM(T187,U186:U187)&gt;0,H187*Variables!$Y$11*0.25*(1-$J$1),0)</f>
        <v>-6.9873999999999992</v>
      </c>
      <c r="Z187" s="95">
        <f>IF(T187=0,H187*$J$1*Variables!$Y$5*0.25,0)</f>
        <v>0</v>
      </c>
      <c r="AA187" s="95">
        <f t="shared" si="5"/>
        <v>211.48789064272535</v>
      </c>
      <c r="AB187" s="91">
        <f>AA187/Variables!$E$49</f>
        <v>34.110950103665381</v>
      </c>
    </row>
    <row r="188" spans="1:28" x14ac:dyDescent="0.25">
      <c r="A188" s="61">
        <f>'Water runs'!C195</f>
        <v>19145</v>
      </c>
      <c r="B188" s="61" t="str">
        <f>'Water runs'!B195</f>
        <v>Autumn</v>
      </c>
      <c r="C188" s="54">
        <f>'Water runs'!D195/100</f>
        <v>0.96990476190476205</v>
      </c>
      <c r="D188" s="108">
        <f>VLOOKUP(ROW(D188)+4,'Water runs'!$BS$3:$CF$423,MATCH($B$1,Scenarios,0)+1)</f>
        <v>9.2144830917109399E-2</v>
      </c>
      <c r="E188" s="54">
        <f>IF(B188=Variables!$D$8,C188-Variables!$E$8,IF(B188=Variables!$D$9,C188-Variables!$E$9,IF(B188=Variables!$D$10,C188-Variables!$E$10,IF(B188=Variables!$D$11,C188-Variables!$E$11,"ELSE"))))</f>
        <v>-2.4738537414965789E-2</v>
      </c>
      <c r="F188" s="108">
        <f>VLOOKUP(ROW(F188)+4,'Water runs'!$CH$3:$CU$423,MATCH($B$1,Scenarios,0)+1)</f>
        <v>0</v>
      </c>
      <c r="G188" s="65">
        <f>H188/Variables!$E$49</f>
        <v>0.16099999999999995</v>
      </c>
      <c r="H188" s="62">
        <f>IF((H187+I188)&gt;(1.1*Variables!$E$50),(1.1*Variables!$E$50),IF((H187+I188)&gt;0,H187+I188,0))</f>
        <v>0.99819999999999975</v>
      </c>
      <c r="I188" s="64">
        <f t="shared" si="4"/>
        <v>0</v>
      </c>
      <c r="J188" s="63">
        <f>IF(SUM(E184:E187)&lt;Variables!$B$3,-H187,0)</f>
        <v>0</v>
      </c>
      <c r="K188" s="64">
        <f>IF(AND(H187&lt;Variables!$B$6*Variables!$E$50,OR(SUM(D185:D188)&gt;Variables!$B$5,SUM(E185:E188)&gt;Variables!$B$4)),Variables!$B$6*Variables!$E$50+Variables!$B$7*$G$1*Variables!$E$50*SUM(D185:D188),0)</f>
        <v>0</v>
      </c>
      <c r="L188" s="64">
        <f>IF(B188="Winter",Variables!$B$8*H187,0)</f>
        <v>0</v>
      </c>
      <c r="M188" s="64">
        <f>IF(AND(B188="Spring",AND(NOT(H187=0),H187&lt;(Variables!$B$9*Variables!$E$50))),(Variables!$B$10*Variables!$E$50+Variables!$B$11*Variables!$E$50*SUM(E185:E188)+$G$1*SUM(D187:D188)*Variables!$E$50*Variables!$B$12),0)</f>
        <v>0</v>
      </c>
      <c r="N188" s="64">
        <f>IF(AND(B188="Spring",AND(SUM(D185:D188)&gt;Variables!$B$13,SUM(D181:D184)&gt;Variables!$B$13)),-Variables!$B$14*Variables!$E$50,0)</f>
        <v>0</v>
      </c>
      <c r="O188" s="64">
        <f>IF(AND(B188="Summer",SUM(C184:D188)&gt;Variables!$B$15),(Variables!$B$16*Variables!$E$50*SUM(C184:C188)+$G$1*Variables!$B$16*Variables!$E$50*SUM(D184:D188)+$G$1*Variables!$E$50*Variables!$B$17*F188),0)</f>
        <v>0</v>
      </c>
      <c r="P188" s="64">
        <f>IF(AND(AND(B188="Autumn",SUM(D187:E188)&gt;0),NOT(H187=0)),Variables!$B$18*Variables!$E$50+Variables!$B$19*Variables!$E$50*SUM(E187:E188)+$G$1*Variables!$B$19*Variables!$E$50*SUM(D187:D188),0)</f>
        <v>0</v>
      </c>
      <c r="Q188" s="64">
        <f>IF(AND(B188="Autumn",AND((E188+E187)&lt;Variables!$B$20,(D187+D188)=0)),-Variables!$B$21*Variables!$E$50,0)</f>
        <v>0</v>
      </c>
      <c r="R188" s="64">
        <f>IF(B188="Autumn",(SUM(F187:F188)*$G$1*Variables!$B$22*Variables!$E$50),0)</f>
        <v>0</v>
      </c>
      <c r="S188" s="64">
        <f>IF(B188="Spring",($G$1*Variables!$E$50*SUM('Guts (option 2)'!F187:F188)*Variables!$B$23),0)</f>
        <v>0</v>
      </c>
      <c r="T188" s="63">
        <f>IF((H187+SUM(J188:Q188))&lt;(Variables!$B$26*Variables!$E$50),$F$1*((Variables!$B$26*Variables!$E$50)-H187-SUM(J188:Q188)),0)</f>
        <v>0</v>
      </c>
      <c r="U188" s="64">
        <f>IF(AND(AND(B188="Autumn",SUM(D185:E188)&gt;Variables!$B$27),SUM(J188:Q188)&lt;Variables!$B$28*H187),$F$1*(Variables!$B$28*H187-SUM(J188:Q188)),0)</f>
        <v>0</v>
      </c>
      <c r="V188" s="96">
        <f>IF(AND((J188+K188)=0,(Q188+T188)=0),$H$1*H188*Variables!$I$23*0.25,0)</f>
        <v>6.411821243333331</v>
      </c>
      <c r="W188" s="97">
        <f>IF(AND((K188+J188)=0,(T188+Q188)=0),$I$1*H188*Variables!$Q$23*0.25,0)</f>
        <v>6.7114808833333299</v>
      </c>
      <c r="X188" s="95">
        <f>IF(AND(NOT(K188=0),(H188-H187)&gt;0),(H188-H187)*(Variables!$M$5*$H$1+Variables!$U$5*$I$1),0)+IF(AND(NOT((J188+N188+Q188)=0),(H187-H188)&gt;0),(H187-H188)*(Variables!$M$4*$H$1+Variables!$U$4*$I$1),0)</f>
        <v>0</v>
      </c>
      <c r="Y188" s="95">
        <f>IF(SUM(T188,U187:U188)&gt;0,H188*Variables!$Y$11*0.25*(1-$J$1),0)</f>
        <v>0</v>
      </c>
      <c r="Z188" s="95">
        <f>IF(T188=0,H188*$J$1*Variables!$Y$5*0.25,0)</f>
        <v>2.1627666666666658</v>
      </c>
      <c r="AA188" s="95">
        <f t="shared" si="5"/>
        <v>15.286068793333328</v>
      </c>
      <c r="AB188" s="91">
        <f>AA188/Variables!$E$49</f>
        <v>2.4654949666666659</v>
      </c>
    </row>
    <row r="189" spans="1:28" x14ac:dyDescent="0.25">
      <c r="A189" s="61">
        <f>'Water runs'!C196</f>
        <v>19237</v>
      </c>
      <c r="B189" s="61" t="str">
        <f>'Water runs'!B196</f>
        <v>Winter</v>
      </c>
      <c r="C189" s="54">
        <f>'Water runs'!D196/100</f>
        <v>0.874714285714286</v>
      </c>
      <c r="D189" s="108">
        <f>VLOOKUP(ROW(D189)+4,'Water runs'!$BS$3:$CF$423,MATCH($B$1,Scenarios,0)+1)</f>
        <v>0</v>
      </c>
      <c r="E189" s="54">
        <f>IF(B189=Variables!$D$8,C189-Variables!$E$8,IF(B189=Variables!$D$9,C189-Variables!$E$9,IF(B189=Variables!$D$10,C189-Variables!$E$10,IF(B189=Variables!$D$11,C189-Variables!$E$11,"ELSE"))))</f>
        <v>0.30294666005291027</v>
      </c>
      <c r="F189" s="108">
        <f>VLOOKUP(ROW(F189)+4,'Water runs'!$CH$3:$CU$423,MATCH($B$1,Scenarios,0)+1)</f>
        <v>0</v>
      </c>
      <c r="G189" s="65">
        <f>H189/Variables!$E$49</f>
        <v>0.161</v>
      </c>
      <c r="H189" s="62">
        <f>IF((H188+I189)&gt;(1.1*Variables!$E$50),(1.1*Variables!$E$50),IF((H188+I189)&gt;0,H188+I189,0))</f>
        <v>0.99820000000000009</v>
      </c>
      <c r="I189" s="64">
        <f t="shared" ref="I189:I252" si="6">SUM(J189:U189)</f>
        <v>3.3306690738754696E-16</v>
      </c>
      <c r="J189" s="63">
        <f>IF(SUM(E185:E188)&lt;Variables!$B$3,-H188,0)</f>
        <v>0</v>
      </c>
      <c r="K189" s="64">
        <f>IF(AND(H188&lt;Variables!$B$6*Variables!$E$50,OR(SUM(D186:D189)&gt;Variables!$B$5,SUM(E186:E189)&gt;Variables!$B$4)),Variables!$B$6*Variables!$E$50+Variables!$B$7*$G$1*Variables!$E$50*SUM(D186:D189),0)</f>
        <v>0</v>
      </c>
      <c r="L189" s="64">
        <f>IF(B189="Winter",Variables!$B$8*H188,0)</f>
        <v>-0.49704894489176132</v>
      </c>
      <c r="M189" s="64">
        <f>IF(AND(B189="Spring",AND(NOT(H188=0),H188&lt;(Variables!$B$9*Variables!$E$50))),(Variables!$B$10*Variables!$E$50+Variables!$B$11*Variables!$E$50*SUM(E186:E189)+$G$1*SUM(D188:D189)*Variables!$E$50*Variables!$B$12),0)</f>
        <v>0</v>
      </c>
      <c r="N189" s="64">
        <f>IF(AND(B189="Spring",AND(SUM(D186:D189)&gt;Variables!$B$13,SUM(D182:D185)&gt;Variables!$B$13)),-Variables!$B$14*Variables!$E$50,0)</f>
        <v>0</v>
      </c>
      <c r="O189" s="64">
        <f>IF(AND(B189="Summer",SUM(C185:D189)&gt;Variables!$B$15),(Variables!$B$16*Variables!$E$50*SUM(C185:C189)+$G$1*Variables!$B$16*Variables!$E$50*SUM(D185:D189)+$G$1*Variables!$E$50*Variables!$B$17*F189),0)</f>
        <v>0</v>
      </c>
      <c r="P189" s="64">
        <f>IF(AND(AND(B189="Autumn",SUM(D188:E189)&gt;0),NOT(H188=0)),Variables!$B$18*Variables!$E$50+Variables!$B$19*Variables!$E$50*SUM(E188:E189)+$G$1*Variables!$B$19*Variables!$E$50*SUM(D188:D189),0)</f>
        <v>0</v>
      </c>
      <c r="Q189" s="64">
        <f>IF(AND(B189="Autumn",AND((E189+E188)&lt;Variables!$B$20,(D188+D189)=0)),-Variables!$B$21*Variables!$E$50,0)</f>
        <v>0</v>
      </c>
      <c r="R189" s="64">
        <f>IF(B189="Autumn",(SUM(F188:F189)*$G$1*Variables!$B$22*Variables!$E$50),0)</f>
        <v>0</v>
      </c>
      <c r="S189" s="64">
        <f>IF(B189="Spring",($G$1*Variables!$E$50*SUM('Guts (option 2)'!F188:F189)*Variables!$B$23),0)</f>
        <v>0</v>
      </c>
      <c r="T189" s="63">
        <f>IF((H188+SUM(J189:Q189))&lt;(Variables!$B$26*Variables!$E$50),$F$1*((Variables!$B$26*Variables!$E$50)-H188-SUM(J189:Q189)),0)</f>
        <v>0.49704894489176166</v>
      </c>
      <c r="U189" s="64">
        <f>IF(AND(AND(B189="Autumn",SUM(D186:E189)&gt;Variables!$B$27),SUM(J189:Q189)&lt;Variables!$B$28*H188),$F$1*(Variables!$B$28*H188-SUM(J189:Q189)),0)</f>
        <v>0</v>
      </c>
      <c r="V189" s="96">
        <f>IF(AND((J189+K189)=0,(Q189+T189)=0),$H$1*H189*Variables!$I$23*0.25,0)</f>
        <v>0</v>
      </c>
      <c r="W189" s="97">
        <f>IF(AND((K189+J189)=0,(T189+Q189)=0),$I$1*H189*Variables!$Q$23*0.25,0)</f>
        <v>0</v>
      </c>
      <c r="X189" s="95">
        <f>IF(AND(NOT(K189=0),(H189-H188)&gt;0),(H189-H188)*(Variables!$M$5*$H$1+Variables!$U$5*$I$1),0)+IF(AND(NOT((J189+N189+Q189)=0),(H188-H189)&gt;0),(H188-H189)*(Variables!$M$4*$H$1+Variables!$U$4*$I$1),0)</f>
        <v>0</v>
      </c>
      <c r="Y189" s="95">
        <f>IF(SUM(T189,U188:U189)&gt;0,H189*Variables!$Y$11*0.25*(1-$J$1),0)</f>
        <v>-6.9874000000000018</v>
      </c>
      <c r="Z189" s="95">
        <f>IF(T189=0,H189*$J$1*Variables!$Y$5*0.25,0)</f>
        <v>0</v>
      </c>
      <c r="AA189" s="95">
        <f t="shared" si="5"/>
        <v>-6.9874000000000018</v>
      </c>
      <c r="AB189" s="91">
        <f>AA189/Variables!$E$49</f>
        <v>-1.1270000000000002</v>
      </c>
    </row>
    <row r="190" spans="1:28" x14ac:dyDescent="0.25">
      <c r="A190" s="61">
        <f>'Water runs'!C197</f>
        <v>19328</v>
      </c>
      <c r="B190" s="61" t="str">
        <f>'Water runs'!B197</f>
        <v>Spring</v>
      </c>
      <c r="C190" s="54">
        <f>'Water runs'!D197/100</f>
        <v>0.80628571428571405</v>
      </c>
      <c r="D190" s="108">
        <f>VLOOKUP(ROW(D190)+4,'Water runs'!$BS$3:$CF$423,MATCH($B$1,Scenarios,0)+1)</f>
        <v>0</v>
      </c>
      <c r="E190" s="54">
        <f>IF(B190=Variables!$D$8,C190-Variables!$E$8,IF(B190=Variables!$D$9,C190-Variables!$E$9,IF(B190=Variables!$D$10,C190-Variables!$E$10,IF(B190=Variables!$D$11,C190-Variables!$E$11,"ELSE"))))</f>
        <v>4.2303505291004906E-2</v>
      </c>
      <c r="F190" s="108">
        <f>VLOOKUP(ROW(F190)+4,'Water runs'!$CH$3:$CU$423,MATCH($B$1,Scenarios,0)+1)</f>
        <v>0</v>
      </c>
      <c r="G190" s="65">
        <f>H190/Variables!$E$49</f>
        <v>0.30459075539867286</v>
      </c>
      <c r="H190" s="62">
        <f>IF((H189+I190)&gt;(1.1*Variables!$E$50),(1.1*Variables!$E$50),IF((H189+I190)&gt;0,H189+I190,0))</f>
        <v>1.8884626834717717</v>
      </c>
      <c r="I190" s="64">
        <f t="shared" si="6"/>
        <v>0.89026268347177151</v>
      </c>
      <c r="J190" s="63">
        <f>IF(SUM(E186:E189)&lt;Variables!$B$3,-H189,0)</f>
        <v>0</v>
      </c>
      <c r="K190" s="64">
        <f>IF(AND(H189&lt;Variables!$B$6*Variables!$E$50,OR(SUM(D187:D190)&gt;Variables!$B$5,SUM(E187:E190)&gt;Variables!$B$4)),Variables!$B$6*Variables!$E$50+Variables!$B$7*$G$1*Variables!$E$50*SUM(D187:D190),0)</f>
        <v>1.1456617455688485</v>
      </c>
      <c r="L190" s="64">
        <f>IF(B190="Winter",Variables!$B$8*H189,0)</f>
        <v>0</v>
      </c>
      <c r="M190" s="64">
        <f>IF(AND(B190="Spring",AND(NOT(H189=0),H189&lt;(Variables!$B$9*Variables!$E$50))),(Variables!$B$10*Variables!$E$50+Variables!$B$11*Variables!$E$50*SUM(E187:E190)+$G$1*SUM(D189:D190)*Variables!$E$50*Variables!$B$12),0)</f>
        <v>-0.25539906209707691</v>
      </c>
      <c r="N190" s="64">
        <f>IF(AND(B190="Spring",AND(SUM(D187:D190)&gt;Variables!$B$13,SUM(D183:D186)&gt;Variables!$B$13)),-Variables!$B$14*Variables!$E$50,0)</f>
        <v>0</v>
      </c>
      <c r="O190" s="64">
        <f>IF(AND(B190="Summer",SUM(C186:D190)&gt;Variables!$B$15),(Variables!$B$16*Variables!$E$50*SUM(C186:C190)+$G$1*Variables!$B$16*Variables!$E$50*SUM(D186:D190)+$G$1*Variables!$E$50*Variables!$B$17*F190),0)</f>
        <v>0</v>
      </c>
      <c r="P190" s="64">
        <f>IF(AND(AND(B190="Autumn",SUM(D189:E190)&gt;0),NOT(H189=0)),Variables!$B$18*Variables!$E$50+Variables!$B$19*Variables!$E$50*SUM(E189:E190)+$G$1*Variables!$B$19*Variables!$E$50*SUM(D189:D190),0)</f>
        <v>0</v>
      </c>
      <c r="Q190" s="64">
        <f>IF(AND(B190="Autumn",AND((E190+E189)&lt;Variables!$B$20,(D189+D190)=0)),-Variables!$B$21*Variables!$E$50,0)</f>
        <v>0</v>
      </c>
      <c r="R190" s="64">
        <f>IF(B190="Autumn",(SUM(F189:F190)*$G$1*Variables!$B$22*Variables!$E$50),0)</f>
        <v>0</v>
      </c>
      <c r="S190" s="64">
        <f>IF(B190="Spring",($G$1*Variables!$E$50*SUM('Guts (option 2)'!F189:F190)*Variables!$B$23),0)</f>
        <v>0</v>
      </c>
      <c r="T190" s="63">
        <f>IF((H189+SUM(J190:Q190))&lt;(Variables!$B$26*Variables!$E$50),$F$1*((Variables!$B$26*Variables!$E$50)-H189-SUM(J190:Q190)),0)</f>
        <v>0</v>
      </c>
      <c r="U190" s="64">
        <f>IF(AND(AND(B190="Autumn",SUM(D187:E190)&gt;Variables!$B$27),SUM(J190:Q190)&lt;Variables!$B$28*H189),$F$1*(Variables!$B$28*H189-SUM(J190:Q190)),0)</f>
        <v>0</v>
      </c>
      <c r="V190" s="96">
        <f>IF(AND((J190+K190)=0,(Q190+T190)=0),$H$1*H190*Variables!$I$23*0.25,0)</f>
        <v>0</v>
      </c>
      <c r="W190" s="97">
        <f>IF(AND((K190+J190)=0,(T190+Q190)=0),$I$1*H190*Variables!$Q$23*0.25,0)</f>
        <v>0</v>
      </c>
      <c r="X190" s="95">
        <f>IF(AND(NOT(K190=0),(H190-H189)&gt;0),(H190-H189)*(Variables!$M$5*$H$1+Variables!$U$5*$I$1),0)+IF(AND(NOT((J190+N190+Q190)=0),(H189-H190)&gt;0),(H189-H190)*(Variables!$M$4*$H$1+Variables!$U$4*$I$1),0)</f>
        <v>-74.188556955980971</v>
      </c>
      <c r="Y190" s="95">
        <f>IF(SUM(T190,U189:U190)&gt;0,H190*Variables!$Y$11*0.25*(1-$J$1),0)</f>
        <v>0</v>
      </c>
      <c r="Z190" s="95">
        <f>IF(T190=0,H190*$J$1*Variables!$Y$5*0.25,0)</f>
        <v>4.0916691475221718</v>
      </c>
      <c r="AA190" s="95">
        <f t="shared" si="5"/>
        <v>-70.096887808458803</v>
      </c>
      <c r="AB190" s="91">
        <f>AA190/Variables!$E$49</f>
        <v>-11.305949646525614</v>
      </c>
    </row>
    <row r="191" spans="1:28" x14ac:dyDescent="0.25">
      <c r="A191" s="61">
        <f>'Water runs'!C198</f>
        <v>19418</v>
      </c>
      <c r="B191" s="61" t="str">
        <f>'Water runs'!B198</f>
        <v>Summer</v>
      </c>
      <c r="C191" s="54">
        <f>'Water runs'!D198/100</f>
        <v>1.3398428571428598</v>
      </c>
      <c r="D191" s="108">
        <f>VLOOKUP(ROW(D191)+4,'Water runs'!$BS$3:$CF$423,MATCH($B$1,Scenarios,0)+1)</f>
        <v>7.7704494889112349E-3</v>
      </c>
      <c r="E191" s="54">
        <f>IF(B191=Variables!$D$8,C191-Variables!$E$8,IF(B191=Variables!$D$9,C191-Variables!$E$9,IF(B191=Variables!$D$10,C191-Variables!$E$10,IF(B191=Variables!$D$11,C191-Variables!$E$11,"ELSE"))))</f>
        <v>8.147272108843806E-2</v>
      </c>
      <c r="F191" s="108">
        <f>VLOOKUP(ROW(F191)+4,'Water runs'!$CH$3:$CU$423,MATCH($B$1,Scenarios,0)+1)</f>
        <v>0</v>
      </c>
      <c r="G191" s="65">
        <f>H191/Variables!$E$49</f>
        <v>0.30459075539867286</v>
      </c>
      <c r="H191" s="62">
        <f>IF((H190+I191)&gt;(1.1*Variables!$E$50),(1.1*Variables!$E$50),IF((H190+I191)&gt;0,H190+I191,0))</f>
        <v>1.8884626834717717</v>
      </c>
      <c r="I191" s="64">
        <f t="shared" si="6"/>
        <v>0</v>
      </c>
      <c r="J191" s="63">
        <f>IF(SUM(E187:E190)&lt;Variables!$B$3,-H190,0)</f>
        <v>0</v>
      </c>
      <c r="K191" s="64">
        <f>IF(AND(H190&lt;Variables!$B$6*Variables!$E$50,OR(SUM(D188:D191)&gt;Variables!$B$5,SUM(E188:E191)&gt;Variables!$B$4)),Variables!$B$6*Variables!$E$50+Variables!$B$7*$G$1*Variables!$E$50*SUM(D188:D191),0)</f>
        <v>0</v>
      </c>
      <c r="L191" s="64">
        <f>IF(B191="Winter",Variables!$B$8*H190,0)</f>
        <v>0</v>
      </c>
      <c r="M191" s="64">
        <f>IF(AND(B191="Spring",AND(NOT(H190=0),H190&lt;(Variables!$B$9*Variables!$E$50))),(Variables!$B$10*Variables!$E$50+Variables!$B$11*Variables!$E$50*SUM(E188:E191)+$G$1*SUM(D190:D191)*Variables!$E$50*Variables!$B$12),0)</f>
        <v>0</v>
      </c>
      <c r="N191" s="64">
        <f>IF(AND(B191="Spring",AND(SUM(D188:D191)&gt;Variables!$B$13,SUM(D184:D187)&gt;Variables!$B$13)),-Variables!$B$14*Variables!$E$50,0)</f>
        <v>0</v>
      </c>
      <c r="O191" s="64">
        <f>IF(AND(B191="Summer",SUM(C187:D191)&gt;Variables!$B$15),(Variables!$B$16*Variables!$E$50*SUM(C187:C191)+$G$1*Variables!$B$16*Variables!$E$50*SUM(D187:D191)+$G$1*Variables!$E$50*Variables!$B$17*F191),0)</f>
        <v>0</v>
      </c>
      <c r="P191" s="64">
        <f>IF(AND(AND(B191="Autumn",SUM(D190:E191)&gt;0),NOT(H190=0)),Variables!$B$18*Variables!$E$50+Variables!$B$19*Variables!$E$50*SUM(E190:E191)+$G$1*Variables!$B$19*Variables!$E$50*SUM(D190:D191),0)</f>
        <v>0</v>
      </c>
      <c r="Q191" s="64">
        <f>IF(AND(B191="Autumn",AND((E191+E190)&lt;Variables!$B$20,(D190+D191)=0)),-Variables!$B$21*Variables!$E$50,0)</f>
        <v>0</v>
      </c>
      <c r="R191" s="64">
        <f>IF(B191="Autumn",(SUM(F190:F191)*$G$1*Variables!$B$22*Variables!$E$50),0)</f>
        <v>0</v>
      </c>
      <c r="S191" s="64">
        <f>IF(B191="Spring",($G$1*Variables!$E$50*SUM('Guts (option 2)'!F190:F191)*Variables!$B$23),0)</f>
        <v>0</v>
      </c>
      <c r="T191" s="63">
        <f>IF((H190+SUM(J191:Q191))&lt;(Variables!$B$26*Variables!$E$50),$F$1*((Variables!$B$26*Variables!$E$50)-H190-SUM(J191:Q191)),0)</f>
        <v>0</v>
      </c>
      <c r="U191" s="64">
        <f>IF(AND(AND(B191="Autumn",SUM(D188:E191)&gt;Variables!$B$27),SUM(J191:Q191)&lt;Variables!$B$28*H190),$F$1*(Variables!$B$28*H190-SUM(J191:Q191)),0)</f>
        <v>0</v>
      </c>
      <c r="V191" s="96">
        <f>IF(AND((J191+K191)=0,(Q191+T191)=0),$H$1*H191*Variables!$I$23*0.25,0)</f>
        <v>12.130319726634522</v>
      </c>
      <c r="W191" s="97">
        <f>IF(AND((K191+J191)=0,(T191+Q191)=0),$I$1*H191*Variables!$Q$23*0.25,0)</f>
        <v>12.697236224212745</v>
      </c>
      <c r="X191" s="95">
        <f>IF(AND(NOT(K191=0),(H191-H190)&gt;0),(H191-H190)*(Variables!$M$5*$H$1+Variables!$U$5*$I$1),0)+IF(AND(NOT((J191+N191+Q191)=0),(H190-H191)&gt;0),(H190-H191)*(Variables!$M$4*$H$1+Variables!$U$4*$I$1),0)</f>
        <v>0</v>
      </c>
      <c r="Y191" s="95">
        <f>IF(SUM(T191,U190:U191)&gt;0,H191*Variables!$Y$11*0.25*(1-$J$1),0)</f>
        <v>0</v>
      </c>
      <c r="Z191" s="95">
        <f>IF(T191=0,H191*$J$1*Variables!$Y$5*0.25,0)</f>
        <v>4.0916691475221718</v>
      </c>
      <c r="AA191" s="95">
        <f t="shared" si="5"/>
        <v>28.919225098369438</v>
      </c>
      <c r="AB191" s="91">
        <f>AA191/Variables!$E$49</f>
        <v>4.6643911448982962</v>
      </c>
    </row>
    <row r="192" spans="1:28" x14ac:dyDescent="0.25">
      <c r="A192" s="61">
        <f>'Water runs'!C199</f>
        <v>19510</v>
      </c>
      <c r="B192" s="61" t="str">
        <f>'Water runs'!B199</f>
        <v>Autumn</v>
      </c>
      <c r="C192" s="54">
        <f>'Water runs'!D199/100</f>
        <v>1.2438</v>
      </c>
      <c r="D192" s="108">
        <f>VLOOKUP(ROW(D192)+4,'Water runs'!$BS$3:$CF$423,MATCH($B$1,Scenarios,0)+1)</f>
        <v>0.24552530107126738</v>
      </c>
      <c r="E192" s="54">
        <f>IF(B192=Variables!$D$8,C192-Variables!$E$8,IF(B192=Variables!$D$9,C192-Variables!$E$9,IF(B192=Variables!$D$10,C192-Variables!$E$10,IF(B192=Variables!$D$11,C192-Variables!$E$11,"ELSE"))))</f>
        <v>0.24915670068027218</v>
      </c>
      <c r="F192" s="108">
        <f>VLOOKUP(ROW(F192)+4,'Water runs'!$CH$3:$CU$423,MATCH($B$1,Scenarios,0)+1)</f>
        <v>0.245406535285315</v>
      </c>
      <c r="G192" s="65">
        <f>H192/Variables!$E$49</f>
        <v>0.55198626678008034</v>
      </c>
      <c r="H192" s="62">
        <f>IF((H191+I192)&gt;(1.1*Variables!$E$50),(1.1*Variables!$E$50),IF((H191+I192)&gt;0,H191+I192,0))</f>
        <v>3.422314854036498</v>
      </c>
      <c r="I192" s="64">
        <f t="shared" si="6"/>
        <v>1.5338521705647263</v>
      </c>
      <c r="J192" s="63">
        <f>IF(SUM(E188:E191)&lt;Variables!$B$3,-H191,0)</f>
        <v>0</v>
      </c>
      <c r="K192" s="64">
        <f>IF(AND(H191&lt;Variables!$B$6*Variables!$E$50,OR(SUM(D189:D192)&gt;Variables!$B$5,SUM(E189:E192)&gt;Variables!$B$4)),Variables!$B$6*Variables!$E$50+Variables!$B$7*$G$1*Variables!$E$50*SUM(D189:D192),0)</f>
        <v>0</v>
      </c>
      <c r="L192" s="64">
        <f>IF(B192="Winter",Variables!$B$8*H191,0)</f>
        <v>0</v>
      </c>
      <c r="M192" s="64">
        <f>IF(AND(B192="Spring",AND(NOT(H191=0),H191&lt;(Variables!$B$9*Variables!$E$50))),(Variables!$B$10*Variables!$E$50+Variables!$B$11*Variables!$E$50*SUM(E189:E192)+$G$1*SUM(D191:D192)*Variables!$E$50*Variables!$B$12),0)</f>
        <v>0</v>
      </c>
      <c r="N192" s="64">
        <f>IF(AND(B192="Spring",AND(SUM(D189:D192)&gt;Variables!$B$13,SUM(D185:D188)&gt;Variables!$B$13)),-Variables!$B$14*Variables!$E$50,0)</f>
        <v>0</v>
      </c>
      <c r="O192" s="64">
        <f>IF(AND(B192="Summer",SUM(C188:D192)&gt;Variables!$B$15),(Variables!$B$16*Variables!$E$50*SUM(C188:C192)+$G$1*Variables!$B$16*Variables!$E$50*SUM(D188:D192)+$G$1*Variables!$E$50*Variables!$B$17*F192),0)</f>
        <v>0</v>
      </c>
      <c r="P192" s="64">
        <f>IF(AND(AND(B192="Autumn",SUM(D191:E192)&gt;0),NOT(H191=0)),Variables!$B$18*Variables!$E$50+Variables!$B$19*Variables!$E$50*SUM(E191:E192)+$G$1*Variables!$B$19*Variables!$E$50*SUM(D191:D192),0)</f>
        <v>1.4992765242608435</v>
      </c>
      <c r="Q192" s="64">
        <f>IF(AND(B192="Autumn",AND((E192+E191)&lt;Variables!$B$20,(D191+D192)=0)),-Variables!$B$21*Variables!$E$50,0)</f>
        <v>0</v>
      </c>
      <c r="R192" s="64">
        <f>IF(B192="Autumn",(SUM(F191:F192)*$G$1*Variables!$B$22*Variables!$E$50),0)</f>
        <v>3.4575646303882775E-2</v>
      </c>
      <c r="S192" s="64">
        <f>IF(B192="Spring",($G$1*Variables!$E$50*SUM('Guts (option 2)'!F191:F192)*Variables!$B$23),0)</f>
        <v>0</v>
      </c>
      <c r="T192" s="63">
        <f>IF((H191+SUM(J192:Q192))&lt;(Variables!$B$26*Variables!$E$50),$F$1*((Variables!$B$26*Variables!$E$50)-H191-SUM(J192:Q192)),0)</f>
        <v>0</v>
      </c>
      <c r="U192" s="64">
        <f>IF(AND(AND(B192="Autumn",SUM(D189:E192)&gt;Variables!$B$27),SUM(J192:Q192)&lt;Variables!$B$28*H191),$F$1*(Variables!$B$28*H191-SUM(J192:Q192)),0)</f>
        <v>0</v>
      </c>
      <c r="V192" s="96">
        <f>IF(AND((J192+K192)=0,(Q192+T192)=0),$H$1*H192*Variables!$I$23*0.25,0)</f>
        <v>21.982840194837138</v>
      </c>
      <c r="W192" s="97">
        <f>IF(AND((K192+J192)=0,(T192+Q192)=0),$I$1*H192*Variables!$Q$23*0.25,0)</f>
        <v>23.010219114018891</v>
      </c>
      <c r="X192" s="95">
        <f>IF(AND(NOT(K192=0),(H192-H191)&gt;0),(H192-H191)*(Variables!$M$5*$H$1+Variables!$U$5*$I$1),0)+IF(AND(NOT((J192+N192+Q192)=0),(H191-H192)&gt;0),(H191-H192)*(Variables!$M$4*$H$1+Variables!$U$4*$I$1),0)</f>
        <v>0</v>
      </c>
      <c r="Y192" s="95">
        <f>IF(SUM(T192,U191:U192)&gt;0,H192*Variables!$Y$11*0.25*(1-$J$1),0)</f>
        <v>0</v>
      </c>
      <c r="Z192" s="95">
        <f>IF(T192=0,H192*$J$1*Variables!$Y$5*0.25,0)</f>
        <v>7.4150155170790786</v>
      </c>
      <c r="AA192" s="95">
        <f t="shared" si="5"/>
        <v>52.40807482593511</v>
      </c>
      <c r="AB192" s="91">
        <f>AA192/Variables!$E$49</f>
        <v>8.4529152945056634</v>
      </c>
    </row>
    <row r="193" spans="1:28" x14ac:dyDescent="0.25">
      <c r="A193" s="61">
        <f>'Water runs'!C200</f>
        <v>19602</v>
      </c>
      <c r="B193" s="61" t="str">
        <f>'Water runs'!B200</f>
        <v>Winter</v>
      </c>
      <c r="C193" s="54">
        <f>'Water runs'!D200/100</f>
        <v>0.15533333333333299</v>
      </c>
      <c r="D193" s="108">
        <f>VLOOKUP(ROW(D193)+4,'Water runs'!$BS$3:$CF$423,MATCH($B$1,Scenarios,0)+1)</f>
        <v>0</v>
      </c>
      <c r="E193" s="54">
        <f>IF(B193=Variables!$D$8,C193-Variables!$E$8,IF(B193=Variables!$D$9,C193-Variables!$E$9,IF(B193=Variables!$D$10,C193-Variables!$E$10,IF(B193=Variables!$D$11,C193-Variables!$E$11,"ELSE"))))</f>
        <v>-0.41643429232804274</v>
      </c>
      <c r="F193" s="108">
        <f>VLOOKUP(ROW(F193)+4,'Water runs'!$CH$3:$CU$423,MATCH($B$1,Scenarios,0)+1)</f>
        <v>0</v>
      </c>
      <c r="G193" s="65">
        <f>H193/Variables!$E$49</f>
        <v>0.27712732919464528</v>
      </c>
      <c r="H193" s="62">
        <f>IF((H192+I193)&gt;(1.1*Variables!$E$50),(1.1*Variables!$E$50),IF((H192+I193)&gt;0,H192+I193,0))</f>
        <v>1.7181894410068006</v>
      </c>
      <c r="I193" s="64">
        <f t="shared" si="6"/>
        <v>-1.7041254130296974</v>
      </c>
      <c r="J193" s="63">
        <f>IF(SUM(E189:E192)&lt;Variables!$B$3,-H192,0)</f>
        <v>0</v>
      </c>
      <c r="K193" s="64">
        <f>IF(AND(H192&lt;Variables!$B$6*Variables!$E$50,OR(SUM(D190:D193)&gt;Variables!$B$5,SUM(E190:E193)&gt;Variables!$B$4)),Variables!$B$6*Variables!$E$50+Variables!$B$7*$G$1*Variables!$E$50*SUM(D190:D193),0)</f>
        <v>0</v>
      </c>
      <c r="L193" s="64">
        <f>IF(B193="Winter",Variables!$B$8*H192,0)</f>
        <v>-1.7041254130296974</v>
      </c>
      <c r="M193" s="64">
        <f>IF(AND(B193="Spring",AND(NOT(H192=0),H192&lt;(Variables!$B$9*Variables!$E$50))),(Variables!$B$10*Variables!$E$50+Variables!$B$11*Variables!$E$50*SUM(E190:E193)+$G$1*SUM(D192:D193)*Variables!$E$50*Variables!$B$12),0)</f>
        <v>0</v>
      </c>
      <c r="N193" s="64">
        <f>IF(AND(B193="Spring",AND(SUM(D190:D193)&gt;Variables!$B$13,SUM(D186:D189)&gt;Variables!$B$13)),-Variables!$B$14*Variables!$E$50,0)</f>
        <v>0</v>
      </c>
      <c r="O193" s="64">
        <f>IF(AND(B193="Summer",SUM(C189:D193)&gt;Variables!$B$15),(Variables!$B$16*Variables!$E$50*SUM(C189:C193)+$G$1*Variables!$B$16*Variables!$E$50*SUM(D189:D193)+$G$1*Variables!$E$50*Variables!$B$17*F193),0)</f>
        <v>0</v>
      </c>
      <c r="P193" s="64">
        <f>IF(AND(AND(B193="Autumn",SUM(D192:E193)&gt;0),NOT(H192=0)),Variables!$B$18*Variables!$E$50+Variables!$B$19*Variables!$E$50*SUM(E192:E193)+$G$1*Variables!$B$19*Variables!$E$50*SUM(D192:D193),0)</f>
        <v>0</v>
      </c>
      <c r="Q193" s="64">
        <f>IF(AND(B193="Autumn",AND((E193+E192)&lt;Variables!$B$20,(D192+D193)=0)),-Variables!$B$21*Variables!$E$50,0)</f>
        <v>0</v>
      </c>
      <c r="R193" s="64">
        <f>IF(B193="Autumn",(SUM(F192:F193)*$G$1*Variables!$B$22*Variables!$E$50),0)</f>
        <v>0</v>
      </c>
      <c r="S193" s="64">
        <f>IF(B193="Spring",($G$1*Variables!$E$50*SUM('Guts (option 2)'!F192:F193)*Variables!$B$23),0)</f>
        <v>0</v>
      </c>
      <c r="T193" s="63">
        <f>IF((H192+SUM(J193:Q193))&lt;(Variables!$B$26*Variables!$E$50),$F$1*((Variables!$B$26*Variables!$E$50)-H192-SUM(J193:Q193)),0)</f>
        <v>0</v>
      </c>
      <c r="U193" s="64">
        <f>IF(AND(AND(B193="Autumn",SUM(D190:E193)&gt;Variables!$B$27),SUM(J193:Q193)&lt;Variables!$B$28*H192),$F$1*(Variables!$B$28*H192-SUM(J193:Q193)),0)</f>
        <v>0</v>
      </c>
      <c r="V193" s="96">
        <f>IF(AND((J193+K193)=0,(Q193+T193)=0),$H$1*H193*Variables!$I$23*0.25,0)</f>
        <v>11.036589418872399</v>
      </c>
      <c r="W193" s="97">
        <f>IF(AND((K193+J193)=0,(T193+Q193)=0),$I$1*H193*Variables!$Q$23*0.25,0)</f>
        <v>11.552389889062638</v>
      </c>
      <c r="X193" s="95">
        <f>IF(AND(NOT(K193=0),(H193-H192)&gt;0),(H193-H192)*(Variables!$M$5*$H$1+Variables!$U$5*$I$1),0)+IF(AND(NOT((J193+N193+Q193)=0),(H192-H193)&gt;0),(H192-H193)*(Variables!$M$4*$H$1+Variables!$U$4*$I$1),0)</f>
        <v>0</v>
      </c>
      <c r="Y193" s="95">
        <f>IF(SUM(T193,U192:U193)&gt;0,H193*Variables!$Y$11*0.25*(1-$J$1),0)</f>
        <v>0</v>
      </c>
      <c r="Z193" s="95">
        <f>IF(T193=0,H193*$J$1*Variables!$Y$5*0.25,0)</f>
        <v>3.7227437888480677</v>
      </c>
      <c r="AA193" s="95">
        <f t="shared" si="5"/>
        <v>26.311723096783105</v>
      </c>
      <c r="AB193" s="91">
        <f>AA193/Variables!$E$49</f>
        <v>4.2438263059327586</v>
      </c>
    </row>
    <row r="194" spans="1:28" x14ac:dyDescent="0.25">
      <c r="A194" s="61">
        <f>'Water runs'!C201</f>
        <v>19693</v>
      </c>
      <c r="B194" s="61" t="str">
        <f>'Water runs'!B201</f>
        <v>Spring</v>
      </c>
      <c r="C194" s="54">
        <f>'Water runs'!D201/100</f>
        <v>0.63549999999999995</v>
      </c>
      <c r="D194" s="108">
        <f>VLOOKUP(ROW(D194)+4,'Water runs'!$BS$3:$CF$423,MATCH($B$1,Scenarios,0)+1)</f>
        <v>0</v>
      </c>
      <c r="E194" s="54">
        <f>IF(B194=Variables!$D$8,C194-Variables!$E$8,IF(B194=Variables!$D$9,C194-Variables!$E$9,IF(B194=Variables!$D$10,C194-Variables!$E$10,IF(B194=Variables!$D$11,C194-Variables!$E$11,"ELSE"))))</f>
        <v>-0.12848220899470919</v>
      </c>
      <c r="F194" s="108">
        <f>VLOOKUP(ROW(F194)+4,'Water runs'!$CH$3:$CU$423,MATCH($B$1,Scenarios,0)+1)</f>
        <v>0</v>
      </c>
      <c r="G194" s="65">
        <f>H194/Variables!$E$49</f>
        <v>0.2535881808563008</v>
      </c>
      <c r="H194" s="62">
        <f>IF((H193+I194)&gt;(1.1*Variables!$E$50),(1.1*Variables!$E$50),IF((H193+I194)&gt;0,H193+I194,0))</f>
        <v>1.572246721309065</v>
      </c>
      <c r="I194" s="64">
        <f t="shared" si="6"/>
        <v>-0.14594271969773559</v>
      </c>
      <c r="J194" s="63">
        <f>IF(SUM(E190:E193)&lt;Variables!$B$3,-H193,0)</f>
        <v>0</v>
      </c>
      <c r="K194" s="64">
        <f>IF(AND(H193&lt;Variables!$B$6*Variables!$E$50,OR(SUM(D191:D194)&gt;Variables!$B$5,SUM(E191:E194)&gt;Variables!$B$4)),Variables!$B$6*Variables!$E$50+Variables!$B$7*$G$1*Variables!$E$50*SUM(D191:D194),0)</f>
        <v>0</v>
      </c>
      <c r="L194" s="64">
        <f>IF(B194="Winter",Variables!$B$8*H193,0)</f>
        <v>0</v>
      </c>
      <c r="M194" s="64">
        <f>IF(AND(B194="Spring",AND(NOT(H193=0),H193&lt;(Variables!$B$9*Variables!$E$50))),(Variables!$B$10*Variables!$E$50+Variables!$B$11*Variables!$E$50*SUM(E191:E194)+$G$1*SUM(D193:D194)*Variables!$E$50*Variables!$B$12),0)</f>
        <v>-0.14594271969773559</v>
      </c>
      <c r="N194" s="64">
        <f>IF(AND(B194="Spring",AND(SUM(D191:D194)&gt;Variables!$B$13,SUM(D187:D190)&gt;Variables!$B$13)),-Variables!$B$14*Variables!$E$50,0)</f>
        <v>0</v>
      </c>
      <c r="O194" s="64">
        <f>IF(AND(B194="Summer",SUM(C190:D194)&gt;Variables!$B$15),(Variables!$B$16*Variables!$E$50*SUM(C190:C194)+$G$1*Variables!$B$16*Variables!$E$50*SUM(D190:D194)+$G$1*Variables!$E$50*Variables!$B$17*F194),0)</f>
        <v>0</v>
      </c>
      <c r="P194" s="64">
        <f>IF(AND(AND(B194="Autumn",SUM(D193:E194)&gt;0),NOT(H193=0)),Variables!$B$18*Variables!$E$50+Variables!$B$19*Variables!$E$50*SUM(E193:E194)+$G$1*Variables!$B$19*Variables!$E$50*SUM(D193:D194),0)</f>
        <v>0</v>
      </c>
      <c r="Q194" s="64">
        <f>IF(AND(B194="Autumn",AND((E194+E193)&lt;Variables!$B$20,(D193+D194)=0)),-Variables!$B$21*Variables!$E$50,0)</f>
        <v>0</v>
      </c>
      <c r="R194" s="64">
        <f>IF(B194="Autumn",(SUM(F193:F194)*$G$1*Variables!$B$22*Variables!$E$50),0)</f>
        <v>0</v>
      </c>
      <c r="S194" s="64">
        <f>IF(B194="Spring",($G$1*Variables!$E$50*SUM('Guts (option 2)'!F193:F194)*Variables!$B$23),0)</f>
        <v>0</v>
      </c>
      <c r="T194" s="63">
        <f>IF((H193+SUM(J194:Q194))&lt;(Variables!$B$26*Variables!$E$50),$F$1*((Variables!$B$26*Variables!$E$50)-H193-SUM(J194:Q194)),0)</f>
        <v>0</v>
      </c>
      <c r="U194" s="64">
        <f>IF(AND(AND(B194="Autumn",SUM(D191:E194)&gt;Variables!$B$27),SUM(J194:Q194)&lt;Variables!$B$28*H193),$F$1*(Variables!$B$28*H193-SUM(J194:Q194)),0)</f>
        <v>0</v>
      </c>
      <c r="V194" s="96">
        <f>IF(AND((J194+K194)=0,(Q194+T194)=0),$H$1*H194*Variables!$I$23*0.25,0)</f>
        <v>10.099143385544627</v>
      </c>
      <c r="W194" s="97">
        <f>IF(AND((K194+J194)=0,(T194+Q194)=0),$I$1*H194*Variables!$Q$23*0.25,0)</f>
        <v>10.571131851281606</v>
      </c>
      <c r="X194" s="95">
        <f>IF(AND(NOT(K194=0),(H194-H193)&gt;0),(H194-H193)*(Variables!$M$5*$H$1+Variables!$U$5*$I$1),0)+IF(AND(NOT((J194+N194+Q194)=0),(H193-H194)&gt;0),(H193-H194)*(Variables!$M$4*$H$1+Variables!$U$4*$I$1),0)</f>
        <v>0</v>
      </c>
      <c r="Y194" s="95">
        <f>IF(SUM(T194,U193:U194)&gt;0,H194*Variables!$Y$11*0.25*(1-$J$1),0)</f>
        <v>0</v>
      </c>
      <c r="Z194" s="95">
        <f>IF(T194=0,H194*$J$1*Variables!$Y$5*0.25,0)</f>
        <v>3.4065345628363075</v>
      </c>
      <c r="AA194" s="95">
        <f t="shared" si="5"/>
        <v>24.076809799662541</v>
      </c>
      <c r="AB194" s="91">
        <f>AA194/Variables!$E$49</f>
        <v>3.88335641930041</v>
      </c>
    </row>
    <row r="195" spans="1:28" x14ac:dyDescent="0.25">
      <c r="A195" s="61">
        <f>'Water runs'!C202</f>
        <v>19783</v>
      </c>
      <c r="B195" s="61" t="str">
        <f>'Water runs'!B202</f>
        <v>Summer</v>
      </c>
      <c r="C195" s="54">
        <f>'Water runs'!D202/100</f>
        <v>1.5088333333333301</v>
      </c>
      <c r="D195" s="108">
        <f>VLOOKUP(ROW(D195)+4,'Water runs'!$BS$3:$CF$423,MATCH($B$1,Scenarios,0)+1)</f>
        <v>0.53389733885462276</v>
      </c>
      <c r="E195" s="54">
        <f>IF(B195=Variables!$D$8,C195-Variables!$E$8,IF(B195=Variables!$D$9,C195-Variables!$E$9,IF(B195=Variables!$D$10,C195-Variables!$E$10,IF(B195=Variables!$D$11,C195-Variables!$E$11,"ELSE"))))</f>
        <v>0.25046319727890842</v>
      </c>
      <c r="F195" s="108">
        <f>VLOOKUP(ROW(F195)+4,'Water runs'!$CH$3:$CU$423,MATCH($B$1,Scenarios,0)+1)</f>
        <v>0</v>
      </c>
      <c r="G195" s="65">
        <f>H195/Variables!$E$49</f>
        <v>0.2535881808563008</v>
      </c>
      <c r="H195" s="62">
        <f>IF((H194+I195)&gt;(1.1*Variables!$E$50),(1.1*Variables!$E$50),IF((H194+I195)&gt;0,H194+I195,0))</f>
        <v>1.572246721309065</v>
      </c>
      <c r="I195" s="64">
        <f t="shared" si="6"/>
        <v>0</v>
      </c>
      <c r="J195" s="63">
        <f>IF(SUM(E191:E194)&lt;Variables!$B$3,-H194,0)</f>
        <v>0</v>
      </c>
      <c r="K195" s="64">
        <f>IF(AND(H194&lt;Variables!$B$6*Variables!$E$50,OR(SUM(D192:D195)&gt;Variables!$B$5,SUM(E192:E195)&gt;Variables!$B$4)),Variables!$B$6*Variables!$E$50+Variables!$B$7*$G$1*Variables!$E$50*SUM(D192:D195),0)</f>
        <v>0</v>
      </c>
      <c r="L195" s="64">
        <f>IF(B195="Winter",Variables!$B$8*H194,0)</f>
        <v>0</v>
      </c>
      <c r="M195" s="64">
        <f>IF(AND(B195="Spring",AND(NOT(H194=0),H194&lt;(Variables!$B$9*Variables!$E$50))),(Variables!$B$10*Variables!$E$50+Variables!$B$11*Variables!$E$50*SUM(E192:E195)+$G$1*SUM(D194:D195)*Variables!$E$50*Variables!$B$12),0)</f>
        <v>0</v>
      </c>
      <c r="N195" s="64">
        <f>IF(AND(B195="Spring",AND(SUM(D192:D195)&gt;Variables!$B$13,SUM(D188:D191)&gt;Variables!$B$13)),-Variables!$B$14*Variables!$E$50,0)</f>
        <v>0</v>
      </c>
      <c r="O195" s="64">
        <f>IF(AND(B195="Summer",SUM(C191:D195)&gt;Variables!$B$15),(Variables!$B$16*Variables!$E$50*SUM(C191:C195)+$G$1*Variables!$B$16*Variables!$E$50*SUM(D191:D195)+$G$1*Variables!$E$50*Variables!$B$17*F195),0)</f>
        <v>0</v>
      </c>
      <c r="P195" s="64">
        <f>IF(AND(AND(B195="Autumn",SUM(D194:E195)&gt;0),NOT(H194=0)),Variables!$B$18*Variables!$E$50+Variables!$B$19*Variables!$E$50*SUM(E194:E195)+$G$1*Variables!$B$19*Variables!$E$50*SUM(D194:D195),0)</f>
        <v>0</v>
      </c>
      <c r="Q195" s="64">
        <f>IF(AND(B195="Autumn",AND((E195+E194)&lt;Variables!$B$20,(D194+D195)=0)),-Variables!$B$21*Variables!$E$50,0)</f>
        <v>0</v>
      </c>
      <c r="R195" s="64">
        <f>IF(B195="Autumn",(SUM(F194:F195)*$G$1*Variables!$B$22*Variables!$E$50),0)</f>
        <v>0</v>
      </c>
      <c r="S195" s="64">
        <f>IF(B195="Spring",($G$1*Variables!$E$50*SUM('Guts (option 2)'!F194:F195)*Variables!$B$23),0)</f>
        <v>0</v>
      </c>
      <c r="T195" s="63">
        <f>IF((H194+SUM(J195:Q195))&lt;(Variables!$B$26*Variables!$E$50),$F$1*((Variables!$B$26*Variables!$E$50)-H194-SUM(J195:Q195)),0)</f>
        <v>0</v>
      </c>
      <c r="U195" s="64">
        <f>IF(AND(AND(B195="Autumn",SUM(D192:E195)&gt;Variables!$B$27),SUM(J195:Q195)&lt;Variables!$B$28*H194),$F$1*(Variables!$B$28*H194-SUM(J195:Q195)),0)</f>
        <v>0</v>
      </c>
      <c r="V195" s="96">
        <f>IF(AND((J195+K195)=0,(Q195+T195)=0),$H$1*H195*Variables!$I$23*0.25,0)</f>
        <v>10.099143385544627</v>
      </c>
      <c r="W195" s="97">
        <f>IF(AND((K195+J195)=0,(T195+Q195)=0),$I$1*H195*Variables!$Q$23*0.25,0)</f>
        <v>10.571131851281606</v>
      </c>
      <c r="X195" s="95">
        <f>IF(AND(NOT(K195=0),(H195-H194)&gt;0),(H195-H194)*(Variables!$M$5*$H$1+Variables!$U$5*$I$1),0)+IF(AND(NOT((J195+N195+Q195)=0),(H194-H195)&gt;0),(H194-H195)*(Variables!$M$4*$H$1+Variables!$U$4*$I$1),0)</f>
        <v>0</v>
      </c>
      <c r="Y195" s="95">
        <f>IF(SUM(T195,U194:U195)&gt;0,H195*Variables!$Y$11*0.25*(1-$J$1),0)</f>
        <v>0</v>
      </c>
      <c r="Z195" s="95">
        <f>IF(T195=0,H195*$J$1*Variables!$Y$5*0.25,0)</f>
        <v>3.4065345628363075</v>
      </c>
      <c r="AA195" s="95">
        <f t="shared" si="5"/>
        <v>24.076809799662541</v>
      </c>
      <c r="AB195" s="91">
        <f>AA195/Variables!$E$49</f>
        <v>3.88335641930041</v>
      </c>
    </row>
    <row r="196" spans="1:28" x14ac:dyDescent="0.25">
      <c r="A196" s="61">
        <f>'Water runs'!C203</f>
        <v>19875</v>
      </c>
      <c r="B196" s="61" t="str">
        <f>'Water runs'!B203</f>
        <v>Autumn</v>
      </c>
      <c r="C196" s="54">
        <f>'Water runs'!D203/100</f>
        <v>0</v>
      </c>
      <c r="D196" s="108">
        <f>VLOOKUP(ROW(D196)+4,'Water runs'!$BS$3:$CF$423,MATCH($B$1,Scenarios,0)+1)</f>
        <v>0.32940640860180997</v>
      </c>
      <c r="E196" s="54">
        <f>IF(B196=Variables!$D$8,C196-Variables!$E$8,IF(B196=Variables!$D$9,C196-Variables!$E$9,IF(B196=Variables!$D$10,C196-Variables!$E$10,IF(B196=Variables!$D$11,C196-Variables!$E$11,"ELSE"))))</f>
        <v>-0.99464329931972784</v>
      </c>
      <c r="F196" s="108">
        <f>VLOOKUP(ROW(F196)+4,'Water runs'!$CH$3:$CU$423,MATCH($B$1,Scenarios,0)+1)</f>
        <v>0.79365196874084509</v>
      </c>
      <c r="G196" s="65">
        <f>H196/Variables!$E$49</f>
        <v>0.29356395651691947</v>
      </c>
      <c r="H196" s="62">
        <f>IF((H195+I196)&gt;(1.1*Variables!$E$50),(1.1*Variables!$E$50),IF((H195+I196)&gt;0,H195+I196,0))</f>
        <v>1.8200965304049006</v>
      </c>
      <c r="I196" s="64">
        <f t="shared" si="6"/>
        <v>0.24784980909583565</v>
      </c>
      <c r="J196" s="63">
        <f>IF(SUM(E192:E195)&lt;Variables!$B$3,-H195,0)</f>
        <v>0</v>
      </c>
      <c r="K196" s="64">
        <f>IF(AND(H195&lt;Variables!$B$6*Variables!$E$50,OR(SUM(D193:D196)&gt;Variables!$B$5,SUM(E193:E196)&gt;Variables!$B$4)),Variables!$B$6*Variables!$E$50+Variables!$B$7*$G$1*Variables!$E$50*SUM(D193:D196),0)</f>
        <v>0</v>
      </c>
      <c r="L196" s="64">
        <f>IF(B196="Winter",Variables!$B$8*H195,0)</f>
        <v>0</v>
      </c>
      <c r="M196" s="64">
        <f>IF(AND(B196="Spring",AND(NOT(H195=0),H195&lt;(Variables!$B$9*Variables!$E$50))),(Variables!$B$10*Variables!$E$50+Variables!$B$11*Variables!$E$50*SUM(E193:E196)+$G$1*SUM(D195:D196)*Variables!$E$50*Variables!$B$12),0)</f>
        <v>0</v>
      </c>
      <c r="N196" s="64">
        <f>IF(AND(B196="Spring",AND(SUM(D193:D196)&gt;Variables!$B$13,SUM(D189:D192)&gt;Variables!$B$13)),-Variables!$B$14*Variables!$E$50,0)</f>
        <v>0</v>
      </c>
      <c r="O196" s="64">
        <f>IF(AND(B196="Summer",SUM(C192:D196)&gt;Variables!$B$15),(Variables!$B$16*Variables!$E$50*SUM(C192:C196)+$G$1*Variables!$B$16*Variables!$E$50*SUM(D192:D196)+$G$1*Variables!$E$50*Variables!$B$17*F196),0)</f>
        <v>0</v>
      </c>
      <c r="P196" s="64">
        <f>IF(AND(AND(B196="Autumn",SUM(D195:E196)&gt;0),NOT(H195=0)),Variables!$B$18*Variables!$E$50+Variables!$B$19*Variables!$E$50*SUM(E195:E196)+$G$1*Variables!$B$19*Variables!$E$50*SUM(D195:D196),0)</f>
        <v>0.13603114979379161</v>
      </c>
      <c r="Q196" s="64">
        <f>IF(AND(B196="Autumn",AND((E196+E195)&lt;Variables!$B$20,(D195+D196)=0)),-Variables!$B$21*Variables!$E$50,0)</f>
        <v>0</v>
      </c>
      <c r="R196" s="64">
        <f>IF(B196="Autumn",(SUM(F195:F196)*$G$1*Variables!$B$22*Variables!$E$50),0)</f>
        <v>0.11181865930204404</v>
      </c>
      <c r="S196" s="64">
        <f>IF(B196="Spring",($G$1*Variables!$E$50*SUM('Guts (option 2)'!F195:F196)*Variables!$B$23),0)</f>
        <v>0</v>
      </c>
      <c r="T196" s="63">
        <f>IF((H195+SUM(J196:Q196))&lt;(Variables!$B$26*Variables!$E$50),$F$1*((Variables!$B$26*Variables!$E$50)-H195-SUM(J196:Q196)),0)</f>
        <v>0</v>
      </c>
      <c r="U196" s="64">
        <f>IF(AND(AND(B196="Autumn",SUM(D193:E196)&gt;Variables!$B$27),SUM(J196:Q196)&lt;Variables!$B$28*H195),$F$1*(Variables!$B$28*H195-SUM(J196:Q196)),0)</f>
        <v>0</v>
      </c>
      <c r="V196" s="96">
        <f>IF(AND((J196+K196)=0,(Q196+T196)=0),$H$1*H196*Variables!$I$23*0.25,0)</f>
        <v>11.691177718460665</v>
      </c>
      <c r="W196" s="97">
        <f>IF(AND((K196+J196)=0,(T196+Q196)=0),$I$1*H196*Variables!$Q$23*0.25,0)</f>
        <v>12.237570696888215</v>
      </c>
      <c r="X196" s="95">
        <f>IF(AND(NOT(K196=0),(H196-H195)&gt;0),(H196-H195)*(Variables!$M$5*$H$1+Variables!$U$5*$I$1),0)+IF(AND(NOT((J196+N196+Q196)=0),(H195-H196)&gt;0),(H195-H196)*(Variables!$M$4*$H$1+Variables!$U$4*$I$1),0)</f>
        <v>0</v>
      </c>
      <c r="Y196" s="95">
        <f>IF(SUM(T196,U195:U196)&gt;0,H196*Variables!$Y$11*0.25*(1-$J$1),0)</f>
        <v>0</v>
      </c>
      <c r="Z196" s="95">
        <f>IF(T196=0,H196*$J$1*Variables!$Y$5*0.25,0)</f>
        <v>3.9435424825439509</v>
      </c>
      <c r="AA196" s="95">
        <f t="shared" si="5"/>
        <v>27.872290897892828</v>
      </c>
      <c r="AB196" s="91">
        <f>AA196/Variables!$E$49</f>
        <v>4.4955307899827144</v>
      </c>
    </row>
    <row r="197" spans="1:28" x14ac:dyDescent="0.25">
      <c r="A197" s="61">
        <f>'Water runs'!C204</f>
        <v>19967</v>
      </c>
      <c r="B197" s="61" t="str">
        <f>'Water runs'!B204</f>
        <v>Winter</v>
      </c>
      <c r="C197" s="54">
        <f>'Water runs'!D204/100</f>
        <v>1.1230500000000001</v>
      </c>
      <c r="D197" s="108">
        <f>VLOOKUP(ROW(D197)+4,'Water runs'!$BS$3:$CF$423,MATCH($B$1,Scenarios,0)+1)</f>
        <v>0.59027149858668715</v>
      </c>
      <c r="E197" s="54">
        <f>IF(B197=Variables!$D$8,C197-Variables!$E$8,IF(B197=Variables!$D$9,C197-Variables!$E$9,IF(B197=Variables!$D$10,C197-Variables!$E$10,IF(B197=Variables!$D$11,C197-Variables!$E$11,"ELSE"))))</f>
        <v>0.55128237433862437</v>
      </c>
      <c r="F197" s="108">
        <f>VLOOKUP(ROW(F197)+4,'Water runs'!$CH$3:$CU$423,MATCH($B$1,Scenarios,0)+1)</f>
        <v>0.52143405727677972</v>
      </c>
      <c r="G197" s="65">
        <f>H197/Variables!$E$49</f>
        <v>0.161</v>
      </c>
      <c r="H197" s="62">
        <f>IF((H196+I197)&gt;(1.1*Variables!$E$50),(1.1*Variables!$E$50),IF((H196+I197)&gt;0,H196+I197,0))</f>
        <v>0.99820000000000009</v>
      </c>
      <c r="I197" s="64">
        <f t="shared" si="6"/>
        <v>-0.82189653040490052</v>
      </c>
      <c r="J197" s="63">
        <f>IF(SUM(E193:E196)&lt;Variables!$B$3,-H196,0)</f>
        <v>0</v>
      </c>
      <c r="K197" s="64">
        <f>IF(AND(H196&lt;Variables!$B$6*Variables!$E$50,OR(SUM(D194:D197)&gt;Variables!$B$5,SUM(E194:E197)&gt;Variables!$B$4)),Variables!$B$6*Variables!$E$50+Variables!$B$7*$G$1*Variables!$E$50*SUM(D194:D197),0)</f>
        <v>0</v>
      </c>
      <c r="L197" s="64">
        <f>IF(B197="Winter",Variables!$B$8*H196,0)</f>
        <v>-0.90630841518624694</v>
      </c>
      <c r="M197" s="64">
        <f>IF(AND(B197="Spring",AND(NOT(H196=0),H196&lt;(Variables!$B$9*Variables!$E$50))),(Variables!$B$10*Variables!$E$50+Variables!$B$11*Variables!$E$50*SUM(E194:E197)+$G$1*SUM(D196:D197)*Variables!$E$50*Variables!$B$12),0)</f>
        <v>0</v>
      </c>
      <c r="N197" s="64">
        <f>IF(AND(B197="Spring",AND(SUM(D194:D197)&gt;Variables!$B$13,SUM(D190:D193)&gt;Variables!$B$13)),-Variables!$B$14*Variables!$E$50,0)</f>
        <v>0</v>
      </c>
      <c r="O197" s="64">
        <f>IF(AND(B197="Summer",SUM(C193:D197)&gt;Variables!$B$15),(Variables!$B$16*Variables!$E$50*SUM(C193:C197)+$G$1*Variables!$B$16*Variables!$E$50*SUM(D193:D197)+$G$1*Variables!$E$50*Variables!$B$17*F197),0)</f>
        <v>0</v>
      </c>
      <c r="P197" s="64">
        <f>IF(AND(AND(B197="Autumn",SUM(D196:E197)&gt;0),NOT(H196=0)),Variables!$B$18*Variables!$E$50+Variables!$B$19*Variables!$E$50*SUM(E196:E197)+$G$1*Variables!$B$19*Variables!$E$50*SUM(D196:D197),0)</f>
        <v>0</v>
      </c>
      <c r="Q197" s="64">
        <f>IF(AND(B197="Autumn",AND((E197+E196)&lt;Variables!$B$20,(D196+D197)=0)),-Variables!$B$21*Variables!$E$50,0)</f>
        <v>0</v>
      </c>
      <c r="R197" s="64">
        <f>IF(B197="Autumn",(SUM(F196:F197)*$G$1*Variables!$B$22*Variables!$E$50),0)</f>
        <v>0</v>
      </c>
      <c r="S197" s="64">
        <f>IF(B197="Spring",($G$1*Variables!$E$50*SUM('Guts (option 2)'!F196:F197)*Variables!$B$23),0)</f>
        <v>0</v>
      </c>
      <c r="T197" s="63">
        <f>IF((H196+SUM(J197:Q197))&lt;(Variables!$B$26*Variables!$E$50),$F$1*((Variables!$B$26*Variables!$E$50)-H196-SUM(J197:Q197)),0)</f>
        <v>8.4411884781346425E-2</v>
      </c>
      <c r="U197" s="64">
        <f>IF(AND(AND(B197="Autumn",SUM(D194:E197)&gt;Variables!$B$27),SUM(J197:Q197)&lt;Variables!$B$28*H196),$F$1*(Variables!$B$28*H196-SUM(J197:Q197)),0)</f>
        <v>0</v>
      </c>
      <c r="V197" s="96">
        <f>IF(AND((J197+K197)=0,(Q197+T197)=0),$H$1*H197*Variables!$I$23*0.25,0)</f>
        <v>0</v>
      </c>
      <c r="W197" s="97">
        <f>IF(AND((K197+J197)=0,(T197+Q197)=0),$I$1*H197*Variables!$Q$23*0.25,0)</f>
        <v>0</v>
      </c>
      <c r="X197" s="95">
        <f>IF(AND(NOT(K197=0),(H197-H196)&gt;0),(H197-H196)*(Variables!$M$5*$H$1+Variables!$U$5*$I$1),0)+IF(AND(NOT((J197+N197+Q197)=0),(H196-H197)&gt;0),(H196-H197)*(Variables!$M$4*$H$1+Variables!$U$4*$I$1),0)</f>
        <v>0</v>
      </c>
      <c r="Y197" s="95">
        <f>IF(SUM(T197,U196:U197)&gt;0,H197*Variables!$Y$11*0.25*(1-$J$1),0)</f>
        <v>-6.9874000000000018</v>
      </c>
      <c r="Z197" s="95">
        <f>IF(T197=0,H197*$J$1*Variables!$Y$5*0.25,0)</f>
        <v>0</v>
      </c>
      <c r="AA197" s="95">
        <f t="shared" si="5"/>
        <v>-6.9874000000000018</v>
      </c>
      <c r="AB197" s="91">
        <f>AA197/Variables!$E$49</f>
        <v>-1.1270000000000002</v>
      </c>
    </row>
    <row r="198" spans="1:28" x14ac:dyDescent="0.25">
      <c r="A198" s="61">
        <f>'Water runs'!C205</f>
        <v>20058</v>
      </c>
      <c r="B198" s="61" t="str">
        <f>'Water runs'!B205</f>
        <v>Spring</v>
      </c>
      <c r="C198" s="54">
        <f>'Water runs'!D205/100</f>
        <v>0.75749999999999995</v>
      </c>
      <c r="D198" s="108">
        <f>VLOOKUP(ROW(D198)+4,'Water runs'!$BS$3:$CF$423,MATCH($B$1,Scenarios,0)+1)</f>
        <v>0.36046286985645176</v>
      </c>
      <c r="E198" s="54">
        <f>IF(B198=Variables!$D$8,C198-Variables!$E$8,IF(B198=Variables!$D$9,C198-Variables!$E$9,IF(B198=Variables!$D$10,C198-Variables!$E$10,IF(B198=Variables!$D$11,C198-Variables!$E$11,"ELSE"))))</f>
        <v>-6.4822089947091932E-3</v>
      </c>
      <c r="F198" s="108">
        <f>VLOOKUP(ROW(F198)+4,'Water runs'!$CH$3:$CU$423,MATCH($B$1,Scenarios,0)+1)</f>
        <v>0.33930909983451968</v>
      </c>
      <c r="G198" s="65">
        <f>H198/Variables!$E$49</f>
        <v>0.41306840065692974</v>
      </c>
      <c r="H198" s="62">
        <f>IF((H197+I198)&gt;(1.1*Variables!$E$50),(1.1*Variables!$E$50),IF((H197+I198)&gt;0,H197+I198,0))</f>
        <v>2.5610240840729643</v>
      </c>
      <c r="I198" s="64">
        <f t="shared" si="6"/>
        <v>1.5628240840729644</v>
      </c>
      <c r="J198" s="63">
        <f>IF(SUM(E194:E197)&lt;Variables!$B$3,-H197,0)</f>
        <v>0</v>
      </c>
      <c r="K198" s="64">
        <f>IF(AND(H197&lt;Variables!$B$6*Variables!$E$50,OR(SUM(D195:D198)&gt;Variables!$B$5,SUM(E195:E198)&gt;Variables!$B$4)),Variables!$B$6*Variables!$E$50+Variables!$B$7*$G$1*Variables!$E$50*SUM(D195:D198),0)</f>
        <v>1.2365122790710932</v>
      </c>
      <c r="L198" s="64">
        <f>IF(B198="Winter",Variables!$B$8*H197,0)</f>
        <v>0</v>
      </c>
      <c r="M198" s="64">
        <f>IF(AND(B198="Spring",AND(NOT(H197=0),H197&lt;(Variables!$B$9*Variables!$E$50))),(Variables!$B$10*Variables!$E$50+Variables!$B$11*Variables!$E$50*SUM(E195:E198)+$G$1*SUM(D197:D198)*Variables!$E$50*Variables!$B$12),0)</f>
        <v>0.21616992745335548</v>
      </c>
      <c r="N198" s="64">
        <f>IF(AND(B198="Spring",AND(SUM(D195:D198)&gt;Variables!$B$13,SUM(D191:D194)&gt;Variables!$B$13)),-Variables!$B$14*Variables!$E$50,0)</f>
        <v>0</v>
      </c>
      <c r="O198" s="64">
        <f>IF(AND(B198="Summer",SUM(C194:D198)&gt;Variables!$B$15),(Variables!$B$16*Variables!$E$50*SUM(C194:C198)+$G$1*Variables!$B$16*Variables!$E$50*SUM(D194:D198)+$G$1*Variables!$E$50*Variables!$B$17*F198),0)</f>
        <v>0</v>
      </c>
      <c r="P198" s="64">
        <f>IF(AND(AND(B198="Autumn",SUM(D197:E198)&gt;0),NOT(H197=0)),Variables!$B$18*Variables!$E$50+Variables!$B$19*Variables!$E$50*SUM(E197:E198)+$G$1*Variables!$B$19*Variables!$E$50*SUM(D197:D198),0)</f>
        <v>0</v>
      </c>
      <c r="Q198" s="64">
        <f>IF(AND(B198="Autumn",AND((E198+E197)&lt;Variables!$B$20,(D197+D198)=0)),-Variables!$B$21*Variables!$E$50,0)</f>
        <v>0</v>
      </c>
      <c r="R198" s="64">
        <f>IF(B198="Autumn",(SUM(F197:F198)*$G$1*Variables!$B$22*Variables!$E$50),0)</f>
        <v>0</v>
      </c>
      <c r="S198" s="64">
        <f>IF(B198="Spring",($G$1*Variables!$E$50*SUM('Guts (option 2)'!F197:F198)*Variables!$B$23),0)</f>
        <v>0.11014187754851575</v>
      </c>
      <c r="T198" s="63">
        <f>IF((H197+SUM(J198:Q198))&lt;(Variables!$B$26*Variables!$E$50),$F$1*((Variables!$B$26*Variables!$E$50)-H197-SUM(J198:Q198)),0)</f>
        <v>0</v>
      </c>
      <c r="U198" s="64">
        <f>IF(AND(AND(B198="Autumn",SUM(D195:E198)&gt;Variables!$B$27),SUM(J198:Q198)&lt;Variables!$B$28*H197),$F$1*(Variables!$B$28*H197-SUM(J198:Q198)),0)</f>
        <v>0</v>
      </c>
      <c r="V198" s="96">
        <f>IF(AND((J198+K198)=0,(Q198+T198)=0),$H$1*H198*Variables!$I$23*0.25,0)</f>
        <v>0</v>
      </c>
      <c r="W198" s="97">
        <f>IF(AND((K198+J198)=0,(T198+Q198)=0),$I$1*H198*Variables!$Q$23*0.25,0)</f>
        <v>0</v>
      </c>
      <c r="X198" s="95">
        <f>IF(AND(NOT(K198=0),(H198-H197)&gt;0),(H198-H197)*(Variables!$M$5*$H$1+Variables!$U$5*$I$1),0)+IF(AND(NOT((J198+N198+Q198)=0),(H197-H198)&gt;0),(H197-H198)*(Variables!$M$4*$H$1+Variables!$U$4*$I$1),0)</f>
        <v>-130.23534033941368</v>
      </c>
      <c r="Y198" s="95">
        <f>IF(SUM(T198,U197:U198)&gt;0,H198*Variables!$Y$11*0.25*(1-$J$1),0)</f>
        <v>0</v>
      </c>
      <c r="Z198" s="95">
        <f>IF(T198=0,H198*$J$1*Variables!$Y$5*0.25,0)</f>
        <v>5.5488855154914223</v>
      </c>
      <c r="AA198" s="95">
        <f t="shared" si="5"/>
        <v>-124.68645482392226</v>
      </c>
      <c r="AB198" s="91">
        <f>AA198/Variables!$E$49</f>
        <v>-20.110718519987461</v>
      </c>
    </row>
    <row r="199" spans="1:28" x14ac:dyDescent="0.25">
      <c r="A199" s="61">
        <f>'Water runs'!C206</f>
        <v>20148</v>
      </c>
      <c r="B199" s="61" t="str">
        <f>'Water runs'!B206</f>
        <v>Summer</v>
      </c>
      <c r="C199" s="54">
        <f>'Water runs'!D206/100</f>
        <v>2.2707999999999999</v>
      </c>
      <c r="D199" s="108">
        <f>VLOOKUP(ROW(D199)+4,'Water runs'!$BS$3:$CF$423,MATCH($B$1,Scenarios,0)+1)</f>
        <v>1.7387311063428847E-3</v>
      </c>
      <c r="E199" s="54">
        <f>IF(B199=Variables!$D$8,C199-Variables!$E$8,IF(B199=Variables!$D$9,C199-Variables!$E$9,IF(B199=Variables!$D$10,C199-Variables!$E$10,IF(B199=Variables!$D$11,C199-Variables!$E$11,"ELSE"))))</f>
        <v>1.0124298639455782</v>
      </c>
      <c r="F199" s="108">
        <f>VLOOKUP(ROW(F199)+4,'Water runs'!$CH$3:$CU$423,MATCH($B$1,Scenarios,0)+1)</f>
        <v>0</v>
      </c>
      <c r="G199" s="65">
        <f>H199/Variables!$E$49</f>
        <v>0.83831364311460321</v>
      </c>
      <c r="H199" s="62">
        <f>IF((H198+I199)&gt;(1.1*Variables!$E$50),(1.1*Variables!$E$50),IF((H198+I199)&gt;0,H198+I199,0))</f>
        <v>5.1975445873105404</v>
      </c>
      <c r="I199" s="64">
        <f t="shared" si="6"/>
        <v>2.636520503237576</v>
      </c>
      <c r="J199" s="63">
        <f>IF(SUM(E195:E198)&lt;Variables!$B$3,-H198,0)</f>
        <v>0</v>
      </c>
      <c r="K199" s="64">
        <f>IF(AND(H198&lt;Variables!$B$6*Variables!$E$50,OR(SUM(D196:D199)&gt;Variables!$B$5,SUM(E196:E199)&gt;Variables!$B$4)),Variables!$B$6*Variables!$E$50+Variables!$B$7*$G$1*Variables!$E$50*SUM(D196:D199),0)</f>
        <v>0</v>
      </c>
      <c r="L199" s="64">
        <f>IF(B199="Winter",Variables!$B$8*H198,0)</f>
        <v>0</v>
      </c>
      <c r="M199" s="64">
        <f>IF(AND(B199="Spring",AND(NOT(H198=0),H198&lt;(Variables!$B$9*Variables!$E$50))),(Variables!$B$10*Variables!$E$50+Variables!$B$11*Variables!$E$50*SUM(E196:E199)+$G$1*SUM(D198:D199)*Variables!$E$50*Variables!$B$12),0)</f>
        <v>0</v>
      </c>
      <c r="N199" s="64">
        <f>IF(AND(B199="Spring",AND(SUM(D196:D199)&gt;Variables!$B$13,SUM(D192:D195)&gt;Variables!$B$13)),-Variables!$B$14*Variables!$E$50,0)</f>
        <v>0</v>
      </c>
      <c r="O199" s="64">
        <f>IF(AND(B199="Summer",SUM(C195:D199)&gt;Variables!$B$15),(Variables!$B$16*Variables!$E$50*SUM(C195:C199)+$G$1*Variables!$B$16*Variables!$E$50*SUM(D195:D199)+$G$1*Variables!$E$50*Variables!$B$17*F199),0)</f>
        <v>2.636520503237576</v>
      </c>
      <c r="P199" s="64">
        <f>IF(AND(AND(B199="Autumn",SUM(D198:E199)&gt;0),NOT(H198=0)),Variables!$B$18*Variables!$E$50+Variables!$B$19*Variables!$E$50*SUM(E198:E199)+$G$1*Variables!$B$19*Variables!$E$50*SUM(D198:D199),0)</f>
        <v>0</v>
      </c>
      <c r="Q199" s="64">
        <f>IF(AND(B199="Autumn",AND((E199+E198)&lt;Variables!$B$20,(D198+D199)=0)),-Variables!$B$21*Variables!$E$50,0)</f>
        <v>0</v>
      </c>
      <c r="R199" s="64">
        <f>IF(B199="Autumn",(SUM(F198:F199)*$G$1*Variables!$B$22*Variables!$E$50),0)</f>
        <v>0</v>
      </c>
      <c r="S199" s="64">
        <f>IF(B199="Spring",($G$1*Variables!$E$50*SUM('Guts (option 2)'!F198:F199)*Variables!$B$23),0)</f>
        <v>0</v>
      </c>
      <c r="T199" s="63">
        <f>IF((H198+SUM(J199:Q199))&lt;(Variables!$B$26*Variables!$E$50),$F$1*((Variables!$B$26*Variables!$E$50)-H198-SUM(J199:Q199)),0)</f>
        <v>0</v>
      </c>
      <c r="U199" s="64">
        <f>IF(AND(AND(B199="Autumn",SUM(D196:E199)&gt;Variables!$B$27),SUM(J199:Q199)&lt;Variables!$B$28*H198),$F$1*(Variables!$B$28*H198-SUM(J199:Q199)),0)</f>
        <v>0</v>
      </c>
      <c r="V199" s="96">
        <f>IF(AND((J199+K199)=0,(Q199+T199)=0),$H$1*H199*Variables!$I$23*0.25,0)</f>
        <v>33.385821276387404</v>
      </c>
      <c r="W199" s="97">
        <f>IF(AND((K199+J199)=0,(T199+Q199)=0),$I$1*H199*Variables!$Q$23*0.25,0)</f>
        <v>34.94612416149802</v>
      </c>
      <c r="X199" s="95">
        <f>IF(AND(NOT(K199=0),(H199-H198)&gt;0),(H199-H198)*(Variables!$M$5*$H$1+Variables!$U$5*$I$1),0)+IF(AND(NOT((J199+N199+Q199)=0),(H198-H199)&gt;0),(H198-H199)*(Variables!$M$4*$H$1+Variables!$U$4*$I$1),0)</f>
        <v>0</v>
      </c>
      <c r="Y199" s="95">
        <f>IF(SUM(T199,U198:U199)&gt;0,H199*Variables!$Y$11*0.25*(1-$J$1),0)</f>
        <v>0</v>
      </c>
      <c r="Z199" s="95">
        <f>IF(T199=0,H199*$J$1*Variables!$Y$5*0.25,0)</f>
        <v>11.261346605839504</v>
      </c>
      <c r="AA199" s="95">
        <f t="shared" si="5"/>
        <v>79.593292043724929</v>
      </c>
      <c r="AB199" s="91">
        <f>AA199/Variables!$E$49</f>
        <v>12.837627748987892</v>
      </c>
    </row>
    <row r="200" spans="1:28" x14ac:dyDescent="0.25">
      <c r="A200" s="61">
        <f>'Water runs'!C207</f>
        <v>20240</v>
      </c>
      <c r="B200" s="61" t="str">
        <f>'Water runs'!B207</f>
        <v>Autumn</v>
      </c>
      <c r="C200" s="54">
        <f>'Water runs'!D207/100</f>
        <v>1.0363571428571401</v>
      </c>
      <c r="D200" s="108">
        <f>VLOOKUP(ROW(D200)+4,'Water runs'!$BS$3:$CF$423,MATCH($B$1,Scenarios,0)+1)</f>
        <v>2.7457857940284564E-2</v>
      </c>
      <c r="E200" s="54">
        <f>IF(B200=Variables!$D$8,C200-Variables!$E$8,IF(B200=Variables!$D$9,C200-Variables!$E$9,IF(B200=Variables!$D$10,C200-Variables!$E$10,IF(B200=Variables!$D$11,C200-Variables!$E$11,"ELSE"))))</f>
        <v>4.1713843537412254E-2</v>
      </c>
      <c r="F200" s="108">
        <f>VLOOKUP(ROW(F200)+4,'Water runs'!$CH$3:$CU$423,MATCH($B$1,Scenarios,0)+1)</f>
        <v>0</v>
      </c>
      <c r="G200" s="65">
        <f>H200/Variables!$E$49</f>
        <v>1.2768299230589908</v>
      </c>
      <c r="H200" s="62">
        <f>IF((H199+I200)&gt;(1.1*Variables!$E$50),(1.1*Variables!$E$50),IF((H199+I200)&gt;0,H199+I200,0))</f>
        <v>7.9163455229657433</v>
      </c>
      <c r="I200" s="64">
        <f t="shared" si="6"/>
        <v>2.718800935655203</v>
      </c>
      <c r="J200" s="63">
        <f>IF(SUM(E196:E199)&lt;Variables!$B$3,-H199,0)</f>
        <v>0</v>
      </c>
      <c r="K200" s="64">
        <f>IF(AND(H199&lt;Variables!$B$6*Variables!$E$50,OR(SUM(D197:D200)&gt;Variables!$B$5,SUM(E197:E200)&gt;Variables!$B$4)),Variables!$B$6*Variables!$E$50+Variables!$B$7*$G$1*Variables!$E$50*SUM(D197:D200),0)</f>
        <v>0</v>
      </c>
      <c r="L200" s="64">
        <f>IF(B200="Winter",Variables!$B$8*H199,0)</f>
        <v>0</v>
      </c>
      <c r="M200" s="64">
        <f>IF(AND(B200="Spring",AND(NOT(H199=0),H199&lt;(Variables!$B$9*Variables!$E$50))),(Variables!$B$10*Variables!$E$50+Variables!$B$11*Variables!$E$50*SUM(E197:E200)+$G$1*SUM(D199:D200)*Variables!$E$50*Variables!$B$12),0)</f>
        <v>0</v>
      </c>
      <c r="N200" s="64">
        <f>IF(AND(B200="Spring",AND(SUM(D197:D200)&gt;Variables!$B$13,SUM(D193:D196)&gt;Variables!$B$13)),-Variables!$B$14*Variables!$E$50,0)</f>
        <v>0</v>
      </c>
      <c r="O200" s="64">
        <f>IF(AND(B200="Summer",SUM(C196:D200)&gt;Variables!$B$15),(Variables!$B$16*Variables!$E$50*SUM(C196:C200)+$G$1*Variables!$B$16*Variables!$E$50*SUM(D196:D200)+$G$1*Variables!$E$50*Variables!$B$17*F200),0)</f>
        <v>0</v>
      </c>
      <c r="P200" s="64">
        <f>IF(AND(AND(B200="Autumn",SUM(D199:E200)&gt;0),NOT(H199=0)),Variables!$B$18*Variables!$E$50+Variables!$B$19*Variables!$E$50*SUM(E199:E200)+$G$1*Variables!$B$19*Variables!$E$50*SUM(D199:D200),0)</f>
        <v>2.718800935655203</v>
      </c>
      <c r="Q200" s="64">
        <f>IF(AND(B200="Autumn",AND((E200+E199)&lt;Variables!$B$20,(D199+D200)=0)),-Variables!$B$21*Variables!$E$50,0)</f>
        <v>0</v>
      </c>
      <c r="R200" s="64">
        <f>IF(B200="Autumn",(SUM(F199:F200)*$G$1*Variables!$B$22*Variables!$E$50),0)</f>
        <v>0</v>
      </c>
      <c r="S200" s="64">
        <f>IF(B200="Spring",($G$1*Variables!$E$50*SUM('Guts (option 2)'!F199:F200)*Variables!$B$23),0)</f>
        <v>0</v>
      </c>
      <c r="T200" s="63">
        <f>IF((H199+SUM(J200:Q200))&lt;(Variables!$B$26*Variables!$E$50),$F$1*((Variables!$B$26*Variables!$E$50)-H199-SUM(J200:Q200)),0)</f>
        <v>0</v>
      </c>
      <c r="U200" s="64">
        <f>IF(AND(AND(B200="Autumn",SUM(D197:E200)&gt;Variables!$B$27),SUM(J200:Q200)&lt;Variables!$B$28*H199),$F$1*(Variables!$B$28*H199-SUM(J200:Q200)),0)</f>
        <v>0</v>
      </c>
      <c r="V200" s="96">
        <f>IF(AND((J200+K200)=0,(Q200+T200)=0),$H$1*H200*Variables!$I$23*0.25,0)</f>
        <v>50.849721893126102</v>
      </c>
      <c r="W200" s="97">
        <f>IF(AND((K200+J200)=0,(T200+Q200)=0),$I$1*H200*Variables!$Q$23*0.25,0)</f>
        <v>53.226208819120409</v>
      </c>
      <c r="X200" s="95">
        <f>IF(AND(NOT(K200=0),(H200-H199)&gt;0),(H200-H199)*(Variables!$M$5*$H$1+Variables!$U$5*$I$1),0)+IF(AND(NOT((J200+N200+Q200)=0),(H199-H200)&gt;0),(H199-H200)*(Variables!$M$4*$H$1+Variables!$U$4*$I$1),0)</f>
        <v>0</v>
      </c>
      <c r="Y200" s="95">
        <f>IF(SUM(T200,U199:U200)&gt;0,H200*Variables!$Y$11*0.25*(1-$J$1),0)</f>
        <v>0</v>
      </c>
      <c r="Z200" s="95">
        <f>IF(T200=0,H200*$J$1*Variables!$Y$5*0.25,0)</f>
        <v>17.152081966425776</v>
      </c>
      <c r="AA200" s="95">
        <f t="shared" si="5"/>
        <v>121.22801267867229</v>
      </c>
      <c r="AB200" s="91">
        <f>AA200/Variables!$E$49</f>
        <v>19.552905270753595</v>
      </c>
    </row>
    <row r="201" spans="1:28" x14ac:dyDescent="0.25">
      <c r="A201" s="61">
        <f>'Water runs'!C208</f>
        <v>20332</v>
      </c>
      <c r="B201" s="61" t="str">
        <f>'Water runs'!B208</f>
        <v>Winter</v>
      </c>
      <c r="C201" s="54">
        <f>'Water runs'!D208/100</f>
        <v>0.93116666666666703</v>
      </c>
      <c r="D201" s="108">
        <f>VLOOKUP(ROW(D201)+4,'Water runs'!$BS$3:$CF$423,MATCH($B$1,Scenarios,0)+1)</f>
        <v>0.27077411539283763</v>
      </c>
      <c r="E201" s="54">
        <f>IF(B201=Variables!$D$8,C201-Variables!$E$8,IF(B201=Variables!$D$9,C201-Variables!$E$9,IF(B201=Variables!$D$10,C201-Variables!$E$10,IF(B201=Variables!$D$11,C201-Variables!$E$11,"ELSE"))))</f>
        <v>0.3593990410052913</v>
      </c>
      <c r="F201" s="108">
        <f>VLOOKUP(ROW(F201)+4,'Water runs'!$CH$3:$CU$423,MATCH($B$1,Scenarios,0)+1)</f>
        <v>0.27233153073262656</v>
      </c>
      <c r="G201" s="65">
        <f>H201/Variables!$E$49</f>
        <v>0.64103853249327214</v>
      </c>
      <c r="H201" s="62">
        <f>IF((H200+I201)&gt;(1.1*Variables!$E$50),(1.1*Variables!$E$50),IF((H200+I201)&gt;0,H200+I201,0))</f>
        <v>3.9744389014582877</v>
      </c>
      <c r="I201" s="64">
        <f t="shared" si="6"/>
        <v>-3.9419066215074556</v>
      </c>
      <c r="J201" s="63">
        <f>IF(SUM(E197:E200)&lt;Variables!$B$3,-H200,0)</f>
        <v>0</v>
      </c>
      <c r="K201" s="64">
        <f>IF(AND(H200&lt;Variables!$B$6*Variables!$E$50,OR(SUM(D198:D201)&gt;Variables!$B$5,SUM(E198:E201)&gt;Variables!$B$4)),Variables!$B$6*Variables!$E$50+Variables!$B$7*$G$1*Variables!$E$50*SUM(D198:D201),0)</f>
        <v>0</v>
      </c>
      <c r="L201" s="64">
        <f>IF(B201="Winter",Variables!$B$8*H200,0)</f>
        <v>-3.9419066215074556</v>
      </c>
      <c r="M201" s="64">
        <f>IF(AND(B201="Spring",AND(NOT(H200=0),H200&lt;(Variables!$B$9*Variables!$E$50))),(Variables!$B$10*Variables!$E$50+Variables!$B$11*Variables!$E$50*SUM(E198:E201)+$G$1*SUM(D200:D201)*Variables!$E$50*Variables!$B$12),0)</f>
        <v>0</v>
      </c>
      <c r="N201" s="64">
        <f>IF(AND(B201="Spring",AND(SUM(D198:D201)&gt;Variables!$B$13,SUM(D194:D197)&gt;Variables!$B$13)),-Variables!$B$14*Variables!$E$50,0)</f>
        <v>0</v>
      </c>
      <c r="O201" s="64">
        <f>IF(AND(B201="Summer",SUM(C197:D201)&gt;Variables!$B$15),(Variables!$B$16*Variables!$E$50*SUM(C197:C201)+$G$1*Variables!$B$16*Variables!$E$50*SUM(D197:D201)+$G$1*Variables!$E$50*Variables!$B$17*F201),0)</f>
        <v>0</v>
      </c>
      <c r="P201" s="64">
        <f>IF(AND(AND(B201="Autumn",SUM(D200:E201)&gt;0),NOT(H200=0)),Variables!$B$18*Variables!$E$50+Variables!$B$19*Variables!$E$50*SUM(E200:E201)+$G$1*Variables!$B$19*Variables!$E$50*SUM(D200:D201),0)</f>
        <v>0</v>
      </c>
      <c r="Q201" s="64">
        <f>IF(AND(B201="Autumn",AND((E201+E200)&lt;Variables!$B$20,(D200+D201)=0)),-Variables!$B$21*Variables!$E$50,0)</f>
        <v>0</v>
      </c>
      <c r="R201" s="64">
        <f>IF(B201="Autumn",(SUM(F200:F201)*$G$1*Variables!$B$22*Variables!$E$50),0)</f>
        <v>0</v>
      </c>
      <c r="S201" s="64">
        <f>IF(B201="Spring",($G$1*Variables!$E$50*SUM('Guts (option 2)'!F200:F201)*Variables!$B$23),0)</f>
        <v>0</v>
      </c>
      <c r="T201" s="63">
        <f>IF((H200+SUM(J201:Q201))&lt;(Variables!$B$26*Variables!$E$50),$F$1*((Variables!$B$26*Variables!$E$50)-H200-SUM(J201:Q201)),0)</f>
        <v>0</v>
      </c>
      <c r="U201" s="64">
        <f>IF(AND(AND(B201="Autumn",SUM(D198:E201)&gt;Variables!$B$27),SUM(J201:Q201)&lt;Variables!$B$28*H200),$F$1*(Variables!$B$28*H200-SUM(J201:Q201)),0)</f>
        <v>0</v>
      </c>
      <c r="V201" s="96">
        <f>IF(AND((J201+K201)=0,(Q201+T201)=0),$H$1*H201*Variables!$I$23*0.25,0)</f>
        <v>25.529344598978806</v>
      </c>
      <c r="W201" s="97">
        <f>IF(AND((K201+J201)=0,(T201+Q201)=0),$I$1*H201*Variables!$Q$23*0.25,0)</f>
        <v>26.72247115719658</v>
      </c>
      <c r="X201" s="95">
        <f>IF(AND(NOT(K201=0),(H201-H200)&gt;0),(H201-H200)*(Variables!$M$5*$H$1+Variables!$U$5*$I$1),0)+IF(AND(NOT((J201+N201+Q201)=0),(H200-H201)&gt;0),(H200-H201)*(Variables!$M$4*$H$1+Variables!$U$4*$I$1),0)</f>
        <v>0</v>
      </c>
      <c r="Y201" s="95">
        <f>IF(SUM(T201,U200:U201)&gt;0,H201*Variables!$Y$11*0.25*(1-$J$1),0)</f>
        <v>0</v>
      </c>
      <c r="Z201" s="95">
        <f>IF(T201=0,H201*$J$1*Variables!$Y$5*0.25,0)</f>
        <v>8.6112842864929551</v>
      </c>
      <c r="AA201" s="95">
        <f t="shared" si="5"/>
        <v>60.863100042668343</v>
      </c>
      <c r="AB201" s="91">
        <f>AA201/Variables!$E$49</f>
        <v>9.8166290391400555</v>
      </c>
    </row>
    <row r="202" spans="1:28" x14ac:dyDescent="0.25">
      <c r="A202" s="61">
        <f>'Water runs'!C209</f>
        <v>20423</v>
      </c>
      <c r="B202" s="61" t="str">
        <f>'Water runs'!B209</f>
        <v>Spring</v>
      </c>
      <c r="C202" s="54">
        <f>'Water runs'!D209/100</f>
        <v>1.78571428571429</v>
      </c>
      <c r="D202" s="108">
        <f>VLOOKUP(ROW(D202)+4,'Water runs'!$BS$3:$CF$423,MATCH($B$1,Scenarios,0)+1)</f>
        <v>0</v>
      </c>
      <c r="E202" s="54">
        <f>IF(B202=Variables!$D$8,C202-Variables!$E$8,IF(B202=Variables!$D$9,C202-Variables!$E$9,IF(B202=Variables!$D$10,C202-Variables!$E$10,IF(B202=Variables!$D$11,C202-Variables!$E$11,"ELSE"))))</f>
        <v>1.021732076719581</v>
      </c>
      <c r="F202" s="108">
        <f>VLOOKUP(ROW(F202)+4,'Water runs'!$CH$3:$CU$423,MATCH($B$1,Scenarios,0)+1)</f>
        <v>0</v>
      </c>
      <c r="G202" s="65">
        <f>H202/Variables!$E$49</f>
        <v>0.64665916426994297</v>
      </c>
      <c r="H202" s="62">
        <f>IF((H201+I202)&gt;(1.1*Variables!$E$50),(1.1*Variables!$E$50),IF((H201+I202)&gt;0,H201+I202,0))</f>
        <v>4.0092868184736465</v>
      </c>
      <c r="I202" s="64">
        <f t="shared" si="6"/>
        <v>3.4847917015359151E-2</v>
      </c>
      <c r="J202" s="63">
        <f>IF(SUM(E198:E201)&lt;Variables!$B$3,-H201,0)</f>
        <v>0</v>
      </c>
      <c r="K202" s="64">
        <f>IF(AND(H201&lt;Variables!$B$6*Variables!$E$50,OR(SUM(D199:D202)&gt;Variables!$B$5,SUM(E199:E202)&gt;Variables!$B$4)),Variables!$B$6*Variables!$E$50+Variables!$B$7*$G$1*Variables!$E$50*SUM(D199:D202),0)</f>
        <v>0</v>
      </c>
      <c r="L202" s="64">
        <f>IF(B202="Winter",Variables!$B$8*H201,0)</f>
        <v>0</v>
      </c>
      <c r="M202" s="64">
        <f>IF(AND(B202="Spring",AND(NOT(H201=0),H201&lt;(Variables!$B$9*Variables!$E$50))),(Variables!$B$10*Variables!$E$50+Variables!$B$11*Variables!$E$50*SUM(E199:E202)+$G$1*SUM(D201:D202)*Variables!$E$50*Variables!$B$12),0)</f>
        <v>0</v>
      </c>
      <c r="N202" s="64">
        <f>IF(AND(B202="Spring",AND(SUM(D199:D202)&gt;Variables!$B$13,SUM(D195:D198)&gt;Variables!$B$13)),-Variables!$B$14*Variables!$E$50,0)</f>
        <v>0</v>
      </c>
      <c r="O202" s="64">
        <f>IF(AND(B202="Summer",SUM(C198:D202)&gt;Variables!$B$15),(Variables!$B$16*Variables!$E$50*SUM(C198:C202)+$G$1*Variables!$B$16*Variables!$E$50*SUM(D198:D202)+$G$1*Variables!$E$50*Variables!$B$17*F202),0)</f>
        <v>0</v>
      </c>
      <c r="P202" s="64">
        <f>IF(AND(AND(B202="Autumn",SUM(D201:E202)&gt;0),NOT(H201=0)),Variables!$B$18*Variables!$E$50+Variables!$B$19*Variables!$E$50*SUM(E201:E202)+$G$1*Variables!$B$19*Variables!$E$50*SUM(D201:D202),0)</f>
        <v>0</v>
      </c>
      <c r="Q202" s="64">
        <f>IF(AND(B202="Autumn",AND((E202+E201)&lt;Variables!$B$20,(D201+D202)=0)),-Variables!$B$21*Variables!$E$50,0)</f>
        <v>0</v>
      </c>
      <c r="R202" s="64">
        <f>IF(B202="Autumn",(SUM(F201:F202)*$G$1*Variables!$B$22*Variables!$E$50),0)</f>
        <v>0</v>
      </c>
      <c r="S202" s="64">
        <f>IF(B202="Spring",($G$1*Variables!$E$50*SUM('Guts (option 2)'!F201:F202)*Variables!$B$23),0)</f>
        <v>3.4847917015359151E-2</v>
      </c>
      <c r="T202" s="63">
        <f>IF((H201+SUM(J202:Q202))&lt;(Variables!$B$26*Variables!$E$50),$F$1*((Variables!$B$26*Variables!$E$50)-H201-SUM(J202:Q202)),0)</f>
        <v>0</v>
      </c>
      <c r="U202" s="64">
        <f>IF(AND(AND(B202="Autumn",SUM(D199:E202)&gt;Variables!$B$27),SUM(J202:Q202)&lt;Variables!$B$28*H201),$F$1*(Variables!$B$28*H201-SUM(J202:Q202)),0)</f>
        <v>0</v>
      </c>
      <c r="V202" s="96">
        <f>IF(AND((J202+K202)=0,(Q202+T202)=0),$H$1*H202*Variables!$I$23*0.25,0)</f>
        <v>25.753186128336647</v>
      </c>
      <c r="W202" s="97">
        <f>IF(AND((K202+J202)=0,(T202+Q202)=0),$I$1*H202*Variables!$Q$23*0.25,0)</f>
        <v>26.956774031242432</v>
      </c>
      <c r="X202" s="95">
        <f>IF(AND(NOT(K202=0),(H202-H201)&gt;0),(H202-H201)*(Variables!$M$5*$H$1+Variables!$U$5*$I$1),0)+IF(AND(NOT((J202+N202+Q202)=0),(H201-H202)&gt;0),(H201-H202)*(Variables!$M$4*$H$1+Variables!$U$4*$I$1),0)</f>
        <v>0</v>
      </c>
      <c r="Y202" s="95">
        <f>IF(SUM(T202,U201:U202)&gt;0,H202*Variables!$Y$11*0.25*(1-$J$1),0)</f>
        <v>0</v>
      </c>
      <c r="Z202" s="95">
        <f>IF(T202=0,H202*$J$1*Variables!$Y$5*0.25,0)</f>
        <v>8.6867881066928998</v>
      </c>
      <c r="AA202" s="95">
        <f t="shared" si="5"/>
        <v>61.396748266271985</v>
      </c>
      <c r="AB202" s="91">
        <f>AA202/Variables!$E$49</f>
        <v>9.9027013332696754</v>
      </c>
    </row>
    <row r="203" spans="1:28" x14ac:dyDescent="0.25">
      <c r="A203" s="61">
        <f>'Water runs'!C210</f>
        <v>20513</v>
      </c>
      <c r="B203" s="61" t="str">
        <f>'Water runs'!B210</f>
        <v>Summer</v>
      </c>
      <c r="C203" s="54">
        <f>'Water runs'!D210/100</f>
        <v>2.0403761904761897</v>
      </c>
      <c r="D203" s="108">
        <f>VLOOKUP(ROW(D203)+4,'Water runs'!$BS$3:$CF$423,MATCH($B$1,Scenarios,0)+1)</f>
        <v>1.5337381927014466</v>
      </c>
      <c r="E203" s="54">
        <f>IF(B203=Variables!$D$8,C203-Variables!$E$8,IF(B203=Variables!$D$9,C203-Variables!$E$9,IF(B203=Variables!$D$10,C203-Variables!$E$10,IF(B203=Variables!$D$11,C203-Variables!$E$11,"ELSE"))))</f>
        <v>0.78200605442176796</v>
      </c>
      <c r="F203" s="108">
        <f>VLOOKUP(ROW(F203)+4,'Water runs'!$CH$3:$CU$423,MATCH($B$1,Scenarios,0)+1)</f>
        <v>0</v>
      </c>
      <c r="G203" s="65">
        <f>H203/Variables!$E$49</f>
        <v>1.2186850280596842</v>
      </c>
      <c r="H203" s="62">
        <f>IF((H202+I203)&gt;(1.1*Variables!$E$50),(1.1*Variables!$E$50),IF((H202+I203)&gt;0,H202+I203,0))</f>
        <v>7.5558471739700419</v>
      </c>
      <c r="I203" s="64">
        <f t="shared" si="6"/>
        <v>3.5465603554963958</v>
      </c>
      <c r="J203" s="63">
        <f>IF(SUM(E199:E202)&lt;Variables!$B$3,-H202,0)</f>
        <v>0</v>
      </c>
      <c r="K203" s="64">
        <f>IF(AND(H202&lt;Variables!$B$6*Variables!$E$50,OR(SUM(D200:D203)&gt;Variables!$B$5,SUM(E200:E203)&gt;Variables!$B$4)),Variables!$B$6*Variables!$E$50+Variables!$B$7*$G$1*Variables!$E$50*SUM(D200:D203),0)</f>
        <v>0</v>
      </c>
      <c r="L203" s="64">
        <f>IF(B203="Winter",Variables!$B$8*H202,0)</f>
        <v>0</v>
      </c>
      <c r="M203" s="64">
        <f>IF(AND(B203="Spring",AND(NOT(H202=0),H202&lt;(Variables!$B$9*Variables!$E$50))),(Variables!$B$10*Variables!$E$50+Variables!$B$11*Variables!$E$50*SUM(E200:E203)+$G$1*SUM(D202:D203)*Variables!$E$50*Variables!$B$12),0)</f>
        <v>0</v>
      </c>
      <c r="N203" s="64">
        <f>IF(AND(B203="Spring",AND(SUM(D200:D203)&gt;Variables!$B$13,SUM(D196:D199)&gt;Variables!$B$13)),-Variables!$B$14*Variables!$E$50,0)</f>
        <v>0</v>
      </c>
      <c r="O203" s="64">
        <f>IF(AND(B203="Summer",SUM(C199:D203)&gt;Variables!$B$15),(Variables!$B$16*Variables!$E$50*SUM(C199:C203)+$G$1*Variables!$B$16*Variables!$E$50*SUM(D199:D203)+$G$1*Variables!$E$50*Variables!$B$17*F203),0)</f>
        <v>3.5465603554963958</v>
      </c>
      <c r="P203" s="64">
        <f>IF(AND(AND(B203="Autumn",SUM(D202:E203)&gt;0),NOT(H202=0)),Variables!$B$18*Variables!$E$50+Variables!$B$19*Variables!$E$50*SUM(E202:E203)+$G$1*Variables!$B$19*Variables!$E$50*SUM(D202:D203),0)</f>
        <v>0</v>
      </c>
      <c r="Q203" s="64">
        <f>IF(AND(B203="Autumn",AND((E203+E202)&lt;Variables!$B$20,(D202+D203)=0)),-Variables!$B$21*Variables!$E$50,0)</f>
        <v>0</v>
      </c>
      <c r="R203" s="64">
        <f>IF(B203="Autumn",(SUM(F202:F203)*$G$1*Variables!$B$22*Variables!$E$50),0)</f>
        <v>0</v>
      </c>
      <c r="S203" s="64">
        <f>IF(B203="Spring",($G$1*Variables!$E$50*SUM('Guts (option 2)'!F202:F203)*Variables!$B$23),0)</f>
        <v>0</v>
      </c>
      <c r="T203" s="63">
        <f>IF((H202+SUM(J203:Q203))&lt;(Variables!$B$26*Variables!$E$50),$F$1*((Variables!$B$26*Variables!$E$50)-H202-SUM(J203:Q203)),0)</f>
        <v>0</v>
      </c>
      <c r="U203" s="64">
        <f>IF(AND(AND(B203="Autumn",SUM(D200:E203)&gt;Variables!$B$27),SUM(J203:Q203)&lt;Variables!$B$28*H202),$F$1*(Variables!$B$28*H202-SUM(J203:Q203)),0)</f>
        <v>0</v>
      </c>
      <c r="V203" s="96">
        <f>IF(AND((J203+K203)=0,(Q203+T203)=0),$H$1*H203*Variables!$I$23*0.25,0)</f>
        <v>48.534102806492932</v>
      </c>
      <c r="W203" s="97">
        <f>IF(AND((K203+J203)=0,(T203+Q203)=0),$I$1*H203*Variables!$Q$23*0.25,0)</f>
        <v>50.802368128118736</v>
      </c>
      <c r="X203" s="95">
        <f>IF(AND(NOT(K203=0),(H203-H202)&gt;0),(H203-H202)*(Variables!$M$5*$H$1+Variables!$U$5*$I$1),0)+IF(AND(NOT((J203+N203+Q203)=0),(H202-H203)&gt;0),(H202-H203)*(Variables!$M$4*$H$1+Variables!$U$4*$I$1),0)</f>
        <v>0</v>
      </c>
      <c r="Y203" s="95">
        <f>IF(SUM(T203,U202:U203)&gt;0,H203*Variables!$Y$11*0.25*(1-$J$1),0)</f>
        <v>0</v>
      </c>
      <c r="Z203" s="95">
        <f>IF(T203=0,H203*$J$1*Variables!$Y$5*0.25,0)</f>
        <v>16.371002210268422</v>
      </c>
      <c r="AA203" s="95">
        <f t="shared" si="5"/>
        <v>115.70747314488008</v>
      </c>
      <c r="AB203" s="91">
        <f>AA203/Variables!$E$49</f>
        <v>18.662495668529044</v>
      </c>
    </row>
    <row r="204" spans="1:28" x14ac:dyDescent="0.25">
      <c r="A204" s="61">
        <f>'Water runs'!C211</f>
        <v>20606</v>
      </c>
      <c r="B204" s="61" t="str">
        <f>'Water runs'!B211</f>
        <v>Autumn</v>
      </c>
      <c r="C204" s="54">
        <f>'Water runs'!D211/100</f>
        <v>2.6358333333333297</v>
      </c>
      <c r="D204" s="108">
        <f>VLOOKUP(ROW(D204)+4,'Water runs'!$BS$3:$CF$423,MATCH($B$1,Scenarios,0)+1)</f>
        <v>1.2438499117174324</v>
      </c>
      <c r="E204" s="54">
        <f>IF(B204=Variables!$D$8,C204-Variables!$E$8,IF(B204=Variables!$D$9,C204-Variables!$E$9,IF(B204=Variables!$D$10,C204-Variables!$E$10,IF(B204=Variables!$D$11,C204-Variables!$E$11,"ELSE"))))</f>
        <v>1.6411900340136019</v>
      </c>
      <c r="F204" s="108">
        <f>VLOOKUP(ROW(F204)+4,'Water runs'!$CH$3:$CU$423,MATCH($B$1,Scenarios,0)+1)</f>
        <v>6.7927948756522225</v>
      </c>
      <c r="G204" s="65">
        <f>H204/Variables!$E$49</f>
        <v>2.5300000000000002</v>
      </c>
      <c r="H204" s="62">
        <f>IF((H203+I204)&gt;(1.1*Variables!$E$50),(1.1*Variables!$E$50),IF((H203+I204)&gt;0,H203+I204,0))</f>
        <v>15.686000000000002</v>
      </c>
      <c r="I204" s="64">
        <f t="shared" si="6"/>
        <v>11.117151088948546</v>
      </c>
      <c r="J204" s="63">
        <f>IF(SUM(E200:E203)&lt;Variables!$B$3,-H203,0)</f>
        <v>0</v>
      </c>
      <c r="K204" s="64">
        <f>IF(AND(H203&lt;Variables!$B$6*Variables!$E$50,OR(SUM(D201:D204)&gt;Variables!$B$5,SUM(E201:E204)&gt;Variables!$B$4)),Variables!$B$6*Variables!$E$50+Variables!$B$7*$G$1*Variables!$E$50*SUM(D201:D204),0)</f>
        <v>0</v>
      </c>
      <c r="L204" s="64">
        <f>IF(B204="Winter",Variables!$B$8*H203,0)</f>
        <v>0</v>
      </c>
      <c r="M204" s="64">
        <f>IF(AND(B204="Spring",AND(NOT(H203=0),H203&lt;(Variables!$B$9*Variables!$E$50))),(Variables!$B$10*Variables!$E$50+Variables!$B$11*Variables!$E$50*SUM(E201:E204)+$G$1*SUM(D203:D204)*Variables!$E$50*Variables!$B$12),0)</f>
        <v>0</v>
      </c>
      <c r="N204" s="64">
        <f>IF(AND(B204="Spring",AND(SUM(D201:D204)&gt;Variables!$B$13,SUM(D197:D200)&gt;Variables!$B$13)),-Variables!$B$14*Variables!$E$50,0)</f>
        <v>0</v>
      </c>
      <c r="O204" s="64">
        <f>IF(AND(B204="Summer",SUM(C200:D204)&gt;Variables!$B$15),(Variables!$B$16*Variables!$E$50*SUM(C200:C204)+$G$1*Variables!$B$16*Variables!$E$50*SUM(D200:D204)+$G$1*Variables!$E$50*Variables!$B$17*F204),0)</f>
        <v>0</v>
      </c>
      <c r="P204" s="64">
        <f>IF(AND(AND(B204="Autumn",SUM(D203:E204)&gt;0),NOT(H203=0)),Variables!$B$18*Variables!$E$50+Variables!$B$19*Variables!$E$50*SUM(E203:E204)+$G$1*Variables!$B$19*Variables!$E$50*SUM(D203:D204),0)</f>
        <v>10.160105373917693</v>
      </c>
      <c r="Q204" s="64">
        <f>IF(AND(B204="Autumn",AND((E204+E203)&lt;Variables!$B$20,(D203+D204)=0)),-Variables!$B$21*Variables!$E$50,0)</f>
        <v>0</v>
      </c>
      <c r="R204" s="64">
        <f>IF(B204="Autumn",(SUM(F203:F204)*$G$1*Variables!$B$22*Variables!$E$50),0)</f>
        <v>0.95704571503085323</v>
      </c>
      <c r="S204" s="64">
        <f>IF(B204="Spring",($G$1*Variables!$E$50*SUM('Guts (option 2)'!F203:F204)*Variables!$B$23),0)</f>
        <v>0</v>
      </c>
      <c r="T204" s="63">
        <f>IF((H203+SUM(J204:Q204))&lt;(Variables!$B$26*Variables!$E$50),$F$1*((Variables!$B$26*Variables!$E$50)-H203-SUM(J204:Q204)),0)</f>
        <v>0</v>
      </c>
      <c r="U204" s="64">
        <f>IF(AND(AND(B204="Autumn",SUM(D201:E204)&gt;Variables!$B$27),SUM(J204:Q204)&lt;Variables!$B$28*H203),$F$1*(Variables!$B$28*H203-SUM(J204:Q204)),0)</f>
        <v>0</v>
      </c>
      <c r="V204" s="96">
        <f>IF(AND((J204+K204)=0,(Q204+T204)=0),$H$1*H204*Variables!$I$23*0.25,0)</f>
        <v>100.75719096666668</v>
      </c>
      <c r="W204" s="97">
        <f>IF(AND((K204+J204)=0,(T204+Q204)=0),$I$1*H204*Variables!$Q$23*0.25,0)</f>
        <v>105.46612816666666</v>
      </c>
      <c r="X204" s="95">
        <f>IF(AND(NOT(K204=0),(H204-H203)&gt;0),(H204-H203)*(Variables!$M$5*$H$1+Variables!$U$5*$I$1),0)+IF(AND(NOT((J204+N204+Q204)=0),(H203-H204)&gt;0),(H203-H204)*(Variables!$M$4*$H$1+Variables!$U$4*$I$1),0)</f>
        <v>0</v>
      </c>
      <c r="Y204" s="95">
        <f>IF(SUM(T204,U203:U204)&gt;0,H204*Variables!$Y$11*0.25*(1-$J$1),0)</f>
        <v>0</v>
      </c>
      <c r="Z204" s="95">
        <f>IF(T204=0,H204*$J$1*Variables!$Y$5*0.25,0)</f>
        <v>33.986333333333334</v>
      </c>
      <c r="AA204" s="95">
        <f t="shared" si="5"/>
        <v>240.20965246666668</v>
      </c>
      <c r="AB204" s="91">
        <f>AA204/Variables!$E$49</f>
        <v>38.743492333333336</v>
      </c>
    </row>
    <row r="205" spans="1:28" x14ac:dyDescent="0.25">
      <c r="A205" s="61">
        <f>'Water runs'!C212</f>
        <v>20698</v>
      </c>
      <c r="B205" s="61" t="str">
        <f>'Water runs'!B212</f>
        <v>Winter</v>
      </c>
      <c r="C205" s="54">
        <f>'Water runs'!D212/100</f>
        <v>1.1225000000000001</v>
      </c>
      <c r="D205" s="108">
        <f>VLOOKUP(ROW(D205)+4,'Water runs'!$BS$3:$CF$423,MATCH($B$1,Scenarios,0)+1)</f>
        <v>0.61746015407881294</v>
      </c>
      <c r="E205" s="54">
        <f>IF(B205=Variables!$D$8,C205-Variables!$E$8,IF(B205=Variables!$D$9,C205-Variables!$E$9,IF(B205=Variables!$D$10,C205-Variables!$E$10,IF(B205=Variables!$D$11,C205-Variables!$E$11,"ELSE"))))</f>
        <v>0.55073237433862432</v>
      </c>
      <c r="F205" s="108">
        <f>VLOOKUP(ROW(F205)+4,'Water runs'!$CH$3:$CU$423,MATCH($B$1,Scenarios,0)+1)</f>
        <v>0.59813062652910953</v>
      </c>
      <c r="G205" s="65">
        <f>H205/Variables!$E$49</f>
        <v>1.2701985267720333</v>
      </c>
      <c r="H205" s="62">
        <f>IF((H204+I205)&gt;(1.1*Variables!$E$50),(1.1*Variables!$E$50),IF((H204+I205)&gt;0,H204+I205,0))</f>
        <v>7.875230865986607</v>
      </c>
      <c r="I205" s="64">
        <f t="shared" si="6"/>
        <v>-7.8107691340133947</v>
      </c>
      <c r="J205" s="63">
        <f>IF(SUM(E201:E204)&lt;Variables!$B$3,-H204,0)</f>
        <v>0</v>
      </c>
      <c r="K205" s="64">
        <f>IF(AND(H204&lt;Variables!$B$6*Variables!$E$50,OR(SUM(D202:D205)&gt;Variables!$B$5,SUM(E202:E205)&gt;Variables!$B$4)),Variables!$B$6*Variables!$E$50+Variables!$B$7*$G$1*Variables!$E$50*SUM(D202:D205),0)</f>
        <v>0</v>
      </c>
      <c r="L205" s="64">
        <f>IF(B205="Winter",Variables!$B$8*H204,0)</f>
        <v>-7.8107691340133947</v>
      </c>
      <c r="M205" s="64">
        <f>IF(AND(B205="Spring",AND(NOT(H204=0),H204&lt;(Variables!$B$9*Variables!$E$50))),(Variables!$B$10*Variables!$E$50+Variables!$B$11*Variables!$E$50*SUM(E202:E205)+$G$1*SUM(D204:D205)*Variables!$E$50*Variables!$B$12),0)</f>
        <v>0</v>
      </c>
      <c r="N205" s="64">
        <f>IF(AND(B205="Spring",AND(SUM(D202:D205)&gt;Variables!$B$13,SUM(D198:D201)&gt;Variables!$B$13)),-Variables!$B$14*Variables!$E$50,0)</f>
        <v>0</v>
      </c>
      <c r="O205" s="64">
        <f>IF(AND(B205="Summer",SUM(C201:D205)&gt;Variables!$B$15),(Variables!$B$16*Variables!$E$50*SUM(C201:C205)+$G$1*Variables!$B$16*Variables!$E$50*SUM(D201:D205)+$G$1*Variables!$E$50*Variables!$B$17*F205),0)</f>
        <v>0</v>
      </c>
      <c r="P205" s="64">
        <f>IF(AND(AND(B205="Autumn",SUM(D204:E205)&gt;0),NOT(H204=0)),Variables!$B$18*Variables!$E$50+Variables!$B$19*Variables!$E$50*SUM(E204:E205)+$G$1*Variables!$B$19*Variables!$E$50*SUM(D204:D205),0)</f>
        <v>0</v>
      </c>
      <c r="Q205" s="64">
        <f>IF(AND(B205="Autumn",AND((E205+E204)&lt;Variables!$B$20,(D204+D205)=0)),-Variables!$B$21*Variables!$E$50,0)</f>
        <v>0</v>
      </c>
      <c r="R205" s="64">
        <f>IF(B205="Autumn",(SUM(F204:F205)*$G$1*Variables!$B$22*Variables!$E$50),0)</f>
        <v>0</v>
      </c>
      <c r="S205" s="64">
        <f>IF(B205="Spring",($G$1*Variables!$E$50*SUM('Guts (option 2)'!F204:F205)*Variables!$B$23),0)</f>
        <v>0</v>
      </c>
      <c r="T205" s="63">
        <f>IF((H204+SUM(J205:Q205))&lt;(Variables!$B$26*Variables!$E$50),$F$1*((Variables!$B$26*Variables!$E$50)-H204-SUM(J205:Q205)),0)</f>
        <v>0</v>
      </c>
      <c r="U205" s="64">
        <f>IF(AND(AND(B205="Autumn",SUM(D202:E205)&gt;Variables!$B$27),SUM(J205:Q205)&lt;Variables!$B$28*H204),$F$1*(Variables!$B$28*H204-SUM(J205:Q205)),0)</f>
        <v>0</v>
      </c>
      <c r="V205" s="96">
        <f>IF(AND((J205+K205)=0,(Q205+T205)=0),$H$1*H205*Variables!$I$23*0.25,0)</f>
        <v>50.585626690730606</v>
      </c>
      <c r="W205" s="97">
        <f>IF(AND((K205+J205)=0,(T205+Q205)=0),$I$1*H205*Variables!$Q$23*0.25,0)</f>
        <v>52.949770996699776</v>
      </c>
      <c r="X205" s="95">
        <f>IF(AND(NOT(K205=0),(H205-H204)&gt;0),(H205-H204)*(Variables!$M$5*$H$1+Variables!$U$5*$I$1),0)+IF(AND(NOT((J205+N205+Q205)=0),(H204-H205)&gt;0),(H204-H205)*(Variables!$M$4*$H$1+Variables!$U$4*$I$1),0)</f>
        <v>0</v>
      </c>
      <c r="Y205" s="95">
        <f>IF(SUM(T205,U204:U205)&gt;0,H205*Variables!$Y$11*0.25*(1-$J$1),0)</f>
        <v>0</v>
      </c>
      <c r="Z205" s="95">
        <f>IF(T205=0,H205*$J$1*Variables!$Y$5*0.25,0)</f>
        <v>17.063000209637647</v>
      </c>
      <c r="AA205" s="95">
        <f t="shared" si="5"/>
        <v>120.59839789706804</v>
      </c>
      <c r="AB205" s="91">
        <f>AA205/Variables!$E$49</f>
        <v>19.451354499527103</v>
      </c>
    </row>
    <row r="206" spans="1:28" x14ac:dyDescent="0.25">
      <c r="A206" s="61">
        <f>'Water runs'!C213</f>
        <v>20789</v>
      </c>
      <c r="B206" s="61" t="str">
        <f>'Water runs'!B213</f>
        <v>Spring</v>
      </c>
      <c r="C206" s="54">
        <f>'Water runs'!D213/100</f>
        <v>0.55366666666666697</v>
      </c>
      <c r="D206" s="108">
        <f>VLOOKUP(ROW(D206)+4,'Water runs'!$BS$3:$CF$423,MATCH($B$1,Scenarios,0)+1)</f>
        <v>0</v>
      </c>
      <c r="E206" s="54">
        <f>IF(B206=Variables!$D$8,C206-Variables!$E$8,IF(B206=Variables!$D$9,C206-Variables!$E$9,IF(B206=Variables!$D$10,C206-Variables!$E$10,IF(B206=Variables!$D$11,C206-Variables!$E$11,"ELSE"))))</f>
        <v>-0.21031554232804217</v>
      </c>
      <c r="F206" s="108">
        <f>VLOOKUP(ROW(F206)+4,'Water runs'!$CH$3:$CU$423,MATCH($B$1,Scenarios,0)+1)</f>
        <v>0</v>
      </c>
      <c r="G206" s="65">
        <f>H206/Variables!$E$49</f>
        <v>1.2825433037320328</v>
      </c>
      <c r="H206" s="62">
        <f>IF((H205+I206)&gt;(1.1*Variables!$E$50),(1.1*Variables!$E$50),IF((H205+I206)&gt;0,H205+I206,0))</f>
        <v>7.9517684831386042</v>
      </c>
      <c r="I206" s="64">
        <f t="shared" si="6"/>
        <v>7.6537617151997417E-2</v>
      </c>
      <c r="J206" s="63">
        <f>IF(SUM(E202:E205)&lt;Variables!$B$3,-H205,0)</f>
        <v>0</v>
      </c>
      <c r="K206" s="64">
        <f>IF(AND(H205&lt;Variables!$B$6*Variables!$E$50,OR(SUM(D203:D206)&gt;Variables!$B$5,SUM(E203:E206)&gt;Variables!$B$4)),Variables!$B$6*Variables!$E$50+Variables!$B$7*$G$1*Variables!$E$50*SUM(D203:D206),0)</f>
        <v>0</v>
      </c>
      <c r="L206" s="64">
        <f>IF(B206="Winter",Variables!$B$8*H205,0)</f>
        <v>0</v>
      </c>
      <c r="M206" s="64">
        <f>IF(AND(B206="Spring",AND(NOT(H205=0),H205&lt;(Variables!$B$9*Variables!$E$50))),(Variables!$B$10*Variables!$E$50+Variables!$B$11*Variables!$E$50*SUM(E203:E206)+$G$1*SUM(D205:D206)*Variables!$E$50*Variables!$B$12),0)</f>
        <v>0</v>
      </c>
      <c r="N206" s="64">
        <f>IF(AND(B206="Spring",AND(SUM(D203:D206)&gt;Variables!$B$13,SUM(D199:D202)&gt;Variables!$B$13)),-Variables!$B$14*Variables!$E$50,0)</f>
        <v>0</v>
      </c>
      <c r="O206" s="64">
        <f>IF(AND(B206="Summer",SUM(C202:D206)&gt;Variables!$B$15),(Variables!$B$16*Variables!$E$50*SUM(C202:C206)+$G$1*Variables!$B$16*Variables!$E$50*SUM(D202:D206)+$G$1*Variables!$E$50*Variables!$B$17*F206),0)</f>
        <v>0</v>
      </c>
      <c r="P206" s="64">
        <f>IF(AND(AND(B206="Autumn",SUM(D205:E206)&gt;0),NOT(H205=0)),Variables!$B$18*Variables!$E$50+Variables!$B$19*Variables!$E$50*SUM(E205:E206)+$G$1*Variables!$B$19*Variables!$E$50*SUM(D205:D206),0)</f>
        <v>0</v>
      </c>
      <c r="Q206" s="64">
        <f>IF(AND(B206="Autumn",AND((E206+E205)&lt;Variables!$B$20,(D205+D206)=0)),-Variables!$B$21*Variables!$E$50,0)</f>
        <v>0</v>
      </c>
      <c r="R206" s="64">
        <f>IF(B206="Autumn",(SUM(F205:F206)*$G$1*Variables!$B$22*Variables!$E$50),0)</f>
        <v>0</v>
      </c>
      <c r="S206" s="64">
        <f>IF(B206="Spring",($G$1*Variables!$E$50*SUM('Guts (option 2)'!F205:F206)*Variables!$B$23),0)</f>
        <v>7.6537617151997417E-2</v>
      </c>
      <c r="T206" s="63">
        <f>IF((H205+SUM(J206:Q206))&lt;(Variables!$B$26*Variables!$E$50),$F$1*((Variables!$B$26*Variables!$E$50)-H205-SUM(J206:Q206)),0)</f>
        <v>0</v>
      </c>
      <c r="U206" s="64">
        <f>IF(AND(AND(B206="Autumn",SUM(D203:E206)&gt;Variables!$B$27),SUM(J206:Q206)&lt;Variables!$B$28*H205),$F$1*(Variables!$B$28*H205-SUM(J206:Q206)),0)</f>
        <v>0</v>
      </c>
      <c r="V206" s="96">
        <f>IF(AND((J206+K206)=0,(Q206+T206)=0),$H$1*H206*Variables!$I$23*0.25,0)</f>
        <v>51.077257145117791</v>
      </c>
      <c r="W206" s="97">
        <f>IF(AND((K206+J206)=0,(T206+Q206)=0),$I$1*H206*Variables!$Q$23*0.25,0)</f>
        <v>53.464378043755993</v>
      </c>
      <c r="X206" s="95">
        <f>IF(AND(NOT(K206=0),(H206-H205)&gt;0),(H206-H205)*(Variables!$M$5*$H$1+Variables!$U$5*$I$1),0)+IF(AND(NOT((J206+N206+Q206)=0),(H205-H206)&gt;0),(H205-H206)*(Variables!$M$4*$H$1+Variables!$U$4*$I$1),0)</f>
        <v>0</v>
      </c>
      <c r="Y206" s="95">
        <f>IF(SUM(T206,U205:U206)&gt;0,H206*Variables!$Y$11*0.25*(1-$J$1),0)</f>
        <v>0</v>
      </c>
      <c r="Z206" s="95">
        <f>IF(T206=0,H206*$J$1*Variables!$Y$5*0.25,0)</f>
        <v>17.228831713466974</v>
      </c>
      <c r="AA206" s="95">
        <f t="shared" si="5"/>
        <v>121.77046690234076</v>
      </c>
      <c r="AB206" s="91">
        <f>AA206/Variables!$E$49</f>
        <v>19.640397887474315</v>
      </c>
    </row>
    <row r="207" spans="1:28" x14ac:dyDescent="0.25">
      <c r="A207" s="61">
        <f>'Water runs'!C214</f>
        <v>20879</v>
      </c>
      <c r="B207" s="61" t="str">
        <f>'Water runs'!B214</f>
        <v>Summer</v>
      </c>
      <c r="C207" s="54">
        <f>'Water runs'!D214/100</f>
        <v>1.0714333333333301</v>
      </c>
      <c r="D207" s="108">
        <f>VLOOKUP(ROW(D207)+4,'Water runs'!$BS$3:$CF$423,MATCH($B$1,Scenarios,0)+1)</f>
        <v>0.11529703323066691</v>
      </c>
      <c r="E207" s="54">
        <f>IF(B207=Variables!$D$8,C207-Variables!$E$8,IF(B207=Variables!$D$9,C207-Variables!$E$9,IF(B207=Variables!$D$10,C207-Variables!$E$10,IF(B207=Variables!$D$11,C207-Variables!$E$11,"ELSE"))))</f>
        <v>-0.18693680272109159</v>
      </c>
      <c r="F207" s="108">
        <f>VLOOKUP(ROW(F207)+4,'Water runs'!$CH$3:$CU$423,MATCH($B$1,Scenarios,0)+1)</f>
        <v>8.5910418926515644E-2</v>
      </c>
      <c r="G207" s="65">
        <f>H207/Variables!$E$49</f>
        <v>1.9067453482970982</v>
      </c>
      <c r="H207" s="62">
        <f>IF((H206+I207)&gt;(1.1*Variables!$E$50),(1.1*Variables!$E$50),IF((H206+I207)&gt;0,H206+I207,0))</f>
        <v>11.82182115944201</v>
      </c>
      <c r="I207" s="64">
        <f t="shared" si="6"/>
        <v>3.8700526763034064</v>
      </c>
      <c r="J207" s="63">
        <f>IF(SUM(E203:E206)&lt;Variables!$B$3,-H206,0)</f>
        <v>0</v>
      </c>
      <c r="K207" s="64">
        <f>IF(AND(H206&lt;Variables!$B$6*Variables!$E$50,OR(SUM(D204:D207)&gt;Variables!$B$5,SUM(E204:E207)&gt;Variables!$B$4)),Variables!$B$6*Variables!$E$50+Variables!$B$7*$G$1*Variables!$E$50*SUM(D204:D207),0)</f>
        <v>0</v>
      </c>
      <c r="L207" s="64">
        <f>IF(B207="Winter",Variables!$B$8*H206,0)</f>
        <v>0</v>
      </c>
      <c r="M207" s="64">
        <f>IF(AND(B207="Spring",AND(NOT(H206=0),H206&lt;(Variables!$B$9*Variables!$E$50))),(Variables!$B$10*Variables!$E$50+Variables!$B$11*Variables!$E$50*SUM(E204:E207)+$G$1*SUM(D206:D207)*Variables!$E$50*Variables!$B$12),0)</f>
        <v>0</v>
      </c>
      <c r="N207" s="64">
        <f>IF(AND(B207="Spring",AND(SUM(D204:D207)&gt;Variables!$B$13,SUM(D200:D203)&gt;Variables!$B$13)),-Variables!$B$14*Variables!$E$50,0)</f>
        <v>0</v>
      </c>
      <c r="O207" s="64">
        <f>IF(AND(B207="Summer",SUM(C203:D207)&gt;Variables!$B$15),(Variables!$B$16*Variables!$E$50*SUM(C203:C207)+$G$1*Variables!$B$16*Variables!$E$50*SUM(D203:D207)+$G$1*Variables!$E$50*Variables!$B$17*F207),0)</f>
        <v>3.8700526763034064</v>
      </c>
      <c r="P207" s="64">
        <f>IF(AND(AND(B207="Autumn",SUM(D206:E207)&gt;0),NOT(H206=0)),Variables!$B$18*Variables!$E$50+Variables!$B$19*Variables!$E$50*SUM(E206:E207)+$G$1*Variables!$B$19*Variables!$E$50*SUM(D206:D207),0)</f>
        <v>0</v>
      </c>
      <c r="Q207" s="64">
        <f>IF(AND(B207="Autumn",AND((E207+E206)&lt;Variables!$B$20,(D206+D207)=0)),-Variables!$B$21*Variables!$E$50,0)</f>
        <v>0</v>
      </c>
      <c r="R207" s="64">
        <f>IF(B207="Autumn",(SUM(F206:F207)*$G$1*Variables!$B$22*Variables!$E$50),0)</f>
        <v>0</v>
      </c>
      <c r="S207" s="64">
        <f>IF(B207="Spring",($G$1*Variables!$E$50*SUM('Guts (option 2)'!F206:F207)*Variables!$B$23),0)</f>
        <v>0</v>
      </c>
      <c r="T207" s="63">
        <f>IF((H206+SUM(J207:Q207))&lt;(Variables!$B$26*Variables!$E$50),$F$1*((Variables!$B$26*Variables!$E$50)-H206-SUM(J207:Q207)),0)</f>
        <v>0</v>
      </c>
      <c r="U207" s="64">
        <f>IF(AND(AND(B207="Autumn",SUM(D204:E207)&gt;Variables!$B$27),SUM(J207:Q207)&lt;Variables!$B$28*H206),$F$1*(Variables!$B$28*H206-SUM(J207:Q207)),0)</f>
        <v>0</v>
      </c>
      <c r="V207" s="96">
        <f>IF(AND((J207+K207)=0,(Q207+T207)=0),$H$1*H207*Variables!$I$23*0.25,0)</f>
        <v>75.936089005207151</v>
      </c>
      <c r="W207" s="97">
        <f>IF(AND((K207+J207)=0,(T207+Q207)=0),$I$1*H207*Variables!$Q$23*0.25,0)</f>
        <v>79.48499971727162</v>
      </c>
      <c r="X207" s="95">
        <f>IF(AND(NOT(K207=0),(H207-H206)&gt;0),(H207-H206)*(Variables!$M$5*$H$1+Variables!$U$5*$I$1),0)+IF(AND(NOT((J207+N207+Q207)=0),(H206-H207)&gt;0),(H206-H207)*(Variables!$M$4*$H$1+Variables!$U$4*$I$1),0)</f>
        <v>0</v>
      </c>
      <c r="Y207" s="95">
        <f>IF(SUM(T207,U206:U207)&gt;0,H207*Variables!$Y$11*0.25*(1-$J$1),0)</f>
        <v>0</v>
      </c>
      <c r="Z207" s="95">
        <f>IF(T207=0,H207*$J$1*Variables!$Y$5*0.25,0)</f>
        <v>25.613945845457685</v>
      </c>
      <c r="AA207" s="95">
        <f t="shared" si="5"/>
        <v>181.03503456793646</v>
      </c>
      <c r="AB207" s="91">
        <f>AA207/Variables!$E$49</f>
        <v>29.199199123860719</v>
      </c>
    </row>
    <row r="208" spans="1:28" x14ac:dyDescent="0.25">
      <c r="A208" s="61">
        <f>'Water runs'!C215</f>
        <v>20971</v>
      </c>
      <c r="B208" s="61" t="str">
        <f>'Water runs'!B215</f>
        <v>Autumn</v>
      </c>
      <c r="C208" s="54">
        <f>'Water runs'!D215/100</f>
        <v>0.47133333333333299</v>
      </c>
      <c r="D208" s="108">
        <f>VLOOKUP(ROW(D208)+4,'Water runs'!$BS$3:$CF$423,MATCH($B$1,Scenarios,0)+1)</f>
        <v>0</v>
      </c>
      <c r="E208" s="54">
        <f>IF(B208=Variables!$D$8,C208-Variables!$E$8,IF(B208=Variables!$D$9,C208-Variables!$E$9,IF(B208=Variables!$D$10,C208-Variables!$E$10,IF(B208=Variables!$D$11,C208-Variables!$E$11,"ELSE"))))</f>
        <v>-0.5233099659863949</v>
      </c>
      <c r="F208" s="108">
        <f>VLOOKUP(ROW(F208)+4,'Water runs'!$CH$3:$CU$423,MATCH($B$1,Scenarios,0)+1)</f>
        <v>0</v>
      </c>
      <c r="G208" s="65">
        <f>H208/Variables!$E$49</f>
        <v>1.9086976113273892</v>
      </c>
      <c r="H208" s="62">
        <f>IF((H207+I208)&gt;(1.1*Variables!$E$50),(1.1*Variables!$E$50),IF((H207+I208)&gt;0,H207+I208,0))</f>
        <v>11.833925190229813</v>
      </c>
      <c r="I208" s="64">
        <f t="shared" si="6"/>
        <v>1.210403078780335E-2</v>
      </c>
      <c r="J208" s="63">
        <f>IF(SUM(E204:E207)&lt;Variables!$B$3,-H207,0)</f>
        <v>0</v>
      </c>
      <c r="K208" s="64">
        <f>IF(AND(H207&lt;Variables!$B$6*Variables!$E$50,OR(SUM(D205:D208)&gt;Variables!$B$5,SUM(E205:E208)&gt;Variables!$B$4)),Variables!$B$6*Variables!$E$50+Variables!$B$7*$G$1*Variables!$E$50*SUM(D205:D208),0)</f>
        <v>0</v>
      </c>
      <c r="L208" s="64">
        <f>IF(B208="Winter",Variables!$B$8*H207,0)</f>
        <v>0</v>
      </c>
      <c r="M208" s="64">
        <f>IF(AND(B208="Spring",AND(NOT(H207=0),H207&lt;(Variables!$B$9*Variables!$E$50))),(Variables!$B$10*Variables!$E$50+Variables!$B$11*Variables!$E$50*SUM(E205:E208)+$G$1*SUM(D207:D208)*Variables!$E$50*Variables!$B$12),0)</f>
        <v>0</v>
      </c>
      <c r="N208" s="64">
        <f>IF(AND(B208="Spring",AND(SUM(D205:D208)&gt;Variables!$B$13,SUM(D201:D204)&gt;Variables!$B$13)),-Variables!$B$14*Variables!$E$50,0)</f>
        <v>0</v>
      </c>
      <c r="O208" s="64">
        <f>IF(AND(B208="Summer",SUM(C204:D208)&gt;Variables!$B$15),(Variables!$B$16*Variables!$E$50*SUM(C204:C208)+$G$1*Variables!$B$16*Variables!$E$50*SUM(D204:D208)+$G$1*Variables!$E$50*Variables!$B$17*F208),0)</f>
        <v>0</v>
      </c>
      <c r="P208" s="64">
        <f>IF(AND(AND(B208="Autumn",SUM(D207:E208)&gt;0),NOT(H207=0)),Variables!$B$18*Variables!$E$50+Variables!$B$19*Variables!$E$50*SUM(E207:E208)+$G$1*Variables!$B$19*Variables!$E$50*SUM(D207:D208),0)</f>
        <v>0</v>
      </c>
      <c r="Q208" s="64">
        <f>IF(AND(B208="Autumn",AND((E208+E207)&lt;Variables!$B$20,(D207+D208)=0)),-Variables!$B$21*Variables!$E$50,0)</f>
        <v>0</v>
      </c>
      <c r="R208" s="64">
        <f>IF(B208="Autumn",(SUM(F207:F208)*$G$1*Variables!$B$22*Variables!$E$50),0)</f>
        <v>1.210403078780335E-2</v>
      </c>
      <c r="S208" s="64">
        <f>IF(B208="Spring",($G$1*Variables!$E$50*SUM('Guts (option 2)'!F207:F208)*Variables!$B$23),0)</f>
        <v>0</v>
      </c>
      <c r="T208" s="63">
        <f>IF((H207+SUM(J208:Q208))&lt;(Variables!$B$26*Variables!$E$50),$F$1*((Variables!$B$26*Variables!$E$50)-H207-SUM(J208:Q208)),0)</f>
        <v>0</v>
      </c>
      <c r="U208" s="64">
        <f>IF(AND(AND(B208="Autumn",SUM(D205:E208)&gt;Variables!$B$27),SUM(J208:Q208)&lt;Variables!$B$28*H207),$F$1*(Variables!$B$28*H207-SUM(J208:Q208)),0)</f>
        <v>0</v>
      </c>
      <c r="V208" s="96">
        <f>IF(AND((J208+K208)=0,(Q208+T208)=0),$H$1*H208*Variables!$I$23*0.25,0)</f>
        <v>76.013837834835684</v>
      </c>
      <c r="W208" s="97">
        <f>IF(AND((K208+J208)=0,(T208+Q208)=0),$I$1*H208*Variables!$Q$23*0.25,0)</f>
        <v>79.566382176942653</v>
      </c>
      <c r="X208" s="95">
        <f>IF(AND(NOT(K208=0),(H208-H207)&gt;0),(H208-H207)*(Variables!$M$5*$H$1+Variables!$U$5*$I$1),0)+IF(AND(NOT((J208+N208+Q208)=0),(H207-H208)&gt;0),(H207-H208)*(Variables!$M$4*$H$1+Variables!$U$4*$I$1),0)</f>
        <v>0</v>
      </c>
      <c r="Y208" s="95">
        <f>IF(SUM(T208,U207:U208)&gt;0,H208*Variables!$Y$11*0.25*(1-$J$1),0)</f>
        <v>0</v>
      </c>
      <c r="Z208" s="95">
        <f>IF(T208=0,H208*$J$1*Variables!$Y$5*0.25,0)</f>
        <v>25.640171245497928</v>
      </c>
      <c r="AA208" s="95">
        <f t="shared" ref="AA208:AA271" si="7">SUM(V208:Z208)</f>
        <v>181.22039125727628</v>
      </c>
      <c r="AB208" s="91">
        <f>AA208/Variables!$E$49</f>
        <v>29.229095364076819</v>
      </c>
    </row>
    <row r="209" spans="1:28" x14ac:dyDescent="0.25">
      <c r="A209" s="61">
        <f>'Water runs'!C216</f>
        <v>21063</v>
      </c>
      <c r="B209" s="61" t="str">
        <f>'Water runs'!B216</f>
        <v>Winter</v>
      </c>
      <c r="C209" s="54">
        <f>'Water runs'!D216/100</f>
        <v>0.36816666666666698</v>
      </c>
      <c r="D209" s="108">
        <f>VLOOKUP(ROW(D209)+4,'Water runs'!$BS$3:$CF$423,MATCH($B$1,Scenarios,0)+1)</f>
        <v>0</v>
      </c>
      <c r="E209" s="54">
        <f>IF(B209=Variables!$D$8,C209-Variables!$E$8,IF(B209=Variables!$D$9,C209-Variables!$E$9,IF(B209=Variables!$D$10,C209-Variables!$E$10,IF(B209=Variables!$D$11,C209-Variables!$E$11,"ELSE"))))</f>
        <v>-0.20360095899470876</v>
      </c>
      <c r="F209" s="108">
        <f>VLOOKUP(ROW(F209)+4,'Water runs'!$CH$3:$CU$423,MATCH($B$1,Scenarios,0)+1)</f>
        <v>0</v>
      </c>
      <c r="G209" s="65">
        <f>H209/Variables!$E$49</f>
        <v>0.95827070907563183</v>
      </c>
      <c r="H209" s="62">
        <f>IF((H208+I209)&gt;(1.1*Variables!$E$50),(1.1*Variables!$E$50),IF((H208+I209)&gt;0,H208+I209,0))</f>
        <v>5.9412783962689177</v>
      </c>
      <c r="I209" s="64">
        <f t="shared" si="6"/>
        <v>-5.8926467939608953</v>
      </c>
      <c r="J209" s="63">
        <f>IF(SUM(E205:E208)&lt;Variables!$B$3,-H208,0)</f>
        <v>0</v>
      </c>
      <c r="K209" s="64">
        <f>IF(AND(H208&lt;Variables!$B$6*Variables!$E$50,OR(SUM(D206:D209)&gt;Variables!$B$5,SUM(E206:E209)&gt;Variables!$B$4)),Variables!$B$6*Variables!$E$50+Variables!$B$7*$G$1*Variables!$E$50*SUM(D206:D209),0)</f>
        <v>0</v>
      </c>
      <c r="L209" s="64">
        <f>IF(B209="Winter",Variables!$B$8*H208,0)</f>
        <v>-5.8926467939608953</v>
      </c>
      <c r="M209" s="64">
        <f>IF(AND(B209="Spring",AND(NOT(H208=0),H208&lt;(Variables!$B$9*Variables!$E$50))),(Variables!$B$10*Variables!$E$50+Variables!$B$11*Variables!$E$50*SUM(E206:E209)+$G$1*SUM(D208:D209)*Variables!$E$50*Variables!$B$12),0)</f>
        <v>0</v>
      </c>
      <c r="N209" s="64">
        <f>IF(AND(B209="Spring",AND(SUM(D206:D209)&gt;Variables!$B$13,SUM(D202:D205)&gt;Variables!$B$13)),-Variables!$B$14*Variables!$E$50,0)</f>
        <v>0</v>
      </c>
      <c r="O209" s="64">
        <f>IF(AND(B209="Summer",SUM(C205:D209)&gt;Variables!$B$15),(Variables!$B$16*Variables!$E$50*SUM(C205:C209)+$G$1*Variables!$B$16*Variables!$E$50*SUM(D205:D209)+$G$1*Variables!$E$50*Variables!$B$17*F209),0)</f>
        <v>0</v>
      </c>
      <c r="P209" s="64">
        <f>IF(AND(AND(B209="Autumn",SUM(D208:E209)&gt;0),NOT(H208=0)),Variables!$B$18*Variables!$E$50+Variables!$B$19*Variables!$E$50*SUM(E208:E209)+$G$1*Variables!$B$19*Variables!$E$50*SUM(D208:D209),0)</f>
        <v>0</v>
      </c>
      <c r="Q209" s="64">
        <f>IF(AND(B209="Autumn",AND((E209+E208)&lt;Variables!$B$20,(D208+D209)=0)),-Variables!$B$21*Variables!$E$50,0)</f>
        <v>0</v>
      </c>
      <c r="R209" s="64">
        <f>IF(B209="Autumn",(SUM(F208:F209)*$G$1*Variables!$B$22*Variables!$E$50),0)</f>
        <v>0</v>
      </c>
      <c r="S209" s="64">
        <f>IF(B209="Spring",($G$1*Variables!$E$50*SUM('Guts (option 2)'!F208:F209)*Variables!$B$23),0)</f>
        <v>0</v>
      </c>
      <c r="T209" s="63">
        <f>IF((H208+SUM(J209:Q209))&lt;(Variables!$B$26*Variables!$E$50),$F$1*((Variables!$B$26*Variables!$E$50)-H208-SUM(J209:Q209)),0)</f>
        <v>0</v>
      </c>
      <c r="U209" s="64">
        <f>IF(AND(AND(B209="Autumn",SUM(D206:E209)&gt;Variables!$B$27),SUM(J209:Q209)&lt;Variables!$B$28*H208),$F$1*(Variables!$B$28*H208-SUM(J209:Q209)),0)</f>
        <v>0</v>
      </c>
      <c r="V209" s="96">
        <f>IF(AND((J209+K209)=0,(Q209+T209)=0),$H$1*H209*Variables!$I$23*0.25,0)</f>
        <v>38.163108629287166</v>
      </c>
      <c r="W209" s="97">
        <f>IF(AND((K209+J209)=0,(T209+Q209)=0),$I$1*H209*Variables!$Q$23*0.25,0)</f>
        <v>39.94668040384709</v>
      </c>
      <c r="X209" s="95">
        <f>IF(AND(NOT(K209=0),(H209-H208)&gt;0),(H209-H208)*(Variables!$M$5*$H$1+Variables!$U$5*$I$1),0)+IF(AND(NOT((J209+N209+Q209)=0),(H208-H209)&gt;0),(H208-H209)*(Variables!$M$4*$H$1+Variables!$U$4*$I$1),0)</f>
        <v>0</v>
      </c>
      <c r="Y209" s="95">
        <f>IF(SUM(T209,U208:U209)&gt;0,H209*Variables!$Y$11*0.25*(1-$J$1),0)</f>
        <v>0</v>
      </c>
      <c r="Z209" s="95">
        <f>IF(T209=0,H209*$J$1*Variables!$Y$5*0.25,0)</f>
        <v>12.872769858582656</v>
      </c>
      <c r="AA209" s="95">
        <f t="shared" si="7"/>
        <v>90.98255889171692</v>
      </c>
      <c r="AB209" s="91">
        <f>AA209/Variables!$E$49</f>
        <v>14.674606272857567</v>
      </c>
    </row>
    <row r="210" spans="1:28" x14ac:dyDescent="0.25">
      <c r="A210" s="61">
        <f>'Water runs'!C217</f>
        <v>21154</v>
      </c>
      <c r="B210" s="61" t="str">
        <f>'Water runs'!B217</f>
        <v>Spring</v>
      </c>
      <c r="C210" s="54">
        <f>'Water runs'!D217/100</f>
        <v>0</v>
      </c>
      <c r="D210" s="108">
        <f>VLOOKUP(ROW(D210)+4,'Water runs'!$BS$3:$CF$423,MATCH($B$1,Scenarios,0)+1)</f>
        <v>0</v>
      </c>
      <c r="E210" s="54">
        <f>IF(B210=Variables!$D$8,C210-Variables!$E$8,IF(B210=Variables!$D$9,C210-Variables!$E$9,IF(B210=Variables!$D$10,C210-Variables!$E$10,IF(B210=Variables!$D$11,C210-Variables!$E$11,"ELSE"))))</f>
        <v>-0.76398220899470914</v>
      </c>
      <c r="F210" s="108">
        <f>VLOOKUP(ROW(F210)+4,'Water runs'!$CH$3:$CU$423,MATCH($B$1,Scenarios,0)+1)</f>
        <v>0</v>
      </c>
      <c r="G210" s="65">
        <f>H210/Variables!$E$49</f>
        <v>0.95827070907563183</v>
      </c>
      <c r="H210" s="62">
        <f>IF((H209+I210)&gt;(1.1*Variables!$E$50),(1.1*Variables!$E$50),IF((H209+I210)&gt;0,H209+I210,0))</f>
        <v>5.9412783962689177</v>
      </c>
      <c r="I210" s="64">
        <f t="shared" si="6"/>
        <v>0</v>
      </c>
      <c r="J210" s="63">
        <f>IF(SUM(E206:E209)&lt;Variables!$B$3,-H209,0)</f>
        <v>0</v>
      </c>
      <c r="K210" s="64">
        <f>IF(AND(H209&lt;Variables!$B$6*Variables!$E$50,OR(SUM(D207:D210)&gt;Variables!$B$5,SUM(E207:E210)&gt;Variables!$B$4)),Variables!$B$6*Variables!$E$50+Variables!$B$7*$G$1*Variables!$E$50*SUM(D207:D210),0)</f>
        <v>0</v>
      </c>
      <c r="L210" s="64">
        <f>IF(B210="Winter",Variables!$B$8*H209,0)</f>
        <v>0</v>
      </c>
      <c r="M210" s="64">
        <f>IF(AND(B210="Spring",AND(NOT(H209=0),H209&lt;(Variables!$B$9*Variables!$E$50))),(Variables!$B$10*Variables!$E$50+Variables!$B$11*Variables!$E$50*SUM(E207:E210)+$G$1*SUM(D209:D210)*Variables!$E$50*Variables!$B$12),0)</f>
        <v>0</v>
      </c>
      <c r="N210" s="64">
        <f>IF(AND(B210="Spring",AND(SUM(D207:D210)&gt;Variables!$B$13,SUM(D203:D206)&gt;Variables!$B$13)),-Variables!$B$14*Variables!$E$50,0)</f>
        <v>0</v>
      </c>
      <c r="O210" s="64">
        <f>IF(AND(B210="Summer",SUM(C206:D210)&gt;Variables!$B$15),(Variables!$B$16*Variables!$E$50*SUM(C206:C210)+$G$1*Variables!$B$16*Variables!$E$50*SUM(D206:D210)+$G$1*Variables!$E$50*Variables!$B$17*F210),0)</f>
        <v>0</v>
      </c>
      <c r="P210" s="64">
        <f>IF(AND(AND(B210="Autumn",SUM(D209:E210)&gt;0),NOT(H209=0)),Variables!$B$18*Variables!$E$50+Variables!$B$19*Variables!$E$50*SUM(E209:E210)+$G$1*Variables!$B$19*Variables!$E$50*SUM(D209:D210),0)</f>
        <v>0</v>
      </c>
      <c r="Q210" s="64">
        <f>IF(AND(B210="Autumn",AND((E210+E209)&lt;Variables!$B$20,(D209+D210)=0)),-Variables!$B$21*Variables!$E$50,0)</f>
        <v>0</v>
      </c>
      <c r="R210" s="64">
        <f>IF(B210="Autumn",(SUM(F209:F210)*$G$1*Variables!$B$22*Variables!$E$50),0)</f>
        <v>0</v>
      </c>
      <c r="S210" s="64">
        <f>IF(B210="Spring",($G$1*Variables!$E$50*SUM('Guts (option 2)'!F209:F210)*Variables!$B$23),0)</f>
        <v>0</v>
      </c>
      <c r="T210" s="63">
        <f>IF((H209+SUM(J210:Q210))&lt;(Variables!$B$26*Variables!$E$50),$F$1*((Variables!$B$26*Variables!$E$50)-H209-SUM(J210:Q210)),0)</f>
        <v>0</v>
      </c>
      <c r="U210" s="64">
        <f>IF(AND(AND(B210="Autumn",SUM(D207:E210)&gt;Variables!$B$27),SUM(J210:Q210)&lt;Variables!$B$28*H209),$F$1*(Variables!$B$28*H209-SUM(J210:Q210)),0)</f>
        <v>0</v>
      </c>
      <c r="V210" s="96">
        <f>IF(AND((J210+K210)=0,(Q210+T210)=0),$H$1*H210*Variables!$I$23*0.25,0)</f>
        <v>38.163108629287166</v>
      </c>
      <c r="W210" s="97">
        <f>IF(AND((K210+J210)=0,(T210+Q210)=0),$I$1*H210*Variables!$Q$23*0.25,0)</f>
        <v>39.94668040384709</v>
      </c>
      <c r="X210" s="95">
        <f>IF(AND(NOT(K210=0),(H210-H209)&gt;0),(H210-H209)*(Variables!$M$5*$H$1+Variables!$U$5*$I$1),0)+IF(AND(NOT((J210+N210+Q210)=0),(H209-H210)&gt;0),(H209-H210)*(Variables!$M$4*$H$1+Variables!$U$4*$I$1),0)</f>
        <v>0</v>
      </c>
      <c r="Y210" s="95">
        <f>IF(SUM(T210,U209:U210)&gt;0,H210*Variables!$Y$11*0.25*(1-$J$1),0)</f>
        <v>0</v>
      </c>
      <c r="Z210" s="95">
        <f>IF(T210=0,H210*$J$1*Variables!$Y$5*0.25,0)</f>
        <v>12.872769858582656</v>
      </c>
      <c r="AA210" s="95">
        <f t="shared" si="7"/>
        <v>90.98255889171692</v>
      </c>
      <c r="AB210" s="91">
        <f>AA210/Variables!$E$49</f>
        <v>14.674606272857567</v>
      </c>
    </row>
    <row r="211" spans="1:28" x14ac:dyDescent="0.25">
      <c r="A211" s="61">
        <f>'Water runs'!C218</f>
        <v>21244</v>
      </c>
      <c r="B211" s="61" t="str">
        <f>'Water runs'!B218</f>
        <v>Summer</v>
      </c>
      <c r="C211" s="54">
        <f>'Water runs'!D218/100</f>
        <v>0.82142857142857095</v>
      </c>
      <c r="D211" s="108">
        <f>VLOOKUP(ROW(D211)+4,'Water runs'!$BS$3:$CF$423,MATCH($B$1,Scenarios,0)+1)</f>
        <v>0</v>
      </c>
      <c r="E211" s="54">
        <f>IF(B211=Variables!$D$8,C211-Variables!$E$8,IF(B211=Variables!$D$9,C211-Variables!$E$9,IF(B211=Variables!$D$10,C211-Variables!$E$10,IF(B211=Variables!$D$11,C211-Variables!$E$11,"ELSE"))))</f>
        <v>-0.43694156462585076</v>
      </c>
      <c r="F211" s="108">
        <f>VLOOKUP(ROW(F211)+4,'Water runs'!$CH$3:$CU$423,MATCH($B$1,Scenarios,0)+1)</f>
        <v>0</v>
      </c>
      <c r="G211" s="65">
        <f>H211/Variables!$E$49</f>
        <v>0.95827070907563183</v>
      </c>
      <c r="H211" s="62">
        <f>IF((H210+I211)&gt;(1.1*Variables!$E$50),(1.1*Variables!$E$50),IF((H210+I211)&gt;0,H210+I211,0))</f>
        <v>5.9412783962689177</v>
      </c>
      <c r="I211" s="64">
        <f t="shared" si="6"/>
        <v>0</v>
      </c>
      <c r="J211" s="63">
        <f>IF(SUM(E207:E210)&lt;Variables!$B$3,-H210,0)</f>
        <v>0</v>
      </c>
      <c r="K211" s="64">
        <f>IF(AND(H210&lt;Variables!$B$6*Variables!$E$50,OR(SUM(D208:D211)&gt;Variables!$B$5,SUM(E208:E211)&gt;Variables!$B$4)),Variables!$B$6*Variables!$E$50+Variables!$B$7*$G$1*Variables!$E$50*SUM(D208:D211),0)</f>
        <v>0</v>
      </c>
      <c r="L211" s="64">
        <f>IF(B211="Winter",Variables!$B$8*H210,0)</f>
        <v>0</v>
      </c>
      <c r="M211" s="64">
        <f>IF(AND(B211="Spring",AND(NOT(H210=0),H210&lt;(Variables!$B$9*Variables!$E$50))),(Variables!$B$10*Variables!$E$50+Variables!$B$11*Variables!$E$50*SUM(E208:E211)+$G$1*SUM(D210:D211)*Variables!$E$50*Variables!$B$12),0)</f>
        <v>0</v>
      </c>
      <c r="N211" s="64">
        <f>IF(AND(B211="Spring",AND(SUM(D208:D211)&gt;Variables!$B$13,SUM(D204:D207)&gt;Variables!$B$13)),-Variables!$B$14*Variables!$E$50,0)</f>
        <v>0</v>
      </c>
      <c r="O211" s="64">
        <f>IF(AND(B211="Summer",SUM(C207:D211)&gt;Variables!$B$15),(Variables!$B$16*Variables!$E$50*SUM(C207:C211)+$G$1*Variables!$B$16*Variables!$E$50*SUM(D207:D211)+$G$1*Variables!$E$50*Variables!$B$17*F211),0)</f>
        <v>0</v>
      </c>
      <c r="P211" s="64">
        <f>IF(AND(AND(B211="Autumn",SUM(D210:E211)&gt;0),NOT(H210=0)),Variables!$B$18*Variables!$E$50+Variables!$B$19*Variables!$E$50*SUM(E210:E211)+$G$1*Variables!$B$19*Variables!$E$50*SUM(D210:D211),0)</f>
        <v>0</v>
      </c>
      <c r="Q211" s="64">
        <f>IF(AND(B211="Autumn",AND((E211+E210)&lt;Variables!$B$20,(D210+D211)=0)),-Variables!$B$21*Variables!$E$50,0)</f>
        <v>0</v>
      </c>
      <c r="R211" s="64">
        <f>IF(B211="Autumn",(SUM(F210:F211)*$G$1*Variables!$B$22*Variables!$E$50),0)</f>
        <v>0</v>
      </c>
      <c r="S211" s="64">
        <f>IF(B211="Spring",($G$1*Variables!$E$50*SUM('Guts (option 2)'!F210:F211)*Variables!$B$23),0)</f>
        <v>0</v>
      </c>
      <c r="T211" s="63">
        <f>IF((H210+SUM(J211:Q211))&lt;(Variables!$B$26*Variables!$E$50),$F$1*((Variables!$B$26*Variables!$E$50)-H210-SUM(J211:Q211)),0)</f>
        <v>0</v>
      </c>
      <c r="U211" s="64">
        <f>IF(AND(AND(B211="Autumn",SUM(D208:E211)&gt;Variables!$B$27),SUM(J211:Q211)&lt;Variables!$B$28*H210),$F$1*(Variables!$B$28*H210-SUM(J211:Q211)),0)</f>
        <v>0</v>
      </c>
      <c r="V211" s="96">
        <f>IF(AND((J211+K211)=0,(Q211+T211)=0),$H$1*H211*Variables!$I$23*0.25,0)</f>
        <v>38.163108629287166</v>
      </c>
      <c r="W211" s="97">
        <f>IF(AND((K211+J211)=0,(T211+Q211)=0),$I$1*H211*Variables!$Q$23*0.25,0)</f>
        <v>39.94668040384709</v>
      </c>
      <c r="X211" s="95">
        <f>IF(AND(NOT(K211=0),(H211-H210)&gt;0),(H211-H210)*(Variables!$M$5*$H$1+Variables!$U$5*$I$1),0)+IF(AND(NOT((J211+N211+Q211)=0),(H210-H211)&gt;0),(H210-H211)*(Variables!$M$4*$H$1+Variables!$U$4*$I$1),0)</f>
        <v>0</v>
      </c>
      <c r="Y211" s="95">
        <f>IF(SUM(T211,U210:U211)&gt;0,H211*Variables!$Y$11*0.25*(1-$J$1),0)</f>
        <v>0</v>
      </c>
      <c r="Z211" s="95">
        <f>IF(T211=0,H211*$J$1*Variables!$Y$5*0.25,0)</f>
        <v>12.872769858582656</v>
      </c>
      <c r="AA211" s="95">
        <f t="shared" si="7"/>
        <v>90.98255889171692</v>
      </c>
      <c r="AB211" s="91">
        <f>AA211/Variables!$E$49</f>
        <v>14.674606272857567</v>
      </c>
    </row>
    <row r="212" spans="1:28" x14ac:dyDescent="0.25">
      <c r="A212" s="61">
        <f>'Water runs'!C219</f>
        <v>21336</v>
      </c>
      <c r="B212" s="61" t="str">
        <f>'Water runs'!B219</f>
        <v>Autumn</v>
      </c>
      <c r="C212" s="54">
        <f>'Water runs'!D219/100</f>
        <v>0.78257142857142792</v>
      </c>
      <c r="D212" s="108">
        <f>VLOOKUP(ROW(D212)+4,'Water runs'!$BS$3:$CF$423,MATCH($B$1,Scenarios,0)+1)</f>
        <v>0</v>
      </c>
      <c r="E212" s="54">
        <f>IF(B212=Variables!$D$8,C212-Variables!$E$8,IF(B212=Variables!$D$9,C212-Variables!$E$9,IF(B212=Variables!$D$10,C212-Variables!$E$10,IF(B212=Variables!$D$11,C212-Variables!$E$11,"ELSE"))))</f>
        <v>-0.21207187074829992</v>
      </c>
      <c r="F212" s="108">
        <f>VLOOKUP(ROW(F212)+4,'Water runs'!$CH$3:$CU$423,MATCH($B$1,Scenarios,0)+1)</f>
        <v>0</v>
      </c>
      <c r="G212" s="65">
        <f>H212/Variables!$E$49</f>
        <v>0.16099999999999995</v>
      </c>
      <c r="H212" s="62">
        <f>IF((H211+I212)&gt;(1.1*Variables!$E$50),(1.1*Variables!$E$50),IF((H211+I212)&gt;0,H211+I212,0))</f>
        <v>0.99819999999999975</v>
      </c>
      <c r="I212" s="64">
        <f t="shared" si="6"/>
        <v>-4.943078396268918</v>
      </c>
      <c r="J212" s="63">
        <f>IF(SUM(E208:E211)&lt;Variables!$B$3,-H211,0)</f>
        <v>-5.9412783962689177</v>
      </c>
      <c r="K212" s="64">
        <f>IF(AND(H211&lt;Variables!$B$6*Variables!$E$50,OR(SUM(D209:D212)&gt;Variables!$B$5,SUM(E209:E212)&gt;Variables!$B$4)),Variables!$B$6*Variables!$E$50+Variables!$B$7*$G$1*Variables!$E$50*SUM(D209:D212),0)</f>
        <v>0</v>
      </c>
      <c r="L212" s="64">
        <f>IF(B212="Winter",Variables!$B$8*H211,0)</f>
        <v>0</v>
      </c>
      <c r="M212" s="64">
        <f>IF(AND(B212="Spring",AND(NOT(H211=0),H211&lt;(Variables!$B$9*Variables!$E$50))),(Variables!$B$10*Variables!$E$50+Variables!$B$11*Variables!$E$50*SUM(E209:E212)+$G$1*SUM(D211:D212)*Variables!$E$50*Variables!$B$12),0)</f>
        <v>0</v>
      </c>
      <c r="N212" s="64">
        <f>IF(AND(B212="Spring",AND(SUM(D209:D212)&gt;Variables!$B$13,SUM(D205:D208)&gt;Variables!$B$13)),-Variables!$B$14*Variables!$E$50,0)</f>
        <v>0</v>
      </c>
      <c r="O212" s="64">
        <f>IF(AND(B212="Summer",SUM(C208:D212)&gt;Variables!$B$15),(Variables!$B$16*Variables!$E$50*SUM(C208:C212)+$G$1*Variables!$B$16*Variables!$E$50*SUM(D208:D212)+$G$1*Variables!$E$50*Variables!$B$17*F212),0)</f>
        <v>0</v>
      </c>
      <c r="P212" s="64">
        <f>IF(AND(AND(B212="Autumn",SUM(D211:E212)&gt;0),NOT(H211=0)),Variables!$B$18*Variables!$E$50+Variables!$B$19*Variables!$E$50*SUM(E211:E212)+$G$1*Variables!$B$19*Variables!$E$50*SUM(D211:D212),0)</f>
        <v>0</v>
      </c>
      <c r="Q212" s="64">
        <f>IF(AND(B212="Autumn",AND((E212+E211)&lt;Variables!$B$20,(D211+D212)=0)),-Variables!$B$21*Variables!$E$50,0)</f>
        <v>0</v>
      </c>
      <c r="R212" s="64">
        <f>IF(B212="Autumn",(SUM(F211:F212)*$G$1*Variables!$B$22*Variables!$E$50),0)</f>
        <v>0</v>
      </c>
      <c r="S212" s="64">
        <f>IF(B212="Spring",($G$1*Variables!$E$50*SUM('Guts (option 2)'!F211:F212)*Variables!$B$23),0)</f>
        <v>0</v>
      </c>
      <c r="T212" s="63">
        <f>IF((H211+SUM(J212:Q212))&lt;(Variables!$B$26*Variables!$E$50),$F$1*((Variables!$B$26*Variables!$E$50)-H211-SUM(J212:Q212)),0)</f>
        <v>0.99819999999999975</v>
      </c>
      <c r="U212" s="64">
        <f>IF(AND(AND(B212="Autumn",SUM(D209:E212)&gt;Variables!$B$27),SUM(J212:Q212)&lt;Variables!$B$28*H211),$F$1*(Variables!$B$28*H211-SUM(J212:Q212)),0)</f>
        <v>0</v>
      </c>
      <c r="V212" s="96">
        <f>IF(AND((J212+K212)=0,(Q212+T212)=0),$H$1*H212*Variables!$I$23*0.25,0)</f>
        <v>0</v>
      </c>
      <c r="W212" s="97">
        <f>IF(AND((K212+J212)=0,(T212+Q212)=0),$I$1*H212*Variables!$Q$23*0.25,0)</f>
        <v>0</v>
      </c>
      <c r="X212" s="95">
        <f>IF(AND(NOT(K212=0),(H212-H211)&gt;0),(H212-H211)*(Variables!$M$5*$H$1+Variables!$U$5*$I$1),0)+IF(AND(NOT((J212+N212+Q212)=0),(H211-H212)&gt;0),(H211-H212)*(Variables!$M$4*$H$1+Variables!$U$4*$I$1),0)</f>
        <v>205.96159984453823</v>
      </c>
      <c r="Y212" s="95">
        <f>IF(SUM(T212,U211:U212)&gt;0,H212*Variables!$Y$11*0.25*(1-$J$1),0)</f>
        <v>-6.9873999999999992</v>
      </c>
      <c r="Z212" s="95">
        <f>IF(T212=0,H212*$J$1*Variables!$Y$5*0.25,0)</f>
        <v>0</v>
      </c>
      <c r="AA212" s="95">
        <f t="shared" si="7"/>
        <v>198.97419984453822</v>
      </c>
      <c r="AB212" s="91">
        <f>AA212/Variables!$E$49</f>
        <v>32.092612878151321</v>
      </c>
    </row>
    <row r="213" spans="1:28" x14ac:dyDescent="0.25">
      <c r="A213" s="61">
        <f>'Water runs'!C220</f>
        <v>21428</v>
      </c>
      <c r="B213" s="61" t="str">
        <f>'Water runs'!B220</f>
        <v>Winter</v>
      </c>
      <c r="C213" s="54">
        <f>'Water runs'!D220/100</f>
        <v>0.45857142857142896</v>
      </c>
      <c r="D213" s="108">
        <f>VLOOKUP(ROW(D213)+4,'Water runs'!$BS$3:$CF$423,MATCH($B$1,Scenarios,0)+1)</f>
        <v>8.2326859278379086E-2</v>
      </c>
      <c r="E213" s="54">
        <f>IF(B213=Variables!$D$8,C213-Variables!$E$8,IF(B213=Variables!$D$9,C213-Variables!$E$9,IF(B213=Variables!$D$10,C213-Variables!$E$10,IF(B213=Variables!$D$11,C213-Variables!$E$11,"ELSE"))))</f>
        <v>-0.11319619708994677</v>
      </c>
      <c r="F213" s="108">
        <f>VLOOKUP(ROW(F213)+4,'Water runs'!$CH$3:$CU$423,MATCH($B$1,Scenarios,0)+1)</f>
        <v>7.0752737551366199E-2</v>
      </c>
      <c r="G213" s="65">
        <f>H213/Variables!$E$49</f>
        <v>0.161</v>
      </c>
      <c r="H213" s="62">
        <f>IF((H212+I213)&gt;(1.1*Variables!$E$50),(1.1*Variables!$E$50),IF((H212+I213)&gt;0,H212+I213,0))</f>
        <v>0.99820000000000009</v>
      </c>
      <c r="I213" s="64">
        <f t="shared" si="6"/>
        <v>3.3306690738754696E-16</v>
      </c>
      <c r="J213" s="63">
        <f>IF(SUM(E209:E212)&lt;Variables!$B$3,-H212,0)</f>
        <v>0</v>
      </c>
      <c r="K213" s="64">
        <f>IF(AND(H212&lt;Variables!$B$6*Variables!$E$50,OR(SUM(D210:D213)&gt;Variables!$B$5,SUM(E210:E213)&gt;Variables!$B$4)),Variables!$B$6*Variables!$E$50+Variables!$B$7*$G$1*Variables!$E$50*SUM(D210:D213),0)</f>
        <v>0</v>
      </c>
      <c r="L213" s="64">
        <f>IF(B213="Winter",Variables!$B$8*H212,0)</f>
        <v>-0.49704894489176132</v>
      </c>
      <c r="M213" s="64">
        <f>IF(AND(B213="Spring",AND(NOT(H212=0),H212&lt;(Variables!$B$9*Variables!$E$50))),(Variables!$B$10*Variables!$E$50+Variables!$B$11*Variables!$E$50*SUM(E210:E213)+$G$1*SUM(D212:D213)*Variables!$E$50*Variables!$B$12),0)</f>
        <v>0</v>
      </c>
      <c r="N213" s="64">
        <f>IF(AND(B213="Spring",AND(SUM(D210:D213)&gt;Variables!$B$13,SUM(D206:D209)&gt;Variables!$B$13)),-Variables!$B$14*Variables!$E$50,0)</f>
        <v>0</v>
      </c>
      <c r="O213" s="64">
        <f>IF(AND(B213="Summer",SUM(C209:D213)&gt;Variables!$B$15),(Variables!$B$16*Variables!$E$50*SUM(C209:C213)+$G$1*Variables!$B$16*Variables!$E$50*SUM(D209:D213)+$G$1*Variables!$E$50*Variables!$B$17*F213),0)</f>
        <v>0</v>
      </c>
      <c r="P213" s="64">
        <f>IF(AND(AND(B213="Autumn",SUM(D212:E213)&gt;0),NOT(H212=0)),Variables!$B$18*Variables!$E$50+Variables!$B$19*Variables!$E$50*SUM(E212:E213)+$G$1*Variables!$B$19*Variables!$E$50*SUM(D212:D213),0)</f>
        <v>0</v>
      </c>
      <c r="Q213" s="64">
        <f>IF(AND(B213="Autumn",AND((E213+E212)&lt;Variables!$B$20,(D212+D213)=0)),-Variables!$B$21*Variables!$E$50,0)</f>
        <v>0</v>
      </c>
      <c r="R213" s="64">
        <f>IF(B213="Autumn",(SUM(F212:F213)*$G$1*Variables!$B$22*Variables!$E$50),0)</f>
        <v>0</v>
      </c>
      <c r="S213" s="64">
        <f>IF(B213="Spring",($G$1*Variables!$E$50*SUM('Guts (option 2)'!F212:F213)*Variables!$B$23),0)</f>
        <v>0</v>
      </c>
      <c r="T213" s="63">
        <f>IF((H212+SUM(J213:Q213))&lt;(Variables!$B$26*Variables!$E$50),$F$1*((Variables!$B$26*Variables!$E$50)-H212-SUM(J213:Q213)),0)</f>
        <v>0.49704894489176166</v>
      </c>
      <c r="U213" s="64">
        <f>IF(AND(AND(B213="Autumn",SUM(D210:E213)&gt;Variables!$B$27),SUM(J213:Q213)&lt;Variables!$B$28*H212),$F$1*(Variables!$B$28*H212-SUM(J213:Q213)),0)</f>
        <v>0</v>
      </c>
      <c r="V213" s="96">
        <f>IF(AND((J213+K213)=0,(Q213+T213)=0),$H$1*H213*Variables!$I$23*0.25,0)</f>
        <v>0</v>
      </c>
      <c r="W213" s="97">
        <f>IF(AND((K213+J213)=0,(T213+Q213)=0),$I$1*H213*Variables!$Q$23*0.25,0)</f>
        <v>0</v>
      </c>
      <c r="X213" s="95">
        <f>IF(AND(NOT(K213=0),(H213-H212)&gt;0),(H213-H212)*(Variables!$M$5*$H$1+Variables!$U$5*$I$1),0)+IF(AND(NOT((J213+N213+Q213)=0),(H212-H213)&gt;0),(H212-H213)*(Variables!$M$4*$H$1+Variables!$U$4*$I$1),0)</f>
        <v>0</v>
      </c>
      <c r="Y213" s="95">
        <f>IF(SUM(T213,U212:U213)&gt;0,H213*Variables!$Y$11*0.25*(1-$J$1),0)</f>
        <v>-6.9874000000000018</v>
      </c>
      <c r="Z213" s="95">
        <f>IF(T213=0,H213*$J$1*Variables!$Y$5*0.25,0)</f>
        <v>0</v>
      </c>
      <c r="AA213" s="95">
        <f t="shared" si="7"/>
        <v>-6.9874000000000018</v>
      </c>
      <c r="AB213" s="91">
        <f>AA213/Variables!$E$49</f>
        <v>-1.1270000000000002</v>
      </c>
    </row>
    <row r="214" spans="1:28" x14ac:dyDescent="0.25">
      <c r="A214" s="61">
        <f>'Water runs'!C221</f>
        <v>21519</v>
      </c>
      <c r="B214" s="61" t="str">
        <f>'Water runs'!B221</f>
        <v>Spring</v>
      </c>
      <c r="C214" s="54">
        <f>'Water runs'!D221/100</f>
        <v>0.89776190476190498</v>
      </c>
      <c r="D214" s="108">
        <f>VLOOKUP(ROW(D214)+4,'Water runs'!$BS$3:$CF$423,MATCH($B$1,Scenarios,0)+1)</f>
        <v>0</v>
      </c>
      <c r="E214" s="54">
        <f>IF(B214=Variables!$D$8,C214-Variables!$E$8,IF(B214=Variables!$D$9,C214-Variables!$E$9,IF(B214=Variables!$D$10,C214-Variables!$E$10,IF(B214=Variables!$D$11,C214-Variables!$E$11,"ELSE"))))</f>
        <v>0.13377969576719584</v>
      </c>
      <c r="F214" s="108">
        <f>VLOOKUP(ROW(F214)+4,'Water runs'!$CH$3:$CU$423,MATCH($B$1,Scenarios,0)+1)</f>
        <v>0</v>
      </c>
      <c r="G214" s="65">
        <f>H214/Variables!$E$49</f>
        <v>0.1624602608955997</v>
      </c>
      <c r="H214" s="62">
        <f>IF((H213+I214)&gt;(1.1*Variables!$E$50),(1.1*Variables!$E$50),IF((H213+I214)&gt;0,H213+I214,0))</f>
        <v>1.0072536175527183</v>
      </c>
      <c r="I214" s="64">
        <f t="shared" si="6"/>
        <v>9.0536175527181073E-3</v>
      </c>
      <c r="J214" s="63">
        <f>IF(SUM(E210:E213)&lt;Variables!$B$3,-H213,0)</f>
        <v>0</v>
      </c>
      <c r="K214" s="64">
        <f>IF(AND(H213&lt;Variables!$B$6*Variables!$E$50,OR(SUM(D211:D214)&gt;Variables!$B$5,SUM(E211:E214)&gt;Variables!$B$4)),Variables!$B$6*Variables!$E$50+Variables!$B$7*$G$1*Variables!$E$50*SUM(D211:D214),0)</f>
        <v>0</v>
      </c>
      <c r="L214" s="64">
        <f>IF(B214="Winter",Variables!$B$8*H213,0)</f>
        <v>0</v>
      </c>
      <c r="M214" s="64">
        <f>IF(AND(B214="Spring",AND(NOT(H213=0),H213&lt;(Variables!$B$9*Variables!$E$50))),(Variables!$B$10*Variables!$E$50+Variables!$B$11*Variables!$E$50*SUM(E211:E214)+$G$1*SUM(D213:D214)*Variables!$E$50*Variables!$B$12),0)</f>
        <v>-0.39752231345759259</v>
      </c>
      <c r="N214" s="64">
        <f>IF(AND(B214="Spring",AND(SUM(D211:D214)&gt;Variables!$B$13,SUM(D207:D210)&gt;Variables!$B$13)),-Variables!$B$14*Variables!$E$50,0)</f>
        <v>0</v>
      </c>
      <c r="O214" s="64">
        <f>IF(AND(B214="Summer",SUM(C210:D214)&gt;Variables!$B$15),(Variables!$B$16*Variables!$E$50*SUM(C210:C214)+$G$1*Variables!$B$16*Variables!$E$50*SUM(D210:D214)+$G$1*Variables!$E$50*Variables!$B$17*F214),0)</f>
        <v>0</v>
      </c>
      <c r="P214" s="64">
        <f>IF(AND(AND(B214="Autumn",SUM(D213:E214)&gt;0),NOT(H213=0)),Variables!$B$18*Variables!$E$50+Variables!$B$19*Variables!$E$50*SUM(E213:E214)+$G$1*Variables!$B$19*Variables!$E$50*SUM(D213:D214),0)</f>
        <v>0</v>
      </c>
      <c r="Q214" s="64">
        <f>IF(AND(B214="Autumn",AND((E214+E213)&lt;Variables!$B$20,(D213+D214)=0)),-Variables!$B$21*Variables!$E$50,0)</f>
        <v>0</v>
      </c>
      <c r="R214" s="64">
        <f>IF(B214="Autumn",(SUM(F213:F214)*$G$1*Variables!$B$22*Variables!$E$50),0)</f>
        <v>0</v>
      </c>
      <c r="S214" s="64">
        <f>IF(B214="Spring",($G$1*Variables!$E$50*SUM('Guts (option 2)'!F213:F214)*Variables!$B$23),0)</f>
        <v>9.0536175527180934E-3</v>
      </c>
      <c r="T214" s="63">
        <f>IF((H213+SUM(J214:Q214))&lt;(Variables!$B$26*Variables!$E$50),$F$1*((Variables!$B$26*Variables!$E$50)-H213-SUM(J214:Q214)),0)</f>
        <v>0.39752231345759259</v>
      </c>
      <c r="U214" s="64">
        <f>IF(AND(AND(B214="Autumn",SUM(D211:E214)&gt;Variables!$B$27),SUM(J214:Q214)&lt;Variables!$B$28*H213),$F$1*(Variables!$B$28*H213-SUM(J214:Q214)),0)</f>
        <v>0</v>
      </c>
      <c r="V214" s="96">
        <f>IF(AND((J214+K214)=0,(Q214+T214)=0),$H$1*H214*Variables!$I$23*0.25,0)</f>
        <v>0</v>
      </c>
      <c r="W214" s="97">
        <f>IF(AND((K214+J214)=0,(T214+Q214)=0),$I$1*H214*Variables!$Q$23*0.25,0)</f>
        <v>0</v>
      </c>
      <c r="X214" s="95">
        <f>IF(AND(NOT(K214=0),(H214-H213)&gt;0),(H214-H213)*(Variables!$M$5*$H$1+Variables!$U$5*$I$1),0)+IF(AND(NOT((J214+N214+Q214)=0),(H213-H214)&gt;0),(H213-H214)*(Variables!$M$4*$H$1+Variables!$U$4*$I$1),0)</f>
        <v>0</v>
      </c>
      <c r="Y214" s="95">
        <f>IF(SUM(T214,U213:U214)&gt;0,H214*Variables!$Y$11*0.25*(1-$J$1),0)</f>
        <v>-7.0507753228690291</v>
      </c>
      <c r="Z214" s="95">
        <f>IF(T214=0,H214*$J$1*Variables!$Y$5*0.25,0)</f>
        <v>0</v>
      </c>
      <c r="AA214" s="95">
        <f t="shared" si="7"/>
        <v>-7.0507753228690291</v>
      </c>
      <c r="AB214" s="91">
        <f>AA214/Variables!$E$49</f>
        <v>-1.1372218262691982</v>
      </c>
    </row>
    <row r="215" spans="1:28" x14ac:dyDescent="0.25">
      <c r="A215" s="61">
        <f>'Water runs'!C222</f>
        <v>21609</v>
      </c>
      <c r="B215" s="61" t="str">
        <f>'Water runs'!B222</f>
        <v>Summer</v>
      </c>
      <c r="C215" s="54">
        <f>'Water runs'!D222/100</f>
        <v>2.4277380952380998</v>
      </c>
      <c r="D215" s="108">
        <f>VLOOKUP(ROW(D215)+4,'Water runs'!$BS$3:$CF$423,MATCH($B$1,Scenarios,0)+1)</f>
        <v>8.9705381673647458E-2</v>
      </c>
      <c r="E215" s="54">
        <f>IF(B215=Variables!$D$8,C215-Variables!$E$8,IF(B215=Variables!$D$9,C215-Variables!$E$9,IF(B215=Variables!$D$10,C215-Variables!$E$10,IF(B215=Variables!$D$11,C215-Variables!$E$11,"ELSE"))))</f>
        <v>1.1693679591836781</v>
      </c>
      <c r="F215" s="108">
        <f>VLOOKUP(ROW(F215)+4,'Water runs'!$CH$3:$CU$423,MATCH($B$1,Scenarios,0)+1)</f>
        <v>0</v>
      </c>
      <c r="G215" s="65">
        <f>H215/Variables!$E$49</f>
        <v>0.34792425526610149</v>
      </c>
      <c r="H215" s="62">
        <f>IF((H214+I215)&gt;(1.1*Variables!$E$50),(1.1*Variables!$E$50),IF((H214+I215)&gt;0,H214+I215,0))</f>
        <v>2.1571303826498291</v>
      </c>
      <c r="I215" s="64">
        <f t="shared" si="6"/>
        <v>1.1498767650971109</v>
      </c>
      <c r="J215" s="63">
        <f>IF(SUM(E211:E214)&lt;Variables!$B$3,-H214,0)</f>
        <v>0</v>
      </c>
      <c r="K215" s="64">
        <f>IF(AND(H214&lt;Variables!$B$6*Variables!$E$50,OR(SUM(D212:D215)&gt;Variables!$B$5,SUM(E212:E215)&gt;Variables!$B$4)),Variables!$B$6*Variables!$E$50+Variables!$B$7*$G$1*Variables!$E$50*SUM(D212:D215),0)</f>
        <v>1.1498767650971109</v>
      </c>
      <c r="L215" s="64">
        <f>IF(B215="Winter",Variables!$B$8*H214,0)</f>
        <v>0</v>
      </c>
      <c r="M215" s="64">
        <f>IF(AND(B215="Spring",AND(NOT(H214=0),H214&lt;(Variables!$B$9*Variables!$E$50))),(Variables!$B$10*Variables!$E$50+Variables!$B$11*Variables!$E$50*SUM(E212:E215)+$G$1*SUM(D214:D215)*Variables!$E$50*Variables!$B$12),0)</f>
        <v>0</v>
      </c>
      <c r="N215" s="64">
        <f>IF(AND(B215="Spring",AND(SUM(D212:D215)&gt;Variables!$B$13,SUM(D208:D211)&gt;Variables!$B$13)),-Variables!$B$14*Variables!$E$50,0)</f>
        <v>0</v>
      </c>
      <c r="O215" s="64">
        <f>IF(AND(B215="Summer",SUM(C211:D215)&gt;Variables!$B$15),(Variables!$B$16*Variables!$E$50*SUM(C211:C215)+$G$1*Variables!$B$16*Variables!$E$50*SUM(D211:D215)+$G$1*Variables!$E$50*Variables!$B$17*F215),0)</f>
        <v>0</v>
      </c>
      <c r="P215" s="64">
        <f>IF(AND(AND(B215="Autumn",SUM(D214:E215)&gt;0),NOT(H214=0)),Variables!$B$18*Variables!$E$50+Variables!$B$19*Variables!$E$50*SUM(E214:E215)+$G$1*Variables!$B$19*Variables!$E$50*SUM(D214:D215),0)</f>
        <v>0</v>
      </c>
      <c r="Q215" s="64">
        <f>IF(AND(B215="Autumn",AND((E215+E214)&lt;Variables!$B$20,(D214+D215)=0)),-Variables!$B$21*Variables!$E$50,0)</f>
        <v>0</v>
      </c>
      <c r="R215" s="64">
        <f>IF(B215="Autumn",(SUM(F214:F215)*$G$1*Variables!$B$22*Variables!$E$50),0)</f>
        <v>0</v>
      </c>
      <c r="S215" s="64">
        <f>IF(B215="Spring",($G$1*Variables!$E$50*SUM('Guts (option 2)'!F214:F215)*Variables!$B$23),0)</f>
        <v>0</v>
      </c>
      <c r="T215" s="63">
        <f>IF((H214+SUM(J215:Q215))&lt;(Variables!$B$26*Variables!$E$50),$F$1*((Variables!$B$26*Variables!$E$50)-H214-SUM(J215:Q215)),0)</f>
        <v>0</v>
      </c>
      <c r="U215" s="64">
        <f>IF(AND(AND(B215="Autumn",SUM(D212:E215)&gt;Variables!$B$27),SUM(J215:Q215)&lt;Variables!$B$28*H214),$F$1*(Variables!$B$28*H214-SUM(J215:Q215)),0)</f>
        <v>0</v>
      </c>
      <c r="V215" s="96">
        <f>IF(AND((J215+K215)=0,(Q215+T215)=0),$H$1*H215*Variables!$I$23*0.25,0)</f>
        <v>0</v>
      </c>
      <c r="W215" s="97">
        <f>IF(AND((K215+J215)=0,(T215+Q215)=0),$I$1*H215*Variables!$Q$23*0.25,0)</f>
        <v>0</v>
      </c>
      <c r="X215" s="95">
        <f>IF(AND(NOT(K215=0),(H215-H214)&gt;0),(H215-H214)*(Variables!$M$5*$H$1+Variables!$U$5*$I$1),0)+IF(AND(NOT((J215+N215+Q215)=0),(H214-H215)&gt;0),(H214-H215)*(Variables!$M$4*$H$1+Variables!$U$4*$I$1),0)</f>
        <v>-95.823063758092573</v>
      </c>
      <c r="Y215" s="95">
        <f>IF(SUM(T215,U214:U215)&gt;0,H215*Variables!$Y$11*0.25*(1-$J$1),0)</f>
        <v>0</v>
      </c>
      <c r="Z215" s="95">
        <f>IF(T215=0,H215*$J$1*Variables!$Y$5*0.25,0)</f>
        <v>4.6737824957412961</v>
      </c>
      <c r="AA215" s="95">
        <f t="shared" si="7"/>
        <v>-91.14928126235128</v>
      </c>
      <c r="AB215" s="91">
        <f>AA215/Variables!$E$49</f>
        <v>-14.701496977798593</v>
      </c>
    </row>
    <row r="216" spans="1:28" x14ac:dyDescent="0.25">
      <c r="A216" s="61">
        <f>'Water runs'!C223</f>
        <v>21701</v>
      </c>
      <c r="B216" s="61" t="str">
        <f>'Water runs'!B223</f>
        <v>Autumn</v>
      </c>
      <c r="C216" s="54">
        <f>'Water runs'!D223/100</f>
        <v>2.0217380952381001</v>
      </c>
      <c r="D216" s="108">
        <f>VLOOKUP(ROW(D216)+4,'Water runs'!$BS$3:$CF$423,MATCH($B$1,Scenarios,0)+1)</f>
        <v>0.51091299218521125</v>
      </c>
      <c r="E216" s="54">
        <f>IF(B216=Variables!$D$8,C216-Variables!$E$8,IF(B216=Variables!$D$9,C216-Variables!$E$9,IF(B216=Variables!$D$10,C216-Variables!$E$10,IF(B216=Variables!$D$11,C216-Variables!$E$11,"ELSE"))))</f>
        <v>1.0270947959183723</v>
      </c>
      <c r="F216" s="108">
        <f>VLOOKUP(ROW(F216)+4,'Water runs'!$CH$3:$CU$423,MATCH($B$1,Scenarios,0)+1)</f>
        <v>0.59285980094854274</v>
      </c>
      <c r="G216" s="65">
        <f>H216/Variables!$E$49</f>
        <v>1.3519584184767004</v>
      </c>
      <c r="H216" s="62">
        <f>IF((H215+I216)&gt;(1.1*Variables!$E$50),(1.1*Variables!$E$50),IF((H215+I216)&gt;0,H215+I216,0))</f>
        <v>8.3821421945555432</v>
      </c>
      <c r="I216" s="64">
        <f t="shared" si="6"/>
        <v>6.2250118119057136</v>
      </c>
      <c r="J216" s="63">
        <f>IF(SUM(E212:E215)&lt;Variables!$B$3,-H215,0)</f>
        <v>0</v>
      </c>
      <c r="K216" s="64">
        <f>IF(AND(H215&lt;Variables!$B$6*Variables!$E$50,OR(SUM(D213:D216)&gt;Variables!$B$5,SUM(E213:E216)&gt;Variables!$B$4)),Variables!$B$6*Variables!$E$50+Variables!$B$7*$G$1*Variables!$E$50*SUM(D213:D216),0)</f>
        <v>0</v>
      </c>
      <c r="L216" s="64">
        <f>IF(B216="Winter",Variables!$B$8*H215,0)</f>
        <v>0</v>
      </c>
      <c r="M216" s="64">
        <f>IF(AND(B216="Spring",AND(NOT(H215=0),H215&lt;(Variables!$B$9*Variables!$E$50))),(Variables!$B$10*Variables!$E$50+Variables!$B$11*Variables!$E$50*SUM(E213:E216)+$G$1*SUM(D215:D216)*Variables!$E$50*Variables!$B$12),0)</f>
        <v>0</v>
      </c>
      <c r="N216" s="64">
        <f>IF(AND(B216="Spring",AND(SUM(D213:D216)&gt;Variables!$B$13,SUM(D209:D212)&gt;Variables!$B$13)),-Variables!$B$14*Variables!$E$50,0)</f>
        <v>0</v>
      </c>
      <c r="O216" s="64">
        <f>IF(AND(B216="Summer",SUM(C212:D216)&gt;Variables!$B$15),(Variables!$B$16*Variables!$E$50*SUM(C212:C216)+$G$1*Variables!$B$16*Variables!$E$50*SUM(D212:D216)+$G$1*Variables!$E$50*Variables!$B$17*F216),0)</f>
        <v>0</v>
      </c>
      <c r="P216" s="64">
        <f>IF(AND(AND(B216="Autumn",SUM(D215:E216)&gt;0),NOT(H215=0)),Variables!$B$18*Variables!$E$50+Variables!$B$19*Variables!$E$50*SUM(E215:E216)+$G$1*Variables!$B$19*Variables!$E$50*SUM(D215:D216),0)</f>
        <v>6.1414830225784236</v>
      </c>
      <c r="Q216" s="64">
        <f>IF(AND(B216="Autumn",AND((E216+E215)&lt;Variables!$B$20,(D215+D216)=0)),-Variables!$B$21*Variables!$E$50,0)</f>
        <v>0</v>
      </c>
      <c r="R216" s="64">
        <f>IF(B216="Autumn",(SUM(F215:F216)*$G$1*Variables!$B$22*Variables!$E$50),0)</f>
        <v>8.3528789327289688E-2</v>
      </c>
      <c r="S216" s="64">
        <f>IF(B216="Spring",($G$1*Variables!$E$50*SUM('Guts (option 2)'!F215:F216)*Variables!$B$23),0)</f>
        <v>0</v>
      </c>
      <c r="T216" s="63">
        <f>IF((H215+SUM(J216:Q216))&lt;(Variables!$B$26*Variables!$E$50),$F$1*((Variables!$B$26*Variables!$E$50)-H215-SUM(J216:Q216)),0)</f>
        <v>0</v>
      </c>
      <c r="U216" s="64">
        <f>IF(AND(AND(B216="Autumn",SUM(D213:E216)&gt;Variables!$B$27),SUM(J216:Q216)&lt;Variables!$B$28*H215),$F$1*(Variables!$B$28*H215-SUM(J216:Q216)),0)</f>
        <v>0</v>
      </c>
      <c r="V216" s="96">
        <f>IF(AND((J216+K216)=0,(Q216+T216)=0),$H$1*H216*Variables!$I$23*0.25,0)</f>
        <v>53.841712470138162</v>
      </c>
      <c r="W216" s="97">
        <f>IF(AND((K216+J216)=0,(T216+Q216)=0),$I$1*H216*Variables!$Q$23*0.25,0)</f>
        <v>56.358031556943729</v>
      </c>
      <c r="X216" s="95">
        <f>IF(AND(NOT(K216=0),(H216-H215)&gt;0),(H216-H215)*(Variables!$M$5*$H$1+Variables!$U$5*$I$1),0)+IF(AND(NOT((J216+N216+Q216)=0),(H215-H216)&gt;0),(H215-H216)*(Variables!$M$4*$H$1+Variables!$U$4*$I$1),0)</f>
        <v>0</v>
      </c>
      <c r="Y216" s="95">
        <f>IF(SUM(T216,U215:U216)&gt;0,H216*Variables!$Y$11*0.25*(1-$J$1),0)</f>
        <v>0</v>
      </c>
      <c r="Z216" s="95">
        <f>IF(T216=0,H216*$J$1*Variables!$Y$5*0.25,0)</f>
        <v>18.161308088203675</v>
      </c>
      <c r="AA216" s="95">
        <f t="shared" si="7"/>
        <v>128.36105211528556</v>
      </c>
      <c r="AB216" s="91">
        <f>AA216/Variables!$E$49</f>
        <v>20.703395502465412</v>
      </c>
    </row>
    <row r="217" spans="1:28" x14ac:dyDescent="0.25">
      <c r="A217" s="61">
        <f>'Water runs'!C224</f>
        <v>21793</v>
      </c>
      <c r="B217" s="61" t="str">
        <f>'Water runs'!B224</f>
        <v>Winter</v>
      </c>
      <c r="C217" s="54">
        <f>'Water runs'!D224/100</f>
        <v>0.38400000000000001</v>
      </c>
      <c r="D217" s="108">
        <f>VLOOKUP(ROW(D217)+4,'Water runs'!$BS$3:$CF$423,MATCH($B$1,Scenarios,0)+1)</f>
        <v>0</v>
      </c>
      <c r="E217" s="54">
        <f>IF(B217=Variables!$D$8,C217-Variables!$E$8,IF(B217=Variables!$D$9,C217-Variables!$E$9,IF(B217=Variables!$D$10,C217-Variables!$E$10,IF(B217=Variables!$D$11,C217-Variables!$E$11,"ELSE"))))</f>
        <v>-0.18776762566137573</v>
      </c>
      <c r="F217" s="108">
        <f>VLOOKUP(ROW(F217)+4,'Water runs'!$CH$3:$CU$423,MATCH($B$1,Scenarios,0)+1)</f>
        <v>0</v>
      </c>
      <c r="G217" s="65">
        <f>H217/Variables!$E$49</f>
        <v>0.67875715075342014</v>
      </c>
      <c r="H217" s="62">
        <f>IF((H216+I217)&gt;(1.1*Variables!$E$50),(1.1*Variables!$E$50),IF((H216+I217)&gt;0,H216+I217,0))</f>
        <v>4.208294334671205</v>
      </c>
      <c r="I217" s="64">
        <f t="shared" si="6"/>
        <v>-4.1738478598843383</v>
      </c>
      <c r="J217" s="63">
        <f>IF(SUM(E213:E216)&lt;Variables!$B$3,-H216,0)</f>
        <v>0</v>
      </c>
      <c r="K217" s="64">
        <f>IF(AND(H216&lt;Variables!$B$6*Variables!$E$50,OR(SUM(D214:D217)&gt;Variables!$B$5,SUM(E214:E217)&gt;Variables!$B$4)),Variables!$B$6*Variables!$E$50+Variables!$B$7*$G$1*Variables!$E$50*SUM(D214:D217),0)</f>
        <v>0</v>
      </c>
      <c r="L217" s="64">
        <f>IF(B217="Winter",Variables!$B$8*H216,0)</f>
        <v>-4.1738478598843383</v>
      </c>
      <c r="M217" s="64">
        <f>IF(AND(B217="Spring",AND(NOT(H216=0),H216&lt;(Variables!$B$9*Variables!$E$50))),(Variables!$B$10*Variables!$E$50+Variables!$B$11*Variables!$E$50*SUM(E214:E217)+$G$1*SUM(D216:D217)*Variables!$E$50*Variables!$B$12),0)</f>
        <v>0</v>
      </c>
      <c r="N217" s="64">
        <f>IF(AND(B217="Spring",AND(SUM(D214:D217)&gt;Variables!$B$13,SUM(D210:D213)&gt;Variables!$B$13)),-Variables!$B$14*Variables!$E$50,0)</f>
        <v>0</v>
      </c>
      <c r="O217" s="64">
        <f>IF(AND(B217="Summer",SUM(C213:D217)&gt;Variables!$B$15),(Variables!$B$16*Variables!$E$50*SUM(C213:C217)+$G$1*Variables!$B$16*Variables!$E$50*SUM(D213:D217)+$G$1*Variables!$E$50*Variables!$B$17*F217),0)</f>
        <v>0</v>
      </c>
      <c r="P217" s="64">
        <f>IF(AND(AND(B217="Autumn",SUM(D216:E217)&gt;0),NOT(H216=0)),Variables!$B$18*Variables!$E$50+Variables!$B$19*Variables!$E$50*SUM(E216:E217)+$G$1*Variables!$B$19*Variables!$E$50*SUM(D216:D217),0)</f>
        <v>0</v>
      </c>
      <c r="Q217" s="64">
        <f>IF(AND(B217="Autumn",AND((E217+E216)&lt;Variables!$B$20,(D216+D217)=0)),-Variables!$B$21*Variables!$E$50,0)</f>
        <v>0</v>
      </c>
      <c r="R217" s="64">
        <f>IF(B217="Autumn",(SUM(F216:F217)*$G$1*Variables!$B$22*Variables!$E$50),0)</f>
        <v>0</v>
      </c>
      <c r="S217" s="64">
        <f>IF(B217="Spring",($G$1*Variables!$E$50*SUM('Guts (option 2)'!F216:F217)*Variables!$B$23),0)</f>
        <v>0</v>
      </c>
      <c r="T217" s="63">
        <f>IF((H216+SUM(J217:Q217))&lt;(Variables!$B$26*Variables!$E$50),$F$1*((Variables!$B$26*Variables!$E$50)-H216-SUM(J217:Q217)),0)</f>
        <v>0</v>
      </c>
      <c r="U217" s="64">
        <f>IF(AND(AND(B217="Autumn",SUM(D214:E217)&gt;Variables!$B$27),SUM(J217:Q217)&lt;Variables!$B$28*H216),$F$1*(Variables!$B$28*H216-SUM(J217:Q217)),0)</f>
        <v>0</v>
      </c>
      <c r="V217" s="96">
        <f>IF(AND((J217+K217)=0,(Q217+T217)=0),$H$1*H217*Variables!$I$23*0.25,0)</f>
        <v>27.031487691088106</v>
      </c>
      <c r="W217" s="97">
        <f>IF(AND((K217+J217)=0,(T217+Q217)=0),$I$1*H217*Variables!$Q$23*0.25,0)</f>
        <v>28.2948176503564</v>
      </c>
      <c r="X217" s="95">
        <f>IF(AND(NOT(K217=0),(H217-H216)&gt;0),(H217-H216)*(Variables!$M$5*$H$1+Variables!$U$5*$I$1),0)+IF(AND(NOT((J217+N217+Q217)=0),(H216-H217)&gt;0),(H216-H217)*(Variables!$M$4*$H$1+Variables!$U$4*$I$1),0)</f>
        <v>0</v>
      </c>
      <c r="Y217" s="95">
        <f>IF(SUM(T217,U216:U217)&gt;0,H217*Variables!$Y$11*0.25*(1-$J$1),0)</f>
        <v>0</v>
      </c>
      <c r="Z217" s="95">
        <f>IF(T217=0,H217*$J$1*Variables!$Y$5*0.25,0)</f>
        <v>9.1179710584542768</v>
      </c>
      <c r="AA217" s="95">
        <f t="shared" si="7"/>
        <v>64.444276399898783</v>
      </c>
      <c r="AB217" s="91">
        <f>AA217/Variables!$E$49</f>
        <v>10.394238129015932</v>
      </c>
    </row>
    <row r="218" spans="1:28" x14ac:dyDescent="0.25">
      <c r="A218" s="61">
        <f>'Water runs'!C225</f>
        <v>21884</v>
      </c>
      <c r="B218" s="61" t="str">
        <f>'Water runs'!B225</f>
        <v>Spring</v>
      </c>
      <c r="C218" s="54">
        <f>'Water runs'!D225/100</f>
        <v>0.46314285714285702</v>
      </c>
      <c r="D218" s="108">
        <f>VLOOKUP(ROW(D218)+4,'Water runs'!$BS$3:$CF$423,MATCH($B$1,Scenarios,0)+1)</f>
        <v>7.1235718414239223E-3</v>
      </c>
      <c r="E218" s="54">
        <f>IF(B218=Variables!$D$8,C218-Variables!$E$8,IF(B218=Variables!$D$9,C218-Variables!$E$9,IF(B218=Variables!$D$10,C218-Variables!$E$10,IF(B218=Variables!$D$11,C218-Variables!$E$11,"ELSE"))))</f>
        <v>-0.30083935185185212</v>
      </c>
      <c r="F218" s="108">
        <f>VLOOKUP(ROW(F218)+4,'Water runs'!$CH$3:$CU$423,MATCH($B$1,Scenarios,0)+1)</f>
        <v>0</v>
      </c>
      <c r="G218" s="65">
        <f>H218/Variables!$E$49</f>
        <v>0.67875715075342014</v>
      </c>
      <c r="H218" s="62">
        <f>IF((H217+I218)&gt;(1.1*Variables!$E$50),(1.1*Variables!$E$50),IF((H217+I218)&gt;0,H217+I218,0))</f>
        <v>4.208294334671205</v>
      </c>
      <c r="I218" s="64">
        <f t="shared" si="6"/>
        <v>0</v>
      </c>
      <c r="J218" s="63">
        <f>IF(SUM(E214:E217)&lt;Variables!$B$3,-H217,0)</f>
        <v>0</v>
      </c>
      <c r="K218" s="64">
        <f>IF(AND(H217&lt;Variables!$B$6*Variables!$E$50,OR(SUM(D215:D218)&gt;Variables!$B$5,SUM(E215:E218)&gt;Variables!$B$4)),Variables!$B$6*Variables!$E$50+Variables!$B$7*$G$1*Variables!$E$50*SUM(D215:D218),0)</f>
        <v>0</v>
      </c>
      <c r="L218" s="64">
        <f>IF(B218="Winter",Variables!$B$8*H217,0)</f>
        <v>0</v>
      </c>
      <c r="M218" s="64">
        <f>IF(AND(B218="Spring",AND(NOT(H217=0),H217&lt;(Variables!$B$9*Variables!$E$50))),(Variables!$B$10*Variables!$E$50+Variables!$B$11*Variables!$E$50*SUM(E215:E218)+$G$1*SUM(D217:D218)*Variables!$E$50*Variables!$B$12),0)</f>
        <v>0</v>
      </c>
      <c r="N218" s="64">
        <f>IF(AND(B218="Spring",AND(SUM(D215:D218)&gt;Variables!$B$13,SUM(D211:D214)&gt;Variables!$B$13)),-Variables!$B$14*Variables!$E$50,0)</f>
        <v>0</v>
      </c>
      <c r="O218" s="64">
        <f>IF(AND(B218="Summer",SUM(C214:D218)&gt;Variables!$B$15),(Variables!$B$16*Variables!$E$50*SUM(C214:C218)+$G$1*Variables!$B$16*Variables!$E$50*SUM(D214:D218)+$G$1*Variables!$E$50*Variables!$B$17*F218),0)</f>
        <v>0</v>
      </c>
      <c r="P218" s="64">
        <f>IF(AND(AND(B218="Autumn",SUM(D217:E218)&gt;0),NOT(H217=0)),Variables!$B$18*Variables!$E$50+Variables!$B$19*Variables!$E$50*SUM(E217:E218)+$G$1*Variables!$B$19*Variables!$E$50*SUM(D217:D218),0)</f>
        <v>0</v>
      </c>
      <c r="Q218" s="64">
        <f>IF(AND(B218="Autumn",AND((E218+E217)&lt;Variables!$B$20,(D217+D218)=0)),-Variables!$B$21*Variables!$E$50,0)</f>
        <v>0</v>
      </c>
      <c r="R218" s="64">
        <f>IF(B218="Autumn",(SUM(F217:F218)*$G$1*Variables!$B$22*Variables!$E$50),0)</f>
        <v>0</v>
      </c>
      <c r="S218" s="64">
        <f>IF(B218="Spring",($G$1*Variables!$E$50*SUM('Guts (option 2)'!F217:F218)*Variables!$B$23),0)</f>
        <v>0</v>
      </c>
      <c r="T218" s="63">
        <f>IF((H217+SUM(J218:Q218))&lt;(Variables!$B$26*Variables!$E$50),$F$1*((Variables!$B$26*Variables!$E$50)-H217-SUM(J218:Q218)),0)</f>
        <v>0</v>
      </c>
      <c r="U218" s="64">
        <f>IF(AND(AND(B218="Autumn",SUM(D215:E218)&gt;Variables!$B$27),SUM(J218:Q218)&lt;Variables!$B$28*H217),$F$1*(Variables!$B$28*H217-SUM(J218:Q218)),0)</f>
        <v>0</v>
      </c>
      <c r="V218" s="96">
        <f>IF(AND((J218+K218)=0,(Q218+T218)=0),$H$1*H218*Variables!$I$23*0.25,0)</f>
        <v>27.031487691088106</v>
      </c>
      <c r="W218" s="97">
        <f>IF(AND((K218+J218)=0,(T218+Q218)=0),$I$1*H218*Variables!$Q$23*0.25,0)</f>
        <v>28.2948176503564</v>
      </c>
      <c r="X218" s="95">
        <f>IF(AND(NOT(K218=0),(H218-H217)&gt;0),(H218-H217)*(Variables!$M$5*$H$1+Variables!$U$5*$I$1),0)+IF(AND(NOT((J218+N218+Q218)=0),(H217-H218)&gt;0),(H217-H218)*(Variables!$M$4*$H$1+Variables!$U$4*$I$1),0)</f>
        <v>0</v>
      </c>
      <c r="Y218" s="95">
        <f>IF(SUM(T218,U217:U218)&gt;0,H218*Variables!$Y$11*0.25*(1-$J$1),0)</f>
        <v>0</v>
      </c>
      <c r="Z218" s="95">
        <f>IF(T218=0,H218*$J$1*Variables!$Y$5*0.25,0)</f>
        <v>9.1179710584542768</v>
      </c>
      <c r="AA218" s="95">
        <f t="shared" si="7"/>
        <v>64.444276399898783</v>
      </c>
      <c r="AB218" s="91">
        <f>AA218/Variables!$E$49</f>
        <v>10.394238129015932</v>
      </c>
    </row>
    <row r="219" spans="1:28" x14ac:dyDescent="0.25">
      <c r="A219" s="61">
        <f>'Water runs'!C226</f>
        <v>21974</v>
      </c>
      <c r="B219" s="61" t="str">
        <f>'Water runs'!B226</f>
        <v>Summer</v>
      </c>
      <c r="C219" s="54">
        <f>'Water runs'!D226/100</f>
        <v>0.41399999999999998</v>
      </c>
      <c r="D219" s="108">
        <f>VLOOKUP(ROW(D219)+4,'Water runs'!$BS$3:$CF$423,MATCH($B$1,Scenarios,0)+1)</f>
        <v>2.2715935993159089E-2</v>
      </c>
      <c r="E219" s="54">
        <f>IF(B219=Variables!$D$8,C219-Variables!$E$8,IF(B219=Variables!$D$9,C219-Variables!$E$9,IF(B219=Variables!$D$10,C219-Variables!$E$10,IF(B219=Variables!$D$11,C219-Variables!$E$11,"ELSE"))))</f>
        <v>-0.84437013605442179</v>
      </c>
      <c r="F219" s="108">
        <f>VLOOKUP(ROW(F219)+4,'Water runs'!$CH$3:$CU$423,MATCH($B$1,Scenarios,0)+1)</f>
        <v>0</v>
      </c>
      <c r="G219" s="65">
        <f>H219/Variables!$E$49</f>
        <v>1.0538085760330593</v>
      </c>
      <c r="H219" s="62">
        <f>IF((H218+I219)&gt;(1.1*Variables!$E$50),(1.1*Variables!$E$50),IF((H218+I219)&gt;0,H218+I219,0))</f>
        <v>6.5336131714049674</v>
      </c>
      <c r="I219" s="64">
        <f t="shared" si="6"/>
        <v>2.3253188367337621</v>
      </c>
      <c r="J219" s="63">
        <f>IF(SUM(E215:E218)&lt;Variables!$B$3,-H218,0)</f>
        <v>0</v>
      </c>
      <c r="K219" s="64">
        <f>IF(AND(H218&lt;Variables!$B$6*Variables!$E$50,OR(SUM(D216:D219)&gt;Variables!$B$5,SUM(E216:E219)&gt;Variables!$B$4)),Variables!$B$6*Variables!$E$50+Variables!$B$7*$G$1*Variables!$E$50*SUM(D216:D219),0)</f>
        <v>0</v>
      </c>
      <c r="L219" s="64">
        <f>IF(B219="Winter",Variables!$B$8*H218,0)</f>
        <v>0</v>
      </c>
      <c r="M219" s="64">
        <f>IF(AND(B219="Spring",AND(NOT(H218=0),H218&lt;(Variables!$B$9*Variables!$E$50))),(Variables!$B$10*Variables!$E$50+Variables!$B$11*Variables!$E$50*SUM(E216:E219)+$G$1*SUM(D218:D219)*Variables!$E$50*Variables!$B$12),0)</f>
        <v>0</v>
      </c>
      <c r="N219" s="64">
        <f>IF(AND(B219="Spring",AND(SUM(D216:D219)&gt;Variables!$B$13,SUM(D212:D215)&gt;Variables!$B$13)),-Variables!$B$14*Variables!$E$50,0)</f>
        <v>0</v>
      </c>
      <c r="O219" s="64">
        <f>IF(AND(B219="Summer",SUM(C215:D219)&gt;Variables!$B$15),(Variables!$B$16*Variables!$E$50*SUM(C215:C219)+$G$1*Variables!$B$16*Variables!$E$50*SUM(D215:D219)+$G$1*Variables!$E$50*Variables!$B$17*F219),0)</f>
        <v>2.3253188367337621</v>
      </c>
      <c r="P219" s="64">
        <f>IF(AND(AND(B219="Autumn",SUM(D218:E219)&gt;0),NOT(H218=0)),Variables!$B$18*Variables!$E$50+Variables!$B$19*Variables!$E$50*SUM(E218:E219)+$G$1*Variables!$B$19*Variables!$E$50*SUM(D218:D219),0)</f>
        <v>0</v>
      </c>
      <c r="Q219" s="64">
        <f>IF(AND(B219="Autumn",AND((E219+E218)&lt;Variables!$B$20,(D218+D219)=0)),-Variables!$B$21*Variables!$E$50,0)</f>
        <v>0</v>
      </c>
      <c r="R219" s="64">
        <f>IF(B219="Autumn",(SUM(F218:F219)*$G$1*Variables!$B$22*Variables!$E$50),0)</f>
        <v>0</v>
      </c>
      <c r="S219" s="64">
        <f>IF(B219="Spring",($G$1*Variables!$E$50*SUM('Guts (option 2)'!F218:F219)*Variables!$B$23),0)</f>
        <v>0</v>
      </c>
      <c r="T219" s="63">
        <f>IF((H218+SUM(J219:Q219))&lt;(Variables!$B$26*Variables!$E$50),$F$1*((Variables!$B$26*Variables!$E$50)-H218-SUM(J219:Q219)),0)</f>
        <v>0</v>
      </c>
      <c r="U219" s="64">
        <f>IF(AND(AND(B219="Autumn",SUM(D216:E219)&gt;Variables!$B$27),SUM(J219:Q219)&lt;Variables!$B$28*H218),$F$1*(Variables!$B$28*H218-SUM(J219:Q219)),0)</f>
        <v>0</v>
      </c>
      <c r="V219" s="96">
        <f>IF(AND((J219+K219)=0,(Q219+T219)=0),$H$1*H219*Variables!$I$23*0.25,0)</f>
        <v>41.967901951649807</v>
      </c>
      <c r="W219" s="97">
        <f>IF(AND((K219+J219)=0,(T219+Q219)=0),$I$1*H219*Variables!$Q$23*0.25,0)</f>
        <v>43.929292625705571</v>
      </c>
      <c r="X219" s="95">
        <f>IF(AND(NOT(K219=0),(H219-H218)&gt;0),(H219-H218)*(Variables!$M$5*$H$1+Variables!$U$5*$I$1),0)+IF(AND(NOT((J219+N219+Q219)=0),(H218-H219)&gt;0),(H218-H219)*(Variables!$M$4*$H$1+Variables!$U$4*$I$1),0)</f>
        <v>0</v>
      </c>
      <c r="Y219" s="95">
        <f>IF(SUM(T219,U218:U219)&gt;0,H219*Variables!$Y$11*0.25*(1-$J$1),0)</f>
        <v>0</v>
      </c>
      <c r="Z219" s="95">
        <f>IF(T219=0,H219*$J$1*Variables!$Y$5*0.25,0)</f>
        <v>14.156161871377428</v>
      </c>
      <c r="AA219" s="95">
        <f t="shared" si="7"/>
        <v>100.05335644873281</v>
      </c>
      <c r="AB219" s="91">
        <f>AA219/Variables!$E$49</f>
        <v>16.137638136892388</v>
      </c>
    </row>
    <row r="220" spans="1:28" x14ac:dyDescent="0.25">
      <c r="A220" s="61">
        <f>'Water runs'!C227</f>
        <v>22067</v>
      </c>
      <c r="B220" s="61" t="str">
        <f>'Water runs'!B227</f>
        <v>Autumn</v>
      </c>
      <c r="C220" s="54">
        <f>'Water runs'!D227/100</f>
        <v>0.58371428571428607</v>
      </c>
      <c r="D220" s="108">
        <f>VLOOKUP(ROW(D220)+4,'Water runs'!$BS$3:$CF$423,MATCH($B$1,Scenarios,0)+1)</f>
        <v>0</v>
      </c>
      <c r="E220" s="54">
        <f>IF(B220=Variables!$D$8,C220-Variables!$E$8,IF(B220=Variables!$D$9,C220-Variables!$E$9,IF(B220=Variables!$D$10,C220-Variables!$E$10,IF(B220=Variables!$D$11,C220-Variables!$E$11,"ELSE"))))</f>
        <v>-0.41092901360544176</v>
      </c>
      <c r="F220" s="108">
        <f>VLOOKUP(ROW(F220)+4,'Water runs'!$CH$3:$CU$423,MATCH($B$1,Scenarios,0)+1)</f>
        <v>0</v>
      </c>
      <c r="G220" s="65">
        <f>H220/Variables!$E$49</f>
        <v>1.0538085760330593</v>
      </c>
      <c r="H220" s="62">
        <f>IF((H219+I220)&gt;(1.1*Variables!$E$50),(1.1*Variables!$E$50),IF((H219+I220)&gt;0,H219+I220,0))</f>
        <v>6.5336131714049674</v>
      </c>
      <c r="I220" s="64">
        <f t="shared" si="6"/>
        <v>0</v>
      </c>
      <c r="J220" s="63">
        <f>IF(SUM(E216:E219)&lt;Variables!$B$3,-H219,0)</f>
        <v>0</v>
      </c>
      <c r="K220" s="64">
        <f>IF(AND(H219&lt;Variables!$B$6*Variables!$E$50,OR(SUM(D217:D220)&gt;Variables!$B$5,SUM(E217:E220)&gt;Variables!$B$4)),Variables!$B$6*Variables!$E$50+Variables!$B$7*$G$1*Variables!$E$50*SUM(D217:D220),0)</f>
        <v>0</v>
      </c>
      <c r="L220" s="64">
        <f>IF(B220="Winter",Variables!$B$8*H219,0)</f>
        <v>0</v>
      </c>
      <c r="M220" s="64">
        <f>IF(AND(B220="Spring",AND(NOT(H219=0),H219&lt;(Variables!$B$9*Variables!$E$50))),(Variables!$B$10*Variables!$E$50+Variables!$B$11*Variables!$E$50*SUM(E217:E220)+$G$1*SUM(D219:D220)*Variables!$E$50*Variables!$B$12),0)</f>
        <v>0</v>
      </c>
      <c r="N220" s="64">
        <f>IF(AND(B220="Spring",AND(SUM(D217:D220)&gt;Variables!$B$13,SUM(D213:D216)&gt;Variables!$B$13)),-Variables!$B$14*Variables!$E$50,0)</f>
        <v>0</v>
      </c>
      <c r="O220" s="64">
        <f>IF(AND(B220="Summer",SUM(C216:D220)&gt;Variables!$B$15),(Variables!$B$16*Variables!$E$50*SUM(C216:C220)+$G$1*Variables!$B$16*Variables!$E$50*SUM(D216:D220)+$G$1*Variables!$E$50*Variables!$B$17*F220),0)</f>
        <v>0</v>
      </c>
      <c r="P220" s="64">
        <f>IF(AND(AND(B220="Autumn",SUM(D219:E220)&gt;0),NOT(H219=0)),Variables!$B$18*Variables!$E$50+Variables!$B$19*Variables!$E$50*SUM(E219:E220)+$G$1*Variables!$B$19*Variables!$E$50*SUM(D219:D220),0)</f>
        <v>0</v>
      </c>
      <c r="Q220" s="64">
        <f>IF(AND(B220="Autumn",AND((E220+E219)&lt;Variables!$B$20,(D219+D220)=0)),-Variables!$B$21*Variables!$E$50,0)</f>
        <v>0</v>
      </c>
      <c r="R220" s="64">
        <f>IF(B220="Autumn",(SUM(F219:F220)*$G$1*Variables!$B$22*Variables!$E$50),0)</f>
        <v>0</v>
      </c>
      <c r="S220" s="64">
        <f>IF(B220="Spring",($G$1*Variables!$E$50*SUM('Guts (option 2)'!F219:F220)*Variables!$B$23),0)</f>
        <v>0</v>
      </c>
      <c r="T220" s="63">
        <f>IF((H219+SUM(J220:Q220))&lt;(Variables!$B$26*Variables!$E$50),$F$1*((Variables!$B$26*Variables!$E$50)-H219-SUM(J220:Q220)),0)</f>
        <v>0</v>
      </c>
      <c r="U220" s="64">
        <f>IF(AND(AND(B220="Autumn",SUM(D217:E220)&gt;Variables!$B$27),SUM(J220:Q220)&lt;Variables!$B$28*H219),$F$1*(Variables!$B$28*H219-SUM(J220:Q220)),0)</f>
        <v>0</v>
      </c>
      <c r="V220" s="96">
        <f>IF(AND((J220+K220)=0,(Q220+T220)=0),$H$1*H220*Variables!$I$23*0.25,0)</f>
        <v>41.967901951649807</v>
      </c>
      <c r="W220" s="97">
        <f>IF(AND((K220+J220)=0,(T220+Q220)=0),$I$1*H220*Variables!$Q$23*0.25,0)</f>
        <v>43.929292625705571</v>
      </c>
      <c r="X220" s="95">
        <f>IF(AND(NOT(K220=0),(H220-H219)&gt;0),(H220-H219)*(Variables!$M$5*$H$1+Variables!$U$5*$I$1),0)+IF(AND(NOT((J220+N220+Q220)=0),(H219-H220)&gt;0),(H219-H220)*(Variables!$M$4*$H$1+Variables!$U$4*$I$1),0)</f>
        <v>0</v>
      </c>
      <c r="Y220" s="95">
        <f>IF(SUM(T220,U219:U220)&gt;0,H220*Variables!$Y$11*0.25*(1-$J$1),0)</f>
        <v>0</v>
      </c>
      <c r="Z220" s="95">
        <f>IF(T220=0,H220*$J$1*Variables!$Y$5*0.25,0)</f>
        <v>14.156161871377428</v>
      </c>
      <c r="AA220" s="95">
        <f t="shared" si="7"/>
        <v>100.05335644873281</v>
      </c>
      <c r="AB220" s="91">
        <f>AA220/Variables!$E$49</f>
        <v>16.137638136892388</v>
      </c>
    </row>
    <row r="221" spans="1:28" x14ac:dyDescent="0.25">
      <c r="A221" s="61">
        <f>'Water runs'!C228</f>
        <v>22159</v>
      </c>
      <c r="B221" s="61" t="str">
        <f>'Water runs'!B228</f>
        <v>Winter</v>
      </c>
      <c r="C221" s="54">
        <f>'Water runs'!D228/100</f>
        <v>0.39642857142857102</v>
      </c>
      <c r="D221" s="108">
        <f>VLOOKUP(ROW(D221)+4,'Water runs'!$BS$3:$CF$423,MATCH($B$1,Scenarios,0)+1)</f>
        <v>0</v>
      </c>
      <c r="E221" s="54">
        <f>IF(B221=Variables!$D$8,C221-Variables!$E$8,IF(B221=Variables!$D$9,C221-Variables!$E$9,IF(B221=Variables!$D$10,C221-Variables!$E$10,IF(B221=Variables!$D$11,C221-Variables!$E$11,"ELSE"))))</f>
        <v>-0.17533905423280471</v>
      </c>
      <c r="F221" s="108">
        <f>VLOOKUP(ROW(F221)+4,'Water runs'!$CH$3:$CU$423,MATCH($B$1,Scenarios,0)+1)</f>
        <v>0</v>
      </c>
      <c r="G221" s="65">
        <f>H221/Variables!$E$49</f>
        <v>0.16099999999999995</v>
      </c>
      <c r="H221" s="62">
        <f>IF((H220+I221)&gt;(1.1*Variables!$E$50),(1.1*Variables!$E$50),IF((H220+I221)&gt;0,H220+I221,0))</f>
        <v>0.99819999999999975</v>
      </c>
      <c r="I221" s="64">
        <f t="shared" si="6"/>
        <v>-5.5354131714049677</v>
      </c>
      <c r="J221" s="63">
        <f>IF(SUM(E217:E220)&lt;Variables!$B$3,-H220,0)</f>
        <v>-6.5336131714049674</v>
      </c>
      <c r="K221" s="64">
        <f>IF(AND(H220&lt;Variables!$B$6*Variables!$E$50,OR(SUM(D218:D221)&gt;Variables!$B$5,SUM(E218:E221)&gt;Variables!$B$4)),Variables!$B$6*Variables!$E$50+Variables!$B$7*$G$1*Variables!$E$50*SUM(D218:D221),0)</f>
        <v>0</v>
      </c>
      <c r="L221" s="64">
        <f>IF(B221="Winter",Variables!$B$8*H220,0)</f>
        <v>-3.2533816200939234</v>
      </c>
      <c r="M221" s="64">
        <f>IF(AND(B221="Spring",AND(NOT(H220=0),H220&lt;(Variables!$B$9*Variables!$E$50))),(Variables!$B$10*Variables!$E$50+Variables!$B$11*Variables!$E$50*SUM(E218:E221)+$G$1*SUM(D220:D221)*Variables!$E$50*Variables!$B$12),0)</f>
        <v>0</v>
      </c>
      <c r="N221" s="64">
        <f>IF(AND(B221="Spring",AND(SUM(D218:D221)&gt;Variables!$B$13,SUM(D214:D217)&gt;Variables!$B$13)),-Variables!$B$14*Variables!$E$50,0)</f>
        <v>0</v>
      </c>
      <c r="O221" s="64">
        <f>IF(AND(B221="Summer",SUM(C217:D221)&gt;Variables!$B$15),(Variables!$B$16*Variables!$E$50*SUM(C217:C221)+$G$1*Variables!$B$16*Variables!$E$50*SUM(D217:D221)+$G$1*Variables!$E$50*Variables!$B$17*F221),0)</f>
        <v>0</v>
      </c>
      <c r="P221" s="64">
        <f>IF(AND(AND(B221="Autumn",SUM(D220:E221)&gt;0),NOT(H220=0)),Variables!$B$18*Variables!$E$50+Variables!$B$19*Variables!$E$50*SUM(E220:E221)+$G$1*Variables!$B$19*Variables!$E$50*SUM(D220:D221),0)</f>
        <v>0</v>
      </c>
      <c r="Q221" s="64">
        <f>IF(AND(B221="Autumn",AND((E221+E220)&lt;Variables!$B$20,(D220+D221)=0)),-Variables!$B$21*Variables!$E$50,0)</f>
        <v>0</v>
      </c>
      <c r="R221" s="64">
        <f>IF(B221="Autumn",(SUM(F220:F221)*$G$1*Variables!$B$22*Variables!$E$50),0)</f>
        <v>0</v>
      </c>
      <c r="S221" s="64">
        <f>IF(B221="Spring",($G$1*Variables!$E$50*SUM('Guts (option 2)'!F220:F221)*Variables!$B$23),0)</f>
        <v>0</v>
      </c>
      <c r="T221" s="63">
        <f>IF((H220+SUM(J221:Q221))&lt;(Variables!$B$26*Variables!$E$50),$F$1*((Variables!$B$26*Variables!$E$50)-H220-SUM(J221:Q221)),0)</f>
        <v>4.2515816200939236</v>
      </c>
      <c r="U221" s="64">
        <f>IF(AND(AND(B221="Autumn",SUM(D218:E221)&gt;Variables!$B$27),SUM(J221:Q221)&lt;Variables!$B$28*H220),$F$1*(Variables!$B$28*H220-SUM(J221:Q221)),0)</f>
        <v>0</v>
      </c>
      <c r="V221" s="96">
        <f>IF(AND((J221+K221)=0,(Q221+T221)=0),$H$1*H221*Variables!$I$23*0.25,0)</f>
        <v>0</v>
      </c>
      <c r="W221" s="97">
        <f>IF(AND((K221+J221)=0,(T221+Q221)=0),$I$1*H221*Variables!$Q$23*0.25,0)</f>
        <v>0</v>
      </c>
      <c r="X221" s="95">
        <f>IF(AND(NOT(K221=0),(H221-H220)&gt;0),(H221-H220)*(Variables!$M$5*$H$1+Variables!$U$5*$I$1),0)+IF(AND(NOT((J221+N221+Q221)=0),(H220-H221)&gt;0),(H220-H221)*(Variables!$M$4*$H$1+Variables!$U$4*$I$1),0)</f>
        <v>230.64221547520697</v>
      </c>
      <c r="Y221" s="95">
        <f>IF(SUM(T221,U220:U221)&gt;0,H221*Variables!$Y$11*0.25*(1-$J$1),0)</f>
        <v>-6.9873999999999992</v>
      </c>
      <c r="Z221" s="95">
        <f>IF(T221=0,H221*$J$1*Variables!$Y$5*0.25,0)</f>
        <v>0</v>
      </c>
      <c r="AA221" s="95">
        <f t="shared" si="7"/>
        <v>223.65481547520696</v>
      </c>
      <c r="AB221" s="91">
        <f>AA221/Variables!$E$49</f>
        <v>36.073357334710799</v>
      </c>
    </row>
    <row r="222" spans="1:28" x14ac:dyDescent="0.25">
      <c r="A222" s="61">
        <f>'Water runs'!C229</f>
        <v>22250</v>
      </c>
      <c r="B222" s="61" t="str">
        <f>'Water runs'!B229</f>
        <v>Spring</v>
      </c>
      <c r="C222" s="54">
        <f>'Water runs'!D229/100</f>
        <v>0.61185714285714299</v>
      </c>
      <c r="D222" s="108">
        <f>VLOOKUP(ROW(D222)+4,'Water runs'!$BS$3:$CF$423,MATCH($B$1,Scenarios,0)+1)</f>
        <v>0</v>
      </c>
      <c r="E222" s="54">
        <f>IF(B222=Variables!$D$8,C222-Variables!$E$8,IF(B222=Variables!$D$9,C222-Variables!$E$9,IF(B222=Variables!$D$10,C222-Variables!$E$10,IF(B222=Variables!$D$11,C222-Variables!$E$11,"ELSE"))))</f>
        <v>-0.15212506613756616</v>
      </c>
      <c r="F222" s="108">
        <f>VLOOKUP(ROW(F222)+4,'Water runs'!$CH$3:$CU$423,MATCH($B$1,Scenarios,0)+1)</f>
        <v>0</v>
      </c>
      <c r="G222" s="65">
        <f>H222/Variables!$E$49</f>
        <v>0.16100000000000003</v>
      </c>
      <c r="H222" s="62">
        <f>IF((H221+I222)&gt;(1.1*Variables!$E$50),(1.1*Variables!$E$50),IF((H221+I222)&gt;0,H221+I222,0))</f>
        <v>0.9982000000000002</v>
      </c>
      <c r="I222" s="64">
        <f t="shared" si="6"/>
        <v>4.4408920985006262E-16</v>
      </c>
      <c r="J222" s="63">
        <f>IF(SUM(E218:E221)&lt;Variables!$B$3,-H221,0)</f>
        <v>-0.99819999999999975</v>
      </c>
      <c r="K222" s="64">
        <f>IF(AND(H221&lt;Variables!$B$6*Variables!$E$50,OR(SUM(D219:D222)&gt;Variables!$B$5,SUM(E219:E222)&gt;Variables!$B$4)),Variables!$B$6*Variables!$E$50+Variables!$B$7*$G$1*Variables!$E$50*SUM(D219:D222),0)</f>
        <v>0</v>
      </c>
      <c r="L222" s="64">
        <f>IF(B222="Winter",Variables!$B$8*H221,0)</f>
        <v>0</v>
      </c>
      <c r="M222" s="64">
        <f>IF(AND(B222="Spring",AND(NOT(H221=0),H221&lt;(Variables!$B$9*Variables!$E$50))),(Variables!$B$10*Variables!$E$50+Variables!$B$11*Variables!$E$50*SUM(E219:E222)+$G$1*SUM(D221:D222)*Variables!$E$50*Variables!$B$12),0)</f>
        <v>-1.0779594212895094</v>
      </c>
      <c r="N222" s="64">
        <f>IF(AND(B222="Spring",AND(SUM(D219:D222)&gt;Variables!$B$13,SUM(D215:D218)&gt;Variables!$B$13)),-Variables!$B$14*Variables!$E$50,0)</f>
        <v>0</v>
      </c>
      <c r="O222" s="64">
        <f>IF(AND(B222="Summer",SUM(C218:D222)&gt;Variables!$B$15),(Variables!$B$16*Variables!$E$50*SUM(C218:C222)+$G$1*Variables!$B$16*Variables!$E$50*SUM(D218:D222)+$G$1*Variables!$E$50*Variables!$B$17*F222),0)</f>
        <v>0</v>
      </c>
      <c r="P222" s="64">
        <f>IF(AND(AND(B222="Autumn",SUM(D221:E222)&gt;0),NOT(H221=0)),Variables!$B$18*Variables!$E$50+Variables!$B$19*Variables!$E$50*SUM(E221:E222)+$G$1*Variables!$B$19*Variables!$E$50*SUM(D221:D222),0)</f>
        <v>0</v>
      </c>
      <c r="Q222" s="64">
        <f>IF(AND(B222="Autumn",AND((E222+E221)&lt;Variables!$B$20,(D221+D222)=0)),-Variables!$B$21*Variables!$E$50,0)</f>
        <v>0</v>
      </c>
      <c r="R222" s="64">
        <f>IF(B222="Autumn",(SUM(F221:F222)*$G$1*Variables!$B$22*Variables!$E$50),0)</f>
        <v>0</v>
      </c>
      <c r="S222" s="64">
        <f>IF(B222="Spring",($G$1*Variables!$E$50*SUM('Guts (option 2)'!F221:F222)*Variables!$B$23),0)</f>
        <v>0</v>
      </c>
      <c r="T222" s="63">
        <f>IF((H221+SUM(J222:Q222))&lt;(Variables!$B$26*Variables!$E$50),$F$1*((Variables!$B$26*Variables!$E$50)-H221-SUM(J222:Q222)),0)</f>
        <v>2.0761594212895096</v>
      </c>
      <c r="U222" s="64">
        <f>IF(AND(AND(B222="Autumn",SUM(D219:E222)&gt;Variables!$B$27),SUM(J222:Q222)&lt;Variables!$B$28*H221),$F$1*(Variables!$B$28*H221-SUM(J222:Q222)),0)</f>
        <v>0</v>
      </c>
      <c r="V222" s="96">
        <f>IF(AND((J222+K222)=0,(Q222+T222)=0),$H$1*H222*Variables!$I$23*0.25,0)</f>
        <v>0</v>
      </c>
      <c r="W222" s="97">
        <f>IF(AND((K222+J222)=0,(T222+Q222)=0),$I$1*H222*Variables!$Q$23*0.25,0)</f>
        <v>0</v>
      </c>
      <c r="X222" s="95">
        <f>IF(AND(NOT(K222=0),(H222-H221)&gt;0),(H222-H221)*(Variables!$M$5*$H$1+Variables!$U$5*$I$1),0)+IF(AND(NOT((J222+N222+Q222)=0),(H221-H222)&gt;0),(H221-H222)*(Variables!$M$4*$H$1+Variables!$U$4*$I$1),0)</f>
        <v>0</v>
      </c>
      <c r="Y222" s="95">
        <f>IF(SUM(T222,U221:U222)&gt;0,H222*Variables!$Y$11*0.25*(1-$J$1),0)</f>
        <v>-6.9874000000000018</v>
      </c>
      <c r="Z222" s="95">
        <f>IF(T222=0,H222*$J$1*Variables!$Y$5*0.25,0)</f>
        <v>0</v>
      </c>
      <c r="AA222" s="95">
        <f t="shared" si="7"/>
        <v>-6.9874000000000018</v>
      </c>
      <c r="AB222" s="91">
        <f>AA222/Variables!$E$49</f>
        <v>-1.1270000000000002</v>
      </c>
    </row>
    <row r="223" spans="1:28" x14ac:dyDescent="0.25">
      <c r="A223" s="61">
        <f>'Water runs'!C230</f>
        <v>22340</v>
      </c>
      <c r="B223" s="61" t="str">
        <f>'Water runs'!B230</f>
        <v>Summer</v>
      </c>
      <c r="C223" s="54">
        <f>'Water runs'!D230/100</f>
        <v>1.3024285714285699</v>
      </c>
      <c r="D223" s="108">
        <f>VLOOKUP(ROW(D223)+4,'Water runs'!$BS$3:$CF$423,MATCH($B$1,Scenarios,0)+1)</f>
        <v>0</v>
      </c>
      <c r="E223" s="54">
        <f>IF(B223=Variables!$D$8,C223-Variables!$E$8,IF(B223=Variables!$D$9,C223-Variables!$E$9,IF(B223=Variables!$D$10,C223-Variables!$E$10,IF(B223=Variables!$D$11,C223-Variables!$E$11,"ELSE"))))</f>
        <v>4.4058435374148219E-2</v>
      </c>
      <c r="F223" s="108">
        <f>VLOOKUP(ROW(F223)+4,'Water runs'!$CH$3:$CU$423,MATCH($B$1,Scenarios,0)+1)</f>
        <v>0</v>
      </c>
      <c r="G223" s="65">
        <f>H223/Variables!$E$49</f>
        <v>0.16100000000000003</v>
      </c>
      <c r="H223" s="62">
        <f>IF((H222+I223)&gt;(1.1*Variables!$E$50),(1.1*Variables!$E$50),IF((H222+I223)&gt;0,H222+I223,0))</f>
        <v>0.9982000000000002</v>
      </c>
      <c r="I223" s="64">
        <f t="shared" si="6"/>
        <v>0</v>
      </c>
      <c r="J223" s="63">
        <f>IF(SUM(E219:E222)&lt;Variables!$B$3,-H222,0)</f>
        <v>0</v>
      </c>
      <c r="K223" s="64">
        <f>IF(AND(H222&lt;Variables!$B$6*Variables!$E$50,OR(SUM(D220:D223)&gt;Variables!$B$5,SUM(E220:E223)&gt;Variables!$B$4)),Variables!$B$6*Variables!$E$50+Variables!$B$7*$G$1*Variables!$E$50*SUM(D220:D223),0)</f>
        <v>0</v>
      </c>
      <c r="L223" s="64">
        <f>IF(B223="Winter",Variables!$B$8*H222,0)</f>
        <v>0</v>
      </c>
      <c r="M223" s="64">
        <f>IF(AND(B223="Spring",AND(NOT(H222=0),H222&lt;(Variables!$B$9*Variables!$E$50))),(Variables!$B$10*Variables!$E$50+Variables!$B$11*Variables!$E$50*SUM(E220:E223)+$G$1*SUM(D222:D223)*Variables!$E$50*Variables!$B$12),0)</f>
        <v>0</v>
      </c>
      <c r="N223" s="64">
        <f>IF(AND(B223="Spring",AND(SUM(D220:D223)&gt;Variables!$B$13,SUM(D216:D219)&gt;Variables!$B$13)),-Variables!$B$14*Variables!$E$50,0)</f>
        <v>0</v>
      </c>
      <c r="O223" s="64">
        <f>IF(AND(B223="Summer",SUM(C219:D223)&gt;Variables!$B$15),(Variables!$B$16*Variables!$E$50*SUM(C219:C223)+$G$1*Variables!$B$16*Variables!$E$50*SUM(D219:D223)+$G$1*Variables!$E$50*Variables!$B$17*F223),0)</f>
        <v>0</v>
      </c>
      <c r="P223" s="64">
        <f>IF(AND(AND(B223="Autumn",SUM(D222:E223)&gt;0),NOT(H222=0)),Variables!$B$18*Variables!$E$50+Variables!$B$19*Variables!$E$50*SUM(E222:E223)+$G$1*Variables!$B$19*Variables!$E$50*SUM(D222:D223),0)</f>
        <v>0</v>
      </c>
      <c r="Q223" s="64">
        <f>IF(AND(B223="Autumn",AND((E223+E222)&lt;Variables!$B$20,(D222+D223)=0)),-Variables!$B$21*Variables!$E$50,0)</f>
        <v>0</v>
      </c>
      <c r="R223" s="64">
        <f>IF(B223="Autumn",(SUM(F222:F223)*$G$1*Variables!$B$22*Variables!$E$50),0)</f>
        <v>0</v>
      </c>
      <c r="S223" s="64">
        <f>IF(B223="Spring",($G$1*Variables!$E$50*SUM('Guts (option 2)'!F222:F223)*Variables!$B$23),0)</f>
        <v>0</v>
      </c>
      <c r="T223" s="63">
        <f>IF((H222+SUM(J223:Q223))&lt;(Variables!$B$26*Variables!$E$50),$F$1*((Variables!$B$26*Variables!$E$50)-H222-SUM(J223:Q223)),0)</f>
        <v>0</v>
      </c>
      <c r="U223" s="64">
        <f>IF(AND(AND(B223="Autumn",SUM(D220:E223)&gt;Variables!$B$27),SUM(J223:Q223)&lt;Variables!$B$28*H222),$F$1*(Variables!$B$28*H222-SUM(J223:Q223)),0)</f>
        <v>0</v>
      </c>
      <c r="V223" s="96">
        <f>IF(AND((J223+K223)=0,(Q223+T223)=0),$H$1*H223*Variables!$I$23*0.25,0)</f>
        <v>6.4118212433333346</v>
      </c>
      <c r="W223" s="97">
        <f>IF(AND((K223+J223)=0,(T223+Q223)=0),$I$1*H223*Variables!$Q$23*0.25,0)</f>
        <v>6.7114808833333335</v>
      </c>
      <c r="X223" s="95">
        <f>IF(AND(NOT(K223=0),(H223-H222)&gt;0),(H223-H222)*(Variables!$M$5*$H$1+Variables!$U$5*$I$1),0)+IF(AND(NOT((J223+N223+Q223)=0),(H222-H223)&gt;0),(H222-H223)*(Variables!$M$4*$H$1+Variables!$U$4*$I$1),0)</f>
        <v>0</v>
      </c>
      <c r="Y223" s="95">
        <f>IF(SUM(T223,U222:U223)&gt;0,H223*Variables!$Y$11*0.25*(1-$J$1),0)</f>
        <v>0</v>
      </c>
      <c r="Z223" s="95">
        <f>IF(T223=0,H223*$J$1*Variables!$Y$5*0.25,0)</f>
        <v>2.1627666666666672</v>
      </c>
      <c r="AA223" s="95">
        <f t="shared" si="7"/>
        <v>15.286068793333335</v>
      </c>
      <c r="AB223" s="91">
        <f>AA223/Variables!$E$49</f>
        <v>2.4654949666666668</v>
      </c>
    </row>
    <row r="224" spans="1:28" x14ac:dyDescent="0.25">
      <c r="A224" s="61">
        <f>'Water runs'!C231</f>
        <v>22432</v>
      </c>
      <c r="B224" s="61" t="str">
        <f>'Water runs'!B231</f>
        <v>Autumn</v>
      </c>
      <c r="C224" s="54">
        <f>'Water runs'!D231/100</f>
        <v>1.1864285714285701</v>
      </c>
      <c r="D224" s="108">
        <f>VLOOKUP(ROW(D224)+4,'Water runs'!$BS$3:$CF$423,MATCH($B$1,Scenarios,0)+1)</f>
        <v>4.9178536647162686E-2</v>
      </c>
      <c r="E224" s="54">
        <f>IF(B224=Variables!$D$8,C224-Variables!$E$8,IF(B224=Variables!$D$9,C224-Variables!$E$9,IF(B224=Variables!$D$10,C224-Variables!$E$10,IF(B224=Variables!$D$11,C224-Variables!$E$11,"ELSE"))))</f>
        <v>0.19178527210884222</v>
      </c>
      <c r="F224" s="108">
        <f>VLOOKUP(ROW(F224)+4,'Water runs'!$CH$3:$CU$423,MATCH($B$1,Scenarios,0)+1)</f>
        <v>0</v>
      </c>
      <c r="G224" s="65">
        <f>H224/Variables!$E$49</f>
        <v>0.50053068553031987</v>
      </c>
      <c r="H224" s="62">
        <f>IF((H223+I224)&gt;(1.1*Variables!$E$50),(1.1*Variables!$E$50),IF((H223+I224)&gt;0,H223+I224,0))</f>
        <v>3.1032902502879831</v>
      </c>
      <c r="I224" s="64">
        <f t="shared" si="6"/>
        <v>2.1050902502879829</v>
      </c>
      <c r="J224" s="63">
        <f>IF(SUM(E220:E223)&lt;Variables!$B$3,-H223,0)</f>
        <v>0</v>
      </c>
      <c r="K224" s="64">
        <f>IF(AND(H223&lt;Variables!$B$6*Variables!$E$50,OR(SUM(D221:D224)&gt;Variables!$B$5,SUM(E221:E224)&gt;Variables!$B$4)),Variables!$B$6*Variables!$E$50+Variables!$B$7*$G$1*Variables!$E$50*SUM(D221:D224),0)</f>
        <v>1.1433947579505777</v>
      </c>
      <c r="L224" s="64">
        <f>IF(B224="Winter",Variables!$B$8*H223,0)</f>
        <v>0</v>
      </c>
      <c r="M224" s="64">
        <f>IF(AND(B224="Spring",AND(NOT(H223=0),H223&lt;(Variables!$B$9*Variables!$E$50))),(Variables!$B$10*Variables!$E$50+Variables!$B$11*Variables!$E$50*SUM(E221:E224)+$G$1*SUM(D223:D224)*Variables!$E$50*Variables!$B$12),0)</f>
        <v>0</v>
      </c>
      <c r="N224" s="64">
        <f>IF(AND(B224="Spring",AND(SUM(D221:D224)&gt;Variables!$B$13,SUM(D217:D220)&gt;Variables!$B$13)),-Variables!$B$14*Variables!$E$50,0)</f>
        <v>0</v>
      </c>
      <c r="O224" s="64">
        <f>IF(AND(B224="Summer",SUM(C220:D224)&gt;Variables!$B$15),(Variables!$B$16*Variables!$E$50*SUM(C220:C224)+$G$1*Variables!$B$16*Variables!$E$50*SUM(D220:D224)+$G$1*Variables!$E$50*Variables!$B$17*F224),0)</f>
        <v>0</v>
      </c>
      <c r="P224" s="64">
        <f>IF(AND(AND(B224="Autumn",SUM(D223:E224)&gt;0),NOT(H223=0)),Variables!$B$18*Variables!$E$50+Variables!$B$19*Variables!$E$50*SUM(E223:E224)+$G$1*Variables!$B$19*Variables!$E$50*SUM(D223:D224),0)</f>
        <v>0.96169549233740514</v>
      </c>
      <c r="Q224" s="64">
        <f>IF(AND(B224="Autumn",AND((E224+E223)&lt;Variables!$B$20,(D223+D224)=0)),-Variables!$B$21*Variables!$E$50,0)</f>
        <v>0</v>
      </c>
      <c r="R224" s="64">
        <f>IF(B224="Autumn",(SUM(F223:F224)*$G$1*Variables!$B$22*Variables!$E$50),0)</f>
        <v>0</v>
      </c>
      <c r="S224" s="64">
        <f>IF(B224="Spring",($G$1*Variables!$E$50*SUM('Guts (option 2)'!F223:F224)*Variables!$B$23),0)</f>
        <v>0</v>
      </c>
      <c r="T224" s="63">
        <f>IF((H223+SUM(J224:Q224))&lt;(Variables!$B$26*Variables!$E$50),$F$1*((Variables!$B$26*Variables!$E$50)-H223-SUM(J224:Q224)),0)</f>
        <v>0</v>
      </c>
      <c r="U224" s="64">
        <f>IF(AND(AND(B224="Autumn",SUM(D221:E224)&gt;Variables!$B$27),SUM(J224:Q224)&lt;Variables!$B$28*H223),$F$1*(Variables!$B$28*H223-SUM(J224:Q224)),0)</f>
        <v>0</v>
      </c>
      <c r="V224" s="96">
        <f>IF(AND((J224+K224)=0,(Q224+T224)=0),$H$1*H224*Variables!$I$23*0.25,0)</f>
        <v>0</v>
      </c>
      <c r="W224" s="97">
        <f>IF(AND((K224+J224)=0,(T224+Q224)=0),$I$1*H224*Variables!$Q$23*0.25,0)</f>
        <v>0</v>
      </c>
      <c r="X224" s="95">
        <f>IF(AND(NOT(K224=0),(H224-H223)&gt;0),(H224-H223)*(Variables!$M$5*$H$1+Variables!$U$5*$I$1),0)+IF(AND(NOT((J224+N224+Q224)=0),(H223-H224)&gt;0),(H223-H224)*(Variables!$M$4*$H$1+Variables!$U$4*$I$1),0)</f>
        <v>-175.42418752399857</v>
      </c>
      <c r="Y224" s="95">
        <f>IF(SUM(T224,U223:U224)&gt;0,H224*Variables!$Y$11*0.25*(1-$J$1),0)</f>
        <v>0</v>
      </c>
      <c r="Z224" s="95">
        <f>IF(T224=0,H224*$J$1*Variables!$Y$5*0.25,0)</f>
        <v>6.7237955422906293</v>
      </c>
      <c r="AA224" s="95">
        <f t="shared" si="7"/>
        <v>-168.70039198170795</v>
      </c>
      <c r="AB224" s="91">
        <f>AA224/Variables!$E$49</f>
        <v>-27.20974064221096</v>
      </c>
    </row>
    <row r="225" spans="1:28" x14ac:dyDescent="0.25">
      <c r="A225" s="61">
        <f>'Water runs'!C232</f>
        <v>22524</v>
      </c>
      <c r="B225" s="61" t="str">
        <f>'Water runs'!B232</f>
        <v>Winter</v>
      </c>
      <c r="C225" s="54">
        <f>'Water runs'!D232/100</f>
        <v>0.41826190476190495</v>
      </c>
      <c r="D225" s="108">
        <f>VLOOKUP(ROW(D225)+4,'Water runs'!$BS$3:$CF$423,MATCH($B$1,Scenarios,0)+1)</f>
        <v>0</v>
      </c>
      <c r="E225" s="54">
        <f>IF(B225=Variables!$D$8,C225-Variables!$E$8,IF(B225=Variables!$D$9,C225-Variables!$E$9,IF(B225=Variables!$D$10,C225-Variables!$E$10,IF(B225=Variables!$D$11,C225-Variables!$E$11,"ELSE"))))</f>
        <v>-0.15350572089947079</v>
      </c>
      <c r="F225" s="108">
        <f>VLOOKUP(ROW(F225)+4,'Water runs'!$CH$3:$CU$423,MATCH($B$1,Scenarios,0)+1)</f>
        <v>0</v>
      </c>
      <c r="G225" s="65">
        <f>H225/Variables!$E$49</f>
        <v>0.25129381002561585</v>
      </c>
      <c r="H225" s="62">
        <f>IF((H224+I225)&gt;(1.1*Variables!$E$50),(1.1*Variables!$E$50),IF((H224+I225)&gt;0,H224+I225,0))</f>
        <v>1.5580216221588183</v>
      </c>
      <c r="I225" s="64">
        <f t="shared" si="6"/>
        <v>-1.5452686281291648</v>
      </c>
      <c r="J225" s="63">
        <f>IF(SUM(E221:E224)&lt;Variables!$B$3,-H224,0)</f>
        <v>0</v>
      </c>
      <c r="K225" s="64">
        <f>IF(AND(H224&lt;Variables!$B$6*Variables!$E$50,OR(SUM(D222:D225)&gt;Variables!$B$5,SUM(E222:E225)&gt;Variables!$B$4)),Variables!$B$6*Variables!$E$50+Variables!$B$7*$G$1*Variables!$E$50*SUM(D222:D225),0)</f>
        <v>0</v>
      </c>
      <c r="L225" s="64">
        <f>IF(B225="Winter",Variables!$B$8*H224,0)</f>
        <v>-1.5452686281291648</v>
      </c>
      <c r="M225" s="64">
        <f>IF(AND(B225="Spring",AND(NOT(H224=0),H224&lt;(Variables!$B$9*Variables!$E$50))),(Variables!$B$10*Variables!$E$50+Variables!$B$11*Variables!$E$50*SUM(E222:E225)+$G$1*SUM(D224:D225)*Variables!$E$50*Variables!$B$12),0)</f>
        <v>0</v>
      </c>
      <c r="N225" s="64">
        <f>IF(AND(B225="Spring",AND(SUM(D222:D225)&gt;Variables!$B$13,SUM(D218:D221)&gt;Variables!$B$13)),-Variables!$B$14*Variables!$E$50,0)</f>
        <v>0</v>
      </c>
      <c r="O225" s="64">
        <f>IF(AND(B225="Summer",SUM(C221:D225)&gt;Variables!$B$15),(Variables!$B$16*Variables!$E$50*SUM(C221:C225)+$G$1*Variables!$B$16*Variables!$E$50*SUM(D221:D225)+$G$1*Variables!$E$50*Variables!$B$17*F225),0)</f>
        <v>0</v>
      </c>
      <c r="P225" s="64">
        <f>IF(AND(AND(B225="Autumn",SUM(D224:E225)&gt;0),NOT(H224=0)),Variables!$B$18*Variables!$E$50+Variables!$B$19*Variables!$E$50*SUM(E224:E225)+$G$1*Variables!$B$19*Variables!$E$50*SUM(D224:D225),0)</f>
        <v>0</v>
      </c>
      <c r="Q225" s="64">
        <f>IF(AND(B225="Autumn",AND((E225+E224)&lt;Variables!$B$20,(D224+D225)=0)),-Variables!$B$21*Variables!$E$50,0)</f>
        <v>0</v>
      </c>
      <c r="R225" s="64">
        <f>IF(B225="Autumn",(SUM(F224:F225)*$G$1*Variables!$B$22*Variables!$E$50),0)</f>
        <v>0</v>
      </c>
      <c r="S225" s="64">
        <f>IF(B225="Spring",($G$1*Variables!$E$50*SUM('Guts (option 2)'!F224:F225)*Variables!$B$23),0)</f>
        <v>0</v>
      </c>
      <c r="T225" s="63">
        <f>IF((H224+SUM(J225:Q225))&lt;(Variables!$B$26*Variables!$E$50),$F$1*((Variables!$B$26*Variables!$E$50)-H224-SUM(J225:Q225)),0)</f>
        <v>0</v>
      </c>
      <c r="U225" s="64">
        <f>IF(AND(AND(B225="Autumn",SUM(D222:E225)&gt;Variables!$B$27),SUM(J225:Q225)&lt;Variables!$B$28*H224),$F$1*(Variables!$B$28*H224-SUM(J225:Q225)),0)</f>
        <v>0</v>
      </c>
      <c r="V225" s="96">
        <f>IF(AND((J225+K225)=0,(Q225+T225)=0),$H$1*H225*Variables!$I$23*0.25,0)</f>
        <v>10.007770120747919</v>
      </c>
      <c r="W225" s="97">
        <f>IF(AND((K225+J225)=0,(T225+Q225)=0),$I$1*H225*Variables!$Q$23*0.25,0)</f>
        <v>10.475488211719995</v>
      </c>
      <c r="X225" s="95">
        <f>IF(AND(NOT(K225=0),(H225-H224)&gt;0),(H225-H224)*(Variables!$M$5*$H$1+Variables!$U$5*$I$1),0)+IF(AND(NOT((J225+N225+Q225)=0),(H224-H225)&gt;0),(H224-H225)*(Variables!$M$4*$H$1+Variables!$U$4*$I$1),0)</f>
        <v>0</v>
      </c>
      <c r="Y225" s="95">
        <f>IF(SUM(T225,U224:U225)&gt;0,H225*Variables!$Y$11*0.25*(1-$J$1),0)</f>
        <v>0</v>
      </c>
      <c r="Z225" s="95">
        <f>IF(T225=0,H225*$J$1*Variables!$Y$5*0.25,0)</f>
        <v>3.3757135146774395</v>
      </c>
      <c r="AA225" s="95">
        <f t="shared" si="7"/>
        <v>23.858971847145352</v>
      </c>
      <c r="AB225" s="91">
        <f>AA225/Variables!$E$49</f>
        <v>3.848221265668605</v>
      </c>
    </row>
    <row r="226" spans="1:28" x14ac:dyDescent="0.25">
      <c r="A226" s="61">
        <f>'Water runs'!C233</f>
        <v>22615</v>
      </c>
      <c r="B226" s="61" t="str">
        <f>'Water runs'!B233</f>
        <v>Spring</v>
      </c>
      <c r="C226" s="54">
        <f>'Water runs'!D233/100</f>
        <v>0.35257142857142904</v>
      </c>
      <c r="D226" s="108">
        <f>VLOOKUP(ROW(D226)+4,'Water runs'!$BS$3:$CF$423,MATCH($B$1,Scenarios,0)+1)</f>
        <v>9.4220856855557051E-4</v>
      </c>
      <c r="E226" s="54">
        <f>IF(B226=Variables!$D$8,C226-Variables!$E$8,IF(B226=Variables!$D$9,C226-Variables!$E$9,IF(B226=Variables!$D$10,C226-Variables!$E$10,IF(B226=Variables!$D$11,C226-Variables!$E$11,"ELSE"))))</f>
        <v>-0.41141078042328011</v>
      </c>
      <c r="F226" s="108">
        <f>VLOOKUP(ROW(F226)+4,'Water runs'!$CH$3:$CU$423,MATCH($B$1,Scenarios,0)+1)</f>
        <v>0</v>
      </c>
      <c r="G226" s="65">
        <f>H226/Variables!$E$49</f>
        <v>0.21520186356218204</v>
      </c>
      <c r="H226" s="62">
        <f>IF((H225+I226)&gt;(1.1*Variables!$E$50),(1.1*Variables!$E$50),IF((H225+I226)&gt;0,H225+I226,0))</f>
        <v>1.3342515540855286</v>
      </c>
      <c r="I226" s="64">
        <f t="shared" si="6"/>
        <v>-0.22377006807328978</v>
      </c>
      <c r="J226" s="63">
        <f>IF(SUM(E222:E225)&lt;Variables!$B$3,-H225,0)</f>
        <v>0</v>
      </c>
      <c r="K226" s="64">
        <f>IF(AND(H225&lt;Variables!$B$6*Variables!$E$50,OR(SUM(D223:D226)&gt;Variables!$B$5,SUM(E223:E226)&gt;Variables!$B$4)),Variables!$B$6*Variables!$E$50+Variables!$B$7*$G$1*Variables!$E$50*SUM(D223:D226),0)</f>
        <v>0</v>
      </c>
      <c r="L226" s="64">
        <f>IF(B226="Winter",Variables!$B$8*H225,0)</f>
        <v>0</v>
      </c>
      <c r="M226" s="64">
        <f>IF(AND(B226="Spring",AND(NOT(H225=0),H225&lt;(Variables!$B$9*Variables!$E$50))),(Variables!$B$10*Variables!$E$50+Variables!$B$11*Variables!$E$50*SUM(E223:E226)+$G$1*SUM(D225:D226)*Variables!$E$50*Variables!$B$12),0)</f>
        <v>-0.22377006807328978</v>
      </c>
      <c r="N226" s="64">
        <f>IF(AND(B226="Spring",AND(SUM(D223:D226)&gt;Variables!$B$13,SUM(D219:D222)&gt;Variables!$B$13)),-Variables!$B$14*Variables!$E$50,0)</f>
        <v>0</v>
      </c>
      <c r="O226" s="64">
        <f>IF(AND(B226="Summer",SUM(C222:D226)&gt;Variables!$B$15),(Variables!$B$16*Variables!$E$50*SUM(C222:C226)+$G$1*Variables!$B$16*Variables!$E$50*SUM(D222:D226)+$G$1*Variables!$E$50*Variables!$B$17*F226),0)</f>
        <v>0</v>
      </c>
      <c r="P226" s="64">
        <f>IF(AND(AND(B226="Autumn",SUM(D225:E226)&gt;0),NOT(H225=0)),Variables!$B$18*Variables!$E$50+Variables!$B$19*Variables!$E$50*SUM(E225:E226)+$G$1*Variables!$B$19*Variables!$E$50*SUM(D225:D226),0)</f>
        <v>0</v>
      </c>
      <c r="Q226" s="64">
        <f>IF(AND(B226="Autumn",AND((E226+E225)&lt;Variables!$B$20,(D225+D226)=0)),-Variables!$B$21*Variables!$E$50,0)</f>
        <v>0</v>
      </c>
      <c r="R226" s="64">
        <f>IF(B226="Autumn",(SUM(F225:F226)*$G$1*Variables!$B$22*Variables!$E$50),0)</f>
        <v>0</v>
      </c>
      <c r="S226" s="64">
        <f>IF(B226="Spring",($G$1*Variables!$E$50*SUM('Guts (option 2)'!F225:F226)*Variables!$B$23),0)</f>
        <v>0</v>
      </c>
      <c r="T226" s="63">
        <f>IF((H225+SUM(J226:Q226))&lt;(Variables!$B$26*Variables!$E$50),$F$1*((Variables!$B$26*Variables!$E$50)-H225-SUM(J226:Q226)),0)</f>
        <v>0</v>
      </c>
      <c r="U226" s="64">
        <f>IF(AND(AND(B226="Autumn",SUM(D223:E226)&gt;Variables!$B$27),SUM(J226:Q226)&lt;Variables!$B$28*H225),$F$1*(Variables!$B$28*H225-SUM(J226:Q226)),0)</f>
        <v>0</v>
      </c>
      <c r="V226" s="96">
        <f>IF(AND((J226+K226)=0,(Q226+T226)=0),$H$1*H226*Variables!$I$23*0.25,0)</f>
        <v>8.5704091949870822</v>
      </c>
      <c r="W226" s="97">
        <f>IF(AND((K226+J226)=0,(T226+Q226)=0),$I$1*H226*Variables!$Q$23*0.25,0)</f>
        <v>8.9709515115235572</v>
      </c>
      <c r="X226" s="95">
        <f>IF(AND(NOT(K226=0),(H226-H225)&gt;0),(H226-H225)*(Variables!$M$5*$H$1+Variables!$U$5*$I$1),0)+IF(AND(NOT((J226+N226+Q226)=0),(H225-H226)&gt;0),(H225-H226)*(Variables!$M$4*$H$1+Variables!$U$4*$I$1),0)</f>
        <v>0</v>
      </c>
      <c r="Y226" s="95">
        <f>IF(SUM(T226,U225:U226)&gt;0,H226*Variables!$Y$11*0.25*(1-$J$1),0)</f>
        <v>0</v>
      </c>
      <c r="Z226" s="95">
        <f>IF(T226=0,H226*$J$1*Variables!$Y$5*0.25,0)</f>
        <v>2.8908783671853118</v>
      </c>
      <c r="AA226" s="95">
        <f t="shared" si="7"/>
        <v>20.43223907369595</v>
      </c>
      <c r="AB226" s="91">
        <f>AA226/Variables!$E$49</f>
        <v>3.2955224312412823</v>
      </c>
    </row>
    <row r="227" spans="1:28" x14ac:dyDescent="0.25">
      <c r="A227" s="61">
        <f>'Water runs'!C234</f>
        <v>22705</v>
      </c>
      <c r="B227" s="61" t="str">
        <f>'Water runs'!B234</f>
        <v>Summer</v>
      </c>
      <c r="C227" s="54">
        <f>'Water runs'!D234/100</f>
        <v>1.65533333333333</v>
      </c>
      <c r="D227" s="108">
        <f>VLOOKUP(ROW(D227)+4,'Water runs'!$BS$3:$CF$423,MATCH($B$1,Scenarios,0)+1)</f>
        <v>0.36476931725508516</v>
      </c>
      <c r="E227" s="54">
        <f>IF(B227=Variables!$D$8,C227-Variables!$E$8,IF(B227=Variables!$D$9,C227-Variables!$E$9,IF(B227=Variables!$D$10,C227-Variables!$E$10,IF(B227=Variables!$D$11,C227-Variables!$E$11,"ELSE"))))</f>
        <v>0.39696319727890828</v>
      </c>
      <c r="F227" s="108">
        <f>VLOOKUP(ROW(F227)+4,'Water runs'!$CH$3:$CU$423,MATCH($B$1,Scenarios,0)+1)</f>
        <v>0.80409187721201281</v>
      </c>
      <c r="G227" s="65">
        <f>H227/Variables!$E$49</f>
        <v>0.21520186356218204</v>
      </c>
      <c r="H227" s="62">
        <f>IF((H226+I227)&gt;(1.1*Variables!$E$50),(1.1*Variables!$E$50),IF((H226+I227)&gt;0,H226+I227,0))</f>
        <v>1.3342515540855286</v>
      </c>
      <c r="I227" s="64">
        <f t="shared" si="6"/>
        <v>0</v>
      </c>
      <c r="J227" s="63">
        <f>IF(SUM(E223:E226)&lt;Variables!$B$3,-H226,0)</f>
        <v>0</v>
      </c>
      <c r="K227" s="64">
        <f>IF(AND(H226&lt;Variables!$B$6*Variables!$E$50,OR(SUM(D224:D227)&gt;Variables!$B$5,SUM(E224:E227)&gt;Variables!$B$4)),Variables!$B$6*Variables!$E$50+Variables!$B$7*$G$1*Variables!$E$50*SUM(D224:D227),0)</f>
        <v>0</v>
      </c>
      <c r="L227" s="64">
        <f>IF(B227="Winter",Variables!$B$8*H226,0)</f>
        <v>0</v>
      </c>
      <c r="M227" s="64">
        <f>IF(AND(B227="Spring",AND(NOT(H226=0),H226&lt;(Variables!$B$9*Variables!$E$50))),(Variables!$B$10*Variables!$E$50+Variables!$B$11*Variables!$E$50*SUM(E224:E227)+$G$1*SUM(D226:D227)*Variables!$E$50*Variables!$B$12),0)</f>
        <v>0</v>
      </c>
      <c r="N227" s="64">
        <f>IF(AND(B227="Spring",AND(SUM(D224:D227)&gt;Variables!$B$13,SUM(D220:D223)&gt;Variables!$B$13)),-Variables!$B$14*Variables!$E$50,0)</f>
        <v>0</v>
      </c>
      <c r="O227" s="64">
        <f>IF(AND(B227="Summer",SUM(C223:D227)&gt;Variables!$B$15),(Variables!$B$16*Variables!$E$50*SUM(C223:C227)+$G$1*Variables!$B$16*Variables!$E$50*SUM(D223:D227)+$G$1*Variables!$E$50*Variables!$B$17*F227),0)</f>
        <v>0</v>
      </c>
      <c r="P227" s="64">
        <f>IF(AND(AND(B227="Autumn",SUM(D226:E227)&gt;0),NOT(H226=0)),Variables!$B$18*Variables!$E$50+Variables!$B$19*Variables!$E$50*SUM(E226:E227)+$G$1*Variables!$B$19*Variables!$E$50*SUM(D226:D227),0)</f>
        <v>0</v>
      </c>
      <c r="Q227" s="64">
        <f>IF(AND(B227="Autumn",AND((E227+E226)&lt;Variables!$B$20,(D226+D227)=0)),-Variables!$B$21*Variables!$E$50,0)</f>
        <v>0</v>
      </c>
      <c r="R227" s="64">
        <f>IF(B227="Autumn",(SUM(F226:F227)*$G$1*Variables!$B$22*Variables!$E$50),0)</f>
        <v>0</v>
      </c>
      <c r="S227" s="64">
        <f>IF(B227="Spring",($G$1*Variables!$E$50*SUM('Guts (option 2)'!F226:F227)*Variables!$B$23),0)</f>
        <v>0</v>
      </c>
      <c r="T227" s="63">
        <f>IF((H226+SUM(J227:Q227))&lt;(Variables!$B$26*Variables!$E$50),$F$1*((Variables!$B$26*Variables!$E$50)-H226-SUM(J227:Q227)),0)</f>
        <v>0</v>
      </c>
      <c r="U227" s="64">
        <f>IF(AND(AND(B227="Autumn",SUM(D224:E227)&gt;Variables!$B$27),SUM(J227:Q227)&lt;Variables!$B$28*H226),$F$1*(Variables!$B$28*H226-SUM(J227:Q227)),0)</f>
        <v>0</v>
      </c>
      <c r="V227" s="96">
        <f>IF(AND((J227+K227)=0,(Q227+T227)=0),$H$1*H227*Variables!$I$23*0.25,0)</f>
        <v>8.5704091949870822</v>
      </c>
      <c r="W227" s="97">
        <f>IF(AND((K227+J227)=0,(T227+Q227)=0),$I$1*H227*Variables!$Q$23*0.25,0)</f>
        <v>8.9709515115235572</v>
      </c>
      <c r="X227" s="95">
        <f>IF(AND(NOT(K227=0),(H227-H226)&gt;0),(H227-H226)*(Variables!$M$5*$H$1+Variables!$U$5*$I$1),0)+IF(AND(NOT((J227+N227+Q227)=0),(H226-H227)&gt;0),(H226-H227)*(Variables!$M$4*$H$1+Variables!$U$4*$I$1),0)</f>
        <v>0</v>
      </c>
      <c r="Y227" s="95">
        <f>IF(SUM(T227,U226:U227)&gt;0,H227*Variables!$Y$11*0.25*(1-$J$1),0)</f>
        <v>0</v>
      </c>
      <c r="Z227" s="95">
        <f>IF(T227=0,H227*$J$1*Variables!$Y$5*0.25,0)</f>
        <v>2.8908783671853118</v>
      </c>
      <c r="AA227" s="95">
        <f t="shared" si="7"/>
        <v>20.43223907369595</v>
      </c>
      <c r="AB227" s="91">
        <f>AA227/Variables!$E$49</f>
        <v>3.2955224312412823</v>
      </c>
    </row>
    <row r="228" spans="1:28" x14ac:dyDescent="0.25">
      <c r="A228" s="61">
        <f>'Water runs'!C235</f>
        <v>22797</v>
      </c>
      <c r="B228" s="61" t="str">
        <f>'Water runs'!B235</f>
        <v>Autumn</v>
      </c>
      <c r="C228" s="54">
        <f>'Water runs'!D235/100</f>
        <v>1.34814285714286</v>
      </c>
      <c r="D228" s="108">
        <f>VLOOKUP(ROW(D228)+4,'Water runs'!$BS$3:$CF$423,MATCH($B$1,Scenarios,0)+1)</f>
        <v>0.11555990150357486</v>
      </c>
      <c r="E228" s="54">
        <f>IF(B228=Variables!$D$8,C228-Variables!$E$8,IF(B228=Variables!$D$9,C228-Variables!$E$9,IF(B228=Variables!$D$10,C228-Variables!$E$10,IF(B228=Variables!$D$11,C228-Variables!$E$11,"ELSE"))))</f>
        <v>0.35349955782313214</v>
      </c>
      <c r="F228" s="108">
        <f>VLOOKUP(ROW(F228)+4,'Water runs'!$CH$3:$CU$423,MATCH($B$1,Scenarios,0)+1)</f>
        <v>0.21415213105408593</v>
      </c>
      <c r="G228" s="65">
        <f>H228/Variables!$E$49</f>
        <v>0.68749375895086284</v>
      </c>
      <c r="H228" s="62">
        <f>IF((H227+I228)&gt;(1.1*Variables!$E$50),(1.1*Variables!$E$50),IF((H227+I228)&gt;0,H227+I228,0))</f>
        <v>4.26246130549535</v>
      </c>
      <c r="I228" s="64">
        <f t="shared" si="6"/>
        <v>2.9282097514098213</v>
      </c>
      <c r="J228" s="63">
        <f>IF(SUM(E224:E227)&lt;Variables!$B$3,-H227,0)</f>
        <v>0</v>
      </c>
      <c r="K228" s="64">
        <f>IF(AND(H227&lt;Variables!$B$6*Variables!$E$50,OR(SUM(D225:D228)&gt;Variables!$B$5,SUM(E225:E228)&gt;Variables!$B$4)),Variables!$B$6*Variables!$E$50+Variables!$B$7*$G$1*Variables!$E$50*SUM(D225:D228),0)</f>
        <v>0</v>
      </c>
      <c r="L228" s="64">
        <f>IF(B228="Winter",Variables!$B$8*H227,0)</f>
        <v>0</v>
      </c>
      <c r="M228" s="64">
        <f>IF(AND(B228="Spring",AND(NOT(H227=0),H227&lt;(Variables!$B$9*Variables!$E$50))),(Variables!$B$10*Variables!$E$50+Variables!$B$11*Variables!$E$50*SUM(E225:E228)+$G$1*SUM(D227:D228)*Variables!$E$50*Variables!$B$12),0)</f>
        <v>0</v>
      </c>
      <c r="N228" s="64">
        <f>IF(AND(B228="Spring",AND(SUM(D225:D228)&gt;Variables!$B$13,SUM(D221:D224)&gt;Variables!$B$13)),-Variables!$B$14*Variables!$E$50,0)</f>
        <v>0</v>
      </c>
      <c r="O228" s="64">
        <f>IF(AND(B228="Summer",SUM(C224:D228)&gt;Variables!$B$15),(Variables!$B$16*Variables!$E$50*SUM(C224:C228)+$G$1*Variables!$B$16*Variables!$E$50*SUM(D224:D228)+$G$1*Variables!$E$50*Variables!$B$17*F228),0)</f>
        <v>0</v>
      </c>
      <c r="P228" s="64">
        <f>IF(AND(AND(B228="Autumn",SUM(D227:E228)&gt;0),NOT(H227=0)),Variables!$B$18*Variables!$E$50+Variables!$B$19*Variables!$E$50*SUM(E227:E228)+$G$1*Variables!$B$19*Variables!$E$50*SUM(D227:D228),0)</f>
        <v>2.784748027214397</v>
      </c>
      <c r="Q228" s="64">
        <f>IF(AND(B228="Autumn",AND((E228+E227)&lt;Variables!$B$20,(D227+D228)=0)),-Variables!$B$21*Variables!$E$50,0)</f>
        <v>0</v>
      </c>
      <c r="R228" s="64">
        <f>IF(B228="Autumn",(SUM(F227:F228)*$G$1*Variables!$B$22*Variables!$E$50),0)</f>
        <v>0.14346172419542427</v>
      </c>
      <c r="S228" s="64">
        <f>IF(B228="Spring",($G$1*Variables!$E$50*SUM('Guts (option 2)'!F227:F228)*Variables!$B$23),0)</f>
        <v>0</v>
      </c>
      <c r="T228" s="63">
        <f>IF((H227+SUM(J228:Q228))&lt;(Variables!$B$26*Variables!$E$50),$F$1*((Variables!$B$26*Variables!$E$50)-H227-SUM(J228:Q228)),0)</f>
        <v>0</v>
      </c>
      <c r="U228" s="64">
        <f>IF(AND(AND(B228="Autumn",SUM(D225:E228)&gt;Variables!$B$27),SUM(J228:Q228)&lt;Variables!$B$28*H227),$F$1*(Variables!$B$28*H227-SUM(J228:Q228)),0)</f>
        <v>0</v>
      </c>
      <c r="V228" s="96">
        <f>IF(AND((J228+K228)=0,(Q228+T228)=0),$H$1*H228*Variables!$I$23*0.25,0)</f>
        <v>27.379422908697073</v>
      </c>
      <c r="W228" s="97">
        <f>IF(AND((K228+J228)=0,(T228+Q228)=0),$I$1*H228*Variables!$Q$23*0.25,0)</f>
        <v>28.659013792606771</v>
      </c>
      <c r="X228" s="95">
        <f>IF(AND(NOT(K228=0),(H228-H227)&gt;0),(H228-H227)*(Variables!$M$5*$H$1+Variables!$U$5*$I$1),0)+IF(AND(NOT((J228+N228+Q228)=0),(H227-H228)&gt;0),(H227-H228)*(Variables!$M$4*$H$1+Variables!$U$4*$I$1),0)</f>
        <v>0</v>
      </c>
      <c r="Y228" s="95">
        <f>IF(SUM(T228,U227:U228)&gt;0,H228*Variables!$Y$11*0.25*(1-$J$1),0)</f>
        <v>0</v>
      </c>
      <c r="Z228" s="95">
        <f>IF(T228=0,H228*$J$1*Variables!$Y$5*0.25,0)</f>
        <v>9.2353328285732577</v>
      </c>
      <c r="AA228" s="95">
        <f t="shared" si="7"/>
        <v>65.2737695298771</v>
      </c>
      <c r="AB228" s="91">
        <f>AA228/Variables!$E$49</f>
        <v>10.528027343528564</v>
      </c>
    </row>
    <row r="229" spans="1:28" x14ac:dyDescent="0.25">
      <c r="A229" s="61">
        <f>'Water runs'!C236</f>
        <v>22889</v>
      </c>
      <c r="B229" s="61" t="str">
        <f>'Water runs'!B236</f>
        <v>Winter</v>
      </c>
      <c r="C229" s="54">
        <f>'Water runs'!D236/100</f>
        <v>0.65585714285714303</v>
      </c>
      <c r="D229" s="108">
        <f>VLOOKUP(ROW(D229)+4,'Water runs'!$BS$3:$CF$423,MATCH($B$1,Scenarios,0)+1)</f>
        <v>0</v>
      </c>
      <c r="E229" s="54">
        <f>IF(B229=Variables!$D$8,C229-Variables!$E$8,IF(B229=Variables!$D$9,C229-Variables!$E$9,IF(B229=Variables!$D$10,C229-Variables!$E$10,IF(B229=Variables!$D$11,C229-Variables!$E$11,"ELSE"))))</f>
        <v>8.4089517195767294E-2</v>
      </c>
      <c r="F229" s="108">
        <f>VLOOKUP(ROW(F229)+4,'Water runs'!$CH$3:$CU$423,MATCH($B$1,Scenarios,0)+1)</f>
        <v>0</v>
      </c>
      <c r="G229" s="65">
        <f>H229/Variables!$E$49</f>
        <v>0.34515950979618709</v>
      </c>
      <c r="H229" s="62">
        <f>IF((H228+I229)&gt;(1.1*Variables!$E$50),(1.1*Variables!$E$50),IF((H228+I229)&gt;0,H228+I229,0))</f>
        <v>2.13998896073636</v>
      </c>
      <c r="I229" s="64">
        <f t="shared" si="6"/>
        <v>-2.1224723447589899</v>
      </c>
      <c r="J229" s="63">
        <f>IF(SUM(E225:E228)&lt;Variables!$B$3,-H228,0)</f>
        <v>0</v>
      </c>
      <c r="K229" s="64">
        <f>IF(AND(H228&lt;Variables!$B$6*Variables!$E$50,OR(SUM(D226:D229)&gt;Variables!$B$5,SUM(E226:E229)&gt;Variables!$B$4)),Variables!$B$6*Variables!$E$50+Variables!$B$7*$G$1*Variables!$E$50*SUM(D226:D229),0)</f>
        <v>0</v>
      </c>
      <c r="L229" s="64">
        <f>IF(B229="Winter",Variables!$B$8*H228,0)</f>
        <v>-2.1224723447589899</v>
      </c>
      <c r="M229" s="64">
        <f>IF(AND(B229="Spring",AND(NOT(H228=0),H228&lt;(Variables!$B$9*Variables!$E$50))),(Variables!$B$10*Variables!$E$50+Variables!$B$11*Variables!$E$50*SUM(E226:E229)+$G$1*SUM(D228:D229)*Variables!$E$50*Variables!$B$12),0)</f>
        <v>0</v>
      </c>
      <c r="N229" s="64">
        <f>IF(AND(B229="Spring",AND(SUM(D226:D229)&gt;Variables!$B$13,SUM(D222:D225)&gt;Variables!$B$13)),-Variables!$B$14*Variables!$E$50,0)</f>
        <v>0</v>
      </c>
      <c r="O229" s="64">
        <f>IF(AND(B229="Summer",SUM(C225:D229)&gt;Variables!$B$15),(Variables!$B$16*Variables!$E$50*SUM(C225:C229)+$G$1*Variables!$B$16*Variables!$E$50*SUM(D225:D229)+$G$1*Variables!$E$50*Variables!$B$17*F229),0)</f>
        <v>0</v>
      </c>
      <c r="P229" s="64">
        <f>IF(AND(AND(B229="Autumn",SUM(D228:E229)&gt;0),NOT(H228=0)),Variables!$B$18*Variables!$E$50+Variables!$B$19*Variables!$E$50*SUM(E228:E229)+$G$1*Variables!$B$19*Variables!$E$50*SUM(D228:D229),0)</f>
        <v>0</v>
      </c>
      <c r="Q229" s="64">
        <f>IF(AND(B229="Autumn",AND((E229+E228)&lt;Variables!$B$20,(D228+D229)=0)),-Variables!$B$21*Variables!$E$50,0)</f>
        <v>0</v>
      </c>
      <c r="R229" s="64">
        <f>IF(B229="Autumn",(SUM(F228:F229)*$G$1*Variables!$B$22*Variables!$E$50),0)</f>
        <v>0</v>
      </c>
      <c r="S229" s="64">
        <f>IF(B229="Spring",($G$1*Variables!$E$50*SUM('Guts (option 2)'!F228:F229)*Variables!$B$23),0)</f>
        <v>0</v>
      </c>
      <c r="T229" s="63">
        <f>IF((H228+SUM(J229:Q229))&lt;(Variables!$B$26*Variables!$E$50),$F$1*((Variables!$B$26*Variables!$E$50)-H228-SUM(J229:Q229)),0)</f>
        <v>0</v>
      </c>
      <c r="U229" s="64">
        <f>IF(AND(AND(B229="Autumn",SUM(D226:E229)&gt;Variables!$B$27),SUM(J229:Q229)&lt;Variables!$B$28*H228),$F$1*(Variables!$B$28*H228-SUM(J229:Q229)),0)</f>
        <v>0</v>
      </c>
      <c r="V229" s="96">
        <f>IF(AND((J229+K229)=0,(Q229+T229)=0),$H$1*H229*Variables!$I$23*0.25,0)</f>
        <v>13.745969423911257</v>
      </c>
      <c r="W229" s="97">
        <f>IF(AND((K229+J229)=0,(T229+Q229)=0),$I$1*H229*Variables!$Q$23*0.25,0)</f>
        <v>14.38839410992431</v>
      </c>
      <c r="X229" s="95">
        <f>IF(AND(NOT(K229=0),(H229-H228)&gt;0),(H229-H228)*(Variables!$M$5*$H$1+Variables!$U$5*$I$1),0)+IF(AND(NOT((J229+N229+Q229)=0),(H228-H229)&gt;0),(H228-H229)*(Variables!$M$4*$H$1+Variables!$U$4*$I$1),0)</f>
        <v>0</v>
      </c>
      <c r="Y229" s="95">
        <f>IF(SUM(T229,U228:U229)&gt;0,H229*Variables!$Y$11*0.25*(1-$J$1),0)</f>
        <v>0</v>
      </c>
      <c r="Z229" s="95">
        <f>IF(T229=0,H229*$J$1*Variables!$Y$5*0.25,0)</f>
        <v>4.6366427482621129</v>
      </c>
      <c r="AA229" s="95">
        <f t="shared" si="7"/>
        <v>32.77100628209768</v>
      </c>
      <c r="AB229" s="91">
        <f>AA229/Variables!$E$49</f>
        <v>5.2856461745318839</v>
      </c>
    </row>
    <row r="230" spans="1:28" x14ac:dyDescent="0.25">
      <c r="A230" s="61">
        <f>'Water runs'!C237</f>
        <v>22980</v>
      </c>
      <c r="B230" s="61" t="str">
        <f>'Water runs'!B237</f>
        <v>Spring</v>
      </c>
      <c r="C230" s="54">
        <f>'Water runs'!D237/100</f>
        <v>0.58485714285714296</v>
      </c>
      <c r="D230" s="108">
        <f>VLOOKUP(ROW(D230)+4,'Water runs'!$BS$3:$CF$423,MATCH($B$1,Scenarios,0)+1)</f>
        <v>0</v>
      </c>
      <c r="E230" s="54">
        <f>IF(B230=Variables!$D$8,C230-Variables!$E$8,IF(B230=Variables!$D$9,C230-Variables!$E$9,IF(B230=Variables!$D$10,C230-Variables!$E$10,IF(B230=Variables!$D$11,C230-Variables!$E$11,"ELSE"))))</f>
        <v>-0.17912506613756618</v>
      </c>
      <c r="F230" s="108">
        <f>VLOOKUP(ROW(F230)+4,'Water runs'!$CH$3:$CU$423,MATCH($B$1,Scenarios,0)+1)</f>
        <v>0</v>
      </c>
      <c r="G230" s="65">
        <f>H230/Variables!$E$49</f>
        <v>0.41715730949041324</v>
      </c>
      <c r="H230" s="62">
        <f>IF((H229+I230)&gt;(1.1*Variables!$E$50),(1.1*Variables!$E$50),IF((H229+I230)&gt;0,H229+I230,0))</f>
        <v>2.5863753188405623</v>
      </c>
      <c r="I230" s="64">
        <f t="shared" si="6"/>
        <v>0.44638635810420202</v>
      </c>
      <c r="J230" s="63">
        <f>IF(SUM(E226:E229)&lt;Variables!$B$3,-H229,0)</f>
        <v>0</v>
      </c>
      <c r="K230" s="64">
        <f>IF(AND(H229&lt;Variables!$B$6*Variables!$E$50,OR(SUM(D227:D230)&gt;Variables!$B$5,SUM(E227:E230)&gt;Variables!$B$4)),Variables!$B$6*Variables!$E$50+Variables!$B$7*$G$1*Variables!$E$50*SUM(D227:D230),0)</f>
        <v>0</v>
      </c>
      <c r="L230" s="64">
        <f>IF(B230="Winter",Variables!$B$8*H229,0)</f>
        <v>0</v>
      </c>
      <c r="M230" s="64">
        <f>IF(AND(B230="Spring",AND(NOT(H229=0),H229&lt;(Variables!$B$9*Variables!$E$50))),(Variables!$B$10*Variables!$E$50+Variables!$B$11*Variables!$E$50*SUM(E227:E230)+$G$1*SUM(D229:D230)*Variables!$E$50*Variables!$B$12),0)</f>
        <v>0.44638635810420202</v>
      </c>
      <c r="N230" s="64">
        <f>IF(AND(B230="Spring",AND(SUM(D227:D230)&gt;Variables!$B$13,SUM(D223:D226)&gt;Variables!$B$13)),-Variables!$B$14*Variables!$E$50,0)</f>
        <v>0</v>
      </c>
      <c r="O230" s="64">
        <f>IF(AND(B230="Summer",SUM(C226:D230)&gt;Variables!$B$15),(Variables!$B$16*Variables!$E$50*SUM(C226:C230)+$G$1*Variables!$B$16*Variables!$E$50*SUM(D226:D230)+$G$1*Variables!$E$50*Variables!$B$17*F230),0)</f>
        <v>0</v>
      </c>
      <c r="P230" s="64">
        <f>IF(AND(AND(B230="Autumn",SUM(D229:E230)&gt;0),NOT(H229=0)),Variables!$B$18*Variables!$E$50+Variables!$B$19*Variables!$E$50*SUM(E229:E230)+$G$1*Variables!$B$19*Variables!$E$50*SUM(D229:D230),0)</f>
        <v>0</v>
      </c>
      <c r="Q230" s="64">
        <f>IF(AND(B230="Autumn",AND((E230+E229)&lt;Variables!$B$20,(D229+D230)=0)),-Variables!$B$21*Variables!$E$50,0)</f>
        <v>0</v>
      </c>
      <c r="R230" s="64">
        <f>IF(B230="Autumn",(SUM(F229:F230)*$G$1*Variables!$B$22*Variables!$E$50),0)</f>
        <v>0</v>
      </c>
      <c r="S230" s="64">
        <f>IF(B230="Spring",($G$1*Variables!$E$50*SUM('Guts (option 2)'!F229:F230)*Variables!$B$23),0)</f>
        <v>0</v>
      </c>
      <c r="T230" s="63">
        <f>IF((H229+SUM(J230:Q230))&lt;(Variables!$B$26*Variables!$E$50),$F$1*((Variables!$B$26*Variables!$E$50)-H229-SUM(J230:Q230)),0)</f>
        <v>0</v>
      </c>
      <c r="U230" s="64">
        <f>IF(AND(AND(B230="Autumn",SUM(D227:E230)&gt;Variables!$B$27),SUM(J230:Q230)&lt;Variables!$B$28*H229),$F$1*(Variables!$B$28*H229-SUM(J230:Q230)),0)</f>
        <v>0</v>
      </c>
      <c r="V230" s="96">
        <f>IF(AND((J230+K230)=0,(Q230+T230)=0),$H$1*H230*Variables!$I$23*0.25,0)</f>
        <v>16.613280116785152</v>
      </c>
      <c r="W230" s="97">
        <f>IF(AND((K230+J230)=0,(T230+Q230)=0),$I$1*H230*Variables!$Q$23*0.25,0)</f>
        <v>17.389709987501089</v>
      </c>
      <c r="X230" s="95">
        <f>IF(AND(NOT(K230=0),(H230-H229)&gt;0),(H230-H229)*(Variables!$M$5*$H$1+Variables!$U$5*$I$1),0)+IF(AND(NOT((J230+N230+Q230)=0),(H229-H230)&gt;0),(H229-H230)*(Variables!$M$4*$H$1+Variables!$U$4*$I$1),0)</f>
        <v>0</v>
      </c>
      <c r="Y230" s="95">
        <f>IF(SUM(T230,U229:U230)&gt;0,H230*Variables!$Y$11*0.25*(1-$J$1),0)</f>
        <v>0</v>
      </c>
      <c r="Z230" s="95">
        <f>IF(T230=0,H230*$J$1*Variables!$Y$5*0.25,0)</f>
        <v>5.6038131908212181</v>
      </c>
      <c r="AA230" s="95">
        <f t="shared" si="7"/>
        <v>39.606803295107461</v>
      </c>
      <c r="AB230" s="91">
        <f>AA230/Variables!$E$49</f>
        <v>6.3881940798560422</v>
      </c>
    </row>
    <row r="231" spans="1:28" x14ac:dyDescent="0.25">
      <c r="A231" s="61">
        <f>'Water runs'!C238</f>
        <v>23070</v>
      </c>
      <c r="B231" s="61" t="str">
        <f>'Water runs'!B238</f>
        <v>Summer</v>
      </c>
      <c r="C231" s="54">
        <f>'Water runs'!D238/100</f>
        <v>2.6327857142857103</v>
      </c>
      <c r="D231" s="108">
        <f>VLOOKUP(ROW(D231)+4,'Water runs'!$BS$3:$CF$423,MATCH($B$1,Scenarios,0)+1)</f>
        <v>0.12800338878375916</v>
      </c>
      <c r="E231" s="54">
        <f>IF(B231=Variables!$D$8,C231-Variables!$E$8,IF(B231=Variables!$D$9,C231-Variables!$E$9,IF(B231=Variables!$D$10,C231-Variables!$E$10,IF(B231=Variables!$D$11,C231-Variables!$E$11,"ELSE"))))</f>
        <v>1.3744155782312886</v>
      </c>
      <c r="F231" s="108">
        <f>VLOOKUP(ROW(F231)+4,'Water runs'!$CH$3:$CU$423,MATCH($B$1,Scenarios,0)+1)</f>
        <v>0.11961694075170824</v>
      </c>
      <c r="G231" s="65">
        <f>H231/Variables!$E$49</f>
        <v>0.88394684196505924</v>
      </c>
      <c r="H231" s="62">
        <f>IF((H230+I231)&gt;(1.1*Variables!$E$50),(1.1*Variables!$E$50),IF((H230+I231)&gt;0,H230+I231,0))</f>
        <v>5.4804704201833676</v>
      </c>
      <c r="I231" s="64">
        <f t="shared" si="6"/>
        <v>2.8940951013428049</v>
      </c>
      <c r="J231" s="63">
        <f>IF(SUM(E227:E230)&lt;Variables!$B$3,-H230,0)</f>
        <v>0</v>
      </c>
      <c r="K231" s="64">
        <f>IF(AND(H230&lt;Variables!$B$6*Variables!$E$50,OR(SUM(D228:D231)&gt;Variables!$B$5,SUM(E228:E231)&gt;Variables!$B$4)),Variables!$B$6*Variables!$E$50+Variables!$B$7*$G$1*Variables!$E$50*SUM(D228:D231),0)</f>
        <v>0</v>
      </c>
      <c r="L231" s="64">
        <f>IF(B231="Winter",Variables!$B$8*H230,0)</f>
        <v>0</v>
      </c>
      <c r="M231" s="64">
        <f>IF(AND(B231="Spring",AND(NOT(H230=0),H230&lt;(Variables!$B$9*Variables!$E$50))),(Variables!$B$10*Variables!$E$50+Variables!$B$11*Variables!$E$50*SUM(E228:E231)+$G$1*SUM(D230:D231)*Variables!$E$50*Variables!$B$12),0)</f>
        <v>0</v>
      </c>
      <c r="N231" s="64">
        <f>IF(AND(B231="Spring",AND(SUM(D228:D231)&gt;Variables!$B$13,SUM(D224:D227)&gt;Variables!$B$13)),-Variables!$B$14*Variables!$E$50,0)</f>
        <v>0</v>
      </c>
      <c r="O231" s="64">
        <f>IF(AND(B231="Summer",SUM(C227:D231)&gt;Variables!$B$15),(Variables!$B$16*Variables!$E$50*SUM(C227:C231)+$G$1*Variables!$B$16*Variables!$E$50*SUM(D227:D231)+$G$1*Variables!$E$50*Variables!$B$17*F231),0)</f>
        <v>2.8940951013428049</v>
      </c>
      <c r="P231" s="64">
        <f>IF(AND(AND(B231="Autumn",SUM(D230:E231)&gt;0),NOT(H230=0)),Variables!$B$18*Variables!$E$50+Variables!$B$19*Variables!$E$50*SUM(E230:E231)+$G$1*Variables!$B$19*Variables!$E$50*SUM(D230:D231),0)</f>
        <v>0</v>
      </c>
      <c r="Q231" s="64">
        <f>IF(AND(B231="Autumn",AND((E231+E230)&lt;Variables!$B$20,(D230+D231)=0)),-Variables!$B$21*Variables!$E$50,0)</f>
        <v>0</v>
      </c>
      <c r="R231" s="64">
        <f>IF(B231="Autumn",(SUM(F230:F231)*$G$1*Variables!$B$22*Variables!$E$50),0)</f>
        <v>0</v>
      </c>
      <c r="S231" s="64">
        <f>IF(B231="Spring",($G$1*Variables!$E$50*SUM('Guts (option 2)'!F230:F231)*Variables!$B$23),0)</f>
        <v>0</v>
      </c>
      <c r="T231" s="63">
        <f>IF((H230+SUM(J231:Q231))&lt;(Variables!$B$26*Variables!$E$50),$F$1*((Variables!$B$26*Variables!$E$50)-H230-SUM(J231:Q231)),0)</f>
        <v>0</v>
      </c>
      <c r="U231" s="64">
        <f>IF(AND(AND(B231="Autumn",SUM(D228:E231)&gt;Variables!$B$27),SUM(J231:Q231)&lt;Variables!$B$28*H230),$F$1*(Variables!$B$28*H230-SUM(J231:Q231)),0)</f>
        <v>0</v>
      </c>
      <c r="V231" s="96">
        <f>IF(AND((J231+K231)=0,(Q231+T231)=0),$H$1*H231*Variables!$I$23*0.25,0)</f>
        <v>35.20316235583217</v>
      </c>
      <c r="W231" s="97">
        <f>IF(AND((K231+J231)=0,(T231+Q231)=0),$I$1*H231*Variables!$Q$23*0.25,0)</f>
        <v>36.848399575971214</v>
      </c>
      <c r="X231" s="95">
        <f>IF(AND(NOT(K231=0),(H231-H230)&gt;0),(H231-H230)*(Variables!$M$5*$H$1+Variables!$U$5*$I$1),0)+IF(AND(NOT((J231+N231+Q231)=0),(H230-H231)&gt;0),(H230-H231)*(Variables!$M$4*$H$1+Variables!$U$4*$I$1),0)</f>
        <v>0</v>
      </c>
      <c r="Y231" s="95">
        <f>IF(SUM(T231,U230:U231)&gt;0,H231*Variables!$Y$11*0.25*(1-$J$1),0)</f>
        <v>0</v>
      </c>
      <c r="Z231" s="95">
        <f>IF(T231=0,H231*$J$1*Variables!$Y$5*0.25,0)</f>
        <v>11.874352577063963</v>
      </c>
      <c r="AA231" s="95">
        <f t="shared" si="7"/>
        <v>83.925914508867336</v>
      </c>
      <c r="AB231" s="91">
        <f>AA231/Variables!$E$49</f>
        <v>13.536437824010861</v>
      </c>
    </row>
    <row r="232" spans="1:28" x14ac:dyDescent="0.25">
      <c r="A232" s="61">
        <f>'Water runs'!C239</f>
        <v>23162</v>
      </c>
      <c r="B232" s="61" t="str">
        <f>'Water runs'!B239</f>
        <v>Autumn</v>
      </c>
      <c r="C232" s="54">
        <f>'Water runs'!D239/100</f>
        <v>1.63854761904762</v>
      </c>
      <c r="D232" s="108">
        <f>VLOOKUP(ROW(D232)+4,'Water runs'!$BS$3:$CF$423,MATCH($B$1,Scenarios,0)+1)</f>
        <v>0.35136066002106114</v>
      </c>
      <c r="E232" s="54">
        <f>IF(B232=Variables!$D$8,C232-Variables!$E$8,IF(B232=Variables!$D$9,C232-Variables!$E$9,IF(B232=Variables!$D$10,C232-Variables!$E$10,IF(B232=Variables!$D$11,C232-Variables!$E$11,"ELSE"))))</f>
        <v>0.64390431972789219</v>
      </c>
      <c r="F232" s="108">
        <f>VLOOKUP(ROW(F232)+4,'Water runs'!$CH$3:$CU$423,MATCH($B$1,Scenarios,0)+1)</f>
        <v>0.35778668081299142</v>
      </c>
      <c r="G232" s="65">
        <f>H232/Variables!$E$49</f>
        <v>1.7908775627380649</v>
      </c>
      <c r="H232" s="62">
        <f>IF((H231+I232)&gt;(1.1*Variables!$E$50),(1.1*Variables!$E$50),IF((H231+I232)&gt;0,H231+I232,0))</f>
        <v>11.103440888976003</v>
      </c>
      <c r="I232" s="64">
        <f t="shared" si="6"/>
        <v>5.6229704687926363</v>
      </c>
      <c r="J232" s="63">
        <f>IF(SUM(E228:E231)&lt;Variables!$B$3,-H231,0)</f>
        <v>0</v>
      </c>
      <c r="K232" s="64">
        <f>IF(AND(H231&lt;Variables!$B$6*Variables!$E$50,OR(SUM(D229:D232)&gt;Variables!$B$5,SUM(E229:E232)&gt;Variables!$B$4)),Variables!$B$6*Variables!$E$50+Variables!$B$7*$G$1*Variables!$E$50*SUM(D229:D232),0)</f>
        <v>0</v>
      </c>
      <c r="L232" s="64">
        <f>IF(B232="Winter",Variables!$B$8*H231,0)</f>
        <v>0</v>
      </c>
      <c r="M232" s="64">
        <f>IF(AND(B232="Spring",AND(NOT(H231=0),H231&lt;(Variables!$B$9*Variables!$E$50))),(Variables!$B$10*Variables!$E$50+Variables!$B$11*Variables!$E$50*SUM(E229:E232)+$G$1*SUM(D231:D232)*Variables!$E$50*Variables!$B$12),0)</f>
        <v>0</v>
      </c>
      <c r="N232" s="64">
        <f>IF(AND(B232="Spring",AND(SUM(D229:D232)&gt;Variables!$B$13,SUM(D225:D228)&gt;Variables!$B$13)),-Variables!$B$14*Variables!$E$50,0)</f>
        <v>0</v>
      </c>
      <c r="O232" s="64">
        <f>IF(AND(B232="Summer",SUM(C228:D232)&gt;Variables!$B$15),(Variables!$B$16*Variables!$E$50*SUM(C228:C232)+$G$1*Variables!$B$16*Variables!$E$50*SUM(D228:D232)+$G$1*Variables!$E$50*Variables!$B$17*F232),0)</f>
        <v>0</v>
      </c>
      <c r="P232" s="64">
        <f>IF(AND(AND(B232="Autumn",SUM(D231:E232)&gt;0),NOT(H231=0)),Variables!$B$18*Variables!$E$50+Variables!$B$19*Variables!$E$50*SUM(E231:E232)+$G$1*Variables!$B$19*Variables!$E$50*SUM(D231:D232),0)</f>
        <v>5.5557084509159615</v>
      </c>
      <c r="Q232" s="64">
        <f>IF(AND(B232="Autumn",AND((E232+E231)&lt;Variables!$B$20,(D231+D232)=0)),-Variables!$B$21*Variables!$E$50,0)</f>
        <v>0</v>
      </c>
      <c r="R232" s="64">
        <f>IF(B232="Autumn",(SUM(F231:F232)*$G$1*Variables!$B$22*Variables!$E$50),0)</f>
        <v>6.7262017876675129E-2</v>
      </c>
      <c r="S232" s="64">
        <f>IF(B232="Spring",($G$1*Variables!$E$50*SUM('Guts (option 2)'!F231:F232)*Variables!$B$23),0)</f>
        <v>0</v>
      </c>
      <c r="T232" s="63">
        <f>IF((H231+SUM(J232:Q232))&lt;(Variables!$B$26*Variables!$E$50),$F$1*((Variables!$B$26*Variables!$E$50)-H231-SUM(J232:Q232)),0)</f>
        <v>0</v>
      </c>
      <c r="U232" s="64">
        <f>IF(AND(AND(B232="Autumn",SUM(D229:E232)&gt;Variables!$B$27),SUM(J232:Q232)&lt;Variables!$B$28*H231),$F$1*(Variables!$B$28*H231-SUM(J232:Q232)),0)</f>
        <v>0</v>
      </c>
      <c r="V232" s="96">
        <f>IF(AND((J232+K232)=0,(Q232+T232)=0),$H$1*H232*Variables!$I$23*0.25,0)</f>
        <v>71.321657148900314</v>
      </c>
      <c r="W232" s="97">
        <f>IF(AND((K232+J232)=0,(T232+Q232)=0),$I$1*H232*Variables!$Q$23*0.25,0)</f>
        <v>74.654910103770888</v>
      </c>
      <c r="X232" s="95">
        <f>IF(AND(NOT(K232=0),(H232-H231)&gt;0),(H232-H231)*(Variables!$M$5*$H$1+Variables!$U$5*$I$1),0)+IF(AND(NOT((J232+N232+Q232)=0),(H231-H232)&gt;0),(H231-H232)*(Variables!$M$4*$H$1+Variables!$U$4*$I$1),0)</f>
        <v>0</v>
      </c>
      <c r="Y232" s="95">
        <f>IF(SUM(T232,U231:U232)&gt;0,H232*Variables!$Y$11*0.25*(1-$J$1),0)</f>
        <v>0</v>
      </c>
      <c r="Z232" s="95">
        <f>IF(T232=0,H232*$J$1*Variables!$Y$5*0.25,0)</f>
        <v>24.057455259448005</v>
      </c>
      <c r="AA232" s="95">
        <f t="shared" si="7"/>
        <v>170.03402251211921</v>
      </c>
      <c r="AB232" s="91">
        <f>AA232/Variables!$E$49</f>
        <v>27.424842340664387</v>
      </c>
    </row>
    <row r="233" spans="1:28" x14ac:dyDescent="0.25">
      <c r="A233" s="61">
        <f>'Water runs'!C240</f>
        <v>23254</v>
      </c>
      <c r="B233" s="61" t="str">
        <f>'Water runs'!B240</f>
        <v>Winter</v>
      </c>
      <c r="C233" s="54">
        <f>'Water runs'!D240/100</f>
        <v>0.313285714285714</v>
      </c>
      <c r="D233" s="108">
        <f>VLOOKUP(ROW(D233)+4,'Water runs'!$BS$3:$CF$423,MATCH($B$1,Scenarios,0)+1)</f>
        <v>0</v>
      </c>
      <c r="E233" s="54">
        <f>IF(B233=Variables!$D$8,C233-Variables!$E$8,IF(B233=Variables!$D$9,C233-Variables!$E$9,IF(B233=Variables!$D$10,C233-Variables!$E$10,IF(B233=Variables!$D$11,C233-Variables!$E$11,"ELSE"))))</f>
        <v>-0.25848191137566173</v>
      </c>
      <c r="F233" s="108">
        <f>VLOOKUP(ROW(F233)+4,'Water runs'!$CH$3:$CU$423,MATCH($B$1,Scenarios,0)+1)</f>
        <v>0</v>
      </c>
      <c r="G233" s="65">
        <f>H233/Variables!$E$49</f>
        <v>0.89911859360433977</v>
      </c>
      <c r="H233" s="62">
        <f>IF((H232+I233)&gt;(1.1*Variables!$E$50),(1.1*Variables!$E$50),IF((H232+I233)&gt;0,H232+I233,0))</f>
        <v>5.5745352803469066</v>
      </c>
      <c r="I233" s="64">
        <f t="shared" si="6"/>
        <v>-5.5289056086290964</v>
      </c>
      <c r="J233" s="63">
        <f>IF(SUM(E229:E232)&lt;Variables!$B$3,-H232,0)</f>
        <v>0</v>
      </c>
      <c r="K233" s="64">
        <f>IF(AND(H232&lt;Variables!$B$6*Variables!$E$50,OR(SUM(D230:D233)&gt;Variables!$B$5,SUM(E230:E233)&gt;Variables!$B$4)),Variables!$B$6*Variables!$E$50+Variables!$B$7*$G$1*Variables!$E$50*SUM(D230:D233),0)</f>
        <v>0</v>
      </c>
      <c r="L233" s="64">
        <f>IF(B233="Winter",Variables!$B$8*H232,0)</f>
        <v>-5.5289056086290964</v>
      </c>
      <c r="M233" s="64">
        <f>IF(AND(B233="Spring",AND(NOT(H232=0),H232&lt;(Variables!$B$9*Variables!$E$50))),(Variables!$B$10*Variables!$E$50+Variables!$B$11*Variables!$E$50*SUM(E230:E233)+$G$1*SUM(D232:D233)*Variables!$E$50*Variables!$B$12),0)</f>
        <v>0</v>
      </c>
      <c r="N233" s="64">
        <f>IF(AND(B233="Spring",AND(SUM(D230:D233)&gt;Variables!$B$13,SUM(D226:D229)&gt;Variables!$B$13)),-Variables!$B$14*Variables!$E$50,0)</f>
        <v>0</v>
      </c>
      <c r="O233" s="64">
        <f>IF(AND(B233="Summer",SUM(C229:D233)&gt;Variables!$B$15),(Variables!$B$16*Variables!$E$50*SUM(C229:C233)+$G$1*Variables!$B$16*Variables!$E$50*SUM(D229:D233)+$G$1*Variables!$E$50*Variables!$B$17*F233),0)</f>
        <v>0</v>
      </c>
      <c r="P233" s="64">
        <f>IF(AND(AND(B233="Autumn",SUM(D232:E233)&gt;0),NOT(H232=0)),Variables!$B$18*Variables!$E$50+Variables!$B$19*Variables!$E$50*SUM(E232:E233)+$G$1*Variables!$B$19*Variables!$E$50*SUM(D232:D233),0)</f>
        <v>0</v>
      </c>
      <c r="Q233" s="64">
        <f>IF(AND(B233="Autumn",AND((E233+E232)&lt;Variables!$B$20,(D232+D233)=0)),-Variables!$B$21*Variables!$E$50,0)</f>
        <v>0</v>
      </c>
      <c r="R233" s="64">
        <f>IF(B233="Autumn",(SUM(F232:F233)*$G$1*Variables!$B$22*Variables!$E$50),0)</f>
        <v>0</v>
      </c>
      <c r="S233" s="64">
        <f>IF(B233="Spring",($G$1*Variables!$E$50*SUM('Guts (option 2)'!F232:F233)*Variables!$B$23),0)</f>
        <v>0</v>
      </c>
      <c r="T233" s="63">
        <f>IF((H232+SUM(J233:Q233))&lt;(Variables!$B$26*Variables!$E$50),$F$1*((Variables!$B$26*Variables!$E$50)-H232-SUM(J233:Q233)),0)</f>
        <v>0</v>
      </c>
      <c r="U233" s="64">
        <f>IF(AND(AND(B233="Autumn",SUM(D230:E233)&gt;Variables!$B$27),SUM(J233:Q233)&lt;Variables!$B$28*H232),$F$1*(Variables!$B$28*H232-SUM(J233:Q233)),0)</f>
        <v>0</v>
      </c>
      <c r="V233" s="96">
        <f>IF(AND((J233+K233)=0,(Q233+T233)=0),$H$1*H233*Variables!$I$23*0.25,0)</f>
        <v>35.807377010858978</v>
      </c>
      <c r="W233" s="97">
        <f>IF(AND((K233+J233)=0,(T233+Q233)=0),$I$1*H233*Variables!$Q$23*0.25,0)</f>
        <v>37.480852502019118</v>
      </c>
      <c r="X233" s="95">
        <f>IF(AND(NOT(K233=0),(H233-H232)&gt;0),(H233-H232)*(Variables!$M$5*$H$1+Variables!$U$5*$I$1),0)+IF(AND(NOT((J233+N233+Q233)=0),(H232-H233)&gt;0),(H232-H233)*(Variables!$M$4*$H$1+Variables!$U$4*$I$1),0)</f>
        <v>0</v>
      </c>
      <c r="Y233" s="95">
        <f>IF(SUM(T233,U232:U233)&gt;0,H233*Variables!$Y$11*0.25*(1-$J$1),0)</f>
        <v>0</v>
      </c>
      <c r="Z233" s="95">
        <f>IF(T233=0,H233*$J$1*Variables!$Y$5*0.25,0)</f>
        <v>12.078159774084963</v>
      </c>
      <c r="AA233" s="95">
        <f t="shared" si="7"/>
        <v>85.36638928696307</v>
      </c>
      <c r="AB233" s="91">
        <f>AA233/Variables!$E$49</f>
        <v>13.768772465639204</v>
      </c>
    </row>
    <row r="234" spans="1:28" x14ac:dyDescent="0.25">
      <c r="A234" s="61">
        <f>'Water runs'!C241</f>
        <v>23345</v>
      </c>
      <c r="B234" s="61" t="str">
        <f>'Water runs'!B241</f>
        <v>Spring</v>
      </c>
      <c r="C234" s="54">
        <f>'Water runs'!D241/100</f>
        <v>0.73328571428571399</v>
      </c>
      <c r="D234" s="108">
        <f>VLOOKUP(ROW(D234)+4,'Water runs'!$BS$3:$CF$423,MATCH($B$1,Scenarios,0)+1)</f>
        <v>0</v>
      </c>
      <c r="E234" s="54">
        <f>IF(B234=Variables!$D$8,C234-Variables!$E$8,IF(B234=Variables!$D$9,C234-Variables!$E$9,IF(B234=Variables!$D$10,C234-Variables!$E$10,IF(B234=Variables!$D$11,C234-Variables!$E$11,"ELSE"))))</f>
        <v>-3.0696494708995159E-2</v>
      </c>
      <c r="F234" s="108">
        <f>VLOOKUP(ROW(F234)+4,'Water runs'!$CH$3:$CU$423,MATCH($B$1,Scenarios,0)+1)</f>
        <v>0</v>
      </c>
      <c r="G234" s="65">
        <f>H234/Variables!$E$49</f>
        <v>0.89911859360433977</v>
      </c>
      <c r="H234" s="62">
        <f>IF((H233+I234)&gt;(1.1*Variables!$E$50),(1.1*Variables!$E$50),IF((H233+I234)&gt;0,H233+I234,0))</f>
        <v>5.5745352803469066</v>
      </c>
      <c r="I234" s="64">
        <f t="shared" si="6"/>
        <v>0</v>
      </c>
      <c r="J234" s="63">
        <f>IF(SUM(E230:E233)&lt;Variables!$B$3,-H233,0)</f>
        <v>0</v>
      </c>
      <c r="K234" s="64">
        <f>IF(AND(H233&lt;Variables!$B$6*Variables!$E$50,OR(SUM(D231:D234)&gt;Variables!$B$5,SUM(E231:E234)&gt;Variables!$B$4)),Variables!$B$6*Variables!$E$50+Variables!$B$7*$G$1*Variables!$E$50*SUM(D231:D234),0)</f>
        <v>0</v>
      </c>
      <c r="L234" s="64">
        <f>IF(B234="Winter",Variables!$B$8*H233,0)</f>
        <v>0</v>
      </c>
      <c r="M234" s="64">
        <f>IF(AND(B234="Spring",AND(NOT(H233=0),H233&lt;(Variables!$B$9*Variables!$E$50))),(Variables!$B$10*Variables!$E$50+Variables!$B$11*Variables!$E$50*SUM(E231:E234)+$G$1*SUM(D233:D234)*Variables!$E$50*Variables!$B$12),0)</f>
        <v>0</v>
      </c>
      <c r="N234" s="64">
        <f>IF(AND(B234="Spring",AND(SUM(D231:D234)&gt;Variables!$B$13,SUM(D227:D230)&gt;Variables!$B$13)),-Variables!$B$14*Variables!$E$50,0)</f>
        <v>0</v>
      </c>
      <c r="O234" s="64">
        <f>IF(AND(B234="Summer",SUM(C230:D234)&gt;Variables!$B$15),(Variables!$B$16*Variables!$E$50*SUM(C230:C234)+$G$1*Variables!$B$16*Variables!$E$50*SUM(D230:D234)+$G$1*Variables!$E$50*Variables!$B$17*F234),0)</f>
        <v>0</v>
      </c>
      <c r="P234" s="64">
        <f>IF(AND(AND(B234="Autumn",SUM(D233:E234)&gt;0),NOT(H233=0)),Variables!$B$18*Variables!$E$50+Variables!$B$19*Variables!$E$50*SUM(E233:E234)+$G$1*Variables!$B$19*Variables!$E$50*SUM(D233:D234),0)</f>
        <v>0</v>
      </c>
      <c r="Q234" s="64">
        <f>IF(AND(B234="Autumn",AND((E234+E233)&lt;Variables!$B$20,(D233+D234)=0)),-Variables!$B$21*Variables!$E$50,0)</f>
        <v>0</v>
      </c>
      <c r="R234" s="64">
        <f>IF(B234="Autumn",(SUM(F233:F234)*$G$1*Variables!$B$22*Variables!$E$50),0)</f>
        <v>0</v>
      </c>
      <c r="S234" s="64">
        <f>IF(B234="Spring",($G$1*Variables!$E$50*SUM('Guts (option 2)'!F233:F234)*Variables!$B$23),0)</f>
        <v>0</v>
      </c>
      <c r="T234" s="63">
        <f>IF((H233+SUM(J234:Q234))&lt;(Variables!$B$26*Variables!$E$50),$F$1*((Variables!$B$26*Variables!$E$50)-H233-SUM(J234:Q234)),0)</f>
        <v>0</v>
      </c>
      <c r="U234" s="64">
        <f>IF(AND(AND(B234="Autumn",SUM(D231:E234)&gt;Variables!$B$27),SUM(J234:Q234)&lt;Variables!$B$28*H233),$F$1*(Variables!$B$28*H233-SUM(J234:Q234)),0)</f>
        <v>0</v>
      </c>
      <c r="V234" s="96">
        <f>IF(AND((J234+K234)=0,(Q234+T234)=0),$H$1*H234*Variables!$I$23*0.25,0)</f>
        <v>35.807377010858978</v>
      </c>
      <c r="W234" s="97">
        <f>IF(AND((K234+J234)=0,(T234+Q234)=0),$I$1*H234*Variables!$Q$23*0.25,0)</f>
        <v>37.480852502019118</v>
      </c>
      <c r="X234" s="95">
        <f>IF(AND(NOT(K234=0),(H234-H233)&gt;0),(H234-H233)*(Variables!$M$5*$H$1+Variables!$U$5*$I$1),0)+IF(AND(NOT((J234+N234+Q234)=0),(H233-H234)&gt;0),(H233-H234)*(Variables!$M$4*$H$1+Variables!$U$4*$I$1),0)</f>
        <v>0</v>
      </c>
      <c r="Y234" s="95">
        <f>IF(SUM(T234,U233:U234)&gt;0,H234*Variables!$Y$11*0.25*(1-$J$1),0)</f>
        <v>0</v>
      </c>
      <c r="Z234" s="95">
        <f>IF(T234=0,H234*$J$1*Variables!$Y$5*0.25,0)</f>
        <v>12.078159774084963</v>
      </c>
      <c r="AA234" s="95">
        <f t="shared" si="7"/>
        <v>85.36638928696307</v>
      </c>
      <c r="AB234" s="91">
        <f>AA234/Variables!$E$49</f>
        <v>13.768772465639204</v>
      </c>
    </row>
    <row r="235" spans="1:28" x14ac:dyDescent="0.25">
      <c r="A235" s="61">
        <f>'Water runs'!C242</f>
        <v>23435</v>
      </c>
      <c r="B235" s="61" t="str">
        <f>'Water runs'!B242</f>
        <v>Summer</v>
      </c>
      <c r="C235" s="54">
        <f>'Water runs'!D242/100</f>
        <v>1.7191904761904799</v>
      </c>
      <c r="D235" s="108">
        <f>VLOOKUP(ROW(D235)+4,'Water runs'!$BS$3:$CF$423,MATCH($B$1,Scenarios,0)+1)</f>
        <v>0</v>
      </c>
      <c r="E235" s="54">
        <f>IF(B235=Variables!$D$8,C235-Variables!$E$8,IF(B235=Variables!$D$9,C235-Variables!$E$9,IF(B235=Variables!$D$10,C235-Variables!$E$10,IF(B235=Variables!$D$11,C235-Variables!$E$11,"ELSE"))))</f>
        <v>0.46082034013605822</v>
      </c>
      <c r="F235" s="108">
        <f>VLOOKUP(ROW(F235)+4,'Water runs'!$CH$3:$CU$423,MATCH($B$1,Scenarios,0)+1)</f>
        <v>0</v>
      </c>
      <c r="G235" s="65">
        <f>H235/Variables!$E$49</f>
        <v>1.3479195500153007</v>
      </c>
      <c r="H235" s="62">
        <f>IF((H234+I235)&gt;(1.1*Variables!$E$50),(1.1*Variables!$E$50),IF((H234+I235)&gt;0,H234+I235,0))</f>
        <v>8.3571012100948643</v>
      </c>
      <c r="I235" s="64">
        <f t="shared" si="6"/>
        <v>2.7825659297479577</v>
      </c>
      <c r="J235" s="63">
        <f>IF(SUM(E231:E234)&lt;Variables!$B$3,-H234,0)</f>
        <v>0</v>
      </c>
      <c r="K235" s="64">
        <f>IF(AND(H234&lt;Variables!$B$6*Variables!$E$50,OR(SUM(D232:D235)&gt;Variables!$B$5,SUM(E232:E235)&gt;Variables!$B$4)),Variables!$B$6*Variables!$E$50+Variables!$B$7*$G$1*Variables!$E$50*SUM(D232:D235),0)</f>
        <v>0</v>
      </c>
      <c r="L235" s="64">
        <f>IF(B235="Winter",Variables!$B$8*H234,0)</f>
        <v>0</v>
      </c>
      <c r="M235" s="64">
        <f>IF(AND(B235="Spring",AND(NOT(H234=0),H234&lt;(Variables!$B$9*Variables!$E$50))),(Variables!$B$10*Variables!$E$50+Variables!$B$11*Variables!$E$50*SUM(E232:E235)+$G$1*SUM(D234:D235)*Variables!$E$50*Variables!$B$12),0)</f>
        <v>0</v>
      </c>
      <c r="N235" s="64">
        <f>IF(AND(B235="Spring",AND(SUM(D232:D235)&gt;Variables!$B$13,SUM(D228:D231)&gt;Variables!$B$13)),-Variables!$B$14*Variables!$E$50,0)</f>
        <v>0</v>
      </c>
      <c r="O235" s="64">
        <f>IF(AND(B235="Summer",SUM(C231:D235)&gt;Variables!$B$15),(Variables!$B$16*Variables!$E$50*SUM(C231:C235)+$G$1*Variables!$B$16*Variables!$E$50*SUM(D231:D235)+$G$1*Variables!$E$50*Variables!$B$17*F235),0)</f>
        <v>2.7825659297479577</v>
      </c>
      <c r="P235" s="64">
        <f>IF(AND(AND(B235="Autumn",SUM(D234:E235)&gt;0),NOT(H234=0)),Variables!$B$18*Variables!$E$50+Variables!$B$19*Variables!$E$50*SUM(E234:E235)+$G$1*Variables!$B$19*Variables!$E$50*SUM(D234:D235),0)</f>
        <v>0</v>
      </c>
      <c r="Q235" s="64">
        <f>IF(AND(B235="Autumn",AND((E235+E234)&lt;Variables!$B$20,(D234+D235)=0)),-Variables!$B$21*Variables!$E$50,0)</f>
        <v>0</v>
      </c>
      <c r="R235" s="64">
        <f>IF(B235="Autumn",(SUM(F234:F235)*$G$1*Variables!$B$22*Variables!$E$50),0)</f>
        <v>0</v>
      </c>
      <c r="S235" s="64">
        <f>IF(B235="Spring",($G$1*Variables!$E$50*SUM('Guts (option 2)'!F234:F235)*Variables!$B$23),0)</f>
        <v>0</v>
      </c>
      <c r="T235" s="63">
        <f>IF((H234+SUM(J235:Q235))&lt;(Variables!$B$26*Variables!$E$50),$F$1*((Variables!$B$26*Variables!$E$50)-H234-SUM(J235:Q235)),0)</f>
        <v>0</v>
      </c>
      <c r="U235" s="64">
        <f>IF(AND(AND(B235="Autumn",SUM(D232:E235)&gt;Variables!$B$27),SUM(J235:Q235)&lt;Variables!$B$28*H234),$F$1*(Variables!$B$28*H234-SUM(J235:Q235)),0)</f>
        <v>0</v>
      </c>
      <c r="V235" s="96">
        <f>IF(AND((J235+K235)=0,(Q235+T235)=0),$H$1*H235*Variables!$I$23*0.25,0)</f>
        <v>53.680864627903183</v>
      </c>
      <c r="W235" s="97">
        <f>IF(AND((K235+J235)=0,(T235+Q235)=0),$I$1*H235*Variables!$Q$23*0.25,0)</f>
        <v>56.189666411173654</v>
      </c>
      <c r="X235" s="95">
        <f>IF(AND(NOT(K235=0),(H235-H234)&gt;0),(H235-H234)*(Variables!$M$5*$H$1+Variables!$U$5*$I$1),0)+IF(AND(NOT((J235+N235+Q235)=0),(H234-H235)&gt;0),(H234-H235)*(Variables!$M$4*$H$1+Variables!$U$4*$I$1),0)</f>
        <v>0</v>
      </c>
      <c r="Y235" s="95">
        <f>IF(SUM(T235,U234:U235)&gt;0,H235*Variables!$Y$11*0.25*(1-$J$1),0)</f>
        <v>0</v>
      </c>
      <c r="Z235" s="95">
        <f>IF(T235=0,H235*$J$1*Variables!$Y$5*0.25,0)</f>
        <v>18.107052621872207</v>
      </c>
      <c r="AA235" s="95">
        <f t="shared" si="7"/>
        <v>127.97758366094905</v>
      </c>
      <c r="AB235" s="91">
        <f>AA235/Variables!$E$49</f>
        <v>20.641545751765975</v>
      </c>
    </row>
    <row r="236" spans="1:28" x14ac:dyDescent="0.25">
      <c r="A236" s="61">
        <f>'Water runs'!C243</f>
        <v>23528</v>
      </c>
      <c r="B236" s="61" t="str">
        <f>'Water runs'!B243</f>
        <v>Autumn</v>
      </c>
      <c r="C236" s="54">
        <f>'Water runs'!D243/100</f>
        <v>0.28728571428571398</v>
      </c>
      <c r="D236" s="108">
        <f>VLOOKUP(ROW(D236)+4,'Water runs'!$BS$3:$CF$423,MATCH($B$1,Scenarios,0)+1)</f>
        <v>2.1852904615238443E-2</v>
      </c>
      <c r="E236" s="54">
        <f>IF(B236=Variables!$D$8,C236-Variables!$E$8,IF(B236=Variables!$D$9,C236-Variables!$E$9,IF(B236=Variables!$D$10,C236-Variables!$E$10,IF(B236=Variables!$D$11,C236-Variables!$E$11,"ELSE"))))</f>
        <v>-0.70735758503401391</v>
      </c>
      <c r="F236" s="108">
        <f>VLOOKUP(ROW(F236)+4,'Water runs'!$CH$3:$CU$423,MATCH($B$1,Scenarios,0)+1)</f>
        <v>0</v>
      </c>
      <c r="G236" s="65">
        <f>H236/Variables!$E$49</f>
        <v>1.3479195500153007</v>
      </c>
      <c r="H236" s="62">
        <f>IF((H235+I236)&gt;(1.1*Variables!$E$50),(1.1*Variables!$E$50),IF((H235+I236)&gt;0,H235+I236,0))</f>
        <v>8.3571012100948643</v>
      </c>
      <c r="I236" s="64">
        <f t="shared" si="6"/>
        <v>0</v>
      </c>
      <c r="J236" s="63">
        <f>IF(SUM(E232:E235)&lt;Variables!$B$3,-H235,0)</f>
        <v>0</v>
      </c>
      <c r="K236" s="64">
        <f>IF(AND(H235&lt;Variables!$B$6*Variables!$E$50,OR(SUM(D233:D236)&gt;Variables!$B$5,SUM(E233:E236)&gt;Variables!$B$4)),Variables!$B$6*Variables!$E$50+Variables!$B$7*$G$1*Variables!$E$50*SUM(D233:D236),0)</f>
        <v>0</v>
      </c>
      <c r="L236" s="64">
        <f>IF(B236="Winter",Variables!$B$8*H235,0)</f>
        <v>0</v>
      </c>
      <c r="M236" s="64">
        <f>IF(AND(B236="Spring",AND(NOT(H235=0),H235&lt;(Variables!$B$9*Variables!$E$50))),(Variables!$B$10*Variables!$E$50+Variables!$B$11*Variables!$E$50*SUM(E233:E236)+$G$1*SUM(D235:D236)*Variables!$E$50*Variables!$B$12),0)</f>
        <v>0</v>
      </c>
      <c r="N236" s="64">
        <f>IF(AND(B236="Spring",AND(SUM(D233:D236)&gt;Variables!$B$13,SUM(D229:D232)&gt;Variables!$B$13)),-Variables!$B$14*Variables!$E$50,0)</f>
        <v>0</v>
      </c>
      <c r="O236" s="64">
        <f>IF(AND(B236="Summer",SUM(C232:D236)&gt;Variables!$B$15),(Variables!$B$16*Variables!$E$50*SUM(C232:C236)+$G$1*Variables!$B$16*Variables!$E$50*SUM(D232:D236)+$G$1*Variables!$E$50*Variables!$B$17*F236),0)</f>
        <v>0</v>
      </c>
      <c r="P236" s="64">
        <f>IF(AND(AND(B236="Autumn",SUM(D235:E236)&gt;0),NOT(H235=0)),Variables!$B$18*Variables!$E$50+Variables!$B$19*Variables!$E$50*SUM(E235:E236)+$G$1*Variables!$B$19*Variables!$E$50*SUM(D235:D236),0)</f>
        <v>0</v>
      </c>
      <c r="Q236" s="64">
        <f>IF(AND(B236="Autumn",AND((E236+E235)&lt;Variables!$B$20,(D235+D236)=0)),-Variables!$B$21*Variables!$E$50,0)</f>
        <v>0</v>
      </c>
      <c r="R236" s="64">
        <f>IF(B236="Autumn",(SUM(F235:F236)*$G$1*Variables!$B$22*Variables!$E$50),0)</f>
        <v>0</v>
      </c>
      <c r="S236" s="64">
        <f>IF(B236="Spring",($G$1*Variables!$E$50*SUM('Guts (option 2)'!F235:F236)*Variables!$B$23),0)</f>
        <v>0</v>
      </c>
      <c r="T236" s="63">
        <f>IF((H235+SUM(J236:Q236))&lt;(Variables!$B$26*Variables!$E$50),$F$1*((Variables!$B$26*Variables!$E$50)-H235-SUM(J236:Q236)),0)</f>
        <v>0</v>
      </c>
      <c r="U236" s="64">
        <f>IF(AND(AND(B236="Autumn",SUM(D233:E236)&gt;Variables!$B$27),SUM(J236:Q236)&lt;Variables!$B$28*H235),$F$1*(Variables!$B$28*H235-SUM(J236:Q236)),0)</f>
        <v>0</v>
      </c>
      <c r="V236" s="96">
        <f>IF(AND((J236+K236)=0,(Q236+T236)=0),$H$1*H236*Variables!$I$23*0.25,0)</f>
        <v>53.680864627903183</v>
      </c>
      <c r="W236" s="97">
        <f>IF(AND((K236+J236)=0,(T236+Q236)=0),$I$1*H236*Variables!$Q$23*0.25,0)</f>
        <v>56.189666411173654</v>
      </c>
      <c r="X236" s="95">
        <f>IF(AND(NOT(K236=0),(H236-H235)&gt;0),(H236-H235)*(Variables!$M$5*$H$1+Variables!$U$5*$I$1),0)+IF(AND(NOT((J236+N236+Q236)=0),(H235-H236)&gt;0),(H235-H236)*(Variables!$M$4*$H$1+Variables!$U$4*$I$1),0)</f>
        <v>0</v>
      </c>
      <c r="Y236" s="95">
        <f>IF(SUM(T236,U235:U236)&gt;0,H236*Variables!$Y$11*0.25*(1-$J$1),0)</f>
        <v>0</v>
      </c>
      <c r="Z236" s="95">
        <f>IF(T236=0,H236*$J$1*Variables!$Y$5*0.25,0)</f>
        <v>18.107052621872207</v>
      </c>
      <c r="AA236" s="95">
        <f t="shared" si="7"/>
        <v>127.97758366094905</v>
      </c>
      <c r="AB236" s="91">
        <f>AA236/Variables!$E$49</f>
        <v>20.641545751765975</v>
      </c>
    </row>
    <row r="237" spans="1:28" x14ac:dyDescent="0.25">
      <c r="A237" s="61">
        <f>'Water runs'!C244</f>
        <v>23620</v>
      </c>
      <c r="B237" s="61" t="str">
        <f>'Water runs'!B244</f>
        <v>Winter</v>
      </c>
      <c r="C237" s="54">
        <f>'Water runs'!D244/100</f>
        <v>0.42814285714285705</v>
      </c>
      <c r="D237" s="108">
        <f>VLOOKUP(ROW(D237)+4,'Water runs'!$BS$3:$CF$423,MATCH($B$1,Scenarios,0)+1)</f>
        <v>0</v>
      </c>
      <c r="E237" s="54">
        <f>IF(B237=Variables!$D$8,C237-Variables!$E$8,IF(B237=Variables!$D$9,C237-Variables!$E$9,IF(B237=Variables!$D$10,C237-Variables!$E$10,IF(B237=Variables!$D$11,C237-Variables!$E$11,"ELSE"))))</f>
        <v>-0.14362476851851869</v>
      </c>
      <c r="F237" s="108">
        <f>VLOOKUP(ROW(F237)+4,'Water runs'!$CH$3:$CU$423,MATCH($B$1,Scenarios,0)+1)</f>
        <v>0</v>
      </c>
      <c r="G237" s="65">
        <f>H237/Variables!$E$49</f>
        <v>0.67672941764294725</v>
      </c>
      <c r="H237" s="62">
        <f>IF((H236+I237)&gt;(1.1*Variables!$E$50),(1.1*Variables!$E$50),IF((H236+I237)&gt;0,H236+I237,0))</f>
        <v>4.1957223893862734</v>
      </c>
      <c r="I237" s="64">
        <f t="shared" si="6"/>
        <v>-4.1613788207085909</v>
      </c>
      <c r="J237" s="63">
        <f>IF(SUM(E233:E236)&lt;Variables!$B$3,-H236,0)</f>
        <v>0</v>
      </c>
      <c r="K237" s="64">
        <f>IF(AND(H236&lt;Variables!$B$6*Variables!$E$50,OR(SUM(D234:D237)&gt;Variables!$B$5,SUM(E234:E237)&gt;Variables!$B$4)),Variables!$B$6*Variables!$E$50+Variables!$B$7*$G$1*Variables!$E$50*SUM(D234:D237),0)</f>
        <v>0</v>
      </c>
      <c r="L237" s="64">
        <f>IF(B237="Winter",Variables!$B$8*H236,0)</f>
        <v>-4.1613788207085909</v>
      </c>
      <c r="M237" s="64">
        <f>IF(AND(B237="Spring",AND(NOT(H236=0),H236&lt;(Variables!$B$9*Variables!$E$50))),(Variables!$B$10*Variables!$E$50+Variables!$B$11*Variables!$E$50*SUM(E234:E237)+$G$1*SUM(D236:D237)*Variables!$E$50*Variables!$B$12),0)</f>
        <v>0</v>
      </c>
      <c r="N237" s="64">
        <f>IF(AND(B237="Spring",AND(SUM(D234:D237)&gt;Variables!$B$13,SUM(D230:D233)&gt;Variables!$B$13)),-Variables!$B$14*Variables!$E$50,0)</f>
        <v>0</v>
      </c>
      <c r="O237" s="64">
        <f>IF(AND(B237="Summer",SUM(C233:D237)&gt;Variables!$B$15),(Variables!$B$16*Variables!$E$50*SUM(C233:C237)+$G$1*Variables!$B$16*Variables!$E$50*SUM(D233:D237)+$G$1*Variables!$E$50*Variables!$B$17*F237),0)</f>
        <v>0</v>
      </c>
      <c r="P237" s="64">
        <f>IF(AND(AND(B237="Autumn",SUM(D236:E237)&gt;0),NOT(H236=0)),Variables!$B$18*Variables!$E$50+Variables!$B$19*Variables!$E$50*SUM(E236:E237)+$G$1*Variables!$B$19*Variables!$E$50*SUM(D236:D237),0)</f>
        <v>0</v>
      </c>
      <c r="Q237" s="64">
        <f>IF(AND(B237="Autumn",AND((E237+E236)&lt;Variables!$B$20,(D236+D237)=0)),-Variables!$B$21*Variables!$E$50,0)</f>
        <v>0</v>
      </c>
      <c r="R237" s="64">
        <f>IF(B237="Autumn",(SUM(F236:F237)*$G$1*Variables!$B$22*Variables!$E$50),0)</f>
        <v>0</v>
      </c>
      <c r="S237" s="64">
        <f>IF(B237="Spring",($G$1*Variables!$E$50*SUM('Guts (option 2)'!F236:F237)*Variables!$B$23),0)</f>
        <v>0</v>
      </c>
      <c r="T237" s="63">
        <f>IF((H236+SUM(J237:Q237))&lt;(Variables!$B$26*Variables!$E$50),$F$1*((Variables!$B$26*Variables!$E$50)-H236-SUM(J237:Q237)),0)</f>
        <v>0</v>
      </c>
      <c r="U237" s="64">
        <f>IF(AND(AND(B237="Autumn",SUM(D234:E237)&gt;Variables!$B$27),SUM(J237:Q237)&lt;Variables!$B$28*H236),$F$1*(Variables!$B$28*H236-SUM(J237:Q237)),0)</f>
        <v>0</v>
      </c>
      <c r="V237" s="96">
        <f>IF(AND((J237+K237)=0,(Q237+T237)=0),$H$1*H237*Variables!$I$23*0.25,0)</f>
        <v>26.9507332672773</v>
      </c>
      <c r="W237" s="97">
        <f>IF(AND((K237+J237)=0,(T237+Q237)=0),$I$1*H237*Variables!$Q$23*0.25,0)</f>
        <v>28.210289128571056</v>
      </c>
      <c r="X237" s="95">
        <f>IF(AND(NOT(K237=0),(H237-H236)&gt;0),(H237-H236)*(Variables!$M$5*$H$1+Variables!$U$5*$I$1),0)+IF(AND(NOT((J237+N237+Q237)=0),(H236-H237)&gt;0),(H236-H237)*(Variables!$M$4*$H$1+Variables!$U$4*$I$1),0)</f>
        <v>0</v>
      </c>
      <c r="Y237" s="95">
        <f>IF(SUM(T237,U236:U237)&gt;0,H237*Variables!$Y$11*0.25*(1-$J$1),0)</f>
        <v>0</v>
      </c>
      <c r="Z237" s="95">
        <f>IF(T237=0,H237*$J$1*Variables!$Y$5*0.25,0)</f>
        <v>9.0907318436702589</v>
      </c>
      <c r="AA237" s="95">
        <f t="shared" si="7"/>
        <v>64.251754239518618</v>
      </c>
      <c r="AB237" s="91">
        <f>AA237/Variables!$E$49</f>
        <v>10.363186167664294</v>
      </c>
    </row>
    <row r="238" spans="1:28" x14ac:dyDescent="0.25">
      <c r="A238" s="61">
        <f>'Water runs'!C245</f>
        <v>23711</v>
      </c>
      <c r="B238" s="61" t="str">
        <f>'Water runs'!B245</f>
        <v>Spring</v>
      </c>
      <c r="C238" s="54">
        <f>'Water runs'!D245/100</f>
        <v>1.4167619047618998</v>
      </c>
      <c r="D238" s="108">
        <f>VLOOKUP(ROW(D238)+4,'Water runs'!$BS$3:$CF$423,MATCH($B$1,Scenarios,0)+1)</f>
        <v>0</v>
      </c>
      <c r="E238" s="54">
        <f>IF(B238=Variables!$D$8,C238-Variables!$E$8,IF(B238=Variables!$D$9,C238-Variables!$E$9,IF(B238=Variables!$D$10,C238-Variables!$E$10,IF(B238=Variables!$D$11,C238-Variables!$E$11,"ELSE"))))</f>
        <v>0.65277969576719064</v>
      </c>
      <c r="F238" s="108">
        <f>VLOOKUP(ROW(F238)+4,'Water runs'!$CH$3:$CU$423,MATCH($B$1,Scenarios,0)+1)</f>
        <v>0</v>
      </c>
      <c r="G238" s="65">
        <f>H238/Variables!$E$49</f>
        <v>0.67672941764294725</v>
      </c>
      <c r="H238" s="62">
        <f>IF((H237+I238)&gt;(1.1*Variables!$E$50),(1.1*Variables!$E$50),IF((H237+I238)&gt;0,H237+I238,0))</f>
        <v>4.1957223893862734</v>
      </c>
      <c r="I238" s="64">
        <f t="shared" si="6"/>
        <v>0</v>
      </c>
      <c r="J238" s="63">
        <f>IF(SUM(E234:E237)&lt;Variables!$B$3,-H237,0)</f>
        <v>0</v>
      </c>
      <c r="K238" s="64">
        <f>IF(AND(H237&lt;Variables!$B$6*Variables!$E$50,OR(SUM(D235:D238)&gt;Variables!$B$5,SUM(E235:E238)&gt;Variables!$B$4)),Variables!$B$6*Variables!$E$50+Variables!$B$7*$G$1*Variables!$E$50*SUM(D235:D238),0)</f>
        <v>0</v>
      </c>
      <c r="L238" s="64">
        <f>IF(B238="Winter",Variables!$B$8*H237,0)</f>
        <v>0</v>
      </c>
      <c r="M238" s="64">
        <f>IF(AND(B238="Spring",AND(NOT(H237=0),H237&lt;(Variables!$B$9*Variables!$E$50))),(Variables!$B$10*Variables!$E$50+Variables!$B$11*Variables!$E$50*SUM(E235:E238)+$G$1*SUM(D237:D238)*Variables!$E$50*Variables!$B$12),0)</f>
        <v>0</v>
      </c>
      <c r="N238" s="64">
        <f>IF(AND(B238="Spring",AND(SUM(D235:D238)&gt;Variables!$B$13,SUM(D231:D234)&gt;Variables!$B$13)),-Variables!$B$14*Variables!$E$50,0)</f>
        <v>0</v>
      </c>
      <c r="O238" s="64">
        <f>IF(AND(B238="Summer",SUM(C234:D238)&gt;Variables!$B$15),(Variables!$B$16*Variables!$E$50*SUM(C234:C238)+$G$1*Variables!$B$16*Variables!$E$50*SUM(D234:D238)+$G$1*Variables!$E$50*Variables!$B$17*F238),0)</f>
        <v>0</v>
      </c>
      <c r="P238" s="64">
        <f>IF(AND(AND(B238="Autumn",SUM(D237:E238)&gt;0),NOT(H237=0)),Variables!$B$18*Variables!$E$50+Variables!$B$19*Variables!$E$50*SUM(E237:E238)+$G$1*Variables!$B$19*Variables!$E$50*SUM(D237:D238),0)</f>
        <v>0</v>
      </c>
      <c r="Q238" s="64">
        <f>IF(AND(B238="Autumn",AND((E238+E237)&lt;Variables!$B$20,(D237+D238)=0)),-Variables!$B$21*Variables!$E$50,0)</f>
        <v>0</v>
      </c>
      <c r="R238" s="64">
        <f>IF(B238="Autumn",(SUM(F237:F238)*$G$1*Variables!$B$22*Variables!$E$50),0)</f>
        <v>0</v>
      </c>
      <c r="S238" s="64">
        <f>IF(B238="Spring",($G$1*Variables!$E$50*SUM('Guts (option 2)'!F237:F238)*Variables!$B$23),0)</f>
        <v>0</v>
      </c>
      <c r="T238" s="63">
        <f>IF((H237+SUM(J238:Q238))&lt;(Variables!$B$26*Variables!$E$50),$F$1*((Variables!$B$26*Variables!$E$50)-H237-SUM(J238:Q238)),0)</f>
        <v>0</v>
      </c>
      <c r="U238" s="64">
        <f>IF(AND(AND(B238="Autumn",SUM(D235:E238)&gt;Variables!$B$27),SUM(J238:Q238)&lt;Variables!$B$28*H237),$F$1*(Variables!$B$28*H237-SUM(J238:Q238)),0)</f>
        <v>0</v>
      </c>
      <c r="V238" s="96">
        <f>IF(AND((J238+K238)=0,(Q238+T238)=0),$H$1*H238*Variables!$I$23*0.25,0)</f>
        <v>26.9507332672773</v>
      </c>
      <c r="W238" s="97">
        <f>IF(AND((K238+J238)=0,(T238+Q238)=0),$I$1*H238*Variables!$Q$23*0.25,0)</f>
        <v>28.210289128571056</v>
      </c>
      <c r="X238" s="95">
        <f>IF(AND(NOT(K238=0),(H238-H237)&gt;0),(H238-H237)*(Variables!$M$5*$H$1+Variables!$U$5*$I$1),0)+IF(AND(NOT((J238+N238+Q238)=0),(H237-H238)&gt;0),(H237-H238)*(Variables!$M$4*$H$1+Variables!$U$4*$I$1),0)</f>
        <v>0</v>
      </c>
      <c r="Y238" s="95">
        <f>IF(SUM(T238,U237:U238)&gt;0,H238*Variables!$Y$11*0.25*(1-$J$1),0)</f>
        <v>0</v>
      </c>
      <c r="Z238" s="95">
        <f>IF(T238=0,H238*$J$1*Variables!$Y$5*0.25,0)</f>
        <v>9.0907318436702589</v>
      </c>
      <c r="AA238" s="95">
        <f t="shared" si="7"/>
        <v>64.251754239518618</v>
      </c>
      <c r="AB238" s="91">
        <f>AA238/Variables!$E$49</f>
        <v>10.363186167664294</v>
      </c>
    </row>
    <row r="239" spans="1:28" x14ac:dyDescent="0.25">
      <c r="A239" s="61">
        <f>'Water runs'!C246</f>
        <v>23801</v>
      </c>
      <c r="B239" s="61" t="str">
        <f>'Water runs'!B246</f>
        <v>Summer</v>
      </c>
      <c r="C239" s="54">
        <f>'Water runs'!D246/100</f>
        <v>0.44814285714285701</v>
      </c>
      <c r="D239" s="108">
        <f>VLOOKUP(ROW(D239)+4,'Water runs'!$BS$3:$CF$423,MATCH($B$1,Scenarios,0)+1)</f>
        <v>0</v>
      </c>
      <c r="E239" s="54">
        <f>IF(B239=Variables!$D$8,C239-Variables!$E$8,IF(B239=Variables!$D$9,C239-Variables!$E$9,IF(B239=Variables!$D$10,C239-Variables!$E$10,IF(B239=Variables!$D$11,C239-Variables!$E$11,"ELSE"))))</f>
        <v>-0.81022727891156476</v>
      </c>
      <c r="F239" s="108">
        <f>VLOOKUP(ROW(F239)+4,'Water runs'!$CH$3:$CU$423,MATCH($B$1,Scenarios,0)+1)</f>
        <v>0</v>
      </c>
      <c r="G239" s="65">
        <f>H239/Variables!$E$49</f>
        <v>0.67672941764294725</v>
      </c>
      <c r="H239" s="62">
        <f>IF((H238+I239)&gt;(1.1*Variables!$E$50),(1.1*Variables!$E$50),IF((H238+I239)&gt;0,H238+I239,0))</f>
        <v>4.1957223893862734</v>
      </c>
      <c r="I239" s="64">
        <f t="shared" si="6"/>
        <v>0</v>
      </c>
      <c r="J239" s="63">
        <f>IF(SUM(E235:E238)&lt;Variables!$B$3,-H238,0)</f>
        <v>0</v>
      </c>
      <c r="K239" s="64">
        <f>IF(AND(H238&lt;Variables!$B$6*Variables!$E$50,OR(SUM(D236:D239)&gt;Variables!$B$5,SUM(E236:E239)&gt;Variables!$B$4)),Variables!$B$6*Variables!$E$50+Variables!$B$7*$G$1*Variables!$E$50*SUM(D236:D239),0)</f>
        <v>0</v>
      </c>
      <c r="L239" s="64">
        <f>IF(B239="Winter",Variables!$B$8*H238,0)</f>
        <v>0</v>
      </c>
      <c r="M239" s="64">
        <f>IF(AND(B239="Spring",AND(NOT(H238=0),H238&lt;(Variables!$B$9*Variables!$E$50))),(Variables!$B$10*Variables!$E$50+Variables!$B$11*Variables!$E$50*SUM(E236:E239)+$G$1*SUM(D238:D239)*Variables!$E$50*Variables!$B$12),0)</f>
        <v>0</v>
      </c>
      <c r="N239" s="64">
        <f>IF(AND(B239="Spring",AND(SUM(D236:D239)&gt;Variables!$B$13,SUM(D232:D235)&gt;Variables!$B$13)),-Variables!$B$14*Variables!$E$50,0)</f>
        <v>0</v>
      </c>
      <c r="O239" s="64">
        <f>IF(AND(B239="Summer",SUM(C235:D239)&gt;Variables!$B$15),(Variables!$B$16*Variables!$E$50*SUM(C235:C239)+$G$1*Variables!$B$16*Variables!$E$50*SUM(D235:D239)+$G$1*Variables!$E$50*Variables!$B$17*F239),0)</f>
        <v>0</v>
      </c>
      <c r="P239" s="64">
        <f>IF(AND(AND(B239="Autumn",SUM(D238:E239)&gt;0),NOT(H238=0)),Variables!$B$18*Variables!$E$50+Variables!$B$19*Variables!$E$50*SUM(E238:E239)+$G$1*Variables!$B$19*Variables!$E$50*SUM(D238:D239),0)</f>
        <v>0</v>
      </c>
      <c r="Q239" s="64">
        <f>IF(AND(B239="Autumn",AND((E239+E238)&lt;Variables!$B$20,(D238+D239)=0)),-Variables!$B$21*Variables!$E$50,0)</f>
        <v>0</v>
      </c>
      <c r="R239" s="64">
        <f>IF(B239="Autumn",(SUM(F238:F239)*$G$1*Variables!$B$22*Variables!$E$50),0)</f>
        <v>0</v>
      </c>
      <c r="S239" s="64">
        <f>IF(B239="Spring",($G$1*Variables!$E$50*SUM('Guts (option 2)'!F238:F239)*Variables!$B$23),0)</f>
        <v>0</v>
      </c>
      <c r="T239" s="63">
        <f>IF((H238+SUM(J239:Q239))&lt;(Variables!$B$26*Variables!$E$50),$F$1*((Variables!$B$26*Variables!$E$50)-H238-SUM(J239:Q239)),0)</f>
        <v>0</v>
      </c>
      <c r="U239" s="64">
        <f>IF(AND(AND(B239="Autumn",SUM(D236:E239)&gt;Variables!$B$27),SUM(J239:Q239)&lt;Variables!$B$28*H238),$F$1*(Variables!$B$28*H238-SUM(J239:Q239)),0)</f>
        <v>0</v>
      </c>
      <c r="V239" s="96">
        <f>IF(AND((J239+K239)=0,(Q239+T239)=0),$H$1*H239*Variables!$I$23*0.25,0)</f>
        <v>26.9507332672773</v>
      </c>
      <c r="W239" s="97">
        <f>IF(AND((K239+J239)=0,(T239+Q239)=0),$I$1*H239*Variables!$Q$23*0.25,0)</f>
        <v>28.210289128571056</v>
      </c>
      <c r="X239" s="95">
        <f>IF(AND(NOT(K239=0),(H239-H238)&gt;0),(H239-H238)*(Variables!$M$5*$H$1+Variables!$U$5*$I$1),0)+IF(AND(NOT((J239+N239+Q239)=0),(H238-H239)&gt;0),(H238-H239)*(Variables!$M$4*$H$1+Variables!$U$4*$I$1),0)</f>
        <v>0</v>
      </c>
      <c r="Y239" s="95">
        <f>IF(SUM(T239,U238:U239)&gt;0,H239*Variables!$Y$11*0.25*(1-$J$1),0)</f>
        <v>0</v>
      </c>
      <c r="Z239" s="95">
        <f>IF(T239=0,H239*$J$1*Variables!$Y$5*0.25,0)</f>
        <v>9.0907318436702589</v>
      </c>
      <c r="AA239" s="95">
        <f t="shared" si="7"/>
        <v>64.251754239518618</v>
      </c>
      <c r="AB239" s="91">
        <f>AA239/Variables!$E$49</f>
        <v>10.363186167664294</v>
      </c>
    </row>
    <row r="240" spans="1:28" x14ac:dyDescent="0.25">
      <c r="A240" s="61">
        <f>'Water runs'!C247</f>
        <v>23893</v>
      </c>
      <c r="B240" s="61" t="str">
        <f>'Water runs'!B247</f>
        <v>Autumn</v>
      </c>
      <c r="C240" s="54">
        <f>'Water runs'!D247/100</f>
        <v>0.25</v>
      </c>
      <c r="D240" s="108">
        <f>VLOOKUP(ROW(D240)+4,'Water runs'!$BS$3:$CF$423,MATCH($B$1,Scenarios,0)+1)</f>
        <v>0</v>
      </c>
      <c r="E240" s="54">
        <f>IF(B240=Variables!$D$8,C240-Variables!$E$8,IF(B240=Variables!$D$9,C240-Variables!$E$9,IF(B240=Variables!$D$10,C240-Variables!$E$10,IF(B240=Variables!$D$11,C240-Variables!$E$11,"ELSE"))))</f>
        <v>-0.74464329931972784</v>
      </c>
      <c r="F240" s="108">
        <f>VLOOKUP(ROW(F240)+4,'Water runs'!$CH$3:$CU$423,MATCH($B$1,Scenarios,0)+1)</f>
        <v>0</v>
      </c>
      <c r="G240" s="65">
        <f>H240/Variables!$E$49</f>
        <v>0.67672941764294725</v>
      </c>
      <c r="H240" s="62">
        <f>IF((H239+I240)&gt;(1.1*Variables!$E$50),(1.1*Variables!$E$50),IF((H239+I240)&gt;0,H239+I240,0))</f>
        <v>4.1957223893862734</v>
      </c>
      <c r="I240" s="64">
        <f t="shared" si="6"/>
        <v>0</v>
      </c>
      <c r="J240" s="63">
        <f>IF(SUM(E236:E239)&lt;Variables!$B$3,-H239,0)</f>
        <v>0</v>
      </c>
      <c r="K240" s="64">
        <f>IF(AND(H239&lt;Variables!$B$6*Variables!$E$50,OR(SUM(D237:D240)&gt;Variables!$B$5,SUM(E237:E240)&gt;Variables!$B$4)),Variables!$B$6*Variables!$E$50+Variables!$B$7*$G$1*Variables!$E$50*SUM(D237:D240),0)</f>
        <v>0</v>
      </c>
      <c r="L240" s="64">
        <f>IF(B240="Winter",Variables!$B$8*H239,0)</f>
        <v>0</v>
      </c>
      <c r="M240" s="64">
        <f>IF(AND(B240="Spring",AND(NOT(H239=0),H239&lt;(Variables!$B$9*Variables!$E$50))),(Variables!$B$10*Variables!$E$50+Variables!$B$11*Variables!$E$50*SUM(E237:E240)+$G$1*SUM(D239:D240)*Variables!$E$50*Variables!$B$12),0)</f>
        <v>0</v>
      </c>
      <c r="N240" s="64">
        <f>IF(AND(B240="Spring",AND(SUM(D237:D240)&gt;Variables!$B$13,SUM(D233:D236)&gt;Variables!$B$13)),-Variables!$B$14*Variables!$E$50,0)</f>
        <v>0</v>
      </c>
      <c r="O240" s="64">
        <f>IF(AND(B240="Summer",SUM(C236:D240)&gt;Variables!$B$15),(Variables!$B$16*Variables!$E$50*SUM(C236:C240)+$G$1*Variables!$B$16*Variables!$E$50*SUM(D236:D240)+$G$1*Variables!$E$50*Variables!$B$17*F240),0)</f>
        <v>0</v>
      </c>
      <c r="P240" s="64">
        <f>IF(AND(AND(B240="Autumn",SUM(D239:E240)&gt;0),NOT(H239=0)),Variables!$B$18*Variables!$E$50+Variables!$B$19*Variables!$E$50*SUM(E239:E240)+$G$1*Variables!$B$19*Variables!$E$50*SUM(D239:D240),0)</f>
        <v>0</v>
      </c>
      <c r="Q240" s="64">
        <f>IF(AND(B240="Autumn",AND((E240+E239)&lt;Variables!$B$20,(D239+D240)=0)),-Variables!$B$21*Variables!$E$50,0)</f>
        <v>0</v>
      </c>
      <c r="R240" s="64">
        <f>IF(B240="Autumn",(SUM(F239:F240)*$G$1*Variables!$B$22*Variables!$E$50),0)</f>
        <v>0</v>
      </c>
      <c r="S240" s="64">
        <f>IF(B240="Spring",($G$1*Variables!$E$50*SUM('Guts (option 2)'!F239:F240)*Variables!$B$23),0)</f>
        <v>0</v>
      </c>
      <c r="T240" s="63">
        <f>IF((H239+SUM(J240:Q240))&lt;(Variables!$B$26*Variables!$E$50),$F$1*((Variables!$B$26*Variables!$E$50)-H239-SUM(J240:Q240)),0)</f>
        <v>0</v>
      </c>
      <c r="U240" s="64">
        <f>IF(AND(AND(B240="Autumn",SUM(D237:E240)&gt;Variables!$B$27),SUM(J240:Q240)&lt;Variables!$B$28*H239),$F$1*(Variables!$B$28*H239-SUM(J240:Q240)),0)</f>
        <v>0</v>
      </c>
      <c r="V240" s="96">
        <f>IF(AND((J240+K240)=0,(Q240+T240)=0),$H$1*H240*Variables!$I$23*0.25,0)</f>
        <v>26.9507332672773</v>
      </c>
      <c r="W240" s="97">
        <f>IF(AND((K240+J240)=0,(T240+Q240)=0),$I$1*H240*Variables!$Q$23*0.25,0)</f>
        <v>28.210289128571056</v>
      </c>
      <c r="X240" s="95">
        <f>IF(AND(NOT(K240=0),(H240-H239)&gt;0),(H240-H239)*(Variables!$M$5*$H$1+Variables!$U$5*$I$1),0)+IF(AND(NOT((J240+N240+Q240)=0),(H239-H240)&gt;0),(H239-H240)*(Variables!$M$4*$H$1+Variables!$U$4*$I$1),0)</f>
        <v>0</v>
      </c>
      <c r="Y240" s="95">
        <f>IF(SUM(T240,U239:U240)&gt;0,H240*Variables!$Y$11*0.25*(1-$J$1),0)</f>
        <v>0</v>
      </c>
      <c r="Z240" s="95">
        <f>IF(T240=0,H240*$J$1*Variables!$Y$5*0.25,0)</f>
        <v>9.0907318436702589</v>
      </c>
      <c r="AA240" s="95">
        <f t="shared" si="7"/>
        <v>64.251754239518618</v>
      </c>
      <c r="AB240" s="91">
        <f>AA240/Variables!$E$49</f>
        <v>10.363186167664294</v>
      </c>
    </row>
    <row r="241" spans="1:28" x14ac:dyDescent="0.25">
      <c r="A241" s="61">
        <f>'Water runs'!C248</f>
        <v>23985</v>
      </c>
      <c r="B241" s="61" t="str">
        <f>'Water runs'!B248</f>
        <v>Winter</v>
      </c>
      <c r="C241" s="54">
        <f>'Water runs'!D248/100</f>
        <v>0.14199999999999999</v>
      </c>
      <c r="D241" s="108">
        <f>VLOOKUP(ROW(D241)+4,'Water runs'!$BS$3:$CF$423,MATCH($B$1,Scenarios,0)+1)</f>
        <v>1.1871036191893839E-2</v>
      </c>
      <c r="E241" s="54">
        <f>IF(B241=Variables!$D$8,C241-Variables!$E$8,IF(B241=Variables!$D$9,C241-Variables!$E$9,IF(B241=Variables!$D$10,C241-Variables!$E$10,IF(B241=Variables!$D$11,C241-Variables!$E$11,"ELSE"))))</f>
        <v>-0.42976762566137572</v>
      </c>
      <c r="F241" s="108">
        <f>VLOOKUP(ROW(F241)+4,'Water runs'!$CH$3:$CU$423,MATCH($B$1,Scenarios,0)+1)</f>
        <v>0</v>
      </c>
      <c r="G241" s="65">
        <f>H241/Variables!$E$49</f>
        <v>0.3397552210724773</v>
      </c>
      <c r="H241" s="62">
        <f>IF((H240+I241)&gt;(1.1*Variables!$E$50),(1.1*Variables!$E$50),IF((H240+I241)&gt;0,H240+I241,0))</f>
        <v>2.1064823706493594</v>
      </c>
      <c r="I241" s="64">
        <f t="shared" si="6"/>
        <v>-2.089240018736914</v>
      </c>
      <c r="J241" s="63">
        <f>IF(SUM(E237:E240)&lt;Variables!$B$3,-H240,0)</f>
        <v>0</v>
      </c>
      <c r="K241" s="64">
        <f>IF(AND(H240&lt;Variables!$B$6*Variables!$E$50,OR(SUM(D238:D241)&gt;Variables!$B$5,SUM(E238:E241)&gt;Variables!$B$4)),Variables!$B$6*Variables!$E$50+Variables!$B$7*$G$1*Variables!$E$50*SUM(D238:D241),0)</f>
        <v>0</v>
      </c>
      <c r="L241" s="64">
        <f>IF(B241="Winter",Variables!$B$8*H240,0)</f>
        <v>-2.089240018736914</v>
      </c>
      <c r="M241" s="64">
        <f>IF(AND(B241="Spring",AND(NOT(H240=0),H240&lt;(Variables!$B$9*Variables!$E$50))),(Variables!$B$10*Variables!$E$50+Variables!$B$11*Variables!$E$50*SUM(E238:E241)+$G$1*SUM(D240:D241)*Variables!$E$50*Variables!$B$12),0)</f>
        <v>0</v>
      </c>
      <c r="N241" s="64">
        <f>IF(AND(B241="Spring",AND(SUM(D238:D241)&gt;Variables!$B$13,SUM(D234:D237)&gt;Variables!$B$13)),-Variables!$B$14*Variables!$E$50,0)</f>
        <v>0</v>
      </c>
      <c r="O241" s="64">
        <f>IF(AND(B241="Summer",SUM(C237:D241)&gt;Variables!$B$15),(Variables!$B$16*Variables!$E$50*SUM(C237:C241)+$G$1*Variables!$B$16*Variables!$E$50*SUM(D237:D241)+$G$1*Variables!$E$50*Variables!$B$17*F241),0)</f>
        <v>0</v>
      </c>
      <c r="P241" s="64">
        <f>IF(AND(AND(B241="Autumn",SUM(D240:E241)&gt;0),NOT(H240=0)),Variables!$B$18*Variables!$E$50+Variables!$B$19*Variables!$E$50*SUM(E240:E241)+$G$1*Variables!$B$19*Variables!$E$50*SUM(D240:D241),0)</f>
        <v>0</v>
      </c>
      <c r="Q241" s="64">
        <f>IF(AND(B241="Autumn",AND((E241+E240)&lt;Variables!$B$20,(D240+D241)=0)),-Variables!$B$21*Variables!$E$50,0)</f>
        <v>0</v>
      </c>
      <c r="R241" s="64">
        <f>IF(B241="Autumn",(SUM(F240:F241)*$G$1*Variables!$B$22*Variables!$E$50),0)</f>
        <v>0</v>
      </c>
      <c r="S241" s="64">
        <f>IF(B241="Spring",($G$1*Variables!$E$50*SUM('Guts (option 2)'!F240:F241)*Variables!$B$23),0)</f>
        <v>0</v>
      </c>
      <c r="T241" s="63">
        <f>IF((H240+SUM(J241:Q241))&lt;(Variables!$B$26*Variables!$E$50),$F$1*((Variables!$B$26*Variables!$E$50)-H240-SUM(J241:Q241)),0)</f>
        <v>0</v>
      </c>
      <c r="U241" s="64">
        <f>IF(AND(AND(B241="Autumn",SUM(D238:E241)&gt;Variables!$B$27),SUM(J241:Q241)&lt;Variables!$B$28*H240),$F$1*(Variables!$B$28*H240-SUM(J241:Q241)),0)</f>
        <v>0</v>
      </c>
      <c r="V241" s="96">
        <f>IF(AND((J241+K241)=0,(Q241+T241)=0),$H$1*H241*Variables!$I$23*0.25,0)</f>
        <v>13.530743751589583</v>
      </c>
      <c r="W241" s="97">
        <f>IF(AND((K241+J241)=0,(T241+Q241)=0),$I$1*H241*Variables!$Q$23*0.25,0)</f>
        <v>14.16310975925852</v>
      </c>
      <c r="X241" s="95">
        <f>IF(AND(NOT(K241=0),(H241-H240)&gt;0),(H241-H240)*(Variables!$M$5*$H$1+Variables!$U$5*$I$1),0)+IF(AND(NOT((J241+N241+Q241)=0),(H240-H241)&gt;0),(H240-H241)*(Variables!$M$4*$H$1+Variables!$U$4*$I$1),0)</f>
        <v>0</v>
      </c>
      <c r="Y241" s="95">
        <f>IF(SUM(T241,U240:U241)&gt;0,H241*Variables!$Y$11*0.25*(1-$J$1),0)</f>
        <v>0</v>
      </c>
      <c r="Z241" s="95">
        <f>IF(T241=0,H241*$J$1*Variables!$Y$5*0.25,0)</f>
        <v>4.5640451364069445</v>
      </c>
      <c r="AA241" s="95">
        <f t="shared" si="7"/>
        <v>32.257898647255047</v>
      </c>
      <c r="AB241" s="91">
        <f>AA241/Variables!$E$49</f>
        <v>5.2028868785895233</v>
      </c>
    </row>
    <row r="242" spans="1:28" x14ac:dyDescent="0.25">
      <c r="A242" s="61">
        <f>'Water runs'!C249</f>
        <v>24076</v>
      </c>
      <c r="B242" s="61" t="str">
        <f>'Water runs'!B249</f>
        <v>Spring</v>
      </c>
      <c r="C242" s="54">
        <f>'Water runs'!D249/100</f>
        <v>0.121</v>
      </c>
      <c r="D242" s="108">
        <f>VLOOKUP(ROW(D242)+4,'Water runs'!$BS$3:$CF$423,MATCH($B$1,Scenarios,0)+1)</f>
        <v>0</v>
      </c>
      <c r="E242" s="54">
        <f>IF(B242=Variables!$D$8,C242-Variables!$E$8,IF(B242=Variables!$D$9,C242-Variables!$E$9,IF(B242=Variables!$D$10,C242-Variables!$E$10,IF(B242=Variables!$D$11,C242-Variables!$E$11,"ELSE"))))</f>
        <v>-0.64298220899470915</v>
      </c>
      <c r="F242" s="108">
        <f>VLOOKUP(ROW(F242)+4,'Water runs'!$CH$3:$CU$423,MATCH($B$1,Scenarios,0)+1)</f>
        <v>0</v>
      </c>
      <c r="G242" s="65">
        <f>H242/Variables!$E$49</f>
        <v>0.16100000000000003</v>
      </c>
      <c r="H242" s="62">
        <f>IF((H241+I242)&gt;(1.1*Variables!$E$50),(1.1*Variables!$E$50),IF((H241+I242)&gt;0,H241+I242,0))</f>
        <v>0.9982000000000002</v>
      </c>
      <c r="I242" s="64">
        <f t="shared" si="6"/>
        <v>-1.1082823706493592</v>
      </c>
      <c r="J242" s="63">
        <f>IF(SUM(E238:E241)&lt;Variables!$B$3,-H241,0)</f>
        <v>0</v>
      </c>
      <c r="K242" s="64">
        <f>IF(AND(H241&lt;Variables!$B$6*Variables!$E$50,OR(SUM(D239:D242)&gt;Variables!$B$5,SUM(E239:E242)&gt;Variables!$B$4)),Variables!$B$6*Variables!$E$50+Variables!$B$7*$G$1*Variables!$E$50*SUM(D239:D242),0)</f>
        <v>0</v>
      </c>
      <c r="L242" s="64">
        <f>IF(B242="Winter",Variables!$B$8*H241,0)</f>
        <v>0</v>
      </c>
      <c r="M242" s="64">
        <f>IF(AND(B242="Spring",AND(NOT(H241=0),H241&lt;(Variables!$B$9*Variables!$E$50))),(Variables!$B$10*Variables!$E$50+Variables!$B$11*Variables!$E$50*SUM(E239:E242)+$G$1*SUM(D241:D242)*Variables!$E$50*Variables!$B$12),0)</f>
        <v>-1.7851769547992671</v>
      </c>
      <c r="N242" s="64">
        <f>IF(AND(B242="Spring",AND(SUM(D239:D242)&gt;Variables!$B$13,SUM(D235:D238)&gt;Variables!$B$13)),-Variables!$B$14*Variables!$E$50,0)</f>
        <v>0</v>
      </c>
      <c r="O242" s="64">
        <f>IF(AND(B242="Summer",SUM(C238:D242)&gt;Variables!$B$15),(Variables!$B$16*Variables!$E$50*SUM(C238:C242)+$G$1*Variables!$B$16*Variables!$E$50*SUM(D238:D242)+$G$1*Variables!$E$50*Variables!$B$17*F242),0)</f>
        <v>0</v>
      </c>
      <c r="P242" s="64">
        <f>IF(AND(AND(B242="Autumn",SUM(D241:E242)&gt;0),NOT(H241=0)),Variables!$B$18*Variables!$E$50+Variables!$B$19*Variables!$E$50*SUM(E241:E242)+$G$1*Variables!$B$19*Variables!$E$50*SUM(D241:D242),0)</f>
        <v>0</v>
      </c>
      <c r="Q242" s="64">
        <f>IF(AND(B242="Autumn",AND((E242+E241)&lt;Variables!$B$20,(D241+D242)=0)),-Variables!$B$21*Variables!$E$50,0)</f>
        <v>0</v>
      </c>
      <c r="R242" s="64">
        <f>IF(B242="Autumn",(SUM(F241:F242)*$G$1*Variables!$B$22*Variables!$E$50),0)</f>
        <v>0</v>
      </c>
      <c r="S242" s="64">
        <f>IF(B242="Spring",($G$1*Variables!$E$50*SUM('Guts (option 2)'!F241:F242)*Variables!$B$23),0)</f>
        <v>0</v>
      </c>
      <c r="T242" s="63">
        <f>IF((H241+SUM(J242:Q242))&lt;(Variables!$B$26*Variables!$E$50),$F$1*((Variables!$B$26*Variables!$E$50)-H241-SUM(J242:Q242)),0)</f>
        <v>0.67689458414990789</v>
      </c>
      <c r="U242" s="64">
        <f>IF(AND(AND(B242="Autumn",SUM(D239:E242)&gt;Variables!$B$27),SUM(J242:Q242)&lt;Variables!$B$28*H241),$F$1*(Variables!$B$28*H241-SUM(J242:Q242)),0)</f>
        <v>0</v>
      </c>
      <c r="V242" s="96">
        <f>IF(AND((J242+K242)=0,(Q242+T242)=0),$H$1*H242*Variables!$I$23*0.25,0)</f>
        <v>0</v>
      </c>
      <c r="W242" s="97">
        <f>IF(AND((K242+J242)=0,(T242+Q242)=0),$I$1*H242*Variables!$Q$23*0.25,0)</f>
        <v>0</v>
      </c>
      <c r="X242" s="95">
        <f>IF(AND(NOT(K242=0),(H242-H241)&gt;0),(H242-H241)*(Variables!$M$5*$H$1+Variables!$U$5*$I$1),0)+IF(AND(NOT((J242+N242+Q242)=0),(H241-H242)&gt;0),(H241-H242)*(Variables!$M$4*$H$1+Variables!$U$4*$I$1),0)</f>
        <v>0</v>
      </c>
      <c r="Y242" s="95">
        <f>IF(SUM(T242,U241:U242)&gt;0,H242*Variables!$Y$11*0.25*(1-$J$1),0)</f>
        <v>-6.9874000000000018</v>
      </c>
      <c r="Z242" s="95">
        <f>IF(T242=0,H242*$J$1*Variables!$Y$5*0.25,0)</f>
        <v>0</v>
      </c>
      <c r="AA242" s="95">
        <f t="shared" si="7"/>
        <v>-6.9874000000000018</v>
      </c>
      <c r="AB242" s="91">
        <f>AA242/Variables!$E$49</f>
        <v>-1.1270000000000002</v>
      </c>
    </row>
    <row r="243" spans="1:28" x14ac:dyDescent="0.25">
      <c r="A243" s="61">
        <f>'Water runs'!C250</f>
        <v>24166</v>
      </c>
      <c r="B243" s="61" t="str">
        <f>'Water runs'!B250</f>
        <v>Summer</v>
      </c>
      <c r="C243" s="54">
        <f>'Water runs'!D250/100</f>
        <v>1.3325714285714301</v>
      </c>
      <c r="D243" s="108">
        <f>VLOOKUP(ROW(D243)+4,'Water runs'!$BS$3:$CF$423,MATCH($B$1,Scenarios,0)+1)</f>
        <v>7.3721882200175767E-2</v>
      </c>
      <c r="E243" s="54">
        <f>IF(B243=Variables!$D$8,C243-Variables!$E$8,IF(B243=Variables!$D$9,C243-Variables!$E$9,IF(B243=Variables!$D$10,C243-Variables!$E$10,IF(B243=Variables!$D$11,C243-Variables!$E$11,"ELSE"))))</f>
        <v>7.4201292517008355E-2</v>
      </c>
      <c r="F243" s="108">
        <f>VLOOKUP(ROW(F243)+4,'Water runs'!$CH$3:$CU$423,MATCH($B$1,Scenarios,0)+1)</f>
        <v>0</v>
      </c>
      <c r="G243" s="65">
        <f>H243/Variables!$E$49</f>
        <v>0.161</v>
      </c>
      <c r="H243" s="62">
        <f>IF((H242+I243)&gt;(1.1*Variables!$E$50),(1.1*Variables!$E$50),IF((H242+I243)&gt;0,H242+I243,0))</f>
        <v>0.99820000000000009</v>
      </c>
      <c r="I243" s="64">
        <f t="shared" si="6"/>
        <v>-1.1102230246251565E-16</v>
      </c>
      <c r="J243" s="63">
        <f>IF(SUM(E239:E242)&lt;Variables!$B$3,-H242,0)</f>
        <v>-0.9982000000000002</v>
      </c>
      <c r="K243" s="64">
        <f>IF(AND(H242&lt;Variables!$B$6*Variables!$E$50,OR(SUM(D240:D243)&gt;Variables!$B$5,SUM(E240:E243)&gt;Variables!$B$4)),Variables!$B$6*Variables!$E$50+Variables!$B$7*$G$1*Variables!$E$50*SUM(D240:D243),0)</f>
        <v>0</v>
      </c>
      <c r="L243" s="64">
        <f>IF(B243="Winter",Variables!$B$8*H242,0)</f>
        <v>0</v>
      </c>
      <c r="M243" s="64">
        <f>IF(AND(B243="Spring",AND(NOT(H242=0),H242&lt;(Variables!$B$9*Variables!$E$50))),(Variables!$B$10*Variables!$E$50+Variables!$B$11*Variables!$E$50*SUM(E240:E243)+$G$1*SUM(D242:D243)*Variables!$E$50*Variables!$B$12),0)</f>
        <v>0</v>
      </c>
      <c r="N243" s="64">
        <f>IF(AND(B243="Spring",AND(SUM(D240:D243)&gt;Variables!$B$13,SUM(D236:D239)&gt;Variables!$B$13)),-Variables!$B$14*Variables!$E$50,0)</f>
        <v>0</v>
      </c>
      <c r="O243" s="64">
        <f>IF(AND(B243="Summer",SUM(C239:D243)&gt;Variables!$B$15),(Variables!$B$16*Variables!$E$50*SUM(C239:C243)+$G$1*Variables!$B$16*Variables!$E$50*SUM(D239:D243)+$G$1*Variables!$E$50*Variables!$B$17*F243),0)</f>
        <v>0</v>
      </c>
      <c r="P243" s="64">
        <f>IF(AND(AND(B243="Autumn",SUM(D242:E243)&gt;0),NOT(H242=0)),Variables!$B$18*Variables!$E$50+Variables!$B$19*Variables!$E$50*SUM(E242:E243)+$G$1*Variables!$B$19*Variables!$E$50*SUM(D242:D243),0)</f>
        <v>0</v>
      </c>
      <c r="Q243" s="64">
        <f>IF(AND(B243="Autumn",AND((E243+E242)&lt;Variables!$B$20,(D242+D243)=0)),-Variables!$B$21*Variables!$E$50,0)</f>
        <v>0</v>
      </c>
      <c r="R243" s="64">
        <f>IF(B243="Autumn",(SUM(F242:F243)*$G$1*Variables!$B$22*Variables!$E$50),0)</f>
        <v>0</v>
      </c>
      <c r="S243" s="64">
        <f>IF(B243="Spring",($G$1*Variables!$E$50*SUM('Guts (option 2)'!F242:F243)*Variables!$B$23),0)</f>
        <v>0</v>
      </c>
      <c r="T243" s="63">
        <f>IF((H242+SUM(J243:Q243))&lt;(Variables!$B$26*Variables!$E$50),$F$1*((Variables!$B$26*Variables!$E$50)-H242-SUM(J243:Q243)),0)</f>
        <v>0.99820000000000009</v>
      </c>
      <c r="U243" s="64">
        <f>IF(AND(AND(B243="Autumn",SUM(D240:E243)&gt;Variables!$B$27),SUM(J243:Q243)&lt;Variables!$B$28*H242),$F$1*(Variables!$B$28*H242-SUM(J243:Q243)),0)</f>
        <v>0</v>
      </c>
      <c r="V243" s="96">
        <f>IF(AND((J243+K243)=0,(Q243+T243)=0),$H$1*H243*Variables!$I$23*0.25,0)</f>
        <v>0</v>
      </c>
      <c r="W243" s="97">
        <f>IF(AND((K243+J243)=0,(T243+Q243)=0),$I$1*H243*Variables!$Q$23*0.25,0)</f>
        <v>0</v>
      </c>
      <c r="X243" s="95">
        <f>IF(AND(NOT(K243=0),(H243-H242)&gt;0),(H243-H242)*(Variables!$M$5*$H$1+Variables!$U$5*$I$1),0)+IF(AND(NOT((J243+N243+Q243)=0),(H242-H243)&gt;0),(H242-H243)*(Variables!$M$4*$H$1+Variables!$U$4*$I$1),0)</f>
        <v>4.6259292692714853E-15</v>
      </c>
      <c r="Y243" s="95">
        <f>IF(SUM(T243,U242:U243)&gt;0,H243*Variables!$Y$11*0.25*(1-$J$1),0)</f>
        <v>-6.9874000000000018</v>
      </c>
      <c r="Z243" s="95">
        <f>IF(T243=0,H243*$J$1*Variables!$Y$5*0.25,0)</f>
        <v>0</v>
      </c>
      <c r="AA243" s="95">
        <f t="shared" si="7"/>
        <v>-6.9873999999999974</v>
      </c>
      <c r="AB243" s="91">
        <f>AA243/Variables!$E$49</f>
        <v>-1.1269999999999996</v>
      </c>
    </row>
    <row r="244" spans="1:28" x14ac:dyDescent="0.25">
      <c r="A244" s="61">
        <f>'Water runs'!C251</f>
        <v>24258</v>
      </c>
      <c r="B244" s="61" t="str">
        <f>'Water runs'!B251</f>
        <v>Autumn</v>
      </c>
      <c r="C244" s="54">
        <f>'Water runs'!D251/100</f>
        <v>0.51557142857142901</v>
      </c>
      <c r="D244" s="108">
        <f>VLOOKUP(ROW(D244)+4,'Water runs'!$BS$3:$CF$423,MATCH($B$1,Scenarios,0)+1)</f>
        <v>0</v>
      </c>
      <c r="E244" s="54">
        <f>IF(B244=Variables!$D$8,C244-Variables!$E$8,IF(B244=Variables!$D$9,C244-Variables!$E$9,IF(B244=Variables!$D$10,C244-Variables!$E$10,IF(B244=Variables!$D$11,C244-Variables!$E$11,"ELSE"))))</f>
        <v>-0.47907187074829882</v>
      </c>
      <c r="F244" s="108">
        <f>VLOOKUP(ROW(F244)+4,'Water runs'!$CH$3:$CU$423,MATCH($B$1,Scenarios,0)+1)</f>
        <v>0</v>
      </c>
      <c r="G244" s="65">
        <f>H244/Variables!$E$49</f>
        <v>0.161</v>
      </c>
      <c r="H244" s="62">
        <f>IF((H243+I244)&gt;(1.1*Variables!$E$50),(1.1*Variables!$E$50),IF((H243+I244)&gt;0,H243+I244,0))</f>
        <v>0.99820000000000009</v>
      </c>
      <c r="I244" s="64">
        <f t="shared" si="6"/>
        <v>0</v>
      </c>
      <c r="J244" s="63">
        <f>IF(SUM(E240:E243)&lt;Variables!$B$3,-H243,0)</f>
        <v>-0.99820000000000009</v>
      </c>
      <c r="K244" s="64">
        <f>IF(AND(H243&lt;Variables!$B$6*Variables!$E$50,OR(SUM(D241:D244)&gt;Variables!$B$5,SUM(E241:E244)&gt;Variables!$B$4)),Variables!$B$6*Variables!$E$50+Variables!$B$7*$G$1*Variables!$E$50*SUM(D241:D244),0)</f>
        <v>0</v>
      </c>
      <c r="L244" s="64">
        <f>IF(B244="Winter",Variables!$B$8*H243,0)</f>
        <v>0</v>
      </c>
      <c r="M244" s="64">
        <f>IF(AND(B244="Spring",AND(NOT(H243=0),H243&lt;(Variables!$B$9*Variables!$E$50))),(Variables!$B$10*Variables!$E$50+Variables!$B$11*Variables!$E$50*SUM(E241:E244)+$G$1*SUM(D243:D244)*Variables!$E$50*Variables!$B$12),0)</f>
        <v>0</v>
      </c>
      <c r="N244" s="64">
        <f>IF(AND(B244="Spring",AND(SUM(D241:D244)&gt;Variables!$B$13,SUM(D237:D240)&gt;Variables!$B$13)),-Variables!$B$14*Variables!$E$50,0)</f>
        <v>0</v>
      </c>
      <c r="O244" s="64">
        <f>IF(AND(B244="Summer",SUM(C240:D244)&gt;Variables!$B$15),(Variables!$B$16*Variables!$E$50*SUM(C240:C244)+$G$1*Variables!$B$16*Variables!$E$50*SUM(D240:D244)+$G$1*Variables!$E$50*Variables!$B$17*F244),0)</f>
        <v>0</v>
      </c>
      <c r="P244" s="64">
        <f>IF(AND(AND(B244="Autumn",SUM(D243:E244)&gt;0),NOT(H243=0)),Variables!$B$18*Variables!$E$50+Variables!$B$19*Variables!$E$50*SUM(E243:E244)+$G$1*Variables!$B$19*Variables!$E$50*SUM(D243:D244),0)</f>
        <v>0</v>
      </c>
      <c r="Q244" s="64">
        <f>IF(AND(B244="Autumn",AND((E244+E243)&lt;Variables!$B$20,(D243+D244)=0)),-Variables!$B$21*Variables!$E$50,0)</f>
        <v>0</v>
      </c>
      <c r="R244" s="64">
        <f>IF(B244="Autumn",(SUM(F243:F244)*$G$1*Variables!$B$22*Variables!$E$50),0)</f>
        <v>0</v>
      </c>
      <c r="S244" s="64">
        <f>IF(B244="Spring",($G$1*Variables!$E$50*SUM('Guts (option 2)'!F243:F244)*Variables!$B$23),0)</f>
        <v>0</v>
      </c>
      <c r="T244" s="63">
        <f>IF((H243+SUM(J244:Q244))&lt;(Variables!$B$26*Variables!$E$50),$F$1*((Variables!$B$26*Variables!$E$50)-H243-SUM(J244:Q244)),0)</f>
        <v>0.99820000000000009</v>
      </c>
      <c r="U244" s="64">
        <f>IF(AND(AND(B244="Autumn",SUM(D241:E244)&gt;Variables!$B$27),SUM(J244:Q244)&lt;Variables!$B$28*H243),$F$1*(Variables!$B$28*H243-SUM(J244:Q244)),0)</f>
        <v>0</v>
      </c>
      <c r="V244" s="96">
        <f>IF(AND((J244+K244)=0,(Q244+T244)=0),$H$1*H244*Variables!$I$23*0.25,0)</f>
        <v>0</v>
      </c>
      <c r="W244" s="97">
        <f>IF(AND((K244+J244)=0,(T244+Q244)=0),$I$1*H244*Variables!$Q$23*0.25,0)</f>
        <v>0</v>
      </c>
      <c r="X244" s="95">
        <f>IF(AND(NOT(K244=0),(H244-H243)&gt;0),(H244-H243)*(Variables!$M$5*$H$1+Variables!$U$5*$I$1),0)+IF(AND(NOT((J244+N244+Q244)=0),(H243-H244)&gt;0),(H243-H244)*(Variables!$M$4*$H$1+Variables!$U$4*$I$1),0)</f>
        <v>0</v>
      </c>
      <c r="Y244" s="95">
        <f>IF(SUM(T244,U243:U244)&gt;0,H244*Variables!$Y$11*0.25*(1-$J$1),0)</f>
        <v>-6.9874000000000018</v>
      </c>
      <c r="Z244" s="95">
        <f>IF(T244=0,H244*$J$1*Variables!$Y$5*0.25,0)</f>
        <v>0</v>
      </c>
      <c r="AA244" s="95">
        <f t="shared" si="7"/>
        <v>-6.9874000000000018</v>
      </c>
      <c r="AB244" s="91">
        <f>AA244/Variables!$E$49</f>
        <v>-1.1270000000000002</v>
      </c>
    </row>
    <row r="245" spans="1:28" x14ac:dyDescent="0.25">
      <c r="A245" s="61">
        <f>'Water runs'!C252</f>
        <v>24350</v>
      </c>
      <c r="B245" s="61" t="str">
        <f>'Water runs'!B252</f>
        <v>Winter</v>
      </c>
      <c r="C245" s="54">
        <f>'Water runs'!D252/100</f>
        <v>0.98185714285714298</v>
      </c>
      <c r="D245" s="108">
        <f>VLOOKUP(ROW(D245)+4,'Water runs'!$BS$3:$CF$423,MATCH($B$1,Scenarios,0)+1)</f>
        <v>0</v>
      </c>
      <c r="E245" s="54">
        <f>IF(B245=Variables!$D$8,C245-Variables!$E$8,IF(B245=Variables!$D$9,C245-Variables!$E$9,IF(B245=Variables!$D$10,C245-Variables!$E$10,IF(B245=Variables!$D$11,C245-Variables!$E$11,"ELSE"))))</f>
        <v>0.41008951719576725</v>
      </c>
      <c r="F245" s="108">
        <f>VLOOKUP(ROW(F245)+4,'Water runs'!$CH$3:$CU$423,MATCH($B$1,Scenarios,0)+1)</f>
        <v>0</v>
      </c>
      <c r="G245" s="65">
        <f>H245/Variables!$E$49</f>
        <v>0.161</v>
      </c>
      <c r="H245" s="62">
        <f>IF((H244+I245)&gt;(1.1*Variables!$E$50),(1.1*Variables!$E$50),IF((H244+I245)&gt;0,H244+I245,0))</f>
        <v>0.99820000000000009</v>
      </c>
      <c r="I245" s="64">
        <f t="shared" si="6"/>
        <v>0</v>
      </c>
      <c r="J245" s="63">
        <f>IF(SUM(E241:E244)&lt;Variables!$B$3,-H244,0)</f>
        <v>0</v>
      </c>
      <c r="K245" s="64">
        <f>IF(AND(H244&lt;Variables!$B$6*Variables!$E$50,OR(SUM(D242:D245)&gt;Variables!$B$5,SUM(E242:E245)&gt;Variables!$B$4)),Variables!$B$6*Variables!$E$50+Variables!$B$7*$G$1*Variables!$E$50*SUM(D242:D245),0)</f>
        <v>0</v>
      </c>
      <c r="L245" s="64">
        <f>IF(B245="Winter",Variables!$B$8*H244,0)</f>
        <v>-0.49704894489176149</v>
      </c>
      <c r="M245" s="64">
        <f>IF(AND(B245="Spring",AND(NOT(H244=0),H244&lt;(Variables!$B$9*Variables!$E$50))),(Variables!$B$10*Variables!$E$50+Variables!$B$11*Variables!$E$50*SUM(E242:E245)+$G$1*SUM(D244:D245)*Variables!$E$50*Variables!$B$12),0)</f>
        <v>0</v>
      </c>
      <c r="N245" s="64">
        <f>IF(AND(B245="Spring",AND(SUM(D242:D245)&gt;Variables!$B$13,SUM(D238:D241)&gt;Variables!$B$13)),-Variables!$B$14*Variables!$E$50,0)</f>
        <v>0</v>
      </c>
      <c r="O245" s="64">
        <f>IF(AND(B245="Summer",SUM(C241:D245)&gt;Variables!$B$15),(Variables!$B$16*Variables!$E$50*SUM(C241:C245)+$G$1*Variables!$B$16*Variables!$E$50*SUM(D241:D245)+$G$1*Variables!$E$50*Variables!$B$17*F245),0)</f>
        <v>0</v>
      </c>
      <c r="P245" s="64">
        <f>IF(AND(AND(B245="Autumn",SUM(D244:E245)&gt;0),NOT(H244=0)),Variables!$B$18*Variables!$E$50+Variables!$B$19*Variables!$E$50*SUM(E244:E245)+$G$1*Variables!$B$19*Variables!$E$50*SUM(D244:D245),0)</f>
        <v>0</v>
      </c>
      <c r="Q245" s="64">
        <f>IF(AND(B245="Autumn",AND((E245+E244)&lt;Variables!$B$20,(D244+D245)=0)),-Variables!$B$21*Variables!$E$50,0)</f>
        <v>0</v>
      </c>
      <c r="R245" s="64">
        <f>IF(B245="Autumn",(SUM(F244:F245)*$G$1*Variables!$B$22*Variables!$E$50),0)</f>
        <v>0</v>
      </c>
      <c r="S245" s="64">
        <f>IF(B245="Spring",($G$1*Variables!$E$50*SUM('Guts (option 2)'!F244:F245)*Variables!$B$23),0)</f>
        <v>0</v>
      </c>
      <c r="T245" s="63">
        <f>IF((H244+SUM(J245:Q245))&lt;(Variables!$B$26*Variables!$E$50),$F$1*((Variables!$B$26*Variables!$E$50)-H244-SUM(J245:Q245)),0)</f>
        <v>0.49704894489176149</v>
      </c>
      <c r="U245" s="64">
        <f>IF(AND(AND(B245="Autumn",SUM(D242:E245)&gt;Variables!$B$27),SUM(J245:Q245)&lt;Variables!$B$28*H244),$F$1*(Variables!$B$28*H244-SUM(J245:Q245)),0)</f>
        <v>0</v>
      </c>
      <c r="V245" s="96">
        <f>IF(AND((J245+K245)=0,(Q245+T245)=0),$H$1*H245*Variables!$I$23*0.25,0)</f>
        <v>0</v>
      </c>
      <c r="W245" s="97">
        <f>IF(AND((K245+J245)=0,(T245+Q245)=0),$I$1*H245*Variables!$Q$23*0.25,0)</f>
        <v>0</v>
      </c>
      <c r="X245" s="95">
        <f>IF(AND(NOT(K245=0),(H245-H244)&gt;0),(H245-H244)*(Variables!$M$5*$H$1+Variables!$U$5*$I$1),0)+IF(AND(NOT((J245+N245+Q245)=0),(H244-H245)&gt;0),(H244-H245)*(Variables!$M$4*$H$1+Variables!$U$4*$I$1),0)</f>
        <v>0</v>
      </c>
      <c r="Y245" s="95">
        <f>IF(SUM(T245,U244:U245)&gt;0,H245*Variables!$Y$11*0.25*(1-$J$1),0)</f>
        <v>-6.9874000000000018</v>
      </c>
      <c r="Z245" s="95">
        <f>IF(T245=0,H245*$J$1*Variables!$Y$5*0.25,0)</f>
        <v>0</v>
      </c>
      <c r="AA245" s="95">
        <f t="shared" si="7"/>
        <v>-6.9874000000000018</v>
      </c>
      <c r="AB245" s="91">
        <f>AA245/Variables!$E$49</f>
        <v>-1.1270000000000002</v>
      </c>
    </row>
    <row r="246" spans="1:28" x14ac:dyDescent="0.25">
      <c r="A246" s="61">
        <f>'Water runs'!C253</f>
        <v>24441</v>
      </c>
      <c r="B246" s="61" t="str">
        <f>'Water runs'!B253</f>
        <v>Spring</v>
      </c>
      <c r="C246" s="54">
        <f>'Water runs'!D253/100</f>
        <v>0.77500000000000002</v>
      </c>
      <c r="D246" s="108">
        <f>VLOOKUP(ROW(D246)+4,'Water runs'!$BS$3:$CF$423,MATCH($B$1,Scenarios,0)+1)</f>
        <v>0</v>
      </c>
      <c r="E246" s="54">
        <f>IF(B246=Variables!$D$8,C246-Variables!$E$8,IF(B246=Variables!$D$9,C246-Variables!$E$9,IF(B246=Variables!$D$10,C246-Variables!$E$10,IF(B246=Variables!$D$11,C246-Variables!$E$11,"ELSE"))))</f>
        <v>1.1017791005290878E-2</v>
      </c>
      <c r="F246" s="108">
        <f>VLOOKUP(ROW(F246)+4,'Water runs'!$CH$3:$CU$423,MATCH($B$1,Scenarios,0)+1)</f>
        <v>0</v>
      </c>
      <c r="G246" s="65">
        <f>H246/Variables!$E$49</f>
        <v>0.34741095623187701</v>
      </c>
      <c r="H246" s="62">
        <f>IF((H245+I246)&gt;(1.1*Variables!$E$50),(1.1*Variables!$E$50),IF((H245+I246)&gt;0,H245+I246,0))</f>
        <v>2.1539479286376375</v>
      </c>
      <c r="I246" s="64">
        <f t="shared" si="6"/>
        <v>1.1557479286376373</v>
      </c>
      <c r="J246" s="63">
        <f>IF(SUM(E242:E245)&lt;Variables!$B$3,-H245,0)</f>
        <v>0</v>
      </c>
      <c r="K246" s="64">
        <f>IF(AND(H245&lt;Variables!$B$6*Variables!$E$50,OR(SUM(D243:D246)&gt;Variables!$B$5,SUM(E243:E246)&gt;Variables!$B$4)),Variables!$B$6*Variables!$E$50+Variables!$B$7*$G$1*Variables!$E$50*SUM(D243:D246),0)</f>
        <v>1.1446897139486456</v>
      </c>
      <c r="L246" s="64">
        <f>IF(B246="Winter",Variables!$B$8*H245,0)</f>
        <v>0</v>
      </c>
      <c r="M246" s="64">
        <f>IF(AND(B246="Spring",AND(NOT(H245=0),H245&lt;(Variables!$B$9*Variables!$E$50))),(Variables!$B$10*Variables!$E$50+Variables!$B$11*Variables!$E$50*SUM(E243:E246)+$G$1*SUM(D245:D246)*Variables!$E$50*Variables!$B$12),0)</f>
        <v>1.1058214688991642E-2</v>
      </c>
      <c r="N246" s="64">
        <f>IF(AND(B246="Spring",AND(SUM(D243:D246)&gt;Variables!$B$13,SUM(D239:D242)&gt;Variables!$B$13)),-Variables!$B$14*Variables!$E$50,0)</f>
        <v>0</v>
      </c>
      <c r="O246" s="64">
        <f>IF(AND(B246="Summer",SUM(C242:D246)&gt;Variables!$B$15),(Variables!$B$16*Variables!$E$50*SUM(C242:C246)+$G$1*Variables!$B$16*Variables!$E$50*SUM(D242:D246)+$G$1*Variables!$E$50*Variables!$B$17*F246),0)</f>
        <v>0</v>
      </c>
      <c r="P246" s="64">
        <f>IF(AND(AND(B246="Autumn",SUM(D245:E246)&gt;0),NOT(H245=0)),Variables!$B$18*Variables!$E$50+Variables!$B$19*Variables!$E$50*SUM(E245:E246)+$G$1*Variables!$B$19*Variables!$E$50*SUM(D245:D246),0)</f>
        <v>0</v>
      </c>
      <c r="Q246" s="64">
        <f>IF(AND(B246="Autumn",AND((E246+E245)&lt;Variables!$B$20,(D245+D246)=0)),-Variables!$B$21*Variables!$E$50,0)</f>
        <v>0</v>
      </c>
      <c r="R246" s="64">
        <f>IF(B246="Autumn",(SUM(F245:F246)*$G$1*Variables!$B$22*Variables!$E$50),0)</f>
        <v>0</v>
      </c>
      <c r="S246" s="64">
        <f>IF(B246="Spring",($G$1*Variables!$E$50*SUM('Guts (option 2)'!F245:F246)*Variables!$B$23),0)</f>
        <v>0</v>
      </c>
      <c r="T246" s="63">
        <f>IF((H245+SUM(J246:Q246))&lt;(Variables!$B$26*Variables!$E$50),$F$1*((Variables!$B$26*Variables!$E$50)-H245-SUM(J246:Q246)),0)</f>
        <v>0</v>
      </c>
      <c r="U246" s="64">
        <f>IF(AND(AND(B246="Autumn",SUM(D243:E246)&gt;Variables!$B$27),SUM(J246:Q246)&lt;Variables!$B$28*H245),$F$1*(Variables!$B$28*H245-SUM(J246:Q246)),0)</f>
        <v>0</v>
      </c>
      <c r="V246" s="96">
        <f>IF(AND((J246+K246)=0,(Q246+T246)=0),$H$1*H246*Variables!$I$23*0.25,0)</f>
        <v>0</v>
      </c>
      <c r="W246" s="97">
        <f>IF(AND((K246+J246)=0,(T246+Q246)=0),$I$1*H246*Variables!$Q$23*0.25,0)</f>
        <v>0</v>
      </c>
      <c r="X246" s="95">
        <f>IF(AND(NOT(K246=0),(H246-H245)&gt;0),(H246-H245)*(Variables!$M$5*$H$1+Variables!$U$5*$I$1),0)+IF(AND(NOT((J246+N246+Q246)=0),(H245-H246)&gt;0),(H245-H246)*(Variables!$M$4*$H$1+Variables!$U$4*$I$1),0)</f>
        <v>-96.312327386469775</v>
      </c>
      <c r="Y246" s="95">
        <f>IF(SUM(T246,U245:U246)&gt;0,H246*Variables!$Y$11*0.25*(1-$J$1),0)</f>
        <v>0</v>
      </c>
      <c r="Z246" s="95">
        <f>IF(T246=0,H246*$J$1*Variables!$Y$5*0.25,0)</f>
        <v>4.6668871787148811</v>
      </c>
      <c r="AA246" s="95">
        <f t="shared" si="7"/>
        <v>-91.645440207754888</v>
      </c>
      <c r="AB246" s="91">
        <f>AA246/Variables!$E$49</f>
        <v>-14.781522614154014</v>
      </c>
    </row>
    <row r="247" spans="1:28" x14ac:dyDescent="0.25">
      <c r="A247" s="61">
        <f>'Water runs'!C254</f>
        <v>24531</v>
      </c>
      <c r="B247" s="61" t="str">
        <f>'Water runs'!B254</f>
        <v>Summer</v>
      </c>
      <c r="C247" s="54">
        <f>'Water runs'!D254/100</f>
        <v>0.78137500000000004</v>
      </c>
      <c r="D247" s="108">
        <f>VLOOKUP(ROW(D247)+4,'Water runs'!$BS$3:$CF$423,MATCH($B$1,Scenarios,0)+1)</f>
        <v>0</v>
      </c>
      <c r="E247" s="54">
        <f>IF(B247=Variables!$D$8,C247-Variables!$E$8,IF(B247=Variables!$D$9,C247-Variables!$E$9,IF(B247=Variables!$D$10,C247-Variables!$E$10,IF(B247=Variables!$D$11,C247-Variables!$E$11,"ELSE"))))</f>
        <v>-0.47699513605442168</v>
      </c>
      <c r="F247" s="108">
        <f>VLOOKUP(ROW(F247)+4,'Water runs'!$CH$3:$CU$423,MATCH($B$1,Scenarios,0)+1)</f>
        <v>0</v>
      </c>
      <c r="G247" s="65">
        <f>H247/Variables!$E$49</f>
        <v>0.34741095623187701</v>
      </c>
      <c r="H247" s="62">
        <f>IF((H246+I247)&gt;(1.1*Variables!$E$50),(1.1*Variables!$E$50),IF((H246+I247)&gt;0,H246+I247,0))</f>
        <v>2.1539479286376375</v>
      </c>
      <c r="I247" s="64">
        <f t="shared" si="6"/>
        <v>0</v>
      </c>
      <c r="J247" s="63">
        <f>IF(SUM(E243:E246)&lt;Variables!$B$3,-H246,0)</f>
        <v>0</v>
      </c>
      <c r="K247" s="64">
        <f>IF(AND(H246&lt;Variables!$B$6*Variables!$E$50,OR(SUM(D244:D247)&gt;Variables!$B$5,SUM(E244:E247)&gt;Variables!$B$4)),Variables!$B$6*Variables!$E$50+Variables!$B$7*$G$1*Variables!$E$50*SUM(D244:D247),0)</f>
        <v>0</v>
      </c>
      <c r="L247" s="64">
        <f>IF(B247="Winter",Variables!$B$8*H246,0)</f>
        <v>0</v>
      </c>
      <c r="M247" s="64">
        <f>IF(AND(B247="Spring",AND(NOT(H246=0),H246&lt;(Variables!$B$9*Variables!$E$50))),(Variables!$B$10*Variables!$E$50+Variables!$B$11*Variables!$E$50*SUM(E244:E247)+$G$1*SUM(D246:D247)*Variables!$E$50*Variables!$B$12),0)</f>
        <v>0</v>
      </c>
      <c r="N247" s="64">
        <f>IF(AND(B247="Spring",AND(SUM(D244:D247)&gt;Variables!$B$13,SUM(D240:D243)&gt;Variables!$B$13)),-Variables!$B$14*Variables!$E$50,0)</f>
        <v>0</v>
      </c>
      <c r="O247" s="64">
        <f>IF(AND(B247="Summer",SUM(C243:D247)&gt;Variables!$B$15),(Variables!$B$16*Variables!$E$50*SUM(C243:C247)+$G$1*Variables!$B$16*Variables!$E$50*SUM(D243:D247)+$G$1*Variables!$E$50*Variables!$B$17*F247),0)</f>
        <v>0</v>
      </c>
      <c r="P247" s="64">
        <f>IF(AND(AND(B247="Autumn",SUM(D246:E247)&gt;0),NOT(H246=0)),Variables!$B$18*Variables!$E$50+Variables!$B$19*Variables!$E$50*SUM(E246:E247)+$G$1*Variables!$B$19*Variables!$E$50*SUM(D246:D247),0)</f>
        <v>0</v>
      </c>
      <c r="Q247" s="64">
        <f>IF(AND(B247="Autumn",AND((E247+E246)&lt;Variables!$B$20,(D246+D247)=0)),-Variables!$B$21*Variables!$E$50,0)</f>
        <v>0</v>
      </c>
      <c r="R247" s="64">
        <f>IF(B247="Autumn",(SUM(F246:F247)*$G$1*Variables!$B$22*Variables!$E$50),0)</f>
        <v>0</v>
      </c>
      <c r="S247" s="64">
        <f>IF(B247="Spring",($G$1*Variables!$E$50*SUM('Guts (option 2)'!F246:F247)*Variables!$B$23),0)</f>
        <v>0</v>
      </c>
      <c r="T247" s="63">
        <f>IF((H246+SUM(J247:Q247))&lt;(Variables!$B$26*Variables!$E$50),$F$1*((Variables!$B$26*Variables!$E$50)-H246-SUM(J247:Q247)),0)</f>
        <v>0</v>
      </c>
      <c r="U247" s="64">
        <f>IF(AND(AND(B247="Autumn",SUM(D244:E247)&gt;Variables!$B$27),SUM(J247:Q247)&lt;Variables!$B$28*H246),$F$1*(Variables!$B$28*H246-SUM(J247:Q247)),0)</f>
        <v>0</v>
      </c>
      <c r="V247" s="96">
        <f>IF(AND((J247+K247)=0,(Q247+T247)=0),$H$1*H247*Variables!$I$23*0.25,0)</f>
        <v>13.835633225678857</v>
      </c>
      <c r="W247" s="97">
        <f>IF(AND((K247+J247)=0,(T247+Q247)=0),$I$1*H247*Variables!$Q$23*0.25,0)</f>
        <v>14.482248393855873</v>
      </c>
      <c r="X247" s="95">
        <f>IF(AND(NOT(K247=0),(H247-H246)&gt;0),(H247-H246)*(Variables!$M$5*$H$1+Variables!$U$5*$I$1),0)+IF(AND(NOT((J247+N247+Q247)=0),(H246-H247)&gt;0),(H246-H247)*(Variables!$M$4*$H$1+Variables!$U$4*$I$1),0)</f>
        <v>0</v>
      </c>
      <c r="Y247" s="95">
        <f>IF(SUM(T247,U246:U247)&gt;0,H247*Variables!$Y$11*0.25*(1-$J$1),0)</f>
        <v>0</v>
      </c>
      <c r="Z247" s="95">
        <f>IF(T247=0,H247*$J$1*Variables!$Y$5*0.25,0)</f>
        <v>4.6668871787148811</v>
      </c>
      <c r="AA247" s="95">
        <f t="shared" si="7"/>
        <v>32.984768798249611</v>
      </c>
      <c r="AB247" s="91">
        <f>AA247/Variables!$E$49</f>
        <v>5.320123999717679</v>
      </c>
    </row>
    <row r="248" spans="1:28" x14ac:dyDescent="0.25">
      <c r="A248" s="61">
        <f>'Water runs'!C255</f>
        <v>24623</v>
      </c>
      <c r="B248" s="61" t="str">
        <f>'Water runs'!B255</f>
        <v>Autumn</v>
      </c>
      <c r="C248" s="54">
        <f>'Water runs'!D255/100</f>
        <v>1.6096250000000001</v>
      </c>
      <c r="D248" s="108">
        <f>VLOOKUP(ROW(D248)+4,'Water runs'!$BS$3:$CF$423,MATCH($B$1,Scenarios,0)+1)</f>
        <v>4.1963911036508601E-5</v>
      </c>
      <c r="E248" s="54">
        <f>IF(B248=Variables!$D$8,C248-Variables!$E$8,IF(B248=Variables!$D$9,C248-Variables!$E$9,IF(B248=Variables!$D$10,C248-Variables!$E$10,IF(B248=Variables!$D$11,C248-Variables!$E$11,"ELSE"))))</f>
        <v>0.61498170068027225</v>
      </c>
      <c r="F248" s="108">
        <f>VLOOKUP(ROW(F248)+4,'Water runs'!$CH$3:$CU$423,MATCH($B$1,Scenarios,0)+1)</f>
        <v>0</v>
      </c>
      <c r="G248" s="65">
        <f>H248/Variables!$E$49</f>
        <v>0.45518354539086642</v>
      </c>
      <c r="H248" s="62">
        <f>IF((H247+I248)&gt;(1.1*Variables!$E$50),(1.1*Variables!$E$50),IF((H247+I248)&gt;0,H247+I248,0))</f>
        <v>2.822137981423372</v>
      </c>
      <c r="I248" s="64">
        <f t="shared" si="6"/>
        <v>0.66819005278573462</v>
      </c>
      <c r="J248" s="63">
        <f>IF(SUM(E244:E247)&lt;Variables!$B$3,-H247,0)</f>
        <v>0</v>
      </c>
      <c r="K248" s="64">
        <f>IF(AND(H247&lt;Variables!$B$6*Variables!$E$50,OR(SUM(D245:D248)&gt;Variables!$B$5,SUM(E245:E248)&gt;Variables!$B$4)),Variables!$B$6*Variables!$E$50+Variables!$B$7*$G$1*Variables!$E$50*SUM(D245:D248),0)</f>
        <v>0</v>
      </c>
      <c r="L248" s="64">
        <f>IF(B248="Winter",Variables!$B$8*H247,0)</f>
        <v>0</v>
      </c>
      <c r="M248" s="64">
        <f>IF(AND(B248="Spring",AND(NOT(H247=0),H247&lt;(Variables!$B$9*Variables!$E$50))),(Variables!$B$10*Variables!$E$50+Variables!$B$11*Variables!$E$50*SUM(E245:E248)+$G$1*SUM(D247:D248)*Variables!$E$50*Variables!$B$12),0)</f>
        <v>0</v>
      </c>
      <c r="N248" s="64">
        <f>IF(AND(B248="Spring",AND(SUM(D245:D248)&gt;Variables!$B$13,SUM(D241:D244)&gt;Variables!$B$13)),-Variables!$B$14*Variables!$E$50,0)</f>
        <v>0</v>
      </c>
      <c r="O248" s="64">
        <f>IF(AND(B248="Summer",SUM(C244:D248)&gt;Variables!$B$15),(Variables!$B$16*Variables!$E$50*SUM(C244:C248)+$G$1*Variables!$B$16*Variables!$E$50*SUM(D244:D248)+$G$1*Variables!$E$50*Variables!$B$17*F248),0)</f>
        <v>0</v>
      </c>
      <c r="P248" s="64">
        <f>IF(AND(AND(B248="Autumn",SUM(D247:E248)&gt;0),NOT(H247=0)),Variables!$B$18*Variables!$E$50+Variables!$B$19*Variables!$E$50*SUM(E247:E248)+$G$1*Variables!$B$19*Variables!$E$50*SUM(D247:D248),0)</f>
        <v>0.66819005278573462</v>
      </c>
      <c r="Q248" s="64">
        <f>IF(AND(B248="Autumn",AND((E248+E247)&lt;Variables!$B$20,(D247+D248)=0)),-Variables!$B$21*Variables!$E$50,0)</f>
        <v>0</v>
      </c>
      <c r="R248" s="64">
        <f>IF(B248="Autumn",(SUM(F247:F248)*$G$1*Variables!$B$22*Variables!$E$50),0)</f>
        <v>0</v>
      </c>
      <c r="S248" s="64">
        <f>IF(B248="Spring",($G$1*Variables!$E$50*SUM('Guts (option 2)'!F247:F248)*Variables!$B$23),0)</f>
        <v>0</v>
      </c>
      <c r="T248" s="63">
        <f>IF((H247+SUM(J248:Q248))&lt;(Variables!$B$26*Variables!$E$50),$F$1*((Variables!$B$26*Variables!$E$50)-H247-SUM(J248:Q248)),0)</f>
        <v>0</v>
      </c>
      <c r="U248" s="64">
        <f>IF(AND(AND(B248="Autumn",SUM(D245:E248)&gt;Variables!$B$27),SUM(J248:Q248)&lt;Variables!$B$28*H247),$F$1*(Variables!$B$28*H247-SUM(J248:Q248)),0)</f>
        <v>0</v>
      </c>
      <c r="V248" s="96">
        <f>IF(AND((J248+K248)=0,(Q248+T248)=0),$H$1*H248*Variables!$I$23*0.25,0)</f>
        <v>18.127674074241867</v>
      </c>
      <c r="W248" s="97">
        <f>IF(AND((K248+J248)=0,(T248+Q248)=0),$I$1*H248*Variables!$Q$23*0.25,0)</f>
        <v>18.974879896265158</v>
      </c>
      <c r="X248" s="95">
        <f>IF(AND(NOT(K248=0),(H248-H247)&gt;0),(H248-H247)*(Variables!$M$5*$H$1+Variables!$U$5*$I$1),0)+IF(AND(NOT((J248+N248+Q248)=0),(H247-H248)&gt;0),(H247-H248)*(Variables!$M$4*$H$1+Variables!$U$4*$I$1),0)</f>
        <v>0</v>
      </c>
      <c r="Y248" s="95">
        <f>IF(SUM(T248,U247:U248)&gt;0,H248*Variables!$Y$11*0.25*(1-$J$1),0)</f>
        <v>0</v>
      </c>
      <c r="Z248" s="95">
        <f>IF(T248=0,H248*$J$1*Variables!$Y$5*0.25,0)</f>
        <v>6.1146322930839725</v>
      </c>
      <c r="AA248" s="95">
        <f t="shared" si="7"/>
        <v>43.217186263590996</v>
      </c>
      <c r="AB248" s="91">
        <f>AA248/Variables!$E$49</f>
        <v>6.9705139134824181</v>
      </c>
    </row>
    <row r="249" spans="1:28" x14ac:dyDescent="0.25">
      <c r="A249" s="61">
        <f>'Water runs'!C256</f>
        <v>24715</v>
      </c>
      <c r="B249" s="61" t="str">
        <f>'Water runs'!B256</f>
        <v>Winter</v>
      </c>
      <c r="C249" s="54">
        <f>'Water runs'!D256/100</f>
        <v>0.27708928571428598</v>
      </c>
      <c r="D249" s="108">
        <f>VLOOKUP(ROW(D249)+4,'Water runs'!$BS$3:$CF$423,MATCH($B$1,Scenarios,0)+1)</f>
        <v>3.7362132716806939E-2</v>
      </c>
      <c r="E249" s="54">
        <f>IF(B249=Variables!$D$8,C249-Variables!$E$8,IF(B249=Variables!$D$9,C249-Variables!$E$9,IF(B249=Variables!$D$10,C249-Variables!$E$10,IF(B249=Variables!$D$11,C249-Variables!$E$11,"ELSE"))))</f>
        <v>-0.29467833994708975</v>
      </c>
      <c r="F249" s="108">
        <f>VLOOKUP(ROW(F249)+4,'Water runs'!$CH$3:$CU$423,MATCH($B$1,Scenarios,0)+1)</f>
        <v>0</v>
      </c>
      <c r="G249" s="65">
        <f>H249/Variables!$E$49</f>
        <v>0.22852706275349782</v>
      </c>
      <c r="H249" s="62">
        <f>IF((H248+I249)&gt;(1.1*Variables!$E$50),(1.1*Variables!$E$50),IF((H248+I249)&gt;0,H248+I249,0))</f>
        <v>1.4168677890716865</v>
      </c>
      <c r="I249" s="64">
        <f t="shared" si="6"/>
        <v>-1.4052701923516855</v>
      </c>
      <c r="J249" s="63">
        <f>IF(SUM(E245:E248)&lt;Variables!$B$3,-H248,0)</f>
        <v>0</v>
      </c>
      <c r="K249" s="64">
        <f>IF(AND(H248&lt;Variables!$B$6*Variables!$E$50,OR(SUM(D246:D249)&gt;Variables!$B$5,SUM(E246:E249)&gt;Variables!$B$4)),Variables!$B$6*Variables!$E$50+Variables!$B$7*$G$1*Variables!$E$50*SUM(D246:D249),0)</f>
        <v>0</v>
      </c>
      <c r="L249" s="64">
        <f>IF(B249="Winter",Variables!$B$8*H248,0)</f>
        <v>-1.4052701923516855</v>
      </c>
      <c r="M249" s="64">
        <f>IF(AND(B249="Spring",AND(NOT(H248=0),H248&lt;(Variables!$B$9*Variables!$E$50))),(Variables!$B$10*Variables!$E$50+Variables!$B$11*Variables!$E$50*SUM(E246:E249)+$G$1*SUM(D248:D249)*Variables!$E$50*Variables!$B$12),0)</f>
        <v>0</v>
      </c>
      <c r="N249" s="64">
        <f>IF(AND(B249="Spring",AND(SUM(D246:D249)&gt;Variables!$B$13,SUM(D242:D245)&gt;Variables!$B$13)),-Variables!$B$14*Variables!$E$50,0)</f>
        <v>0</v>
      </c>
      <c r="O249" s="64">
        <f>IF(AND(B249="Summer",SUM(C245:D249)&gt;Variables!$B$15),(Variables!$B$16*Variables!$E$50*SUM(C245:C249)+$G$1*Variables!$B$16*Variables!$E$50*SUM(D245:D249)+$G$1*Variables!$E$50*Variables!$B$17*F249),0)</f>
        <v>0</v>
      </c>
      <c r="P249" s="64">
        <f>IF(AND(AND(B249="Autumn",SUM(D248:E249)&gt;0),NOT(H248=0)),Variables!$B$18*Variables!$E$50+Variables!$B$19*Variables!$E$50*SUM(E248:E249)+$G$1*Variables!$B$19*Variables!$E$50*SUM(D248:D249),0)</f>
        <v>0</v>
      </c>
      <c r="Q249" s="64">
        <f>IF(AND(B249="Autumn",AND((E249+E248)&lt;Variables!$B$20,(D248+D249)=0)),-Variables!$B$21*Variables!$E$50,0)</f>
        <v>0</v>
      </c>
      <c r="R249" s="64">
        <f>IF(B249="Autumn",(SUM(F248:F249)*$G$1*Variables!$B$22*Variables!$E$50),0)</f>
        <v>0</v>
      </c>
      <c r="S249" s="64">
        <f>IF(B249="Spring",($G$1*Variables!$E$50*SUM('Guts (option 2)'!F248:F249)*Variables!$B$23),0)</f>
        <v>0</v>
      </c>
      <c r="T249" s="63">
        <f>IF((H248+SUM(J249:Q249))&lt;(Variables!$B$26*Variables!$E$50),$F$1*((Variables!$B$26*Variables!$E$50)-H248-SUM(J249:Q249)),0)</f>
        <v>0</v>
      </c>
      <c r="U249" s="64">
        <f>IF(AND(AND(B249="Autumn",SUM(D246:E249)&gt;Variables!$B$27),SUM(J249:Q249)&lt;Variables!$B$28*H248),$F$1*(Variables!$B$28*H248-SUM(J249:Q249)),0)</f>
        <v>0</v>
      </c>
      <c r="V249" s="96">
        <f>IF(AND((J249+K249)=0,(Q249+T249)=0),$H$1*H249*Variables!$I$23*0.25,0)</f>
        <v>9.10108494185992</v>
      </c>
      <c r="W249" s="97">
        <f>IF(AND((K249+J249)=0,(T249+Q249)=0),$I$1*H249*Variables!$Q$23*0.25,0)</f>
        <v>9.5264286521392396</v>
      </c>
      <c r="X249" s="95">
        <f>IF(AND(NOT(K249=0),(H249-H248)&gt;0),(H249-H248)*(Variables!$M$5*$H$1+Variables!$U$5*$I$1),0)+IF(AND(NOT((J249+N249+Q249)=0),(H248-H249)&gt;0),(H248-H249)*(Variables!$M$4*$H$1+Variables!$U$4*$I$1),0)</f>
        <v>0</v>
      </c>
      <c r="Y249" s="95">
        <f>IF(SUM(T249,U248:U249)&gt;0,H249*Variables!$Y$11*0.25*(1-$J$1),0)</f>
        <v>0</v>
      </c>
      <c r="Z249" s="95">
        <f>IF(T249=0,H249*$J$1*Variables!$Y$5*0.25,0)</f>
        <v>3.069880209655321</v>
      </c>
      <c r="AA249" s="95">
        <f t="shared" si="7"/>
        <v>21.697393803654482</v>
      </c>
      <c r="AB249" s="91">
        <f>AA249/Variables!$E$49</f>
        <v>3.4995796457507229</v>
      </c>
    </row>
    <row r="250" spans="1:28" x14ac:dyDescent="0.25">
      <c r="A250" s="61">
        <f>'Water runs'!C257</f>
        <v>24806</v>
      </c>
      <c r="B250" s="61" t="str">
        <f>'Water runs'!B257</f>
        <v>Spring</v>
      </c>
      <c r="C250" s="54">
        <f>'Water runs'!D257/100</f>
        <v>0</v>
      </c>
      <c r="D250" s="108">
        <f>VLOOKUP(ROW(D250)+4,'Water runs'!$BS$3:$CF$423,MATCH($B$1,Scenarios,0)+1)</f>
        <v>0</v>
      </c>
      <c r="E250" s="54">
        <f>IF(B250=Variables!$D$8,C250-Variables!$E$8,IF(B250=Variables!$D$9,C250-Variables!$E$9,IF(B250=Variables!$D$10,C250-Variables!$E$10,IF(B250=Variables!$D$11,C250-Variables!$E$11,"ELSE"))))</f>
        <v>-0.76398220899470914</v>
      </c>
      <c r="F250" s="108">
        <f>VLOOKUP(ROW(F250)+4,'Water runs'!$CH$3:$CU$423,MATCH($B$1,Scenarios,0)+1)</f>
        <v>0</v>
      </c>
      <c r="G250" s="65">
        <f>H250/Variables!$E$49</f>
        <v>0.161</v>
      </c>
      <c r="H250" s="62">
        <f>IF((H249+I250)&gt;(1.1*Variables!$E$50),(1.1*Variables!$E$50),IF((H249+I250)&gt;0,H249+I250,0))</f>
        <v>0.99820000000000009</v>
      </c>
      <c r="I250" s="64">
        <f t="shared" si="6"/>
        <v>-0.41866778907168645</v>
      </c>
      <c r="J250" s="63">
        <f>IF(SUM(E246:E249)&lt;Variables!$B$3,-H249,0)</f>
        <v>0</v>
      </c>
      <c r="K250" s="64">
        <f>IF(AND(H249&lt;Variables!$B$6*Variables!$E$50,OR(SUM(D247:D250)&gt;Variables!$B$5,SUM(E247:E250)&gt;Variables!$B$4)),Variables!$B$6*Variables!$E$50+Variables!$B$7*$G$1*Variables!$E$50*SUM(D247:D250),0)</f>
        <v>0</v>
      </c>
      <c r="L250" s="64">
        <f>IF(B250="Winter",Variables!$B$8*H249,0)</f>
        <v>0</v>
      </c>
      <c r="M250" s="64">
        <f>IF(AND(B250="Spring",AND(NOT(H249=0),H249&lt;(Variables!$B$9*Variables!$E$50))),(Variables!$B$10*Variables!$E$50+Variables!$B$11*Variables!$E$50*SUM(E247:E250)+$G$1*SUM(D249:D250)*Variables!$E$50*Variables!$B$12),0)</f>
        <v>-0.6132043891823491</v>
      </c>
      <c r="N250" s="64">
        <f>IF(AND(B250="Spring",AND(SUM(D247:D250)&gt;Variables!$B$13,SUM(D243:D246)&gt;Variables!$B$13)),-Variables!$B$14*Variables!$E$50,0)</f>
        <v>0</v>
      </c>
      <c r="O250" s="64">
        <f>IF(AND(B250="Summer",SUM(C246:D250)&gt;Variables!$B$15),(Variables!$B$16*Variables!$E$50*SUM(C246:C250)+$G$1*Variables!$B$16*Variables!$E$50*SUM(D246:D250)+$G$1*Variables!$E$50*Variables!$B$17*F250),0)</f>
        <v>0</v>
      </c>
      <c r="P250" s="64">
        <f>IF(AND(AND(B250="Autumn",SUM(D249:E250)&gt;0),NOT(H249=0)),Variables!$B$18*Variables!$E$50+Variables!$B$19*Variables!$E$50*SUM(E249:E250)+$G$1*Variables!$B$19*Variables!$E$50*SUM(D249:D250),0)</f>
        <v>0</v>
      </c>
      <c r="Q250" s="64">
        <f>IF(AND(B250="Autumn",AND((E250+E249)&lt;Variables!$B$20,(D249+D250)=0)),-Variables!$B$21*Variables!$E$50,0)</f>
        <v>0</v>
      </c>
      <c r="R250" s="64">
        <f>IF(B250="Autumn",(SUM(F249:F250)*$G$1*Variables!$B$22*Variables!$E$50),0)</f>
        <v>0</v>
      </c>
      <c r="S250" s="64">
        <f>IF(B250="Spring",($G$1*Variables!$E$50*SUM('Guts (option 2)'!F249:F250)*Variables!$B$23),0)</f>
        <v>0</v>
      </c>
      <c r="T250" s="63">
        <f>IF((H249+SUM(J250:Q250))&lt;(Variables!$B$26*Variables!$E$50),$F$1*((Variables!$B$26*Variables!$E$50)-H249-SUM(J250:Q250)),0)</f>
        <v>0.19453660011066265</v>
      </c>
      <c r="U250" s="64">
        <f>IF(AND(AND(B250="Autumn",SUM(D247:E250)&gt;Variables!$B$27),SUM(J250:Q250)&lt;Variables!$B$28*H249),$F$1*(Variables!$B$28*H249-SUM(J250:Q250)),0)</f>
        <v>0</v>
      </c>
      <c r="V250" s="96">
        <f>IF(AND((J250+K250)=0,(Q250+T250)=0),$H$1*H250*Variables!$I$23*0.25,0)</f>
        <v>0</v>
      </c>
      <c r="W250" s="97">
        <f>IF(AND((K250+J250)=0,(T250+Q250)=0),$I$1*H250*Variables!$Q$23*0.25,0)</f>
        <v>0</v>
      </c>
      <c r="X250" s="95">
        <f>IF(AND(NOT(K250=0),(H250-H249)&gt;0),(H250-H249)*(Variables!$M$5*$H$1+Variables!$U$5*$I$1),0)+IF(AND(NOT((J250+N250+Q250)=0),(H249-H250)&gt;0),(H249-H250)*(Variables!$M$4*$H$1+Variables!$U$4*$I$1),0)</f>
        <v>0</v>
      </c>
      <c r="Y250" s="95">
        <f>IF(SUM(T250,U249:U250)&gt;0,H250*Variables!$Y$11*0.25*(1-$J$1),0)</f>
        <v>-6.9874000000000018</v>
      </c>
      <c r="Z250" s="95">
        <f>IF(T250=0,H250*$J$1*Variables!$Y$5*0.25,0)</f>
        <v>0</v>
      </c>
      <c r="AA250" s="95">
        <f t="shared" si="7"/>
        <v>-6.9874000000000018</v>
      </c>
      <c r="AB250" s="91">
        <f>AA250/Variables!$E$49</f>
        <v>-1.1270000000000002</v>
      </c>
    </row>
    <row r="251" spans="1:28" x14ac:dyDescent="0.25">
      <c r="A251" s="61">
        <f>'Water runs'!C258</f>
        <v>24896</v>
      </c>
      <c r="B251" s="61" t="str">
        <f>'Water runs'!B258</f>
        <v>Summer</v>
      </c>
      <c r="C251" s="54">
        <f>'Water runs'!D258/100</f>
        <v>1.78525</v>
      </c>
      <c r="D251" s="108">
        <f>VLOOKUP(ROW(D251)+4,'Water runs'!$BS$3:$CF$423,MATCH($B$1,Scenarios,0)+1)</f>
        <v>3.4816586037894205E-2</v>
      </c>
      <c r="E251" s="54">
        <f>IF(B251=Variables!$D$8,C251-Variables!$E$8,IF(B251=Variables!$D$9,C251-Variables!$E$9,IF(B251=Variables!$D$10,C251-Variables!$E$10,IF(B251=Variables!$D$11,C251-Variables!$E$11,"ELSE"))))</f>
        <v>0.52687986394557829</v>
      </c>
      <c r="F251" s="108">
        <f>VLOOKUP(ROW(F251)+4,'Water runs'!$CH$3:$CU$423,MATCH($B$1,Scenarios,0)+1)</f>
        <v>0</v>
      </c>
      <c r="G251" s="65">
        <f>H251/Variables!$E$49</f>
        <v>0.34561459800948546</v>
      </c>
      <c r="H251" s="62">
        <f>IF((H250+I251)&gt;(1.1*Variables!$E$50),(1.1*Variables!$E$50),IF((H250+I251)&gt;0,H250+I251,0))</f>
        <v>2.14281050765881</v>
      </c>
      <c r="I251" s="64">
        <f t="shared" si="6"/>
        <v>1.1446105076588098</v>
      </c>
      <c r="J251" s="63">
        <f>IF(SUM(E247:E250)&lt;Variables!$B$3,-H250,0)</f>
        <v>0</v>
      </c>
      <c r="K251" s="64">
        <f>IF(AND(H250&lt;Variables!$B$6*Variables!$E$50,OR(SUM(D248:D251)&gt;Variables!$B$5,SUM(E248:E251)&gt;Variables!$B$4)),Variables!$B$6*Variables!$E$50+Variables!$B$7*$G$1*Variables!$E$50*SUM(D248:D251),0)</f>
        <v>1.1446105076588098</v>
      </c>
      <c r="L251" s="64">
        <f>IF(B251="Winter",Variables!$B$8*H250,0)</f>
        <v>0</v>
      </c>
      <c r="M251" s="64">
        <f>IF(AND(B251="Spring",AND(NOT(H250=0),H250&lt;(Variables!$B$9*Variables!$E$50))),(Variables!$B$10*Variables!$E$50+Variables!$B$11*Variables!$E$50*SUM(E248:E251)+$G$1*SUM(D250:D251)*Variables!$E$50*Variables!$B$12),0)</f>
        <v>0</v>
      </c>
      <c r="N251" s="64">
        <f>IF(AND(B251="Spring",AND(SUM(D248:D251)&gt;Variables!$B$13,SUM(D244:D247)&gt;Variables!$B$13)),-Variables!$B$14*Variables!$E$50,0)</f>
        <v>0</v>
      </c>
      <c r="O251" s="64">
        <f>IF(AND(B251="Summer",SUM(C247:D251)&gt;Variables!$B$15),(Variables!$B$16*Variables!$E$50*SUM(C247:C251)+$G$1*Variables!$B$16*Variables!$E$50*SUM(D247:D251)+$G$1*Variables!$E$50*Variables!$B$17*F251),0)</f>
        <v>0</v>
      </c>
      <c r="P251" s="64">
        <f>IF(AND(AND(B251="Autumn",SUM(D250:E251)&gt;0),NOT(H250=0)),Variables!$B$18*Variables!$E$50+Variables!$B$19*Variables!$E$50*SUM(E250:E251)+$G$1*Variables!$B$19*Variables!$E$50*SUM(D250:D251),0)</f>
        <v>0</v>
      </c>
      <c r="Q251" s="64">
        <f>IF(AND(B251="Autumn",AND((E251+E250)&lt;Variables!$B$20,(D250+D251)=0)),-Variables!$B$21*Variables!$E$50,0)</f>
        <v>0</v>
      </c>
      <c r="R251" s="64">
        <f>IF(B251="Autumn",(SUM(F250:F251)*$G$1*Variables!$B$22*Variables!$E$50),0)</f>
        <v>0</v>
      </c>
      <c r="S251" s="64">
        <f>IF(B251="Spring",($G$1*Variables!$E$50*SUM('Guts (option 2)'!F250:F251)*Variables!$B$23),0)</f>
        <v>0</v>
      </c>
      <c r="T251" s="63">
        <f>IF((H250+SUM(J251:Q251))&lt;(Variables!$B$26*Variables!$E$50),$F$1*((Variables!$B$26*Variables!$E$50)-H250-SUM(J251:Q251)),0)</f>
        <v>0</v>
      </c>
      <c r="U251" s="64">
        <f>IF(AND(AND(B251="Autumn",SUM(D248:E251)&gt;Variables!$B$27),SUM(J251:Q251)&lt;Variables!$B$28*H250),$F$1*(Variables!$B$28*H250-SUM(J251:Q251)),0)</f>
        <v>0</v>
      </c>
      <c r="V251" s="96">
        <f>IF(AND((J251+K251)=0,(Q251+T251)=0),$H$1*H251*Variables!$I$23*0.25,0)</f>
        <v>0</v>
      </c>
      <c r="W251" s="97">
        <f>IF(AND((K251+J251)=0,(T251+Q251)=0),$I$1*H251*Variables!$Q$23*0.25,0)</f>
        <v>0</v>
      </c>
      <c r="X251" s="95">
        <f>IF(AND(NOT(K251=0),(H251-H250)&gt;0),(H251-H250)*(Variables!$M$5*$H$1+Variables!$U$5*$I$1),0)+IF(AND(NOT((J251+N251+Q251)=0),(H250-H251)&gt;0),(H250-H251)*(Variables!$M$4*$H$1+Variables!$U$4*$I$1),0)</f>
        <v>-95.384208971567475</v>
      </c>
      <c r="Y251" s="95">
        <f>IF(SUM(T251,U250:U251)&gt;0,H251*Variables!$Y$11*0.25*(1-$J$1),0)</f>
        <v>0</v>
      </c>
      <c r="Z251" s="95">
        <f>IF(T251=0,H251*$J$1*Variables!$Y$5*0.25,0)</f>
        <v>4.6427560999274213</v>
      </c>
      <c r="AA251" s="95">
        <f t="shared" si="7"/>
        <v>-90.74145287164005</v>
      </c>
      <c r="AB251" s="91">
        <f>AA251/Variables!$E$49</f>
        <v>-14.635718205103233</v>
      </c>
    </row>
    <row r="252" spans="1:28" x14ac:dyDescent="0.25">
      <c r="A252" s="61">
        <f>'Water runs'!C259</f>
        <v>24989</v>
      </c>
      <c r="B252" s="61" t="str">
        <f>'Water runs'!B259</f>
        <v>Autumn</v>
      </c>
      <c r="C252" s="54">
        <f>'Water runs'!D259/100</f>
        <v>1.14825</v>
      </c>
      <c r="D252" s="108">
        <f>VLOOKUP(ROW(D252)+4,'Water runs'!$BS$3:$CF$423,MATCH($B$1,Scenarios,0)+1)</f>
        <v>0</v>
      </c>
      <c r="E252" s="54">
        <f>IF(B252=Variables!$D$8,C252-Variables!$E$8,IF(B252=Variables!$D$9,C252-Variables!$E$9,IF(B252=Variables!$D$10,C252-Variables!$E$10,IF(B252=Variables!$D$11,C252-Variables!$E$11,"ELSE"))))</f>
        <v>0.15360670068027216</v>
      </c>
      <c r="F252" s="108">
        <f>VLOOKUP(ROW(F252)+4,'Water runs'!$CH$3:$CU$423,MATCH($B$1,Scenarios,0)+1)</f>
        <v>0</v>
      </c>
      <c r="G252" s="65">
        <f>H252/Variables!$E$49</f>
        <v>0.6538065389918728</v>
      </c>
      <c r="H252" s="62">
        <f>IF((H251+I252)&gt;(1.1*Variables!$E$50),(1.1*Variables!$E$50),IF((H251+I252)&gt;0,H251+I252,0))</f>
        <v>4.0536005417496117</v>
      </c>
      <c r="I252" s="64">
        <f t="shared" si="6"/>
        <v>1.9107900340908013</v>
      </c>
      <c r="J252" s="63">
        <f>IF(SUM(E248:E251)&lt;Variables!$B$3,-H251,0)</f>
        <v>0</v>
      </c>
      <c r="K252" s="64">
        <f>IF(AND(H251&lt;Variables!$B$6*Variables!$E$50,OR(SUM(D249:D252)&gt;Variables!$B$5,SUM(E249:E252)&gt;Variables!$B$4)),Variables!$B$6*Variables!$E$50+Variables!$B$7*$G$1*Variables!$E$50*SUM(D249:D252),0)</f>
        <v>0</v>
      </c>
      <c r="L252" s="64">
        <f>IF(B252="Winter",Variables!$B$8*H251,0)</f>
        <v>0</v>
      </c>
      <c r="M252" s="64">
        <f>IF(AND(B252="Spring",AND(NOT(H251=0),H251&lt;(Variables!$B$9*Variables!$E$50))),(Variables!$B$10*Variables!$E$50+Variables!$B$11*Variables!$E$50*SUM(E249:E252)+$G$1*SUM(D251:D252)*Variables!$E$50*Variables!$B$12),0)</f>
        <v>0</v>
      </c>
      <c r="N252" s="64">
        <f>IF(AND(B252="Spring",AND(SUM(D249:D252)&gt;Variables!$B$13,SUM(D245:D248)&gt;Variables!$B$13)),-Variables!$B$14*Variables!$E$50,0)</f>
        <v>0</v>
      </c>
      <c r="O252" s="64">
        <f>IF(AND(B252="Summer",SUM(C248:D252)&gt;Variables!$B$15),(Variables!$B$16*Variables!$E$50*SUM(C248:C252)+$G$1*Variables!$B$16*Variables!$E$50*SUM(D248:D252)+$G$1*Variables!$E$50*Variables!$B$17*F252),0)</f>
        <v>0</v>
      </c>
      <c r="P252" s="64">
        <f>IF(AND(AND(B252="Autumn",SUM(D251:E252)&gt;0),NOT(H251=0)),Variables!$B$18*Variables!$E$50+Variables!$B$19*Variables!$E$50*SUM(E251:E252)+$G$1*Variables!$B$19*Variables!$E$50*SUM(D251:D252),0)</f>
        <v>1.9107900340908013</v>
      </c>
      <c r="Q252" s="64">
        <f>IF(AND(B252="Autumn",AND((E252+E251)&lt;Variables!$B$20,(D251+D252)=0)),-Variables!$B$21*Variables!$E$50,0)</f>
        <v>0</v>
      </c>
      <c r="R252" s="64">
        <f>IF(B252="Autumn",(SUM(F251:F252)*$G$1*Variables!$B$22*Variables!$E$50),0)</f>
        <v>0</v>
      </c>
      <c r="S252" s="64">
        <f>IF(B252="Spring",($G$1*Variables!$E$50*SUM('Guts (option 2)'!F251:F252)*Variables!$B$23),0)</f>
        <v>0</v>
      </c>
      <c r="T252" s="63">
        <f>IF((H251+SUM(J252:Q252))&lt;(Variables!$B$26*Variables!$E$50),$F$1*((Variables!$B$26*Variables!$E$50)-H251-SUM(J252:Q252)),0)</f>
        <v>0</v>
      </c>
      <c r="U252" s="64">
        <f>IF(AND(AND(B252="Autumn",SUM(D249:E252)&gt;Variables!$B$27),SUM(J252:Q252)&lt;Variables!$B$28*H251),$F$1*(Variables!$B$28*H251-SUM(J252:Q252)),0)</f>
        <v>0</v>
      </c>
      <c r="V252" s="96">
        <f>IF(AND((J252+K252)=0,(Q252+T252)=0),$H$1*H252*Variables!$I$23*0.25,0)</f>
        <v>26.037830159865429</v>
      </c>
      <c r="W252" s="97">
        <f>IF(AND((K252+J252)=0,(T252+Q252)=0),$I$1*H252*Variables!$Q$23*0.25,0)</f>
        <v>27.254721042498659</v>
      </c>
      <c r="X252" s="95">
        <f>IF(AND(NOT(K252=0),(H252-H251)&gt;0),(H252-H251)*(Variables!$M$5*$H$1+Variables!$U$5*$I$1),0)+IF(AND(NOT((J252+N252+Q252)=0),(H251-H252)&gt;0),(H251-H252)*(Variables!$M$4*$H$1+Variables!$U$4*$I$1),0)</f>
        <v>0</v>
      </c>
      <c r="Y252" s="95">
        <f>IF(SUM(T252,U251:U252)&gt;0,H252*Variables!$Y$11*0.25*(1-$J$1),0)</f>
        <v>0</v>
      </c>
      <c r="Z252" s="95">
        <f>IF(T252=0,H252*$J$1*Variables!$Y$5*0.25,0)</f>
        <v>8.7828011737908263</v>
      </c>
      <c r="AA252" s="95">
        <f t="shared" si="7"/>
        <v>62.07535237615491</v>
      </c>
      <c r="AB252" s="91">
        <f>AA252/Variables!$E$49</f>
        <v>10.012153609057243</v>
      </c>
    </row>
    <row r="253" spans="1:28" x14ac:dyDescent="0.25">
      <c r="A253" s="61">
        <f>'Water runs'!C260</f>
        <v>25081</v>
      </c>
      <c r="B253" s="61" t="str">
        <f>'Water runs'!B260</f>
        <v>Winter</v>
      </c>
      <c r="C253" s="54">
        <f>'Water runs'!D260/100</f>
        <v>0.20874999999999999</v>
      </c>
      <c r="D253" s="108">
        <f>VLOOKUP(ROW(D253)+4,'Water runs'!$BS$3:$CF$423,MATCH($B$1,Scenarios,0)+1)</f>
        <v>0</v>
      </c>
      <c r="E253" s="54">
        <f>IF(B253=Variables!$D$8,C253-Variables!$E$8,IF(B253=Variables!$D$9,C253-Variables!$E$9,IF(B253=Variables!$D$10,C253-Variables!$E$10,IF(B253=Variables!$D$11,C253-Variables!$E$11,"ELSE"))))</f>
        <v>-0.36301762566137574</v>
      </c>
      <c r="F253" s="108">
        <f>VLOOKUP(ROW(F253)+4,'Water runs'!$CH$3:$CU$423,MATCH($B$1,Scenarios,0)+1)</f>
        <v>0</v>
      </c>
      <c r="G253" s="65">
        <f>H253/Variables!$E$49</f>
        <v>0.32824668087802322</v>
      </c>
      <c r="H253" s="62">
        <f>IF((H252+I253)&gt;(1.1*Variables!$E$50),(1.1*Variables!$E$50),IF((H252+I253)&gt;0,H252+I253,0))</f>
        <v>2.0351294214437439</v>
      </c>
      <c r="I253" s="64">
        <f t="shared" ref="I253:I316" si="8">SUM(J253:U253)</f>
        <v>-2.0184711203058678</v>
      </c>
      <c r="J253" s="63">
        <f>IF(SUM(E249:E252)&lt;Variables!$B$3,-H252,0)</f>
        <v>0</v>
      </c>
      <c r="K253" s="64">
        <f>IF(AND(H252&lt;Variables!$B$6*Variables!$E$50,OR(SUM(D250:D253)&gt;Variables!$B$5,SUM(E250:E253)&gt;Variables!$B$4)),Variables!$B$6*Variables!$E$50+Variables!$B$7*$G$1*Variables!$E$50*SUM(D250:D253),0)</f>
        <v>0</v>
      </c>
      <c r="L253" s="64">
        <f>IF(B253="Winter",Variables!$B$8*H252,0)</f>
        <v>-2.0184711203058678</v>
      </c>
      <c r="M253" s="64">
        <f>IF(AND(B253="Spring",AND(NOT(H252=0),H252&lt;(Variables!$B$9*Variables!$E$50))),(Variables!$B$10*Variables!$E$50+Variables!$B$11*Variables!$E$50*SUM(E250:E253)+$G$1*SUM(D252:D253)*Variables!$E$50*Variables!$B$12),0)</f>
        <v>0</v>
      </c>
      <c r="N253" s="64">
        <f>IF(AND(B253="Spring",AND(SUM(D250:D253)&gt;Variables!$B$13,SUM(D246:D249)&gt;Variables!$B$13)),-Variables!$B$14*Variables!$E$50,0)</f>
        <v>0</v>
      </c>
      <c r="O253" s="64">
        <f>IF(AND(B253="Summer",SUM(C249:D253)&gt;Variables!$B$15),(Variables!$B$16*Variables!$E$50*SUM(C249:C253)+$G$1*Variables!$B$16*Variables!$E$50*SUM(D249:D253)+$G$1*Variables!$E$50*Variables!$B$17*F253),0)</f>
        <v>0</v>
      </c>
      <c r="P253" s="64">
        <f>IF(AND(AND(B253="Autumn",SUM(D252:E253)&gt;0),NOT(H252=0)),Variables!$B$18*Variables!$E$50+Variables!$B$19*Variables!$E$50*SUM(E252:E253)+$G$1*Variables!$B$19*Variables!$E$50*SUM(D252:D253),0)</f>
        <v>0</v>
      </c>
      <c r="Q253" s="64">
        <f>IF(AND(B253="Autumn",AND((E253+E252)&lt;Variables!$B$20,(D252+D253)=0)),-Variables!$B$21*Variables!$E$50,0)</f>
        <v>0</v>
      </c>
      <c r="R253" s="64">
        <f>IF(B253="Autumn",(SUM(F252:F253)*$G$1*Variables!$B$22*Variables!$E$50),0)</f>
        <v>0</v>
      </c>
      <c r="S253" s="64">
        <f>IF(B253="Spring",($G$1*Variables!$E$50*SUM('Guts (option 2)'!F252:F253)*Variables!$B$23),0)</f>
        <v>0</v>
      </c>
      <c r="T253" s="63">
        <f>IF((H252+SUM(J253:Q253))&lt;(Variables!$B$26*Variables!$E$50),$F$1*((Variables!$B$26*Variables!$E$50)-H252-SUM(J253:Q253)),0)</f>
        <v>0</v>
      </c>
      <c r="U253" s="64">
        <f>IF(AND(AND(B253="Autumn",SUM(D250:E253)&gt;Variables!$B$27),SUM(J253:Q253)&lt;Variables!$B$28*H252),$F$1*(Variables!$B$28*H252-SUM(J253:Q253)),0)</f>
        <v>0</v>
      </c>
      <c r="V253" s="96">
        <f>IF(AND((J253+K253)=0,(Q253+T253)=0),$H$1*H253*Variables!$I$23*0.25,0)</f>
        <v>13.072416406878054</v>
      </c>
      <c r="W253" s="97">
        <f>IF(AND((K253+J253)=0,(T253+Q253)=0),$I$1*H253*Variables!$Q$23*0.25,0)</f>
        <v>13.683362259195462</v>
      </c>
      <c r="X253" s="95">
        <f>IF(AND(NOT(K253=0),(H253-H252)&gt;0),(H253-H252)*(Variables!$M$5*$H$1+Variables!$U$5*$I$1),0)+IF(AND(NOT((J253+N253+Q253)=0),(H252-H253)&gt;0),(H252-H253)*(Variables!$M$4*$H$1+Variables!$U$4*$I$1),0)</f>
        <v>0</v>
      </c>
      <c r="Y253" s="95">
        <f>IF(SUM(T253,U252:U253)&gt;0,H253*Variables!$Y$11*0.25*(1-$J$1),0)</f>
        <v>0</v>
      </c>
      <c r="Z253" s="95">
        <f>IF(T253=0,H253*$J$1*Variables!$Y$5*0.25,0)</f>
        <v>4.409447079794778</v>
      </c>
      <c r="AA253" s="95">
        <f t="shared" si="7"/>
        <v>31.165225745868295</v>
      </c>
      <c r="AB253" s="91">
        <f>AA253/Variables!$E$49</f>
        <v>5.0266493138497248</v>
      </c>
    </row>
    <row r="254" spans="1:28" x14ac:dyDescent="0.25">
      <c r="A254" s="61">
        <f>'Water runs'!C261</f>
        <v>25172</v>
      </c>
      <c r="B254" s="61" t="str">
        <f>'Water runs'!B261</f>
        <v>Spring</v>
      </c>
      <c r="C254" s="54">
        <f>'Water runs'!D261/100</f>
        <v>0.14199999999999999</v>
      </c>
      <c r="D254" s="108">
        <f>VLOOKUP(ROW(D254)+4,'Water runs'!$BS$3:$CF$423,MATCH($B$1,Scenarios,0)+1)</f>
        <v>0</v>
      </c>
      <c r="E254" s="54">
        <f>IF(B254=Variables!$D$8,C254-Variables!$E$8,IF(B254=Variables!$D$9,C254-Variables!$E$9,IF(B254=Variables!$D$10,C254-Variables!$E$10,IF(B254=Variables!$D$11,C254-Variables!$E$11,"ELSE"))))</f>
        <v>-0.62198220899470913</v>
      </c>
      <c r="F254" s="108">
        <f>VLOOKUP(ROW(F254)+4,'Water runs'!$CH$3:$CU$423,MATCH($B$1,Scenarios,0)+1)</f>
        <v>0</v>
      </c>
      <c r="G254" s="65">
        <f>H254/Variables!$E$49</f>
        <v>0.29479630650569288</v>
      </c>
      <c r="H254" s="62">
        <f>IF((H253+I254)&gt;(1.1*Variables!$E$50),(1.1*Variables!$E$50),IF((H253+I254)&gt;0,H253+I254,0))</f>
        <v>1.8277371003352958</v>
      </c>
      <c r="I254" s="64">
        <f t="shared" si="8"/>
        <v>-0.20739232110844805</v>
      </c>
      <c r="J254" s="63">
        <f>IF(SUM(E250:E253)&lt;Variables!$B$3,-H253,0)</f>
        <v>0</v>
      </c>
      <c r="K254" s="64">
        <f>IF(AND(H253&lt;Variables!$B$6*Variables!$E$50,OR(SUM(D251:D254)&gt;Variables!$B$5,SUM(E251:E254)&gt;Variables!$B$4)),Variables!$B$6*Variables!$E$50+Variables!$B$7*$G$1*Variables!$E$50*SUM(D251:D254),0)</f>
        <v>0</v>
      </c>
      <c r="L254" s="64">
        <f>IF(B254="Winter",Variables!$B$8*H253,0)</f>
        <v>0</v>
      </c>
      <c r="M254" s="64">
        <f>IF(AND(B254="Spring",AND(NOT(H253=0),H253&lt;(Variables!$B$9*Variables!$E$50))),(Variables!$B$10*Variables!$E$50+Variables!$B$11*Variables!$E$50*SUM(E251:E254)+$G$1*SUM(D253:D254)*Variables!$E$50*Variables!$B$12),0)</f>
        <v>-0.20739232110844805</v>
      </c>
      <c r="N254" s="64">
        <f>IF(AND(B254="Spring",AND(SUM(D251:D254)&gt;Variables!$B$13,SUM(D247:D250)&gt;Variables!$B$13)),-Variables!$B$14*Variables!$E$50,0)</f>
        <v>0</v>
      </c>
      <c r="O254" s="64">
        <f>IF(AND(B254="Summer",SUM(C250:D254)&gt;Variables!$B$15),(Variables!$B$16*Variables!$E$50*SUM(C250:C254)+$G$1*Variables!$B$16*Variables!$E$50*SUM(D250:D254)+$G$1*Variables!$E$50*Variables!$B$17*F254),0)</f>
        <v>0</v>
      </c>
      <c r="P254" s="64">
        <f>IF(AND(AND(B254="Autumn",SUM(D253:E254)&gt;0),NOT(H253=0)),Variables!$B$18*Variables!$E$50+Variables!$B$19*Variables!$E$50*SUM(E253:E254)+$G$1*Variables!$B$19*Variables!$E$50*SUM(D253:D254),0)</f>
        <v>0</v>
      </c>
      <c r="Q254" s="64">
        <f>IF(AND(B254="Autumn",AND((E254+E253)&lt;Variables!$B$20,(D253+D254)=0)),-Variables!$B$21*Variables!$E$50,0)</f>
        <v>0</v>
      </c>
      <c r="R254" s="64">
        <f>IF(B254="Autumn",(SUM(F253:F254)*$G$1*Variables!$B$22*Variables!$E$50),0)</f>
        <v>0</v>
      </c>
      <c r="S254" s="64">
        <f>IF(B254="Spring",($G$1*Variables!$E$50*SUM('Guts (option 2)'!F253:F254)*Variables!$B$23),0)</f>
        <v>0</v>
      </c>
      <c r="T254" s="63">
        <f>IF((H253+SUM(J254:Q254))&lt;(Variables!$B$26*Variables!$E$50),$F$1*((Variables!$B$26*Variables!$E$50)-H253-SUM(J254:Q254)),0)</f>
        <v>0</v>
      </c>
      <c r="U254" s="64">
        <f>IF(AND(AND(B254="Autumn",SUM(D251:E254)&gt;Variables!$B$27),SUM(J254:Q254)&lt;Variables!$B$28*H253),$F$1*(Variables!$B$28*H253-SUM(J254:Q254)),0)</f>
        <v>0</v>
      </c>
      <c r="V254" s="96">
        <f>IF(AND((J254+K254)=0,(Q254+T254)=0),$H$1*H254*Variables!$I$23*0.25,0)</f>
        <v>11.740256028008734</v>
      </c>
      <c r="W254" s="97">
        <f>IF(AND((K254+J254)=0,(T254+Q254)=0),$I$1*H254*Variables!$Q$23*0.25,0)</f>
        <v>12.288942705529388</v>
      </c>
      <c r="X254" s="95">
        <f>IF(AND(NOT(K254=0),(H254-H253)&gt;0),(H254-H253)*(Variables!$M$5*$H$1+Variables!$U$5*$I$1),0)+IF(AND(NOT((J254+N254+Q254)=0),(H253-H254)&gt;0),(H253-H254)*(Variables!$M$4*$H$1+Variables!$U$4*$I$1),0)</f>
        <v>0</v>
      </c>
      <c r="Y254" s="95">
        <f>IF(SUM(T254,U253:U254)&gt;0,H254*Variables!$Y$11*0.25*(1-$J$1),0)</f>
        <v>0</v>
      </c>
      <c r="Z254" s="95">
        <f>IF(T254=0,H254*$J$1*Variables!$Y$5*0.25,0)</f>
        <v>3.9600970507264743</v>
      </c>
      <c r="AA254" s="95">
        <f t="shared" si="7"/>
        <v>27.989295784264598</v>
      </c>
      <c r="AB254" s="91">
        <f>AA254/Variables!$E$49</f>
        <v>4.514402545849129</v>
      </c>
    </row>
    <row r="255" spans="1:28" x14ac:dyDescent="0.25">
      <c r="A255" s="61">
        <f>'Water runs'!C262</f>
        <v>25262</v>
      </c>
      <c r="B255" s="61" t="str">
        <f>'Water runs'!B262</f>
        <v>Summer</v>
      </c>
      <c r="C255" s="54">
        <f>'Water runs'!D262/100</f>
        <v>0.73016071428571394</v>
      </c>
      <c r="D255" s="108">
        <f>VLOOKUP(ROW(D255)+4,'Water runs'!$BS$3:$CF$423,MATCH($B$1,Scenarios,0)+1)</f>
        <v>0</v>
      </c>
      <c r="E255" s="54">
        <f>IF(B255=Variables!$D$8,C255-Variables!$E$8,IF(B255=Variables!$D$9,C255-Variables!$E$9,IF(B255=Variables!$D$10,C255-Variables!$E$10,IF(B255=Variables!$D$11,C255-Variables!$E$11,"ELSE"))))</f>
        <v>-0.52820942176870778</v>
      </c>
      <c r="F255" s="108">
        <f>VLOOKUP(ROW(F255)+4,'Water runs'!$CH$3:$CU$423,MATCH($B$1,Scenarios,0)+1)</f>
        <v>0</v>
      </c>
      <c r="G255" s="65">
        <f>H255/Variables!$E$49</f>
        <v>0.29479630650569288</v>
      </c>
      <c r="H255" s="62">
        <f>IF((H254+I255)&gt;(1.1*Variables!$E$50),(1.1*Variables!$E$50),IF((H254+I255)&gt;0,H254+I255,0))</f>
        <v>1.8277371003352958</v>
      </c>
      <c r="I255" s="64">
        <f t="shared" si="8"/>
        <v>0</v>
      </c>
      <c r="J255" s="63">
        <f>IF(SUM(E251:E254)&lt;Variables!$B$3,-H254,0)</f>
        <v>0</v>
      </c>
      <c r="K255" s="64">
        <f>IF(AND(H254&lt;Variables!$B$6*Variables!$E$50,OR(SUM(D252:D255)&gt;Variables!$B$5,SUM(E252:E255)&gt;Variables!$B$4)),Variables!$B$6*Variables!$E$50+Variables!$B$7*$G$1*Variables!$E$50*SUM(D252:D255),0)</f>
        <v>0</v>
      </c>
      <c r="L255" s="64">
        <f>IF(B255="Winter",Variables!$B$8*H254,0)</f>
        <v>0</v>
      </c>
      <c r="M255" s="64">
        <f>IF(AND(B255="Spring",AND(NOT(H254=0),H254&lt;(Variables!$B$9*Variables!$E$50))),(Variables!$B$10*Variables!$E$50+Variables!$B$11*Variables!$E$50*SUM(E252:E255)+$G$1*SUM(D254:D255)*Variables!$E$50*Variables!$B$12),0)</f>
        <v>0</v>
      </c>
      <c r="N255" s="64">
        <f>IF(AND(B255="Spring",AND(SUM(D252:D255)&gt;Variables!$B$13,SUM(D248:D251)&gt;Variables!$B$13)),-Variables!$B$14*Variables!$E$50,0)</f>
        <v>0</v>
      </c>
      <c r="O255" s="64">
        <f>IF(AND(B255="Summer",SUM(C251:D255)&gt;Variables!$B$15),(Variables!$B$16*Variables!$E$50*SUM(C251:C255)+$G$1*Variables!$B$16*Variables!$E$50*SUM(D251:D255)+$G$1*Variables!$E$50*Variables!$B$17*F255),0)</f>
        <v>0</v>
      </c>
      <c r="P255" s="64">
        <f>IF(AND(AND(B255="Autumn",SUM(D254:E255)&gt;0),NOT(H254=0)),Variables!$B$18*Variables!$E$50+Variables!$B$19*Variables!$E$50*SUM(E254:E255)+$G$1*Variables!$B$19*Variables!$E$50*SUM(D254:D255),0)</f>
        <v>0</v>
      </c>
      <c r="Q255" s="64">
        <f>IF(AND(B255="Autumn",AND((E255+E254)&lt;Variables!$B$20,(D254+D255)=0)),-Variables!$B$21*Variables!$E$50,0)</f>
        <v>0</v>
      </c>
      <c r="R255" s="64">
        <f>IF(B255="Autumn",(SUM(F254:F255)*$G$1*Variables!$B$22*Variables!$E$50),0)</f>
        <v>0</v>
      </c>
      <c r="S255" s="64">
        <f>IF(B255="Spring",($G$1*Variables!$E$50*SUM('Guts (option 2)'!F254:F255)*Variables!$B$23),0)</f>
        <v>0</v>
      </c>
      <c r="T255" s="63">
        <f>IF((H254+SUM(J255:Q255))&lt;(Variables!$B$26*Variables!$E$50),$F$1*((Variables!$B$26*Variables!$E$50)-H254-SUM(J255:Q255)),0)</f>
        <v>0</v>
      </c>
      <c r="U255" s="64">
        <f>IF(AND(AND(B255="Autumn",SUM(D252:E255)&gt;Variables!$B$27),SUM(J255:Q255)&lt;Variables!$B$28*H254),$F$1*(Variables!$B$28*H254-SUM(J255:Q255)),0)</f>
        <v>0</v>
      </c>
      <c r="V255" s="96">
        <f>IF(AND((J255+K255)=0,(Q255+T255)=0),$H$1*H255*Variables!$I$23*0.25,0)</f>
        <v>11.740256028008734</v>
      </c>
      <c r="W255" s="97">
        <f>IF(AND((K255+J255)=0,(T255+Q255)=0),$I$1*H255*Variables!$Q$23*0.25,0)</f>
        <v>12.288942705529388</v>
      </c>
      <c r="X255" s="95">
        <f>IF(AND(NOT(K255=0),(H255-H254)&gt;0),(H255-H254)*(Variables!$M$5*$H$1+Variables!$U$5*$I$1),0)+IF(AND(NOT((J255+N255+Q255)=0),(H254-H255)&gt;0),(H254-H255)*(Variables!$M$4*$H$1+Variables!$U$4*$I$1),0)</f>
        <v>0</v>
      </c>
      <c r="Y255" s="95">
        <f>IF(SUM(T255,U254:U255)&gt;0,H255*Variables!$Y$11*0.25*(1-$J$1),0)</f>
        <v>0</v>
      </c>
      <c r="Z255" s="95">
        <f>IF(T255=0,H255*$J$1*Variables!$Y$5*0.25,0)</f>
        <v>3.9600970507264743</v>
      </c>
      <c r="AA255" s="95">
        <f t="shared" si="7"/>
        <v>27.989295784264598</v>
      </c>
      <c r="AB255" s="91">
        <f>AA255/Variables!$E$49</f>
        <v>4.514402545849129</v>
      </c>
    </row>
    <row r="256" spans="1:28" x14ac:dyDescent="0.25">
      <c r="A256" s="61">
        <f>'Water runs'!C263</f>
        <v>25354</v>
      </c>
      <c r="B256" s="61" t="str">
        <f>'Water runs'!B263</f>
        <v>Autumn</v>
      </c>
      <c r="C256" s="54">
        <f>'Water runs'!D263/100</f>
        <v>1.4157499999999998</v>
      </c>
      <c r="D256" s="108">
        <f>VLOOKUP(ROW(D256)+4,'Water runs'!$BS$3:$CF$423,MATCH($B$1,Scenarios,0)+1)</f>
        <v>0</v>
      </c>
      <c r="E256" s="54">
        <f>IF(B256=Variables!$D$8,C256-Variables!$E$8,IF(B256=Variables!$D$9,C256-Variables!$E$9,IF(B256=Variables!$D$10,C256-Variables!$E$10,IF(B256=Variables!$D$11,C256-Variables!$E$11,"ELSE"))))</f>
        <v>0.42110670068027201</v>
      </c>
      <c r="F256" s="108">
        <f>VLOOKUP(ROW(F256)+4,'Water runs'!$CH$3:$CU$423,MATCH($B$1,Scenarios,0)+1)</f>
        <v>0</v>
      </c>
      <c r="G256" s="65">
        <f>H256/Variables!$E$49</f>
        <v>0.29479630650569288</v>
      </c>
      <c r="H256" s="62">
        <f>IF((H255+I256)&gt;(1.1*Variables!$E$50),(1.1*Variables!$E$50),IF((H255+I256)&gt;0,H255+I256,0))</f>
        <v>1.8277371003352958</v>
      </c>
      <c r="I256" s="64">
        <f t="shared" si="8"/>
        <v>0</v>
      </c>
      <c r="J256" s="63">
        <f>IF(SUM(E252:E255)&lt;Variables!$B$3,-H255,0)</f>
        <v>0</v>
      </c>
      <c r="K256" s="64">
        <f>IF(AND(H255&lt;Variables!$B$6*Variables!$E$50,OR(SUM(D253:D256)&gt;Variables!$B$5,SUM(E253:E256)&gt;Variables!$B$4)),Variables!$B$6*Variables!$E$50+Variables!$B$7*$G$1*Variables!$E$50*SUM(D253:D256),0)</f>
        <v>0</v>
      </c>
      <c r="L256" s="64">
        <f>IF(B256="Winter",Variables!$B$8*H255,0)</f>
        <v>0</v>
      </c>
      <c r="M256" s="64">
        <f>IF(AND(B256="Spring",AND(NOT(H255=0),H255&lt;(Variables!$B$9*Variables!$E$50))),(Variables!$B$10*Variables!$E$50+Variables!$B$11*Variables!$E$50*SUM(E253:E256)+$G$1*SUM(D255:D256)*Variables!$E$50*Variables!$B$12),0)</f>
        <v>0</v>
      </c>
      <c r="N256" s="64">
        <f>IF(AND(B256="Spring",AND(SUM(D253:D256)&gt;Variables!$B$13,SUM(D249:D252)&gt;Variables!$B$13)),-Variables!$B$14*Variables!$E$50,0)</f>
        <v>0</v>
      </c>
      <c r="O256" s="64">
        <f>IF(AND(B256="Summer",SUM(C252:D256)&gt;Variables!$B$15),(Variables!$B$16*Variables!$E$50*SUM(C252:C256)+$G$1*Variables!$B$16*Variables!$E$50*SUM(D252:D256)+$G$1*Variables!$E$50*Variables!$B$17*F256),0)</f>
        <v>0</v>
      </c>
      <c r="P256" s="64">
        <f>IF(AND(AND(B256="Autumn",SUM(D255:E256)&gt;0),NOT(H255=0)),Variables!$B$18*Variables!$E$50+Variables!$B$19*Variables!$E$50*SUM(E255:E256)+$G$1*Variables!$B$19*Variables!$E$50*SUM(D255:D256),0)</f>
        <v>0</v>
      </c>
      <c r="Q256" s="64">
        <f>IF(AND(B256="Autumn",AND((E256+E255)&lt;Variables!$B$20,(D255+D256)=0)),-Variables!$B$21*Variables!$E$50,0)</f>
        <v>0</v>
      </c>
      <c r="R256" s="64">
        <f>IF(B256="Autumn",(SUM(F255:F256)*$G$1*Variables!$B$22*Variables!$E$50),0)</f>
        <v>0</v>
      </c>
      <c r="S256" s="64">
        <f>IF(B256="Spring",($G$1*Variables!$E$50*SUM('Guts (option 2)'!F255:F256)*Variables!$B$23),0)</f>
        <v>0</v>
      </c>
      <c r="T256" s="63">
        <f>IF((H255+SUM(J256:Q256))&lt;(Variables!$B$26*Variables!$E$50),$F$1*((Variables!$B$26*Variables!$E$50)-H255-SUM(J256:Q256)),0)</f>
        <v>0</v>
      </c>
      <c r="U256" s="64">
        <f>IF(AND(AND(B256="Autumn",SUM(D253:E256)&gt;Variables!$B$27),SUM(J256:Q256)&lt;Variables!$B$28*H255),$F$1*(Variables!$B$28*H255-SUM(J256:Q256)),0)</f>
        <v>0</v>
      </c>
      <c r="V256" s="96">
        <f>IF(AND((J256+K256)=0,(Q256+T256)=0),$H$1*H256*Variables!$I$23*0.25,0)</f>
        <v>11.740256028008734</v>
      </c>
      <c r="W256" s="97">
        <f>IF(AND((K256+J256)=0,(T256+Q256)=0),$I$1*H256*Variables!$Q$23*0.25,0)</f>
        <v>12.288942705529388</v>
      </c>
      <c r="X256" s="95">
        <f>IF(AND(NOT(K256=0),(H256-H255)&gt;0),(H256-H255)*(Variables!$M$5*$H$1+Variables!$U$5*$I$1),0)+IF(AND(NOT((J256+N256+Q256)=0),(H255-H256)&gt;0),(H255-H256)*(Variables!$M$4*$H$1+Variables!$U$4*$I$1),0)</f>
        <v>0</v>
      </c>
      <c r="Y256" s="95">
        <f>IF(SUM(T256,U255:U256)&gt;0,H256*Variables!$Y$11*0.25*(1-$J$1),0)</f>
        <v>0</v>
      </c>
      <c r="Z256" s="95">
        <f>IF(T256=0,H256*$J$1*Variables!$Y$5*0.25,0)</f>
        <v>3.9600970507264743</v>
      </c>
      <c r="AA256" s="95">
        <f t="shared" si="7"/>
        <v>27.989295784264598</v>
      </c>
      <c r="AB256" s="91">
        <f>AA256/Variables!$E$49</f>
        <v>4.514402545849129</v>
      </c>
    </row>
    <row r="257" spans="1:28" x14ac:dyDescent="0.25">
      <c r="A257" s="61">
        <f>'Water runs'!C264</f>
        <v>25446</v>
      </c>
      <c r="B257" s="61" t="str">
        <f>'Water runs'!B264</f>
        <v>Winter</v>
      </c>
      <c r="C257" s="54">
        <f>'Water runs'!D264/100</f>
        <v>0.62712499999999993</v>
      </c>
      <c r="D257" s="108">
        <f>VLOOKUP(ROW(D257)+4,'Water runs'!$BS$3:$CF$423,MATCH($B$1,Scenarios,0)+1)</f>
        <v>2.3198916856032115E-3</v>
      </c>
      <c r="E257" s="54">
        <f>IF(B257=Variables!$D$8,C257-Variables!$E$8,IF(B257=Variables!$D$9,C257-Variables!$E$9,IF(B257=Variables!$D$10,C257-Variables!$E$10,IF(B257=Variables!$D$11,C257-Variables!$E$11,"ELSE"))))</f>
        <v>5.5357374338624199E-2</v>
      </c>
      <c r="F257" s="108">
        <f>VLOOKUP(ROW(F257)+4,'Water runs'!$CH$3:$CU$423,MATCH($B$1,Scenarios,0)+1)</f>
        <v>0</v>
      </c>
      <c r="G257" s="65">
        <f>H257/Variables!$E$49</f>
        <v>0.161</v>
      </c>
      <c r="H257" s="62">
        <f>IF((H256+I257)&gt;(1.1*Variables!$E$50),(1.1*Variables!$E$50),IF((H256+I257)&gt;0,H256+I257,0))</f>
        <v>0.99820000000000009</v>
      </c>
      <c r="I257" s="64">
        <f t="shared" si="8"/>
        <v>-0.82953710033529571</v>
      </c>
      <c r="J257" s="63">
        <f>IF(SUM(E253:E256)&lt;Variables!$B$3,-H256,0)</f>
        <v>0</v>
      </c>
      <c r="K257" s="64">
        <f>IF(AND(H256&lt;Variables!$B$6*Variables!$E$50,OR(SUM(D254:D257)&gt;Variables!$B$5,SUM(E254:E257)&gt;Variables!$B$4)),Variables!$B$6*Variables!$E$50+Variables!$B$7*$G$1*Variables!$E$50*SUM(D254:D257),0)</f>
        <v>0</v>
      </c>
      <c r="L257" s="64">
        <f>IF(B257="Winter",Variables!$B$8*H256,0)</f>
        <v>-0.91011300066237855</v>
      </c>
      <c r="M257" s="64">
        <f>IF(AND(B257="Spring",AND(NOT(H256=0),H256&lt;(Variables!$B$9*Variables!$E$50))),(Variables!$B$10*Variables!$E$50+Variables!$B$11*Variables!$E$50*SUM(E254:E257)+$G$1*SUM(D256:D257)*Variables!$E$50*Variables!$B$12),0)</f>
        <v>0</v>
      </c>
      <c r="N257" s="64">
        <f>IF(AND(B257="Spring",AND(SUM(D254:D257)&gt;Variables!$B$13,SUM(D250:D253)&gt;Variables!$B$13)),-Variables!$B$14*Variables!$E$50,0)</f>
        <v>0</v>
      </c>
      <c r="O257" s="64">
        <f>IF(AND(B257="Summer",SUM(C253:D257)&gt;Variables!$B$15),(Variables!$B$16*Variables!$E$50*SUM(C253:C257)+$G$1*Variables!$B$16*Variables!$E$50*SUM(D253:D257)+$G$1*Variables!$E$50*Variables!$B$17*F257),0)</f>
        <v>0</v>
      </c>
      <c r="P257" s="64">
        <f>IF(AND(AND(B257="Autumn",SUM(D256:E257)&gt;0),NOT(H256=0)),Variables!$B$18*Variables!$E$50+Variables!$B$19*Variables!$E$50*SUM(E256:E257)+$G$1*Variables!$B$19*Variables!$E$50*SUM(D256:D257),0)</f>
        <v>0</v>
      </c>
      <c r="Q257" s="64">
        <f>IF(AND(B257="Autumn",AND((E257+E256)&lt;Variables!$B$20,(D256+D257)=0)),-Variables!$B$21*Variables!$E$50,0)</f>
        <v>0</v>
      </c>
      <c r="R257" s="64">
        <f>IF(B257="Autumn",(SUM(F256:F257)*$G$1*Variables!$B$22*Variables!$E$50),0)</f>
        <v>0</v>
      </c>
      <c r="S257" s="64">
        <f>IF(B257="Spring",($G$1*Variables!$E$50*SUM('Guts (option 2)'!F256:F257)*Variables!$B$23),0)</f>
        <v>0</v>
      </c>
      <c r="T257" s="63">
        <f>IF((H256+SUM(J257:Q257))&lt;(Variables!$B$26*Variables!$E$50),$F$1*((Variables!$B$26*Variables!$E$50)-H256-SUM(J257:Q257)),0)</f>
        <v>8.0575900327082839E-2</v>
      </c>
      <c r="U257" s="64">
        <f>IF(AND(AND(B257="Autumn",SUM(D254:E257)&gt;Variables!$B$27),SUM(J257:Q257)&lt;Variables!$B$28*H256),$F$1*(Variables!$B$28*H256-SUM(J257:Q257)),0)</f>
        <v>0</v>
      </c>
      <c r="V257" s="96">
        <f>IF(AND((J257+K257)=0,(Q257+T257)=0),$H$1*H257*Variables!$I$23*0.25,0)</f>
        <v>0</v>
      </c>
      <c r="W257" s="97">
        <f>IF(AND((K257+J257)=0,(T257+Q257)=0),$I$1*H257*Variables!$Q$23*0.25,0)</f>
        <v>0</v>
      </c>
      <c r="X257" s="95">
        <f>IF(AND(NOT(K257=0),(H257-H256)&gt;0),(H257-H256)*(Variables!$M$5*$H$1+Variables!$U$5*$I$1),0)+IF(AND(NOT((J257+N257+Q257)=0),(H256-H257)&gt;0),(H256-H257)*(Variables!$M$4*$H$1+Variables!$U$4*$I$1),0)</f>
        <v>0</v>
      </c>
      <c r="Y257" s="95">
        <f>IF(SUM(T257,U256:U257)&gt;0,H257*Variables!$Y$11*0.25*(1-$J$1),0)</f>
        <v>-6.9874000000000018</v>
      </c>
      <c r="Z257" s="95">
        <f>IF(T257=0,H257*$J$1*Variables!$Y$5*0.25,0)</f>
        <v>0</v>
      </c>
      <c r="AA257" s="95">
        <f t="shared" si="7"/>
        <v>-6.9874000000000018</v>
      </c>
      <c r="AB257" s="91">
        <f>AA257/Variables!$E$49</f>
        <v>-1.1270000000000002</v>
      </c>
    </row>
    <row r="258" spans="1:28" x14ac:dyDescent="0.25">
      <c r="A258" s="61">
        <f>'Water runs'!C265</f>
        <v>25537</v>
      </c>
      <c r="B258" s="61" t="str">
        <f>'Water runs'!B265</f>
        <v>Spring</v>
      </c>
      <c r="C258" s="54">
        <f>'Water runs'!D265/100</f>
        <v>0.99546428571428602</v>
      </c>
      <c r="D258" s="108">
        <f>VLOOKUP(ROW(D258)+4,'Water runs'!$BS$3:$CF$423,MATCH($B$1,Scenarios,0)+1)</f>
        <v>2.1465728153033672E-2</v>
      </c>
      <c r="E258" s="54">
        <f>IF(B258=Variables!$D$8,C258-Variables!$E$8,IF(B258=Variables!$D$9,C258-Variables!$E$9,IF(B258=Variables!$D$10,C258-Variables!$E$10,IF(B258=Variables!$D$11,C258-Variables!$E$11,"ELSE"))))</f>
        <v>0.23148207671957688</v>
      </c>
      <c r="F258" s="108">
        <f>VLOOKUP(ROW(F258)+4,'Water runs'!$CH$3:$CU$423,MATCH($B$1,Scenarios,0)+1)</f>
        <v>0</v>
      </c>
      <c r="G258" s="65">
        <f>H258/Variables!$E$49</f>
        <v>0.36636647841337255</v>
      </c>
      <c r="H258" s="62">
        <f>IF((H257+I258)&gt;(1.1*Variables!$E$50),(1.1*Variables!$E$50),IF((H257+I258)&gt;0,H257+I258,0))</f>
        <v>2.2714721661629098</v>
      </c>
      <c r="I258" s="64">
        <f t="shared" si="8"/>
        <v>1.2732721661629098</v>
      </c>
      <c r="J258" s="63">
        <f>IF(SUM(E254:E257)&lt;Variables!$B$3,-H257,0)</f>
        <v>0</v>
      </c>
      <c r="K258" s="64">
        <f>IF(AND(H257&lt;Variables!$B$6*Variables!$E$50,OR(SUM(D255:D258)&gt;Variables!$B$5,SUM(E255:E258)&gt;Variables!$B$4)),Variables!$B$6*Variables!$E$50+Variables!$B$7*$G$1*Variables!$E$50*SUM(D255:D258),0)</f>
        <v>1.1420549768739261</v>
      </c>
      <c r="L258" s="64">
        <f>IF(B258="Winter",Variables!$B$8*H257,0)</f>
        <v>0</v>
      </c>
      <c r="M258" s="64">
        <f>IF(AND(B258="Spring",AND(NOT(H257=0),H257&lt;(Variables!$B$9*Variables!$E$50))),(Variables!$B$10*Variables!$E$50+Variables!$B$11*Variables!$E$50*SUM(E255:E258)+$G$1*SUM(D257:D258)*Variables!$E$50*Variables!$B$12),0)</f>
        <v>0.13121718928898379</v>
      </c>
      <c r="N258" s="64">
        <f>IF(AND(B258="Spring",AND(SUM(D255:D258)&gt;Variables!$B$13,SUM(D251:D254)&gt;Variables!$B$13)),-Variables!$B$14*Variables!$E$50,0)</f>
        <v>0</v>
      </c>
      <c r="O258" s="64">
        <f>IF(AND(B258="Summer",SUM(C254:D258)&gt;Variables!$B$15),(Variables!$B$16*Variables!$E$50*SUM(C254:C258)+$G$1*Variables!$B$16*Variables!$E$50*SUM(D254:D258)+$G$1*Variables!$E$50*Variables!$B$17*F258),0)</f>
        <v>0</v>
      </c>
      <c r="P258" s="64">
        <f>IF(AND(AND(B258="Autumn",SUM(D257:E258)&gt;0),NOT(H257=0)),Variables!$B$18*Variables!$E$50+Variables!$B$19*Variables!$E$50*SUM(E257:E258)+$G$1*Variables!$B$19*Variables!$E$50*SUM(D257:D258),0)</f>
        <v>0</v>
      </c>
      <c r="Q258" s="64">
        <f>IF(AND(B258="Autumn",AND((E258+E257)&lt;Variables!$B$20,(D257+D258)=0)),-Variables!$B$21*Variables!$E$50,0)</f>
        <v>0</v>
      </c>
      <c r="R258" s="64">
        <f>IF(B258="Autumn",(SUM(F257:F258)*$G$1*Variables!$B$22*Variables!$E$50),0)</f>
        <v>0</v>
      </c>
      <c r="S258" s="64">
        <f>IF(B258="Spring",($G$1*Variables!$E$50*SUM('Guts (option 2)'!F257:F258)*Variables!$B$23),0)</f>
        <v>0</v>
      </c>
      <c r="T258" s="63">
        <f>IF((H257+SUM(J258:Q258))&lt;(Variables!$B$26*Variables!$E$50),$F$1*((Variables!$B$26*Variables!$E$50)-H257-SUM(J258:Q258)),0)</f>
        <v>0</v>
      </c>
      <c r="U258" s="64">
        <f>IF(AND(AND(B258="Autumn",SUM(D255:E258)&gt;Variables!$B$27),SUM(J258:Q258)&lt;Variables!$B$28*H257),$F$1*(Variables!$B$28*H257-SUM(J258:Q258)),0)</f>
        <v>0</v>
      </c>
      <c r="V258" s="96">
        <f>IF(AND((J258+K258)=0,(Q258+T258)=0),$H$1*H258*Variables!$I$23*0.25,0)</f>
        <v>0</v>
      </c>
      <c r="W258" s="97">
        <f>IF(AND((K258+J258)=0,(T258+Q258)=0),$I$1*H258*Variables!$Q$23*0.25,0)</f>
        <v>0</v>
      </c>
      <c r="X258" s="95">
        <f>IF(AND(NOT(K258=0),(H258-H257)&gt;0),(H258-H257)*(Variables!$M$5*$H$1+Variables!$U$5*$I$1),0)+IF(AND(NOT((J258+N258+Q258)=0),(H257-H258)&gt;0),(H257-H258)*(Variables!$M$4*$H$1+Variables!$U$4*$I$1),0)</f>
        <v>-106.10601384690912</v>
      </c>
      <c r="Y258" s="95">
        <f>IF(SUM(T258,U257:U258)&gt;0,H258*Variables!$Y$11*0.25*(1-$J$1),0)</f>
        <v>0</v>
      </c>
      <c r="Z258" s="95">
        <f>IF(T258=0,H258*$J$1*Variables!$Y$5*0.25,0)</f>
        <v>4.9215230266863044</v>
      </c>
      <c r="AA258" s="95">
        <f t="shared" si="7"/>
        <v>-101.18449082022282</v>
      </c>
      <c r="AB258" s="91">
        <f>AA258/Variables!$E$49</f>
        <v>-16.320079164552066</v>
      </c>
    </row>
    <row r="259" spans="1:28" x14ac:dyDescent="0.25">
      <c r="A259" s="61">
        <f>'Water runs'!C266</f>
        <v>25627</v>
      </c>
      <c r="B259" s="61" t="str">
        <f>'Water runs'!B266</f>
        <v>Summer</v>
      </c>
      <c r="C259" s="54">
        <f>'Water runs'!D266/100</f>
        <v>0.84762500000000007</v>
      </c>
      <c r="D259" s="108">
        <f>VLOOKUP(ROW(D259)+4,'Water runs'!$BS$3:$CF$423,MATCH($B$1,Scenarios,0)+1)</f>
        <v>1.2157657621992257E-2</v>
      </c>
      <c r="E259" s="54">
        <f>IF(B259=Variables!$D$8,C259-Variables!$E$8,IF(B259=Variables!$D$9,C259-Variables!$E$9,IF(B259=Variables!$D$10,C259-Variables!$E$10,IF(B259=Variables!$D$11,C259-Variables!$E$11,"ELSE"))))</f>
        <v>-0.41074513605442164</v>
      </c>
      <c r="F259" s="108">
        <f>VLOOKUP(ROW(F259)+4,'Water runs'!$CH$3:$CU$423,MATCH($B$1,Scenarios,0)+1)</f>
        <v>0</v>
      </c>
      <c r="G259" s="65">
        <f>H259/Variables!$E$49</f>
        <v>0.36636647841337255</v>
      </c>
      <c r="H259" s="62">
        <f>IF((H258+I259)&gt;(1.1*Variables!$E$50),(1.1*Variables!$E$50),IF((H258+I259)&gt;0,H258+I259,0))</f>
        <v>2.2714721661629098</v>
      </c>
      <c r="I259" s="64">
        <f t="shared" si="8"/>
        <v>0</v>
      </c>
      <c r="J259" s="63">
        <f>IF(SUM(E255:E258)&lt;Variables!$B$3,-H258,0)</f>
        <v>0</v>
      </c>
      <c r="K259" s="64">
        <f>IF(AND(H258&lt;Variables!$B$6*Variables!$E$50,OR(SUM(D256:D259)&gt;Variables!$B$5,SUM(E256:E259)&gt;Variables!$B$4)),Variables!$B$6*Variables!$E$50+Variables!$B$7*$G$1*Variables!$E$50*SUM(D256:D259),0)</f>
        <v>0</v>
      </c>
      <c r="L259" s="64">
        <f>IF(B259="Winter",Variables!$B$8*H258,0)</f>
        <v>0</v>
      </c>
      <c r="M259" s="64">
        <f>IF(AND(B259="Spring",AND(NOT(H258=0),H258&lt;(Variables!$B$9*Variables!$E$50))),(Variables!$B$10*Variables!$E$50+Variables!$B$11*Variables!$E$50*SUM(E256:E259)+$G$1*SUM(D258:D259)*Variables!$E$50*Variables!$B$12),0)</f>
        <v>0</v>
      </c>
      <c r="N259" s="64">
        <f>IF(AND(B259="Spring",AND(SUM(D256:D259)&gt;Variables!$B$13,SUM(D252:D255)&gt;Variables!$B$13)),-Variables!$B$14*Variables!$E$50,0)</f>
        <v>0</v>
      </c>
      <c r="O259" s="64">
        <f>IF(AND(B259="Summer",SUM(C255:D259)&gt;Variables!$B$15),(Variables!$B$16*Variables!$E$50*SUM(C255:C259)+$G$1*Variables!$B$16*Variables!$E$50*SUM(D255:D259)+$G$1*Variables!$E$50*Variables!$B$17*F259),0)</f>
        <v>0</v>
      </c>
      <c r="P259" s="64">
        <f>IF(AND(AND(B259="Autumn",SUM(D258:E259)&gt;0),NOT(H258=0)),Variables!$B$18*Variables!$E$50+Variables!$B$19*Variables!$E$50*SUM(E258:E259)+$G$1*Variables!$B$19*Variables!$E$50*SUM(D258:D259),0)</f>
        <v>0</v>
      </c>
      <c r="Q259" s="64">
        <f>IF(AND(B259="Autumn",AND((E259+E258)&lt;Variables!$B$20,(D258+D259)=0)),-Variables!$B$21*Variables!$E$50,0)</f>
        <v>0</v>
      </c>
      <c r="R259" s="64">
        <f>IF(B259="Autumn",(SUM(F258:F259)*$G$1*Variables!$B$22*Variables!$E$50),0)</f>
        <v>0</v>
      </c>
      <c r="S259" s="64">
        <f>IF(B259="Spring",($G$1*Variables!$E$50*SUM('Guts (option 2)'!F258:F259)*Variables!$B$23),0)</f>
        <v>0</v>
      </c>
      <c r="T259" s="63">
        <f>IF((H258+SUM(J259:Q259))&lt;(Variables!$B$26*Variables!$E$50),$F$1*((Variables!$B$26*Variables!$E$50)-H258-SUM(J259:Q259)),0)</f>
        <v>0</v>
      </c>
      <c r="U259" s="64">
        <f>IF(AND(AND(B259="Autumn",SUM(D256:E259)&gt;Variables!$B$27),SUM(J259:Q259)&lt;Variables!$B$28*H258),$F$1*(Variables!$B$28*H258-SUM(J259:Q259)),0)</f>
        <v>0</v>
      </c>
      <c r="V259" s="96">
        <f>IF(AND((J259+K259)=0,(Q259+T259)=0),$H$1*H259*Variables!$I$23*0.25,0)</f>
        <v>14.5905364542614</v>
      </c>
      <c r="W259" s="97">
        <f>IF(AND((K259+J259)=0,(T259+Q259)=0),$I$1*H259*Variables!$Q$23*0.25,0)</f>
        <v>15.272432398543502</v>
      </c>
      <c r="X259" s="95">
        <f>IF(AND(NOT(K259=0),(H259-H258)&gt;0),(H259-H258)*(Variables!$M$5*$H$1+Variables!$U$5*$I$1),0)+IF(AND(NOT((J259+N259+Q259)=0),(H258-H259)&gt;0),(H258-H259)*(Variables!$M$4*$H$1+Variables!$U$4*$I$1),0)</f>
        <v>0</v>
      </c>
      <c r="Y259" s="95">
        <f>IF(SUM(T259,U258:U259)&gt;0,H259*Variables!$Y$11*0.25*(1-$J$1),0)</f>
        <v>0</v>
      </c>
      <c r="Z259" s="95">
        <f>IF(T259=0,H259*$J$1*Variables!$Y$5*0.25,0)</f>
        <v>4.9215230266863044</v>
      </c>
      <c r="AA259" s="95">
        <f t="shared" si="7"/>
        <v>34.784491879491206</v>
      </c>
      <c r="AB259" s="91">
        <f>AA259/Variables!$E$49</f>
        <v>5.6104019160469685</v>
      </c>
    </row>
    <row r="260" spans="1:28" x14ac:dyDescent="0.25">
      <c r="A260" s="61">
        <f>'Water runs'!C267</f>
        <v>25719</v>
      </c>
      <c r="B260" s="61" t="str">
        <f>'Water runs'!B267</f>
        <v>Autumn</v>
      </c>
      <c r="C260" s="54">
        <f>'Water runs'!D267/100</f>
        <v>0.765625</v>
      </c>
      <c r="D260" s="108">
        <f>VLOOKUP(ROW(D260)+4,'Water runs'!$BS$3:$CF$423,MATCH($B$1,Scenarios,0)+1)</f>
        <v>0</v>
      </c>
      <c r="E260" s="54">
        <f>IF(B260=Variables!$D$8,C260-Variables!$E$8,IF(B260=Variables!$D$9,C260-Variables!$E$9,IF(B260=Variables!$D$10,C260-Variables!$E$10,IF(B260=Variables!$D$11,C260-Variables!$E$11,"ELSE"))))</f>
        <v>-0.22901829931972784</v>
      </c>
      <c r="F260" s="108">
        <f>VLOOKUP(ROW(F260)+4,'Water runs'!$CH$3:$CU$423,MATCH($B$1,Scenarios,0)+1)</f>
        <v>0</v>
      </c>
      <c r="G260" s="65">
        <f>H260/Variables!$E$49</f>
        <v>0.36636647841337255</v>
      </c>
      <c r="H260" s="62">
        <f>IF((H259+I260)&gt;(1.1*Variables!$E$50),(1.1*Variables!$E$50),IF((H259+I260)&gt;0,H259+I260,0))</f>
        <v>2.2714721661629098</v>
      </c>
      <c r="I260" s="64">
        <f t="shared" si="8"/>
        <v>0</v>
      </c>
      <c r="J260" s="63">
        <f>IF(SUM(E256:E259)&lt;Variables!$B$3,-H259,0)</f>
        <v>0</v>
      </c>
      <c r="K260" s="64">
        <f>IF(AND(H259&lt;Variables!$B$6*Variables!$E$50,OR(SUM(D257:D260)&gt;Variables!$B$5,SUM(E257:E260)&gt;Variables!$B$4)),Variables!$B$6*Variables!$E$50+Variables!$B$7*$G$1*Variables!$E$50*SUM(D257:D260),0)</f>
        <v>0</v>
      </c>
      <c r="L260" s="64">
        <f>IF(B260="Winter",Variables!$B$8*H259,0)</f>
        <v>0</v>
      </c>
      <c r="M260" s="64">
        <f>IF(AND(B260="Spring",AND(NOT(H259=0),H259&lt;(Variables!$B$9*Variables!$E$50))),(Variables!$B$10*Variables!$E$50+Variables!$B$11*Variables!$E$50*SUM(E257:E260)+$G$1*SUM(D259:D260)*Variables!$E$50*Variables!$B$12),0)</f>
        <v>0</v>
      </c>
      <c r="N260" s="64">
        <f>IF(AND(B260="Spring",AND(SUM(D257:D260)&gt;Variables!$B$13,SUM(D253:D256)&gt;Variables!$B$13)),-Variables!$B$14*Variables!$E$50,0)</f>
        <v>0</v>
      </c>
      <c r="O260" s="64">
        <f>IF(AND(B260="Summer",SUM(C256:D260)&gt;Variables!$B$15),(Variables!$B$16*Variables!$E$50*SUM(C256:C260)+$G$1*Variables!$B$16*Variables!$E$50*SUM(D256:D260)+$G$1*Variables!$E$50*Variables!$B$17*F260),0)</f>
        <v>0</v>
      </c>
      <c r="P260" s="64">
        <f>IF(AND(AND(B260="Autumn",SUM(D259:E260)&gt;0),NOT(H259=0)),Variables!$B$18*Variables!$E$50+Variables!$B$19*Variables!$E$50*SUM(E259:E260)+$G$1*Variables!$B$19*Variables!$E$50*SUM(D259:D260),0)</f>
        <v>0</v>
      </c>
      <c r="Q260" s="64">
        <f>IF(AND(B260="Autumn",AND((E260+E259)&lt;Variables!$B$20,(D259+D260)=0)),-Variables!$B$21*Variables!$E$50,0)</f>
        <v>0</v>
      </c>
      <c r="R260" s="64">
        <f>IF(B260="Autumn",(SUM(F259:F260)*$G$1*Variables!$B$22*Variables!$E$50),0)</f>
        <v>0</v>
      </c>
      <c r="S260" s="64">
        <f>IF(B260="Spring",($G$1*Variables!$E$50*SUM('Guts (option 2)'!F259:F260)*Variables!$B$23),0)</f>
        <v>0</v>
      </c>
      <c r="T260" s="63">
        <f>IF((H259+SUM(J260:Q260))&lt;(Variables!$B$26*Variables!$E$50),$F$1*((Variables!$B$26*Variables!$E$50)-H259-SUM(J260:Q260)),0)</f>
        <v>0</v>
      </c>
      <c r="U260" s="64">
        <f>IF(AND(AND(B260="Autumn",SUM(D257:E260)&gt;Variables!$B$27),SUM(J260:Q260)&lt;Variables!$B$28*H259),$F$1*(Variables!$B$28*H259-SUM(J260:Q260)),0)</f>
        <v>0</v>
      </c>
      <c r="V260" s="96">
        <f>IF(AND((J260+K260)=0,(Q260+T260)=0),$H$1*H260*Variables!$I$23*0.25,0)</f>
        <v>14.5905364542614</v>
      </c>
      <c r="W260" s="97">
        <f>IF(AND((K260+J260)=0,(T260+Q260)=0),$I$1*H260*Variables!$Q$23*0.25,0)</f>
        <v>15.272432398543502</v>
      </c>
      <c r="X260" s="95">
        <f>IF(AND(NOT(K260=0),(H260-H259)&gt;0),(H260-H259)*(Variables!$M$5*$H$1+Variables!$U$5*$I$1),0)+IF(AND(NOT((J260+N260+Q260)=0),(H259-H260)&gt;0),(H259-H260)*(Variables!$M$4*$H$1+Variables!$U$4*$I$1),0)</f>
        <v>0</v>
      </c>
      <c r="Y260" s="95">
        <f>IF(SUM(T260,U259:U260)&gt;0,H260*Variables!$Y$11*0.25*(1-$J$1),0)</f>
        <v>0</v>
      </c>
      <c r="Z260" s="95">
        <f>IF(T260=0,H260*$J$1*Variables!$Y$5*0.25,0)</f>
        <v>4.9215230266863044</v>
      </c>
      <c r="AA260" s="95">
        <f t="shared" si="7"/>
        <v>34.784491879491206</v>
      </c>
      <c r="AB260" s="91">
        <f>AA260/Variables!$E$49</f>
        <v>5.6104019160469685</v>
      </c>
    </row>
    <row r="261" spans="1:28" x14ac:dyDescent="0.25">
      <c r="A261" s="61">
        <f>'Water runs'!C268</f>
        <v>25811</v>
      </c>
      <c r="B261" s="61" t="str">
        <f>'Water runs'!B268</f>
        <v>Winter</v>
      </c>
      <c r="C261" s="54">
        <f>'Water runs'!D268/100</f>
        <v>0.123857142857143</v>
      </c>
      <c r="D261" s="108">
        <f>VLOOKUP(ROW(D261)+4,'Water runs'!$BS$3:$CF$423,MATCH($B$1,Scenarios,0)+1)</f>
        <v>0</v>
      </c>
      <c r="E261" s="54">
        <f>IF(B261=Variables!$D$8,C261-Variables!$E$8,IF(B261=Variables!$D$9,C261-Variables!$E$9,IF(B261=Variables!$D$10,C261-Variables!$E$10,IF(B261=Variables!$D$11,C261-Variables!$E$11,"ELSE"))))</f>
        <v>-0.44791048280423273</v>
      </c>
      <c r="F261" s="108">
        <f>VLOOKUP(ROW(F261)+4,'Water runs'!$CH$3:$CU$423,MATCH($B$1,Scenarios,0)+1)</f>
        <v>0</v>
      </c>
      <c r="G261" s="65">
        <f>H261/Variables!$E$49</f>
        <v>0.18393603207087894</v>
      </c>
      <c r="H261" s="62">
        <f>IF((H260+I261)&gt;(1.1*Variables!$E$50),(1.1*Variables!$E$50),IF((H260+I261)&gt;0,H260+I261,0))</f>
        <v>1.1404033988394495</v>
      </c>
      <c r="I261" s="64">
        <f t="shared" si="8"/>
        <v>-1.1310687673234603</v>
      </c>
      <c r="J261" s="63">
        <f>IF(SUM(E257:E260)&lt;Variables!$B$3,-H260,0)</f>
        <v>0</v>
      </c>
      <c r="K261" s="64">
        <f>IF(AND(H260&lt;Variables!$B$6*Variables!$E$50,OR(SUM(D258:D261)&gt;Variables!$B$5,SUM(E258:E261)&gt;Variables!$B$4)),Variables!$B$6*Variables!$E$50+Variables!$B$7*$G$1*Variables!$E$50*SUM(D258:D261),0)</f>
        <v>0</v>
      </c>
      <c r="L261" s="64">
        <f>IF(B261="Winter",Variables!$B$8*H260,0)</f>
        <v>-1.1310687673234603</v>
      </c>
      <c r="M261" s="64">
        <f>IF(AND(B261="Spring",AND(NOT(H260=0),H260&lt;(Variables!$B$9*Variables!$E$50))),(Variables!$B$10*Variables!$E$50+Variables!$B$11*Variables!$E$50*SUM(E258:E261)+$G$1*SUM(D260:D261)*Variables!$E$50*Variables!$B$12),0)</f>
        <v>0</v>
      </c>
      <c r="N261" s="64">
        <f>IF(AND(B261="Spring",AND(SUM(D258:D261)&gt;Variables!$B$13,SUM(D254:D257)&gt;Variables!$B$13)),-Variables!$B$14*Variables!$E$50,0)</f>
        <v>0</v>
      </c>
      <c r="O261" s="64">
        <f>IF(AND(B261="Summer",SUM(C257:D261)&gt;Variables!$B$15),(Variables!$B$16*Variables!$E$50*SUM(C257:C261)+$G$1*Variables!$B$16*Variables!$E$50*SUM(D257:D261)+$G$1*Variables!$E$50*Variables!$B$17*F261),0)</f>
        <v>0</v>
      </c>
      <c r="P261" s="64">
        <f>IF(AND(AND(B261="Autumn",SUM(D260:E261)&gt;0),NOT(H260=0)),Variables!$B$18*Variables!$E$50+Variables!$B$19*Variables!$E$50*SUM(E260:E261)+$G$1*Variables!$B$19*Variables!$E$50*SUM(D260:D261),0)</f>
        <v>0</v>
      </c>
      <c r="Q261" s="64">
        <f>IF(AND(B261="Autumn",AND((E261+E260)&lt;Variables!$B$20,(D260+D261)=0)),-Variables!$B$21*Variables!$E$50,0)</f>
        <v>0</v>
      </c>
      <c r="R261" s="64">
        <f>IF(B261="Autumn",(SUM(F260:F261)*$G$1*Variables!$B$22*Variables!$E$50),0)</f>
        <v>0</v>
      </c>
      <c r="S261" s="64">
        <f>IF(B261="Spring",($G$1*Variables!$E$50*SUM('Guts (option 2)'!F260:F261)*Variables!$B$23),0)</f>
        <v>0</v>
      </c>
      <c r="T261" s="63">
        <f>IF((H260+SUM(J261:Q261))&lt;(Variables!$B$26*Variables!$E$50),$F$1*((Variables!$B$26*Variables!$E$50)-H260-SUM(J261:Q261)),0)</f>
        <v>0</v>
      </c>
      <c r="U261" s="64">
        <f>IF(AND(AND(B261="Autumn",SUM(D258:E261)&gt;Variables!$B$27),SUM(J261:Q261)&lt;Variables!$B$28*H260),$F$1*(Variables!$B$28*H260-SUM(J261:Q261)),0)</f>
        <v>0</v>
      </c>
      <c r="V261" s="96">
        <f>IF(AND((J261+K261)=0,(Q261+T261)=0),$H$1*H261*Variables!$I$23*0.25,0)</f>
        <v>7.3252481853820068</v>
      </c>
      <c r="W261" s="97">
        <f>IF(AND((K261+J261)=0,(T261+Q261)=0),$I$1*H261*Variables!$Q$23*0.25,0)</f>
        <v>7.6675972857136081</v>
      </c>
      <c r="X261" s="95">
        <f>IF(AND(NOT(K261=0),(H261-H260)&gt;0),(H261-H260)*(Variables!$M$5*$H$1+Variables!$U$5*$I$1),0)+IF(AND(NOT((J261+N261+Q261)=0),(H260-H261)&gt;0),(H260-H261)*(Variables!$M$4*$H$1+Variables!$U$4*$I$1),0)</f>
        <v>0</v>
      </c>
      <c r="Y261" s="95">
        <f>IF(SUM(T261,U260:U261)&gt;0,H261*Variables!$Y$11*0.25*(1-$J$1),0)</f>
        <v>0</v>
      </c>
      <c r="Z261" s="95">
        <f>IF(T261=0,H261*$J$1*Variables!$Y$5*0.25,0)</f>
        <v>2.4708740308188073</v>
      </c>
      <c r="AA261" s="95">
        <f t="shared" si="7"/>
        <v>17.463719501914422</v>
      </c>
      <c r="AB261" s="91">
        <f>AA261/Variables!$E$49</f>
        <v>2.8167289519216809</v>
      </c>
    </row>
    <row r="262" spans="1:28" x14ac:dyDescent="0.25">
      <c r="A262" s="61">
        <f>'Water runs'!C269</f>
        <v>25902</v>
      </c>
      <c r="B262" s="61" t="str">
        <f>'Water runs'!B269</f>
        <v>Spring</v>
      </c>
      <c r="C262" s="54">
        <f>'Water runs'!D269/100</f>
        <v>1.3118571428571399</v>
      </c>
      <c r="D262" s="108">
        <f>VLOOKUP(ROW(D262)+4,'Water runs'!$BS$3:$CF$423,MATCH($B$1,Scenarios,0)+1)</f>
        <v>0</v>
      </c>
      <c r="E262" s="54">
        <f>IF(B262=Variables!$D$8,C262-Variables!$E$8,IF(B262=Variables!$D$9,C262-Variables!$E$9,IF(B262=Variables!$D$10,C262-Variables!$E$10,IF(B262=Variables!$D$11,C262-Variables!$E$11,"ELSE"))))</f>
        <v>0.5478749338624308</v>
      </c>
      <c r="F262" s="108">
        <f>VLOOKUP(ROW(F262)+4,'Water runs'!$CH$3:$CU$423,MATCH($B$1,Scenarios,0)+1)</f>
        <v>0</v>
      </c>
      <c r="G262" s="65">
        <f>H262/Variables!$E$49</f>
        <v>0.161</v>
      </c>
      <c r="H262" s="62">
        <f>IF((H261+I262)&gt;(1.1*Variables!$E$50),(1.1*Variables!$E$50),IF((H261+I262)&gt;0,H261+I262,0))</f>
        <v>0.99820000000000009</v>
      </c>
      <c r="I262" s="64">
        <f t="shared" si="8"/>
        <v>-0.14220339883944944</v>
      </c>
      <c r="J262" s="63">
        <f>IF(SUM(E258:E261)&lt;Variables!$B$3,-H261,0)</f>
        <v>0</v>
      </c>
      <c r="K262" s="64">
        <f>IF(AND(H261&lt;Variables!$B$6*Variables!$E$50,OR(SUM(D259:D262)&gt;Variables!$B$5,SUM(E259:E262)&gt;Variables!$B$4)),Variables!$B$6*Variables!$E$50+Variables!$B$7*$G$1*Variables!$E$50*SUM(D259:D262),0)</f>
        <v>0</v>
      </c>
      <c r="L262" s="64">
        <f>IF(B262="Winter",Variables!$B$8*H261,0)</f>
        <v>0</v>
      </c>
      <c r="M262" s="64">
        <f>IF(AND(B262="Spring",AND(NOT(H261=0),H261&lt;(Variables!$B$9*Variables!$E$50))),(Variables!$B$10*Variables!$E$50+Variables!$B$11*Variables!$E$50*SUM(E259:E262)+$G$1*SUM(D261:D262)*Variables!$E$50*Variables!$B$12),0)</f>
        <v>-0.36763640638108369</v>
      </c>
      <c r="N262" s="64">
        <f>IF(AND(B262="Spring",AND(SUM(D259:D262)&gt;Variables!$B$13,SUM(D255:D258)&gt;Variables!$B$13)),-Variables!$B$14*Variables!$E$50,0)</f>
        <v>0</v>
      </c>
      <c r="O262" s="64">
        <f>IF(AND(B262="Summer",SUM(C258:D262)&gt;Variables!$B$15),(Variables!$B$16*Variables!$E$50*SUM(C258:C262)+$G$1*Variables!$B$16*Variables!$E$50*SUM(D258:D262)+$G$1*Variables!$E$50*Variables!$B$17*F262),0)</f>
        <v>0</v>
      </c>
      <c r="P262" s="64">
        <f>IF(AND(AND(B262="Autumn",SUM(D261:E262)&gt;0),NOT(H261=0)),Variables!$B$18*Variables!$E$50+Variables!$B$19*Variables!$E$50*SUM(E261:E262)+$G$1*Variables!$B$19*Variables!$E$50*SUM(D261:D262),0)</f>
        <v>0</v>
      </c>
      <c r="Q262" s="64">
        <f>IF(AND(B262="Autumn",AND((E262+E261)&lt;Variables!$B$20,(D261+D262)=0)),-Variables!$B$21*Variables!$E$50,0)</f>
        <v>0</v>
      </c>
      <c r="R262" s="64">
        <f>IF(B262="Autumn",(SUM(F261:F262)*$G$1*Variables!$B$22*Variables!$E$50),0)</f>
        <v>0</v>
      </c>
      <c r="S262" s="64">
        <f>IF(B262="Spring",($G$1*Variables!$E$50*SUM('Guts (option 2)'!F261:F262)*Variables!$B$23),0)</f>
        <v>0</v>
      </c>
      <c r="T262" s="63">
        <f>IF((H261+SUM(J262:Q262))&lt;(Variables!$B$26*Variables!$E$50),$F$1*((Variables!$B$26*Variables!$E$50)-H261-SUM(J262:Q262)),0)</f>
        <v>0.22543300754163426</v>
      </c>
      <c r="U262" s="64">
        <f>IF(AND(AND(B262="Autumn",SUM(D259:E262)&gt;Variables!$B$27),SUM(J262:Q262)&lt;Variables!$B$28*H261),$F$1*(Variables!$B$28*H261-SUM(J262:Q262)),0)</f>
        <v>0</v>
      </c>
      <c r="V262" s="96">
        <f>IF(AND((J262+K262)=0,(Q262+T262)=0),$H$1*H262*Variables!$I$23*0.25,0)</f>
        <v>0</v>
      </c>
      <c r="W262" s="97">
        <f>IF(AND((K262+J262)=0,(T262+Q262)=0),$I$1*H262*Variables!$Q$23*0.25,0)</f>
        <v>0</v>
      </c>
      <c r="X262" s="95">
        <f>IF(AND(NOT(K262=0),(H262-H261)&gt;0),(H262-H261)*(Variables!$M$5*$H$1+Variables!$U$5*$I$1),0)+IF(AND(NOT((J262+N262+Q262)=0),(H261-H262)&gt;0),(H261-H262)*(Variables!$M$4*$H$1+Variables!$U$4*$I$1),0)</f>
        <v>0</v>
      </c>
      <c r="Y262" s="95">
        <f>IF(SUM(T262,U261:U262)&gt;0,H262*Variables!$Y$11*0.25*(1-$J$1),0)</f>
        <v>-6.9874000000000018</v>
      </c>
      <c r="Z262" s="95">
        <f>IF(T262=0,H262*$J$1*Variables!$Y$5*0.25,0)</f>
        <v>0</v>
      </c>
      <c r="AA262" s="95">
        <f t="shared" si="7"/>
        <v>-6.9874000000000018</v>
      </c>
      <c r="AB262" s="91">
        <f>AA262/Variables!$E$49</f>
        <v>-1.1270000000000002</v>
      </c>
    </row>
    <row r="263" spans="1:28" x14ac:dyDescent="0.25">
      <c r="A263" s="61">
        <f>'Water runs'!C270</f>
        <v>25992</v>
      </c>
      <c r="B263" s="61" t="str">
        <f>'Water runs'!B270</f>
        <v>Summer</v>
      </c>
      <c r="C263" s="54">
        <f>'Water runs'!D270/100</f>
        <v>2.0666071428571398</v>
      </c>
      <c r="D263" s="108">
        <f>VLOOKUP(ROW(D263)+4,'Water runs'!$BS$3:$CF$423,MATCH($B$1,Scenarios,0)+1)</f>
        <v>1.1082170088440921</v>
      </c>
      <c r="E263" s="54">
        <f>IF(B263=Variables!$D$8,C263-Variables!$E$8,IF(B263=Variables!$D$9,C263-Variables!$E$9,IF(B263=Variables!$D$10,C263-Variables!$E$10,IF(B263=Variables!$D$11,C263-Variables!$E$11,"ELSE"))))</f>
        <v>0.80823700680271804</v>
      </c>
      <c r="F263" s="108">
        <f>VLOOKUP(ROW(F263)+4,'Water runs'!$CH$3:$CU$423,MATCH($B$1,Scenarios,0)+1)</f>
        <v>1.8025954283090126</v>
      </c>
      <c r="G263" s="65">
        <f>H263/Variables!$E$49</f>
        <v>1.0456308970578536</v>
      </c>
      <c r="H263" s="62">
        <f>IF((H262+I263)&gt;(1.1*Variables!$E$50),(1.1*Variables!$E$50),IF((H262+I263)&gt;0,H262+I263,0))</f>
        <v>6.4829115617586925</v>
      </c>
      <c r="I263" s="64">
        <f t="shared" si="8"/>
        <v>5.4847115617586928</v>
      </c>
      <c r="J263" s="63">
        <f>IF(SUM(E259:E262)&lt;Variables!$B$3,-H262,0)</f>
        <v>0</v>
      </c>
      <c r="K263" s="64">
        <f>IF(AND(H262&lt;Variables!$B$6*Variables!$E$50,OR(SUM(D260:D263)&gt;Variables!$B$5,SUM(E260:E263)&gt;Variables!$B$4)),Variables!$B$6*Variables!$E$50+Variables!$B$7*$G$1*Variables!$E$50*SUM(D260:D263),0)</f>
        <v>1.1992717458206321</v>
      </c>
      <c r="L263" s="64">
        <f>IF(B263="Winter",Variables!$B$8*H262,0)</f>
        <v>0</v>
      </c>
      <c r="M263" s="64">
        <f>IF(AND(B263="Spring",AND(NOT(H262=0),H262&lt;(Variables!$B$9*Variables!$E$50))),(Variables!$B$10*Variables!$E$50+Variables!$B$11*Variables!$E$50*SUM(E260:E263)+$G$1*SUM(D262:D263)*Variables!$E$50*Variables!$B$12),0)</f>
        <v>0</v>
      </c>
      <c r="N263" s="64">
        <f>IF(AND(B263="Spring",AND(SUM(D260:D263)&gt;Variables!$B$13,SUM(D256:D259)&gt;Variables!$B$13)),-Variables!$B$14*Variables!$E$50,0)</f>
        <v>0</v>
      </c>
      <c r="O263" s="64">
        <f>IF(AND(B263="Summer",SUM(C259:D263)&gt;Variables!$B$15),(Variables!$B$16*Variables!$E$50*SUM(C259:C263)+$G$1*Variables!$B$16*Variables!$E$50*SUM(D259:D263)+$G$1*Variables!$E$50*Variables!$B$17*F263),0)</f>
        <v>4.2854398159380604</v>
      </c>
      <c r="P263" s="64">
        <f>IF(AND(AND(B263="Autumn",SUM(D262:E263)&gt;0),NOT(H262=0)),Variables!$B$18*Variables!$E$50+Variables!$B$19*Variables!$E$50*SUM(E262:E263)+$G$1*Variables!$B$19*Variables!$E$50*SUM(D262:D263),0)</f>
        <v>0</v>
      </c>
      <c r="Q263" s="64">
        <f>IF(AND(B263="Autumn",AND((E263+E262)&lt;Variables!$B$20,(D262+D263)=0)),-Variables!$B$21*Variables!$E$50,0)</f>
        <v>0</v>
      </c>
      <c r="R263" s="64">
        <f>IF(B263="Autumn",(SUM(F262:F263)*$G$1*Variables!$B$22*Variables!$E$50),0)</f>
        <v>0</v>
      </c>
      <c r="S263" s="64">
        <f>IF(B263="Spring",($G$1*Variables!$E$50*SUM('Guts (option 2)'!F262:F263)*Variables!$B$23),0)</f>
        <v>0</v>
      </c>
      <c r="T263" s="63">
        <f>IF((H262+SUM(J263:Q263))&lt;(Variables!$B$26*Variables!$E$50),$F$1*((Variables!$B$26*Variables!$E$50)-H262-SUM(J263:Q263)),0)</f>
        <v>0</v>
      </c>
      <c r="U263" s="64">
        <f>IF(AND(AND(B263="Autumn",SUM(D260:E263)&gt;Variables!$B$27),SUM(J263:Q263)&lt;Variables!$B$28*H262),$F$1*(Variables!$B$28*H262-SUM(J263:Q263)),0)</f>
        <v>0</v>
      </c>
      <c r="V263" s="96">
        <f>IF(AND((J263+K263)=0,(Q263+T263)=0),$H$1*H263*Variables!$I$23*0.25,0)</f>
        <v>0</v>
      </c>
      <c r="W263" s="97">
        <f>IF(AND((K263+J263)=0,(T263+Q263)=0),$I$1*H263*Variables!$Q$23*0.25,0)</f>
        <v>0</v>
      </c>
      <c r="X263" s="95">
        <f>IF(AND(NOT(K263=0),(H263-H262)&gt;0),(H263-H262)*(Variables!$M$5*$H$1+Variables!$U$5*$I$1),0)+IF(AND(NOT((J263+N263+Q263)=0),(H262-H263)&gt;0),(H262-H263)*(Variables!$M$4*$H$1+Variables!$U$4*$I$1),0)</f>
        <v>-457.05929681322436</v>
      </c>
      <c r="Y263" s="95">
        <f>IF(SUM(T263,U262:U263)&gt;0,H263*Variables!$Y$11*0.25*(1-$J$1),0)</f>
        <v>0</v>
      </c>
      <c r="Z263" s="95">
        <f>IF(T263=0,H263*$J$1*Variables!$Y$5*0.25,0)</f>
        <v>14.046308383810501</v>
      </c>
      <c r="AA263" s="95">
        <f t="shared" si="7"/>
        <v>-443.01298842941384</v>
      </c>
      <c r="AB263" s="91">
        <f>AA263/Variables!$E$49</f>
        <v>-71.453707811195784</v>
      </c>
    </row>
    <row r="264" spans="1:28" x14ac:dyDescent="0.25">
      <c r="A264" s="61">
        <f>'Water runs'!C271</f>
        <v>26084</v>
      </c>
      <c r="B264" s="61" t="str">
        <f>'Water runs'!B271</f>
        <v>Autumn</v>
      </c>
      <c r="C264" s="54">
        <f>'Water runs'!D271/100</f>
        <v>0.82262500000000005</v>
      </c>
      <c r="D264" s="108">
        <f>VLOOKUP(ROW(D264)+4,'Water runs'!$BS$3:$CF$423,MATCH($B$1,Scenarios,0)+1)</f>
        <v>0.40565641849895884</v>
      </c>
      <c r="E264" s="54">
        <f>IF(B264=Variables!$D$8,C264-Variables!$E$8,IF(B264=Variables!$D$9,C264-Variables!$E$9,IF(B264=Variables!$D$10,C264-Variables!$E$10,IF(B264=Variables!$D$11,C264-Variables!$E$11,"ELSE"))))</f>
        <v>-0.17201829931972779</v>
      </c>
      <c r="F264" s="108">
        <f>VLOOKUP(ROW(F264)+4,'Water runs'!$CH$3:$CU$423,MATCH($B$1,Scenarios,0)+1)</f>
        <v>1.1299851938653513</v>
      </c>
      <c r="G264" s="65">
        <f>H264/Variables!$E$49</f>
        <v>1.790888047455486</v>
      </c>
      <c r="H264" s="62">
        <f>IF((H263+I264)&gt;(1.1*Variables!$E$50),(1.1*Variables!$E$50),IF((H263+I264)&gt;0,H263+I264,0))</f>
        <v>11.103505894224014</v>
      </c>
      <c r="I264" s="64">
        <f t="shared" si="8"/>
        <v>4.6205943324653207</v>
      </c>
      <c r="J264" s="63">
        <f>IF(SUM(E260:E263)&lt;Variables!$B$3,-H263,0)</f>
        <v>0</v>
      </c>
      <c r="K264" s="64">
        <f>IF(AND(H263&lt;Variables!$B$6*Variables!$E$50,OR(SUM(D261:D264)&gt;Variables!$B$5,SUM(E261:E264)&gt;Variables!$B$4)),Variables!$B$6*Variables!$E$50+Variables!$B$7*$G$1*Variables!$E$50*SUM(D261:D264),0)</f>
        <v>0</v>
      </c>
      <c r="L264" s="64">
        <f>IF(B264="Winter",Variables!$B$8*H263,0)</f>
        <v>0</v>
      </c>
      <c r="M264" s="64">
        <f>IF(AND(B264="Spring",AND(NOT(H263=0),H263&lt;(Variables!$B$9*Variables!$E$50))),(Variables!$B$10*Variables!$E$50+Variables!$B$11*Variables!$E$50*SUM(E261:E264)+$G$1*SUM(D263:D264)*Variables!$E$50*Variables!$B$12),0)</f>
        <v>0</v>
      </c>
      <c r="N264" s="64">
        <f>IF(AND(B264="Spring",AND(SUM(D261:D264)&gt;Variables!$B$13,SUM(D257:D260)&gt;Variables!$B$13)),-Variables!$B$14*Variables!$E$50,0)</f>
        <v>0</v>
      </c>
      <c r="O264" s="64">
        <f>IF(AND(B264="Summer",SUM(C260:D264)&gt;Variables!$B$15),(Variables!$B$16*Variables!$E$50*SUM(C260:C264)+$G$1*Variables!$B$16*Variables!$E$50*SUM(D260:D264)+$G$1*Variables!$E$50*Variables!$B$17*F264),0)</f>
        <v>0</v>
      </c>
      <c r="P264" s="64">
        <f>IF(AND(AND(B264="Autumn",SUM(D263:E264)&gt;0),NOT(H263=0)),Variables!$B$18*Variables!$E$50+Variables!$B$19*Variables!$E$50*SUM(E263:E264)+$G$1*Variables!$B$19*Variables!$E$50*SUM(D263:D264),0)</f>
        <v>4.2074192300499096</v>
      </c>
      <c r="Q264" s="64">
        <f>IF(AND(B264="Autumn",AND((E264+E263)&lt;Variables!$B$20,(D263+D264)=0)),-Variables!$B$21*Variables!$E$50,0)</f>
        <v>0</v>
      </c>
      <c r="R264" s="64">
        <f>IF(B264="Autumn",(SUM(F263:F264)*$G$1*Variables!$B$22*Variables!$E$50),0)</f>
        <v>0.41317510241541144</v>
      </c>
      <c r="S264" s="64">
        <f>IF(B264="Spring",($G$1*Variables!$E$50*SUM('Guts (option 2)'!F263:F264)*Variables!$B$23),0)</f>
        <v>0</v>
      </c>
      <c r="T264" s="63">
        <f>IF((H263+SUM(J264:Q264))&lt;(Variables!$B$26*Variables!$E$50),$F$1*((Variables!$B$26*Variables!$E$50)-H263-SUM(J264:Q264)),0)</f>
        <v>0</v>
      </c>
      <c r="U264" s="64">
        <f>IF(AND(AND(B264="Autumn",SUM(D261:E264)&gt;Variables!$B$27),SUM(J264:Q264)&lt;Variables!$B$28*H263),$F$1*(Variables!$B$28*H263-SUM(J264:Q264)),0)</f>
        <v>0</v>
      </c>
      <c r="V264" s="96">
        <f>IF(AND((J264+K264)=0,(Q264+T264)=0),$H$1*H264*Variables!$I$23*0.25,0)</f>
        <v>71.322074702526962</v>
      </c>
      <c r="W264" s="97">
        <f>IF(AND((K264+J264)=0,(T264+Q264)=0),$I$1*H264*Variables!$Q$23*0.25,0)</f>
        <v>74.655347171973006</v>
      </c>
      <c r="X264" s="95">
        <f>IF(AND(NOT(K264=0),(H264-H263)&gt;0),(H264-H263)*(Variables!$M$5*$H$1+Variables!$U$5*$I$1),0)+IF(AND(NOT((J264+N264+Q264)=0),(H263-H264)&gt;0),(H263-H264)*(Variables!$M$4*$H$1+Variables!$U$4*$I$1),0)</f>
        <v>0</v>
      </c>
      <c r="Y264" s="95">
        <f>IF(SUM(T264,U263:U264)&gt;0,H264*Variables!$Y$11*0.25*(1-$J$1),0)</f>
        <v>0</v>
      </c>
      <c r="Z264" s="95">
        <f>IF(T264=0,H264*$J$1*Variables!$Y$5*0.25,0)</f>
        <v>24.057596104152029</v>
      </c>
      <c r="AA264" s="95">
        <f t="shared" si="7"/>
        <v>170.03501797865198</v>
      </c>
      <c r="AB264" s="91">
        <f>AA264/Variables!$E$49</f>
        <v>27.425002899782577</v>
      </c>
    </row>
    <row r="265" spans="1:28" x14ac:dyDescent="0.25">
      <c r="A265" s="61">
        <f>'Water runs'!C272</f>
        <v>26176</v>
      </c>
      <c r="B265" s="61" t="str">
        <f>'Water runs'!B272</f>
        <v>Winter</v>
      </c>
      <c r="C265" s="54">
        <f>'Water runs'!D272/100</f>
        <v>0.876142857142857</v>
      </c>
      <c r="D265" s="108">
        <f>VLOOKUP(ROW(D265)+4,'Water runs'!$BS$3:$CF$423,MATCH($B$1,Scenarios,0)+1)</f>
        <v>0</v>
      </c>
      <c r="E265" s="54">
        <f>IF(B265=Variables!$D$8,C265-Variables!$E$8,IF(B265=Variables!$D$9,C265-Variables!$E$9,IF(B265=Variables!$D$10,C265-Variables!$E$10,IF(B265=Variables!$D$11,C265-Variables!$E$11,"ELSE"))))</f>
        <v>0.30437523148148127</v>
      </c>
      <c r="F265" s="108">
        <f>VLOOKUP(ROW(F265)+4,'Water runs'!$CH$3:$CU$423,MATCH($B$1,Scenarios,0)+1)</f>
        <v>0</v>
      </c>
      <c r="G265" s="65">
        <f>H265/Variables!$E$49</f>
        <v>0.89912385750656176</v>
      </c>
      <c r="H265" s="62">
        <f>IF((H264+I265)&gt;(1.1*Variables!$E$50),(1.1*Variables!$E$50),IF((H264+I265)&gt;0,H264+I265,0))</f>
        <v>5.5745679165406834</v>
      </c>
      <c r="I265" s="64">
        <f t="shared" si="8"/>
        <v>-5.5289379776833307</v>
      </c>
      <c r="J265" s="63">
        <f>IF(SUM(E261:E264)&lt;Variables!$B$3,-H264,0)</f>
        <v>0</v>
      </c>
      <c r="K265" s="64">
        <f>IF(AND(H264&lt;Variables!$B$6*Variables!$E$50,OR(SUM(D262:D265)&gt;Variables!$B$5,SUM(E262:E265)&gt;Variables!$B$4)),Variables!$B$6*Variables!$E$50+Variables!$B$7*$G$1*Variables!$E$50*SUM(D262:D265),0)</f>
        <v>0</v>
      </c>
      <c r="L265" s="64">
        <f>IF(B265="Winter",Variables!$B$8*H264,0)</f>
        <v>-5.5289379776833307</v>
      </c>
      <c r="M265" s="64">
        <f>IF(AND(B265="Spring",AND(NOT(H264=0),H264&lt;(Variables!$B$9*Variables!$E$50))),(Variables!$B$10*Variables!$E$50+Variables!$B$11*Variables!$E$50*SUM(E262:E265)+$G$1*SUM(D264:D265)*Variables!$E$50*Variables!$B$12),0)</f>
        <v>0</v>
      </c>
      <c r="N265" s="64">
        <f>IF(AND(B265="Spring",AND(SUM(D262:D265)&gt;Variables!$B$13,SUM(D258:D261)&gt;Variables!$B$13)),-Variables!$B$14*Variables!$E$50,0)</f>
        <v>0</v>
      </c>
      <c r="O265" s="64">
        <f>IF(AND(B265="Summer",SUM(C261:D265)&gt;Variables!$B$15),(Variables!$B$16*Variables!$E$50*SUM(C261:C265)+$G$1*Variables!$B$16*Variables!$E$50*SUM(D261:D265)+$G$1*Variables!$E$50*Variables!$B$17*F265),0)</f>
        <v>0</v>
      </c>
      <c r="P265" s="64">
        <f>IF(AND(AND(B265="Autumn",SUM(D264:E265)&gt;0),NOT(H264=0)),Variables!$B$18*Variables!$E$50+Variables!$B$19*Variables!$E$50*SUM(E264:E265)+$G$1*Variables!$B$19*Variables!$E$50*SUM(D264:D265),0)</f>
        <v>0</v>
      </c>
      <c r="Q265" s="64">
        <f>IF(AND(B265="Autumn",AND((E265+E264)&lt;Variables!$B$20,(D264+D265)=0)),-Variables!$B$21*Variables!$E$50,0)</f>
        <v>0</v>
      </c>
      <c r="R265" s="64">
        <f>IF(B265="Autumn",(SUM(F264:F265)*$G$1*Variables!$B$22*Variables!$E$50),0)</f>
        <v>0</v>
      </c>
      <c r="S265" s="64">
        <f>IF(B265="Spring",($G$1*Variables!$E$50*SUM('Guts (option 2)'!F264:F265)*Variables!$B$23),0)</f>
        <v>0</v>
      </c>
      <c r="T265" s="63">
        <f>IF((H264+SUM(J265:Q265))&lt;(Variables!$B$26*Variables!$E$50),$F$1*((Variables!$B$26*Variables!$E$50)-H264-SUM(J265:Q265)),0)</f>
        <v>0</v>
      </c>
      <c r="U265" s="64">
        <f>IF(AND(AND(B265="Autumn",SUM(D262:E265)&gt;Variables!$B$27),SUM(J265:Q265)&lt;Variables!$B$28*H264),$F$1*(Variables!$B$28*H264-SUM(J265:Q265)),0)</f>
        <v>0</v>
      </c>
      <c r="V265" s="96">
        <f>IF(AND((J265+K265)=0,(Q265+T265)=0),$H$1*H265*Variables!$I$23*0.25,0)</f>
        <v>35.807586645642147</v>
      </c>
      <c r="W265" s="97">
        <f>IF(AND((K265+J265)=0,(T265+Q265)=0),$I$1*H265*Variables!$Q$23*0.25,0)</f>
        <v>37.481071934187653</v>
      </c>
      <c r="X265" s="95">
        <f>IF(AND(NOT(K265=0),(H265-H264)&gt;0),(H265-H264)*(Variables!$M$5*$H$1+Variables!$U$5*$I$1),0)+IF(AND(NOT((J265+N265+Q265)=0),(H264-H265)&gt;0),(H264-H265)*(Variables!$M$4*$H$1+Variables!$U$4*$I$1),0)</f>
        <v>0</v>
      </c>
      <c r="Y265" s="95">
        <f>IF(SUM(T265,U264:U265)&gt;0,H265*Variables!$Y$11*0.25*(1-$J$1),0)</f>
        <v>0</v>
      </c>
      <c r="Z265" s="95">
        <f>IF(T265=0,H265*$J$1*Variables!$Y$5*0.25,0)</f>
        <v>12.078230485838146</v>
      </c>
      <c r="AA265" s="95">
        <f t="shared" si="7"/>
        <v>85.366889065667948</v>
      </c>
      <c r="AB265" s="91">
        <f>AA265/Variables!$E$49</f>
        <v>13.768853075107733</v>
      </c>
    </row>
    <row r="266" spans="1:28" x14ac:dyDescent="0.25">
      <c r="A266" s="61">
        <f>'Water runs'!C273</f>
        <v>26267</v>
      </c>
      <c r="B266" s="61" t="str">
        <f>'Water runs'!B273</f>
        <v>Spring</v>
      </c>
      <c r="C266" s="54">
        <f>'Water runs'!D273/100</f>
        <v>0.25251785714285702</v>
      </c>
      <c r="D266" s="108">
        <f>VLOOKUP(ROW(D266)+4,'Water runs'!$BS$3:$CF$423,MATCH($B$1,Scenarios,0)+1)</f>
        <v>0</v>
      </c>
      <c r="E266" s="54">
        <f>IF(B266=Variables!$D$8,C266-Variables!$E$8,IF(B266=Variables!$D$9,C266-Variables!$E$9,IF(B266=Variables!$D$10,C266-Variables!$E$10,IF(B266=Variables!$D$11,C266-Variables!$E$11,"ELSE"))))</f>
        <v>-0.51146435185185213</v>
      </c>
      <c r="F266" s="108">
        <f>VLOOKUP(ROW(F266)+4,'Water runs'!$CH$3:$CU$423,MATCH($B$1,Scenarios,0)+1)</f>
        <v>0</v>
      </c>
      <c r="G266" s="65">
        <f>H266/Variables!$E$49</f>
        <v>0.89912385750656176</v>
      </c>
      <c r="H266" s="62">
        <f>IF((H265+I266)&gt;(1.1*Variables!$E$50),(1.1*Variables!$E$50),IF((H265+I266)&gt;0,H265+I266,0))</f>
        <v>5.5745679165406834</v>
      </c>
      <c r="I266" s="64">
        <f t="shared" si="8"/>
        <v>0</v>
      </c>
      <c r="J266" s="63">
        <f>IF(SUM(E262:E265)&lt;Variables!$B$3,-H265,0)</f>
        <v>0</v>
      </c>
      <c r="K266" s="64">
        <f>IF(AND(H265&lt;Variables!$B$6*Variables!$E$50,OR(SUM(D263:D266)&gt;Variables!$B$5,SUM(E263:E266)&gt;Variables!$B$4)),Variables!$B$6*Variables!$E$50+Variables!$B$7*$G$1*Variables!$E$50*SUM(D263:D266),0)</f>
        <v>0</v>
      </c>
      <c r="L266" s="64">
        <f>IF(B266="Winter",Variables!$B$8*H265,0)</f>
        <v>0</v>
      </c>
      <c r="M266" s="64">
        <f>IF(AND(B266="Spring",AND(NOT(H265=0),H265&lt;(Variables!$B$9*Variables!$E$50))),(Variables!$B$10*Variables!$E$50+Variables!$B$11*Variables!$E$50*SUM(E263:E266)+$G$1*SUM(D265:D266)*Variables!$E$50*Variables!$B$12),0)</f>
        <v>0</v>
      </c>
      <c r="N266" s="64">
        <f>IF(AND(B266="Spring",AND(SUM(D263:D266)&gt;Variables!$B$13,SUM(D259:D262)&gt;Variables!$B$13)),-Variables!$B$14*Variables!$E$50,0)</f>
        <v>0</v>
      </c>
      <c r="O266" s="64">
        <f>IF(AND(B266="Summer",SUM(C262:D266)&gt;Variables!$B$15),(Variables!$B$16*Variables!$E$50*SUM(C262:C266)+$G$1*Variables!$B$16*Variables!$E$50*SUM(D262:D266)+$G$1*Variables!$E$50*Variables!$B$17*F266),0)</f>
        <v>0</v>
      </c>
      <c r="P266" s="64">
        <f>IF(AND(AND(B266="Autumn",SUM(D265:E266)&gt;0),NOT(H265=0)),Variables!$B$18*Variables!$E$50+Variables!$B$19*Variables!$E$50*SUM(E265:E266)+$G$1*Variables!$B$19*Variables!$E$50*SUM(D265:D266),0)</f>
        <v>0</v>
      </c>
      <c r="Q266" s="64">
        <f>IF(AND(B266="Autumn",AND((E266+E265)&lt;Variables!$B$20,(D265+D266)=0)),-Variables!$B$21*Variables!$E$50,0)</f>
        <v>0</v>
      </c>
      <c r="R266" s="64">
        <f>IF(B266="Autumn",(SUM(F265:F266)*$G$1*Variables!$B$22*Variables!$E$50),0)</f>
        <v>0</v>
      </c>
      <c r="S266" s="64">
        <f>IF(B266="Spring",($G$1*Variables!$E$50*SUM('Guts (option 2)'!F265:F266)*Variables!$B$23),0)</f>
        <v>0</v>
      </c>
      <c r="T266" s="63">
        <f>IF((H265+SUM(J266:Q266))&lt;(Variables!$B$26*Variables!$E$50),$F$1*((Variables!$B$26*Variables!$E$50)-H265-SUM(J266:Q266)),0)</f>
        <v>0</v>
      </c>
      <c r="U266" s="64">
        <f>IF(AND(AND(B266="Autumn",SUM(D263:E266)&gt;Variables!$B$27),SUM(J266:Q266)&lt;Variables!$B$28*H265),$F$1*(Variables!$B$28*H265-SUM(J266:Q266)),0)</f>
        <v>0</v>
      </c>
      <c r="V266" s="96">
        <f>IF(AND((J266+K266)=0,(Q266+T266)=0),$H$1*H266*Variables!$I$23*0.25,0)</f>
        <v>35.807586645642147</v>
      </c>
      <c r="W266" s="97">
        <f>IF(AND((K266+J266)=0,(T266+Q266)=0),$I$1*H266*Variables!$Q$23*0.25,0)</f>
        <v>37.481071934187653</v>
      </c>
      <c r="X266" s="95">
        <f>IF(AND(NOT(K266=0),(H266-H265)&gt;0),(H266-H265)*(Variables!$M$5*$H$1+Variables!$U$5*$I$1),0)+IF(AND(NOT((J266+N266+Q266)=0),(H265-H266)&gt;0),(H265-H266)*(Variables!$M$4*$H$1+Variables!$U$4*$I$1),0)</f>
        <v>0</v>
      </c>
      <c r="Y266" s="95">
        <f>IF(SUM(T266,U265:U266)&gt;0,H266*Variables!$Y$11*0.25*(1-$J$1),0)</f>
        <v>0</v>
      </c>
      <c r="Z266" s="95">
        <f>IF(T266=0,H266*$J$1*Variables!$Y$5*0.25,0)</f>
        <v>12.078230485838146</v>
      </c>
      <c r="AA266" s="95">
        <f t="shared" si="7"/>
        <v>85.366889065667948</v>
      </c>
      <c r="AB266" s="91">
        <f>AA266/Variables!$E$49</f>
        <v>13.768853075107733</v>
      </c>
    </row>
    <row r="267" spans="1:28" x14ac:dyDescent="0.25">
      <c r="A267" s="61">
        <f>'Water runs'!C274</f>
        <v>26357</v>
      </c>
      <c r="B267" s="61" t="str">
        <f>'Water runs'!B274</f>
        <v>Summer</v>
      </c>
      <c r="C267" s="54">
        <f>'Water runs'!D274/100</f>
        <v>1.3305750000000001</v>
      </c>
      <c r="D267" s="108">
        <f>VLOOKUP(ROW(D267)+4,'Water runs'!$BS$3:$CF$423,MATCH($B$1,Scenarios,0)+1)</f>
        <v>0.3253659965637099</v>
      </c>
      <c r="E267" s="54">
        <f>IF(B267=Variables!$D$8,C267-Variables!$E$8,IF(B267=Variables!$D$9,C267-Variables!$E$9,IF(B267=Variables!$D$10,C267-Variables!$E$10,IF(B267=Variables!$D$11,C267-Variables!$E$11,"ELSE"))))</f>
        <v>7.2204863945578346E-2</v>
      </c>
      <c r="F267" s="108">
        <f>VLOOKUP(ROW(F267)+4,'Water runs'!$CH$3:$CU$423,MATCH($B$1,Scenarios,0)+1)</f>
        <v>0.31541777844638519</v>
      </c>
      <c r="G267" s="65">
        <f>H267/Variables!$E$49</f>
        <v>1.3642869919292306</v>
      </c>
      <c r="H267" s="62">
        <f>IF((H266+I267)&gt;(1.1*Variables!$E$50),(1.1*Variables!$E$50),IF((H266+I267)&gt;0,H266+I267,0))</f>
        <v>8.4585793499612301</v>
      </c>
      <c r="I267" s="64">
        <f t="shared" si="8"/>
        <v>2.8840114334205471</v>
      </c>
      <c r="J267" s="63">
        <f>IF(SUM(E263:E266)&lt;Variables!$B$3,-H266,0)</f>
        <v>0</v>
      </c>
      <c r="K267" s="64">
        <f>IF(AND(H266&lt;Variables!$B$6*Variables!$E$50,OR(SUM(D264:D267)&gt;Variables!$B$5,SUM(E264:E267)&gt;Variables!$B$4)),Variables!$B$6*Variables!$E$50+Variables!$B$7*$G$1*Variables!$E$50*SUM(D264:D267),0)</f>
        <v>0</v>
      </c>
      <c r="L267" s="64">
        <f>IF(B267="Winter",Variables!$B$8*H266,0)</f>
        <v>0</v>
      </c>
      <c r="M267" s="64">
        <f>IF(AND(B267="Spring",AND(NOT(H266=0),H266&lt;(Variables!$B$9*Variables!$E$50))),(Variables!$B$10*Variables!$E$50+Variables!$B$11*Variables!$E$50*SUM(E264:E267)+$G$1*SUM(D266:D267)*Variables!$E$50*Variables!$B$12),0)</f>
        <v>0</v>
      </c>
      <c r="N267" s="64">
        <f>IF(AND(B267="Spring",AND(SUM(D264:D267)&gt;Variables!$B$13,SUM(D260:D263)&gt;Variables!$B$13)),-Variables!$B$14*Variables!$E$50,0)</f>
        <v>0</v>
      </c>
      <c r="O267" s="64">
        <f>IF(AND(B267="Summer",SUM(C263:D267)&gt;Variables!$B$15),(Variables!$B$16*Variables!$E$50*SUM(C263:C267)+$G$1*Variables!$B$16*Variables!$E$50*SUM(D263:D267)+$G$1*Variables!$E$50*Variables!$B$17*F267),0)</f>
        <v>2.8840114334205471</v>
      </c>
      <c r="P267" s="64">
        <f>IF(AND(AND(B267="Autumn",SUM(D266:E267)&gt;0),NOT(H266=0)),Variables!$B$18*Variables!$E$50+Variables!$B$19*Variables!$E$50*SUM(E266:E267)+$G$1*Variables!$B$19*Variables!$E$50*SUM(D266:D267),0)</f>
        <v>0</v>
      </c>
      <c r="Q267" s="64">
        <f>IF(AND(B267="Autumn",AND((E267+E266)&lt;Variables!$B$20,(D266+D267)=0)),-Variables!$B$21*Variables!$E$50,0)</f>
        <v>0</v>
      </c>
      <c r="R267" s="64">
        <f>IF(B267="Autumn",(SUM(F266:F267)*$G$1*Variables!$B$22*Variables!$E$50),0)</f>
        <v>0</v>
      </c>
      <c r="S267" s="64">
        <f>IF(B267="Spring",($G$1*Variables!$E$50*SUM('Guts (option 2)'!F266:F267)*Variables!$B$23),0)</f>
        <v>0</v>
      </c>
      <c r="T267" s="63">
        <f>IF((H266+SUM(J267:Q267))&lt;(Variables!$B$26*Variables!$E$50),$F$1*((Variables!$B$26*Variables!$E$50)-H266-SUM(J267:Q267)),0)</f>
        <v>0</v>
      </c>
      <c r="U267" s="64">
        <f>IF(AND(AND(B267="Autumn",SUM(D264:E267)&gt;Variables!$B$27),SUM(J267:Q267)&lt;Variables!$B$28*H266),$F$1*(Variables!$B$28*H266-SUM(J267:Q267)),0)</f>
        <v>0</v>
      </c>
      <c r="V267" s="96">
        <f>IF(AND((J267+K267)=0,(Q267+T267)=0),$H$1*H267*Variables!$I$23*0.25,0)</f>
        <v>54.332697620218468</v>
      </c>
      <c r="W267" s="97">
        <f>IF(AND((K267+J267)=0,(T267+Q267)=0),$I$1*H267*Variables!$Q$23*0.25,0)</f>
        <v>56.871963141076819</v>
      </c>
      <c r="X267" s="95">
        <f>IF(AND(NOT(K267=0),(H267-H266)&gt;0),(H267-H266)*(Variables!$M$5*$H$1+Variables!$U$5*$I$1),0)+IF(AND(NOT((J267+N267+Q267)=0),(H266-H267)&gt;0),(H266-H267)*(Variables!$M$4*$H$1+Variables!$U$4*$I$1),0)</f>
        <v>0</v>
      </c>
      <c r="Y267" s="95">
        <f>IF(SUM(T267,U266:U267)&gt;0,H267*Variables!$Y$11*0.25*(1-$J$1),0)</f>
        <v>0</v>
      </c>
      <c r="Z267" s="95">
        <f>IF(T267=0,H267*$J$1*Variables!$Y$5*0.25,0)</f>
        <v>18.326921924916</v>
      </c>
      <c r="AA267" s="95">
        <f t="shared" si="7"/>
        <v>129.53158268621129</v>
      </c>
      <c r="AB267" s="91">
        <f>AA267/Variables!$E$49</f>
        <v>20.892190755840531</v>
      </c>
    </row>
    <row r="268" spans="1:28" x14ac:dyDescent="0.25">
      <c r="A268" s="61">
        <f>'Water runs'!C275</f>
        <v>26450</v>
      </c>
      <c r="B268" s="61" t="str">
        <f>'Water runs'!B275</f>
        <v>Autumn</v>
      </c>
      <c r="C268" s="54">
        <f>'Water runs'!D275/100</f>
        <v>0.412333333333333</v>
      </c>
      <c r="D268" s="108">
        <f>VLOOKUP(ROW(D268)+4,'Water runs'!$BS$3:$CF$423,MATCH($B$1,Scenarios,0)+1)</f>
        <v>0</v>
      </c>
      <c r="E268" s="54">
        <f>IF(B268=Variables!$D$8,C268-Variables!$E$8,IF(B268=Variables!$D$9,C268-Variables!$E$9,IF(B268=Variables!$D$10,C268-Variables!$E$10,IF(B268=Variables!$D$11,C268-Variables!$E$11,"ELSE"))))</f>
        <v>-0.58230996598639484</v>
      </c>
      <c r="F268" s="108">
        <f>VLOOKUP(ROW(F268)+4,'Water runs'!$CH$3:$CU$423,MATCH($B$1,Scenarios,0)+1)</f>
        <v>0</v>
      </c>
      <c r="G268" s="65">
        <f>H268/Variables!$E$49</f>
        <v>1.3714546728188333</v>
      </c>
      <c r="H268" s="62">
        <f>IF((H267+I268)&gt;(1.1*Variables!$E$50),(1.1*Variables!$E$50),IF((H267+I268)&gt;0,H267+I268,0))</f>
        <v>8.5030189714767666</v>
      </c>
      <c r="I268" s="64">
        <f t="shared" si="8"/>
        <v>4.4439621515536994E-2</v>
      </c>
      <c r="J268" s="63">
        <f>IF(SUM(E264:E267)&lt;Variables!$B$3,-H267,0)</f>
        <v>0</v>
      </c>
      <c r="K268" s="64">
        <f>IF(AND(H267&lt;Variables!$B$6*Variables!$E$50,OR(SUM(D265:D268)&gt;Variables!$B$5,SUM(E265:E268)&gt;Variables!$B$4)),Variables!$B$6*Variables!$E$50+Variables!$B$7*$G$1*Variables!$E$50*SUM(D265:D268),0)</f>
        <v>0</v>
      </c>
      <c r="L268" s="64">
        <f>IF(B268="Winter",Variables!$B$8*H267,0)</f>
        <v>0</v>
      </c>
      <c r="M268" s="64">
        <f>IF(AND(B268="Spring",AND(NOT(H267=0),H267&lt;(Variables!$B$9*Variables!$E$50))),(Variables!$B$10*Variables!$E$50+Variables!$B$11*Variables!$E$50*SUM(E265:E268)+$G$1*SUM(D267:D268)*Variables!$E$50*Variables!$B$12),0)</f>
        <v>0</v>
      </c>
      <c r="N268" s="64">
        <f>IF(AND(B268="Spring",AND(SUM(D265:D268)&gt;Variables!$B$13,SUM(D261:D264)&gt;Variables!$B$13)),-Variables!$B$14*Variables!$E$50,0)</f>
        <v>0</v>
      </c>
      <c r="O268" s="64">
        <f>IF(AND(B268="Summer",SUM(C264:D268)&gt;Variables!$B$15),(Variables!$B$16*Variables!$E$50*SUM(C264:C268)+$G$1*Variables!$B$16*Variables!$E$50*SUM(D264:D268)+$G$1*Variables!$E$50*Variables!$B$17*F268),0)</f>
        <v>0</v>
      </c>
      <c r="P268" s="64">
        <f>IF(AND(AND(B268="Autumn",SUM(D267:E268)&gt;0),NOT(H267=0)),Variables!$B$18*Variables!$E$50+Variables!$B$19*Variables!$E$50*SUM(E267:E268)+$G$1*Variables!$B$19*Variables!$E$50*SUM(D267:D268),0)</f>
        <v>0</v>
      </c>
      <c r="Q268" s="64">
        <f>IF(AND(B268="Autumn",AND((E268+E267)&lt;Variables!$B$20,(D267+D268)=0)),-Variables!$B$21*Variables!$E$50,0)</f>
        <v>0</v>
      </c>
      <c r="R268" s="64">
        <f>IF(B268="Autumn",(SUM(F267:F268)*$G$1*Variables!$B$22*Variables!$E$50),0)</f>
        <v>4.4439621515536994E-2</v>
      </c>
      <c r="S268" s="64">
        <f>IF(B268="Spring",($G$1*Variables!$E$50*SUM('Guts (option 2)'!F267:F268)*Variables!$B$23),0)</f>
        <v>0</v>
      </c>
      <c r="T268" s="63">
        <f>IF((H267+SUM(J268:Q268))&lt;(Variables!$B$26*Variables!$E$50),$F$1*((Variables!$B$26*Variables!$E$50)-H267-SUM(J268:Q268)),0)</f>
        <v>0</v>
      </c>
      <c r="U268" s="64">
        <f>IF(AND(AND(B268="Autumn",SUM(D265:E268)&gt;Variables!$B$27),SUM(J268:Q268)&lt;Variables!$B$28*H267),$F$1*(Variables!$B$28*H267-SUM(J268:Q268)),0)</f>
        <v>0</v>
      </c>
      <c r="V268" s="96">
        <f>IF(AND((J268+K268)=0,(Q268+T268)=0),$H$1*H268*Variables!$I$23*0.25,0)</f>
        <v>54.618150344401002</v>
      </c>
      <c r="W268" s="97">
        <f>IF(AND((K268+J268)=0,(T268+Q268)=0),$I$1*H268*Variables!$Q$23*0.25,0)</f>
        <v>57.17075663963832</v>
      </c>
      <c r="X268" s="95">
        <f>IF(AND(NOT(K268=0),(H268-H267)&gt;0),(H268-H267)*(Variables!$M$5*$H$1+Variables!$U$5*$I$1),0)+IF(AND(NOT((J268+N268+Q268)=0),(H267-H268)&gt;0),(H267-H268)*(Variables!$M$4*$H$1+Variables!$U$4*$I$1),0)</f>
        <v>0</v>
      </c>
      <c r="Y268" s="95">
        <f>IF(SUM(T268,U267:U268)&gt;0,H268*Variables!$Y$11*0.25*(1-$J$1),0)</f>
        <v>0</v>
      </c>
      <c r="Z268" s="95">
        <f>IF(T268=0,H268*$J$1*Variables!$Y$5*0.25,0)</f>
        <v>18.423207771532994</v>
      </c>
      <c r="AA268" s="95">
        <f t="shared" si="7"/>
        <v>130.21211475557232</v>
      </c>
      <c r="AB268" s="91">
        <f>AA268/Variables!$E$49</f>
        <v>21.001953992834245</v>
      </c>
    </row>
    <row r="269" spans="1:28" x14ac:dyDescent="0.25">
      <c r="A269" s="61">
        <f>'Water runs'!C276</f>
        <v>26542</v>
      </c>
      <c r="B269" s="61" t="str">
        <f>'Water runs'!B276</f>
        <v>Winter</v>
      </c>
      <c r="C269" s="54">
        <f>'Water runs'!D276/100</f>
        <v>0.13849999999999998</v>
      </c>
      <c r="D269" s="108">
        <f>VLOOKUP(ROW(D269)+4,'Water runs'!$BS$3:$CF$423,MATCH($B$1,Scenarios,0)+1)</f>
        <v>0</v>
      </c>
      <c r="E269" s="54">
        <f>IF(B269=Variables!$D$8,C269-Variables!$E$8,IF(B269=Variables!$D$9,C269-Variables!$E$9,IF(B269=Variables!$D$10,C269-Variables!$E$10,IF(B269=Variables!$D$11,C269-Variables!$E$11,"ELSE"))))</f>
        <v>-0.43326762566137578</v>
      </c>
      <c r="F269" s="108">
        <f>VLOOKUP(ROW(F269)+4,'Water runs'!$CH$3:$CU$423,MATCH($B$1,Scenarios,0)+1)</f>
        <v>0</v>
      </c>
      <c r="G269" s="65">
        <f>H269/Variables!$E$49</f>
        <v>0.68854533792454653</v>
      </c>
      <c r="H269" s="62">
        <f>IF((H268+I269)&gt;(1.1*Variables!$E$50),(1.1*Variables!$E$50),IF((H268+I269)&gt;0,H268+I269,0))</f>
        <v>4.2689810951321885</v>
      </c>
      <c r="I269" s="64">
        <f t="shared" si="8"/>
        <v>-4.2340378763445781</v>
      </c>
      <c r="J269" s="63">
        <f>IF(SUM(E265:E268)&lt;Variables!$B$3,-H268,0)</f>
        <v>0</v>
      </c>
      <c r="K269" s="64">
        <f>IF(AND(H268&lt;Variables!$B$6*Variables!$E$50,OR(SUM(D266:D269)&gt;Variables!$B$5,SUM(E266:E269)&gt;Variables!$B$4)),Variables!$B$6*Variables!$E$50+Variables!$B$7*$G$1*Variables!$E$50*SUM(D266:D269),0)</f>
        <v>0</v>
      </c>
      <c r="L269" s="64">
        <f>IF(B269="Winter",Variables!$B$8*H268,0)</f>
        <v>-4.2340378763445781</v>
      </c>
      <c r="M269" s="64">
        <f>IF(AND(B269="Spring",AND(NOT(H268=0),H268&lt;(Variables!$B$9*Variables!$E$50))),(Variables!$B$10*Variables!$E$50+Variables!$B$11*Variables!$E$50*SUM(E266:E269)+$G$1*SUM(D268:D269)*Variables!$E$50*Variables!$B$12),0)</f>
        <v>0</v>
      </c>
      <c r="N269" s="64">
        <f>IF(AND(B269="Spring",AND(SUM(D266:D269)&gt;Variables!$B$13,SUM(D262:D265)&gt;Variables!$B$13)),-Variables!$B$14*Variables!$E$50,0)</f>
        <v>0</v>
      </c>
      <c r="O269" s="64">
        <f>IF(AND(B269="Summer",SUM(C265:D269)&gt;Variables!$B$15),(Variables!$B$16*Variables!$E$50*SUM(C265:C269)+$G$1*Variables!$B$16*Variables!$E$50*SUM(D265:D269)+$G$1*Variables!$E$50*Variables!$B$17*F269),0)</f>
        <v>0</v>
      </c>
      <c r="P269" s="64">
        <f>IF(AND(AND(B269="Autumn",SUM(D268:E269)&gt;0),NOT(H268=0)),Variables!$B$18*Variables!$E$50+Variables!$B$19*Variables!$E$50*SUM(E268:E269)+$G$1*Variables!$B$19*Variables!$E$50*SUM(D268:D269),0)</f>
        <v>0</v>
      </c>
      <c r="Q269" s="64">
        <f>IF(AND(B269="Autumn",AND((E269+E268)&lt;Variables!$B$20,(D268+D269)=0)),-Variables!$B$21*Variables!$E$50,0)</f>
        <v>0</v>
      </c>
      <c r="R269" s="64">
        <f>IF(B269="Autumn",(SUM(F268:F269)*$G$1*Variables!$B$22*Variables!$E$50),0)</f>
        <v>0</v>
      </c>
      <c r="S269" s="64">
        <f>IF(B269="Spring",($G$1*Variables!$E$50*SUM('Guts (option 2)'!F268:F269)*Variables!$B$23),0)</f>
        <v>0</v>
      </c>
      <c r="T269" s="63">
        <f>IF((H268+SUM(J269:Q269))&lt;(Variables!$B$26*Variables!$E$50),$F$1*((Variables!$B$26*Variables!$E$50)-H268-SUM(J269:Q269)),0)</f>
        <v>0</v>
      </c>
      <c r="U269" s="64">
        <f>IF(AND(AND(B269="Autumn",SUM(D266:E269)&gt;Variables!$B$27),SUM(J269:Q269)&lt;Variables!$B$28*H268),$F$1*(Variables!$B$28*H268-SUM(J269:Q269)),0)</f>
        <v>0</v>
      </c>
      <c r="V269" s="96">
        <f>IF(AND((J269+K269)=0,(Q269+T269)=0),$H$1*H269*Variables!$I$23*0.25,0)</f>
        <v>27.42130201678718</v>
      </c>
      <c r="W269" s="97">
        <f>IF(AND((K269+J269)=0,(T269+Q269)=0),$I$1*H269*Variables!$Q$23*0.25,0)</f>
        <v>28.702850141545859</v>
      </c>
      <c r="X269" s="95">
        <f>IF(AND(NOT(K269=0),(H269-H268)&gt;0),(H269-H268)*(Variables!$M$5*$H$1+Variables!$U$5*$I$1),0)+IF(AND(NOT((J269+N269+Q269)=0),(H268-H269)&gt;0),(H268-H269)*(Variables!$M$4*$H$1+Variables!$U$4*$I$1),0)</f>
        <v>0</v>
      </c>
      <c r="Y269" s="95">
        <f>IF(SUM(T269,U268:U269)&gt;0,H269*Variables!$Y$11*0.25*(1-$J$1),0)</f>
        <v>0</v>
      </c>
      <c r="Z269" s="95">
        <f>IF(T269=0,H269*$J$1*Variables!$Y$5*0.25,0)</f>
        <v>9.2494590394530753</v>
      </c>
      <c r="AA269" s="95">
        <f t="shared" si="7"/>
        <v>65.373611197786119</v>
      </c>
      <c r="AB269" s="91">
        <f>AA269/Variables!$E$49</f>
        <v>10.544130838352599</v>
      </c>
    </row>
    <row r="270" spans="1:28" x14ac:dyDescent="0.25">
      <c r="A270" s="61">
        <f>'Water runs'!C277</f>
        <v>26633</v>
      </c>
      <c r="B270" s="61" t="str">
        <f>'Water runs'!B277</f>
        <v>Spring</v>
      </c>
      <c r="C270" s="54">
        <f>'Water runs'!D277/100</f>
        <v>0.80312499999999998</v>
      </c>
      <c r="D270" s="108">
        <f>VLOOKUP(ROW(D270)+4,'Water runs'!$BS$3:$CF$423,MATCH($B$1,Scenarios,0)+1)</f>
        <v>0.14824345402576425</v>
      </c>
      <c r="E270" s="54">
        <f>IF(B270=Variables!$D$8,C270-Variables!$E$8,IF(B270=Variables!$D$9,C270-Variables!$E$9,IF(B270=Variables!$D$10,C270-Variables!$E$10,IF(B270=Variables!$D$11,C270-Variables!$E$11,"ELSE"))))</f>
        <v>3.9142791005290833E-2</v>
      </c>
      <c r="F270" s="108">
        <f>VLOOKUP(ROW(F270)+4,'Water runs'!$CH$3:$CU$423,MATCH($B$1,Scenarios,0)+1)</f>
        <v>0.1363557906238371</v>
      </c>
      <c r="G270" s="65">
        <f>H270/Variables!$E$49</f>
        <v>0.69135957573113327</v>
      </c>
      <c r="H270" s="62">
        <f>IF((H269+I270)&gt;(1.1*Variables!$E$50),(1.1*Variables!$E$50),IF((H269+I270)&gt;0,H269+I270,0))</f>
        <v>4.2864293695330264</v>
      </c>
      <c r="I270" s="64">
        <f t="shared" si="8"/>
        <v>1.7448274400838178E-2</v>
      </c>
      <c r="J270" s="63">
        <f>IF(SUM(E266:E269)&lt;Variables!$B$3,-H269,0)</f>
        <v>0</v>
      </c>
      <c r="K270" s="64">
        <f>IF(AND(H269&lt;Variables!$B$6*Variables!$E$50,OR(SUM(D267:D270)&gt;Variables!$B$5,SUM(E267:E270)&gt;Variables!$B$4)),Variables!$B$6*Variables!$E$50+Variables!$B$7*$G$1*Variables!$E$50*SUM(D267:D270),0)</f>
        <v>0</v>
      </c>
      <c r="L270" s="64">
        <f>IF(B270="Winter",Variables!$B$8*H269,0)</f>
        <v>0</v>
      </c>
      <c r="M270" s="64">
        <f>IF(AND(B270="Spring",AND(NOT(H269=0),H269&lt;(Variables!$B$9*Variables!$E$50))),(Variables!$B$10*Variables!$E$50+Variables!$B$11*Variables!$E$50*SUM(E267:E270)+$G$1*SUM(D269:D270)*Variables!$E$50*Variables!$B$12),0)</f>
        <v>0</v>
      </c>
      <c r="N270" s="64">
        <f>IF(AND(B270="Spring",AND(SUM(D267:D270)&gt;Variables!$B$13,SUM(D263:D266)&gt;Variables!$B$13)),-Variables!$B$14*Variables!$E$50,0)</f>
        <v>0</v>
      </c>
      <c r="O270" s="64">
        <f>IF(AND(B270="Summer",SUM(C266:D270)&gt;Variables!$B$15),(Variables!$B$16*Variables!$E$50*SUM(C266:C270)+$G$1*Variables!$B$16*Variables!$E$50*SUM(D266:D270)+$G$1*Variables!$E$50*Variables!$B$17*F270),0)</f>
        <v>0</v>
      </c>
      <c r="P270" s="64">
        <f>IF(AND(AND(B270="Autumn",SUM(D269:E270)&gt;0),NOT(H269=0)),Variables!$B$18*Variables!$E$50+Variables!$B$19*Variables!$E$50*SUM(E269:E270)+$G$1*Variables!$B$19*Variables!$E$50*SUM(D269:D270),0)</f>
        <v>0</v>
      </c>
      <c r="Q270" s="64">
        <f>IF(AND(B270="Autumn",AND((E270+E269)&lt;Variables!$B$20,(D269+D270)=0)),-Variables!$B$21*Variables!$E$50,0)</f>
        <v>0</v>
      </c>
      <c r="R270" s="64">
        <f>IF(B270="Autumn",(SUM(F269:F270)*$G$1*Variables!$B$22*Variables!$E$50),0)</f>
        <v>0</v>
      </c>
      <c r="S270" s="64">
        <f>IF(B270="Spring",($G$1*Variables!$E$50*SUM('Guts (option 2)'!F269:F270)*Variables!$B$23),0)</f>
        <v>1.7448274400838178E-2</v>
      </c>
      <c r="T270" s="63">
        <f>IF((H269+SUM(J270:Q270))&lt;(Variables!$B$26*Variables!$E$50),$F$1*((Variables!$B$26*Variables!$E$50)-H269-SUM(J270:Q270)),0)</f>
        <v>0</v>
      </c>
      <c r="U270" s="64">
        <f>IF(AND(AND(B270="Autumn",SUM(D267:E270)&gt;Variables!$B$27),SUM(J270:Q270)&lt;Variables!$B$28*H269),$F$1*(Variables!$B$28*H269-SUM(J270:Q270)),0)</f>
        <v>0</v>
      </c>
      <c r="V270" s="96">
        <f>IF(AND((J270+K270)=0,(Q270+T270)=0),$H$1*H270*Variables!$I$23*0.25,0)</f>
        <v>27.533378971768951</v>
      </c>
      <c r="W270" s="97">
        <f>IF(AND((K270+J270)=0,(T270+Q270)=0),$I$1*H270*Variables!$Q$23*0.25,0)</f>
        <v>28.82016506850276</v>
      </c>
      <c r="X270" s="95">
        <f>IF(AND(NOT(K270=0),(H270-H269)&gt;0),(H270-H269)*(Variables!$M$5*$H$1+Variables!$U$5*$I$1),0)+IF(AND(NOT((J270+N270+Q270)=0),(H269-H270)&gt;0),(H269-H270)*(Variables!$M$4*$H$1+Variables!$U$4*$I$1),0)</f>
        <v>0</v>
      </c>
      <c r="Y270" s="95">
        <f>IF(SUM(T270,U269:U270)&gt;0,H270*Variables!$Y$11*0.25*(1-$J$1),0)</f>
        <v>0</v>
      </c>
      <c r="Z270" s="95">
        <f>IF(T270=0,H270*$J$1*Variables!$Y$5*0.25,0)</f>
        <v>9.2872636339882249</v>
      </c>
      <c r="AA270" s="95">
        <f t="shared" si="7"/>
        <v>65.640807674259946</v>
      </c>
      <c r="AB270" s="91">
        <f>AA270/Variables!$E$49</f>
        <v>10.587227044235474</v>
      </c>
    </row>
    <row r="271" spans="1:28" x14ac:dyDescent="0.25">
      <c r="A271" s="61">
        <f>'Water runs'!C278</f>
        <v>26723</v>
      </c>
      <c r="B271" s="61" t="str">
        <f>'Water runs'!B278</f>
        <v>Summer</v>
      </c>
      <c r="C271" s="54">
        <f>'Water runs'!D278/100</f>
        <v>1.6336250000000001</v>
      </c>
      <c r="D271" s="108">
        <f>VLOOKUP(ROW(D271)+4,'Water runs'!$BS$3:$CF$423,MATCH($B$1,Scenarios,0)+1)</f>
        <v>1.4437960712278007E-2</v>
      </c>
      <c r="E271" s="54">
        <f>IF(B271=Variables!$D$8,C271-Variables!$E$8,IF(B271=Variables!$D$9,C271-Variables!$E$9,IF(B271=Variables!$D$10,C271-Variables!$E$10,IF(B271=Variables!$D$11,C271-Variables!$E$11,"ELSE"))))</f>
        <v>0.37525486394557839</v>
      </c>
      <c r="F271" s="108">
        <f>VLOOKUP(ROW(F271)+4,'Water runs'!$CH$3:$CU$423,MATCH($B$1,Scenarios,0)+1)</f>
        <v>0</v>
      </c>
      <c r="G271" s="65">
        <f>H271/Variables!$E$49</f>
        <v>0.69135957573113327</v>
      </c>
      <c r="H271" s="62">
        <f>IF((H270+I271)&gt;(1.1*Variables!$E$50),(1.1*Variables!$E$50),IF((H270+I271)&gt;0,H270+I271,0))</f>
        <v>4.2864293695330264</v>
      </c>
      <c r="I271" s="64">
        <f t="shared" si="8"/>
        <v>0</v>
      </c>
      <c r="J271" s="63">
        <f>IF(SUM(E267:E270)&lt;Variables!$B$3,-H270,0)</f>
        <v>0</v>
      </c>
      <c r="K271" s="64">
        <f>IF(AND(H270&lt;Variables!$B$6*Variables!$E$50,OR(SUM(D268:D271)&gt;Variables!$B$5,SUM(E268:E271)&gt;Variables!$B$4)),Variables!$B$6*Variables!$E$50+Variables!$B$7*$G$1*Variables!$E$50*SUM(D268:D271),0)</f>
        <v>0</v>
      </c>
      <c r="L271" s="64">
        <f>IF(B271="Winter",Variables!$B$8*H270,0)</f>
        <v>0</v>
      </c>
      <c r="M271" s="64">
        <f>IF(AND(B271="Spring",AND(NOT(H270=0),H270&lt;(Variables!$B$9*Variables!$E$50))),(Variables!$B$10*Variables!$E$50+Variables!$B$11*Variables!$E$50*SUM(E268:E271)+$G$1*SUM(D270:D271)*Variables!$E$50*Variables!$B$12),0)</f>
        <v>0</v>
      </c>
      <c r="N271" s="64">
        <f>IF(AND(B271="Spring",AND(SUM(D268:D271)&gt;Variables!$B$13,SUM(D264:D267)&gt;Variables!$B$13)),-Variables!$B$14*Variables!$E$50,0)</f>
        <v>0</v>
      </c>
      <c r="O271" s="64">
        <f>IF(AND(B271="Summer",SUM(C267:D271)&gt;Variables!$B$15),(Variables!$B$16*Variables!$E$50*SUM(C267:C271)+$G$1*Variables!$B$16*Variables!$E$50*SUM(D267:D271)+$G$1*Variables!$E$50*Variables!$B$17*F271),0)</f>
        <v>0</v>
      </c>
      <c r="P271" s="64">
        <f>IF(AND(AND(B271="Autumn",SUM(D270:E271)&gt;0),NOT(H270=0)),Variables!$B$18*Variables!$E$50+Variables!$B$19*Variables!$E$50*SUM(E270:E271)+$G$1*Variables!$B$19*Variables!$E$50*SUM(D270:D271),0)</f>
        <v>0</v>
      </c>
      <c r="Q271" s="64">
        <f>IF(AND(B271="Autumn",AND((E271+E270)&lt;Variables!$B$20,(D270+D271)=0)),-Variables!$B$21*Variables!$E$50,0)</f>
        <v>0</v>
      </c>
      <c r="R271" s="64">
        <f>IF(B271="Autumn",(SUM(F270:F271)*$G$1*Variables!$B$22*Variables!$E$50),0)</f>
        <v>0</v>
      </c>
      <c r="S271" s="64">
        <f>IF(B271="Spring",($G$1*Variables!$E$50*SUM('Guts (option 2)'!F270:F271)*Variables!$B$23),0)</f>
        <v>0</v>
      </c>
      <c r="T271" s="63">
        <f>IF((H270+SUM(J271:Q271))&lt;(Variables!$B$26*Variables!$E$50),$F$1*((Variables!$B$26*Variables!$E$50)-H270-SUM(J271:Q271)),0)</f>
        <v>0</v>
      </c>
      <c r="U271" s="64">
        <f>IF(AND(AND(B271="Autumn",SUM(D268:E271)&gt;Variables!$B$27),SUM(J271:Q271)&lt;Variables!$B$28*H270),$F$1*(Variables!$B$28*H270-SUM(J271:Q271)),0)</f>
        <v>0</v>
      </c>
      <c r="V271" s="96">
        <f>IF(AND((J271+K271)=0,(Q271+T271)=0),$H$1*H271*Variables!$I$23*0.25,0)</f>
        <v>27.533378971768951</v>
      </c>
      <c r="W271" s="97">
        <f>IF(AND((K271+J271)=0,(T271+Q271)=0),$I$1*H271*Variables!$Q$23*0.25,0)</f>
        <v>28.82016506850276</v>
      </c>
      <c r="X271" s="95">
        <f>IF(AND(NOT(K271=0),(H271-H270)&gt;0),(H271-H270)*(Variables!$M$5*$H$1+Variables!$U$5*$I$1),0)+IF(AND(NOT((J271+N271+Q271)=0),(H270-H271)&gt;0),(H270-H271)*(Variables!$M$4*$H$1+Variables!$U$4*$I$1),0)</f>
        <v>0</v>
      </c>
      <c r="Y271" s="95">
        <f>IF(SUM(T271,U270:U271)&gt;0,H271*Variables!$Y$11*0.25*(1-$J$1),0)</f>
        <v>0</v>
      </c>
      <c r="Z271" s="95">
        <f>IF(T271=0,H271*$J$1*Variables!$Y$5*0.25,0)</f>
        <v>9.2872636339882249</v>
      </c>
      <c r="AA271" s="95">
        <f t="shared" si="7"/>
        <v>65.640807674259946</v>
      </c>
      <c r="AB271" s="91">
        <f>AA271/Variables!$E$49</f>
        <v>10.587227044235474</v>
      </c>
    </row>
    <row r="272" spans="1:28" x14ac:dyDescent="0.25">
      <c r="A272" s="61">
        <f>'Water runs'!C279</f>
        <v>26815</v>
      </c>
      <c r="B272" s="61" t="str">
        <f>'Water runs'!B279</f>
        <v>Autumn</v>
      </c>
      <c r="C272" s="54">
        <f>'Water runs'!D279/100</f>
        <v>0.50639285714285698</v>
      </c>
      <c r="D272" s="108">
        <f>VLOOKUP(ROW(D272)+4,'Water runs'!$BS$3:$CF$423,MATCH($B$1,Scenarios,0)+1)</f>
        <v>5.1148465150159539E-4</v>
      </c>
      <c r="E272" s="54">
        <f>IF(B272=Variables!$D$8,C272-Variables!$E$8,IF(B272=Variables!$D$9,C272-Variables!$E$9,IF(B272=Variables!$D$10,C272-Variables!$E$10,IF(B272=Variables!$D$11,C272-Variables!$E$11,"ELSE"))))</f>
        <v>-0.48825044217687086</v>
      </c>
      <c r="F272" s="108">
        <f>VLOOKUP(ROW(F272)+4,'Water runs'!$CH$3:$CU$423,MATCH($B$1,Scenarios,0)+1)</f>
        <v>0</v>
      </c>
      <c r="G272" s="65">
        <f>H272/Variables!$E$49</f>
        <v>0.69135957573113327</v>
      </c>
      <c r="H272" s="62">
        <f>IF((H271+I272)&gt;(1.1*Variables!$E$50),(1.1*Variables!$E$50),IF((H271+I272)&gt;0,H271+I272,0))</f>
        <v>4.2864293695330264</v>
      </c>
      <c r="I272" s="64">
        <f t="shared" si="8"/>
        <v>0</v>
      </c>
      <c r="J272" s="63">
        <f>IF(SUM(E268:E271)&lt;Variables!$B$3,-H271,0)</f>
        <v>0</v>
      </c>
      <c r="K272" s="64">
        <f>IF(AND(H271&lt;Variables!$B$6*Variables!$E$50,OR(SUM(D269:D272)&gt;Variables!$B$5,SUM(E269:E272)&gt;Variables!$B$4)),Variables!$B$6*Variables!$E$50+Variables!$B$7*$G$1*Variables!$E$50*SUM(D269:D272),0)</f>
        <v>0</v>
      </c>
      <c r="L272" s="64">
        <f>IF(B272="Winter",Variables!$B$8*H271,0)</f>
        <v>0</v>
      </c>
      <c r="M272" s="64">
        <f>IF(AND(B272="Spring",AND(NOT(H271=0),H271&lt;(Variables!$B$9*Variables!$E$50))),(Variables!$B$10*Variables!$E$50+Variables!$B$11*Variables!$E$50*SUM(E269:E272)+$G$1*SUM(D271:D272)*Variables!$E$50*Variables!$B$12),0)</f>
        <v>0</v>
      </c>
      <c r="N272" s="64">
        <f>IF(AND(B272="Spring",AND(SUM(D269:D272)&gt;Variables!$B$13,SUM(D265:D268)&gt;Variables!$B$13)),-Variables!$B$14*Variables!$E$50,0)</f>
        <v>0</v>
      </c>
      <c r="O272" s="64">
        <f>IF(AND(B272="Summer",SUM(C268:D272)&gt;Variables!$B$15),(Variables!$B$16*Variables!$E$50*SUM(C268:C272)+$G$1*Variables!$B$16*Variables!$E$50*SUM(D268:D272)+$G$1*Variables!$E$50*Variables!$B$17*F272),0)</f>
        <v>0</v>
      </c>
      <c r="P272" s="64">
        <f>IF(AND(AND(B272="Autumn",SUM(D271:E272)&gt;0),NOT(H271=0)),Variables!$B$18*Variables!$E$50+Variables!$B$19*Variables!$E$50*SUM(E271:E272)+$G$1*Variables!$B$19*Variables!$E$50*SUM(D271:D272),0)</f>
        <v>0</v>
      </c>
      <c r="Q272" s="64">
        <f>IF(AND(B272="Autumn",AND((E272+E271)&lt;Variables!$B$20,(D271+D272)=0)),-Variables!$B$21*Variables!$E$50,0)</f>
        <v>0</v>
      </c>
      <c r="R272" s="64">
        <f>IF(B272="Autumn",(SUM(F271:F272)*$G$1*Variables!$B$22*Variables!$E$50),0)</f>
        <v>0</v>
      </c>
      <c r="S272" s="64">
        <f>IF(B272="Spring",($G$1*Variables!$E$50*SUM('Guts (option 2)'!F271:F272)*Variables!$B$23),0)</f>
        <v>0</v>
      </c>
      <c r="T272" s="63">
        <f>IF((H271+SUM(J272:Q272))&lt;(Variables!$B$26*Variables!$E$50),$F$1*((Variables!$B$26*Variables!$E$50)-H271-SUM(J272:Q272)),0)</f>
        <v>0</v>
      </c>
      <c r="U272" s="64">
        <f>IF(AND(AND(B272="Autumn",SUM(D269:E272)&gt;Variables!$B$27),SUM(J272:Q272)&lt;Variables!$B$28*H271),$F$1*(Variables!$B$28*H271-SUM(J272:Q272)),0)</f>
        <v>0</v>
      </c>
      <c r="V272" s="96">
        <f>IF(AND((J272+K272)=0,(Q272+T272)=0),$H$1*H272*Variables!$I$23*0.25,0)</f>
        <v>27.533378971768951</v>
      </c>
      <c r="W272" s="97">
        <f>IF(AND((K272+J272)=0,(T272+Q272)=0),$I$1*H272*Variables!$Q$23*0.25,0)</f>
        <v>28.82016506850276</v>
      </c>
      <c r="X272" s="95">
        <f>IF(AND(NOT(K272=0),(H272-H271)&gt;0),(H272-H271)*(Variables!$M$5*$H$1+Variables!$U$5*$I$1),0)+IF(AND(NOT((J272+N272+Q272)=0),(H271-H272)&gt;0),(H271-H272)*(Variables!$M$4*$H$1+Variables!$U$4*$I$1),0)</f>
        <v>0</v>
      </c>
      <c r="Y272" s="95">
        <f>IF(SUM(T272,U271:U272)&gt;0,H272*Variables!$Y$11*0.25*(1-$J$1),0)</f>
        <v>0</v>
      </c>
      <c r="Z272" s="95">
        <f>IF(T272=0,H272*$J$1*Variables!$Y$5*0.25,0)</f>
        <v>9.2872636339882249</v>
      </c>
      <c r="AA272" s="95">
        <f t="shared" ref="AA272:AA335" si="9">SUM(V272:Z272)</f>
        <v>65.640807674259946</v>
      </c>
      <c r="AB272" s="91">
        <f>AA272/Variables!$E$49</f>
        <v>10.587227044235474</v>
      </c>
    </row>
    <row r="273" spans="1:28" x14ac:dyDescent="0.25">
      <c r="A273" s="61">
        <f>'Water runs'!C280</f>
        <v>26907</v>
      </c>
      <c r="B273" s="61" t="str">
        <f>'Water runs'!B280</f>
        <v>Winter</v>
      </c>
      <c r="C273" s="54">
        <f>'Water runs'!D280/100</f>
        <v>0.73633333333333295</v>
      </c>
      <c r="D273" s="108">
        <f>VLOOKUP(ROW(D273)+4,'Water runs'!$BS$3:$CF$423,MATCH($B$1,Scenarios,0)+1)</f>
        <v>0</v>
      </c>
      <c r="E273" s="54">
        <f>IF(B273=Variables!$D$8,C273-Variables!$E$8,IF(B273=Variables!$D$9,C273-Variables!$E$9,IF(B273=Variables!$D$10,C273-Variables!$E$10,IF(B273=Variables!$D$11,C273-Variables!$E$11,"ELSE"))))</f>
        <v>0.16456570767195722</v>
      </c>
      <c r="F273" s="108">
        <f>VLOOKUP(ROW(F273)+4,'Water runs'!$CH$3:$CU$423,MATCH($B$1,Scenarios,0)+1)</f>
        <v>0</v>
      </c>
      <c r="G273" s="65">
        <f>H273/Variables!$E$49</f>
        <v>0.34710036148751916</v>
      </c>
      <c r="H273" s="62">
        <f>IF((H272+I273)&gt;(1.1*Variables!$E$50),(1.1*Variables!$E$50),IF((H272+I273)&gt;0,H272+I273,0))</f>
        <v>2.1520222412226189</v>
      </c>
      <c r="I273" s="64">
        <f t="shared" si="8"/>
        <v>-2.1344071283104076</v>
      </c>
      <c r="J273" s="63">
        <f>IF(SUM(E269:E272)&lt;Variables!$B$3,-H272,0)</f>
        <v>0</v>
      </c>
      <c r="K273" s="64">
        <f>IF(AND(H272&lt;Variables!$B$6*Variables!$E$50,OR(SUM(D270:D273)&gt;Variables!$B$5,SUM(E270:E273)&gt;Variables!$B$4)),Variables!$B$6*Variables!$E$50+Variables!$B$7*$G$1*Variables!$E$50*SUM(D270:D273),0)</f>
        <v>0</v>
      </c>
      <c r="L273" s="64">
        <f>IF(B273="Winter",Variables!$B$8*H272,0)</f>
        <v>-2.1344071283104076</v>
      </c>
      <c r="M273" s="64">
        <f>IF(AND(B273="Spring",AND(NOT(H272=0),H272&lt;(Variables!$B$9*Variables!$E$50))),(Variables!$B$10*Variables!$E$50+Variables!$B$11*Variables!$E$50*SUM(E270:E273)+$G$1*SUM(D272:D273)*Variables!$E$50*Variables!$B$12),0)</f>
        <v>0</v>
      </c>
      <c r="N273" s="64">
        <f>IF(AND(B273="Spring",AND(SUM(D270:D273)&gt;Variables!$B$13,SUM(D266:D269)&gt;Variables!$B$13)),-Variables!$B$14*Variables!$E$50,0)</f>
        <v>0</v>
      </c>
      <c r="O273" s="64">
        <f>IF(AND(B273="Summer",SUM(C269:D273)&gt;Variables!$B$15),(Variables!$B$16*Variables!$E$50*SUM(C269:C273)+$G$1*Variables!$B$16*Variables!$E$50*SUM(D269:D273)+$G$1*Variables!$E$50*Variables!$B$17*F273),0)</f>
        <v>0</v>
      </c>
      <c r="P273" s="64">
        <f>IF(AND(AND(B273="Autumn",SUM(D272:E273)&gt;0),NOT(H272=0)),Variables!$B$18*Variables!$E$50+Variables!$B$19*Variables!$E$50*SUM(E272:E273)+$G$1*Variables!$B$19*Variables!$E$50*SUM(D272:D273),0)</f>
        <v>0</v>
      </c>
      <c r="Q273" s="64">
        <f>IF(AND(B273="Autumn",AND((E273+E272)&lt;Variables!$B$20,(D272+D273)=0)),-Variables!$B$21*Variables!$E$50,0)</f>
        <v>0</v>
      </c>
      <c r="R273" s="64">
        <f>IF(B273="Autumn",(SUM(F272:F273)*$G$1*Variables!$B$22*Variables!$E$50),0)</f>
        <v>0</v>
      </c>
      <c r="S273" s="64">
        <f>IF(B273="Spring",($G$1*Variables!$E$50*SUM('Guts (option 2)'!F272:F273)*Variables!$B$23),0)</f>
        <v>0</v>
      </c>
      <c r="T273" s="63">
        <f>IF((H272+SUM(J273:Q273))&lt;(Variables!$B$26*Variables!$E$50),$F$1*((Variables!$B$26*Variables!$E$50)-H272-SUM(J273:Q273)),0)</f>
        <v>0</v>
      </c>
      <c r="U273" s="64">
        <f>IF(AND(AND(B273="Autumn",SUM(D270:E273)&gt;Variables!$B$27),SUM(J273:Q273)&lt;Variables!$B$28*H272),$F$1*(Variables!$B$28*H272-SUM(J273:Q273)),0)</f>
        <v>0</v>
      </c>
      <c r="V273" s="96">
        <f>IF(AND((J273+K273)=0,(Q273+T273)=0),$H$1*H273*Variables!$I$23*0.25,0)</f>
        <v>13.823263797232016</v>
      </c>
      <c r="W273" s="97">
        <f>IF(AND((K273+J273)=0,(T273+Q273)=0),$I$1*H273*Variables!$Q$23*0.25,0)</f>
        <v>14.469300874047045</v>
      </c>
      <c r="X273" s="95">
        <f>IF(AND(NOT(K273=0),(H273-H272)&gt;0),(H273-H272)*(Variables!$M$5*$H$1+Variables!$U$5*$I$1),0)+IF(AND(NOT((J273+N273+Q273)=0),(H272-H273)&gt;0),(H272-H273)*(Variables!$M$4*$H$1+Variables!$U$4*$I$1),0)</f>
        <v>0</v>
      </c>
      <c r="Y273" s="95">
        <f>IF(SUM(T273,U272:U273)&gt;0,H273*Variables!$Y$11*0.25*(1-$J$1),0)</f>
        <v>0</v>
      </c>
      <c r="Z273" s="95">
        <f>IF(T273=0,H273*$J$1*Variables!$Y$5*0.25,0)</f>
        <v>4.6627148559823404</v>
      </c>
      <c r="AA273" s="95">
        <f t="shared" si="9"/>
        <v>32.955279527261396</v>
      </c>
      <c r="AB273" s="91">
        <f>AA273/Variables!$E$49</f>
        <v>5.3153676656873214</v>
      </c>
    </row>
    <row r="274" spans="1:28" x14ac:dyDescent="0.25">
      <c r="A274" s="61">
        <f>'Water runs'!C281</f>
        <v>26998</v>
      </c>
      <c r="B274" s="61" t="str">
        <f>'Water runs'!B281</f>
        <v>Spring</v>
      </c>
      <c r="C274" s="54">
        <f>'Water runs'!D281/100</f>
        <v>1.5094999999999998</v>
      </c>
      <c r="D274" s="108">
        <f>VLOOKUP(ROW(D274)+4,'Water runs'!$BS$3:$CF$423,MATCH($B$1,Scenarios,0)+1)</f>
        <v>0</v>
      </c>
      <c r="E274" s="54">
        <f>IF(B274=Variables!$D$8,C274-Variables!$E$8,IF(B274=Variables!$D$9,C274-Variables!$E$9,IF(B274=Variables!$D$10,C274-Variables!$E$10,IF(B274=Variables!$D$11,C274-Variables!$E$11,"ELSE"))))</f>
        <v>0.7455177910052907</v>
      </c>
      <c r="F274" s="108">
        <f>VLOOKUP(ROW(F274)+4,'Water runs'!$CH$3:$CU$423,MATCH($B$1,Scenarios,0)+1)</f>
        <v>0</v>
      </c>
      <c r="G274" s="65">
        <f>H274/Variables!$E$49</f>
        <v>0.43465940068450443</v>
      </c>
      <c r="H274" s="62">
        <f>IF((H273+I274)&gt;(1.1*Variables!$E$50),(1.1*Variables!$E$50),IF((H273+I274)&gt;0,H273+I274,0))</f>
        <v>2.6948882842439277</v>
      </c>
      <c r="I274" s="64">
        <f t="shared" si="8"/>
        <v>0.54286604302130892</v>
      </c>
      <c r="J274" s="63">
        <f>IF(SUM(E270:E273)&lt;Variables!$B$3,-H273,0)</f>
        <v>0</v>
      </c>
      <c r="K274" s="64">
        <f>IF(AND(H273&lt;Variables!$B$6*Variables!$E$50,OR(SUM(D271:D274)&gt;Variables!$B$5,SUM(E271:E274)&gt;Variables!$B$4)),Variables!$B$6*Variables!$E$50+Variables!$B$7*$G$1*Variables!$E$50*SUM(D271:D274),0)</f>
        <v>0</v>
      </c>
      <c r="L274" s="64">
        <f>IF(B274="Winter",Variables!$B$8*H273,0)</f>
        <v>0</v>
      </c>
      <c r="M274" s="64">
        <f>IF(AND(B274="Spring",AND(NOT(H273=0),H273&lt;(Variables!$B$9*Variables!$E$50))),(Variables!$B$10*Variables!$E$50+Variables!$B$11*Variables!$E$50*SUM(E271:E274)+$G$1*SUM(D273:D274)*Variables!$E$50*Variables!$B$12),0)</f>
        <v>0.54286604302130892</v>
      </c>
      <c r="N274" s="64">
        <f>IF(AND(B274="Spring",AND(SUM(D271:D274)&gt;Variables!$B$13,SUM(D267:D270)&gt;Variables!$B$13)),-Variables!$B$14*Variables!$E$50,0)</f>
        <v>0</v>
      </c>
      <c r="O274" s="64">
        <f>IF(AND(B274="Summer",SUM(C270:D274)&gt;Variables!$B$15),(Variables!$B$16*Variables!$E$50*SUM(C270:C274)+$G$1*Variables!$B$16*Variables!$E$50*SUM(D270:D274)+$G$1*Variables!$E$50*Variables!$B$17*F274),0)</f>
        <v>0</v>
      </c>
      <c r="P274" s="64">
        <f>IF(AND(AND(B274="Autumn",SUM(D273:E274)&gt;0),NOT(H273=0)),Variables!$B$18*Variables!$E$50+Variables!$B$19*Variables!$E$50*SUM(E273:E274)+$G$1*Variables!$B$19*Variables!$E$50*SUM(D273:D274),0)</f>
        <v>0</v>
      </c>
      <c r="Q274" s="64">
        <f>IF(AND(B274="Autumn",AND((E274+E273)&lt;Variables!$B$20,(D273+D274)=0)),-Variables!$B$21*Variables!$E$50,0)</f>
        <v>0</v>
      </c>
      <c r="R274" s="64">
        <f>IF(B274="Autumn",(SUM(F273:F274)*$G$1*Variables!$B$22*Variables!$E$50),0)</f>
        <v>0</v>
      </c>
      <c r="S274" s="64">
        <f>IF(B274="Spring",($G$1*Variables!$E$50*SUM('Guts (option 2)'!F273:F274)*Variables!$B$23),0)</f>
        <v>0</v>
      </c>
      <c r="T274" s="63">
        <f>IF((H273+SUM(J274:Q274))&lt;(Variables!$B$26*Variables!$E$50),$F$1*((Variables!$B$26*Variables!$E$50)-H273-SUM(J274:Q274)),0)</f>
        <v>0</v>
      </c>
      <c r="U274" s="64">
        <f>IF(AND(AND(B274="Autumn",SUM(D271:E274)&gt;Variables!$B$27),SUM(J274:Q274)&lt;Variables!$B$28*H273),$F$1*(Variables!$B$28*H273-SUM(J274:Q274)),0)</f>
        <v>0</v>
      </c>
      <c r="V274" s="96">
        <f>IF(AND((J274+K274)=0,(Q274+T274)=0),$H$1*H274*Variables!$I$23*0.25,0)</f>
        <v>17.310300490207709</v>
      </c>
      <c r="W274" s="97">
        <f>IF(AND((K274+J274)=0,(T274+Q274)=0),$I$1*H274*Variables!$Q$23*0.25,0)</f>
        <v>18.119305953137733</v>
      </c>
      <c r="X274" s="95">
        <f>IF(AND(NOT(K274=0),(H274-H273)&gt;0),(H274-H273)*(Variables!$M$5*$H$1+Variables!$U$5*$I$1),0)+IF(AND(NOT((J274+N274+Q274)=0),(H273-H274)&gt;0),(H273-H274)*(Variables!$M$4*$H$1+Variables!$U$4*$I$1),0)</f>
        <v>0</v>
      </c>
      <c r="Y274" s="95">
        <f>IF(SUM(T274,U273:U274)&gt;0,H274*Variables!$Y$11*0.25*(1-$J$1),0)</f>
        <v>0</v>
      </c>
      <c r="Z274" s="95">
        <f>IF(T274=0,H274*$J$1*Variables!$Y$5*0.25,0)</f>
        <v>5.8389246158618437</v>
      </c>
      <c r="AA274" s="95">
        <f t="shared" si="9"/>
        <v>41.268531059207284</v>
      </c>
      <c r="AB274" s="91">
        <f>AA274/Variables!$E$49</f>
        <v>6.6562146869689167</v>
      </c>
    </row>
    <row r="275" spans="1:28" x14ac:dyDescent="0.25">
      <c r="A275" s="61">
        <f>'Water runs'!C282</f>
        <v>27088</v>
      </c>
      <c r="B275" s="61" t="str">
        <f>'Water runs'!B282</f>
        <v>Summer</v>
      </c>
      <c r="C275" s="54">
        <f>'Water runs'!D282/100</f>
        <v>4.6364999999999998</v>
      </c>
      <c r="D275" s="108">
        <f>VLOOKUP(ROW(D275)+4,'Water runs'!$BS$3:$CF$423,MATCH($B$1,Scenarios,0)+1)</f>
        <v>0.43232329630480049</v>
      </c>
      <c r="E275" s="54">
        <f>IF(B275=Variables!$D$8,C275-Variables!$E$8,IF(B275=Variables!$D$9,C275-Variables!$E$9,IF(B275=Variables!$D$10,C275-Variables!$E$10,IF(B275=Variables!$D$11,C275-Variables!$E$11,"ELSE"))))</f>
        <v>3.3781298639455781</v>
      </c>
      <c r="F275" s="108">
        <f>VLOOKUP(ROW(F275)+4,'Water runs'!$CH$3:$CU$423,MATCH($B$1,Scenarios,0)+1)</f>
        <v>0.40206177404413335</v>
      </c>
      <c r="G275" s="65">
        <f>H275/Variables!$E$49</f>
        <v>1.0762194379788632</v>
      </c>
      <c r="H275" s="62">
        <f>IF((H274+I275)&gt;(1.1*Variables!$E$50),(1.1*Variables!$E$50),IF((H274+I275)&gt;0,H274+I275,0))</f>
        <v>6.6725605154689518</v>
      </c>
      <c r="I275" s="64">
        <f t="shared" si="8"/>
        <v>3.9776722312250246</v>
      </c>
      <c r="J275" s="63">
        <f>IF(SUM(E271:E274)&lt;Variables!$B$3,-H274,0)</f>
        <v>0</v>
      </c>
      <c r="K275" s="64">
        <f>IF(AND(H274&lt;Variables!$B$6*Variables!$E$50,OR(SUM(D272:D275)&gt;Variables!$B$5,SUM(E272:E275)&gt;Variables!$B$4)),Variables!$B$6*Variables!$E$50+Variables!$B$7*$G$1*Variables!$E$50*SUM(D272:D275),0)</f>
        <v>0</v>
      </c>
      <c r="L275" s="64">
        <f>IF(B275="Winter",Variables!$B$8*H274,0)</f>
        <v>0</v>
      </c>
      <c r="M275" s="64">
        <f>IF(AND(B275="Spring",AND(NOT(H274=0),H274&lt;(Variables!$B$9*Variables!$E$50))),(Variables!$B$10*Variables!$E$50+Variables!$B$11*Variables!$E$50*SUM(E272:E275)+$G$1*SUM(D274:D275)*Variables!$E$50*Variables!$B$12),0)</f>
        <v>0</v>
      </c>
      <c r="N275" s="64">
        <f>IF(AND(B275="Spring",AND(SUM(D272:D275)&gt;Variables!$B$13,SUM(D268:D271)&gt;Variables!$B$13)),-Variables!$B$14*Variables!$E$50,0)</f>
        <v>0</v>
      </c>
      <c r="O275" s="64">
        <f>IF(AND(B275="Summer",SUM(C271:D275)&gt;Variables!$B$15),(Variables!$B$16*Variables!$E$50*SUM(C271:C275)+$G$1*Variables!$B$16*Variables!$E$50*SUM(D271:D275)+$G$1*Variables!$E$50*Variables!$B$17*F275),0)</f>
        <v>3.9776722312250246</v>
      </c>
      <c r="P275" s="64">
        <f>IF(AND(AND(B275="Autumn",SUM(D274:E275)&gt;0),NOT(H274=0)),Variables!$B$18*Variables!$E$50+Variables!$B$19*Variables!$E$50*SUM(E274:E275)+$G$1*Variables!$B$19*Variables!$E$50*SUM(D274:D275),0)</f>
        <v>0</v>
      </c>
      <c r="Q275" s="64">
        <f>IF(AND(B275="Autumn",AND((E275+E274)&lt;Variables!$B$20,(D274+D275)=0)),-Variables!$B$21*Variables!$E$50,0)</f>
        <v>0</v>
      </c>
      <c r="R275" s="64">
        <f>IF(B275="Autumn",(SUM(F274:F275)*$G$1*Variables!$B$22*Variables!$E$50),0)</f>
        <v>0</v>
      </c>
      <c r="S275" s="64">
        <f>IF(B275="Spring",($G$1*Variables!$E$50*SUM('Guts (option 2)'!F274:F275)*Variables!$B$23),0)</f>
        <v>0</v>
      </c>
      <c r="T275" s="63">
        <f>IF((H274+SUM(J275:Q275))&lt;(Variables!$B$26*Variables!$E$50),$F$1*((Variables!$B$26*Variables!$E$50)-H274-SUM(J275:Q275)),0)</f>
        <v>0</v>
      </c>
      <c r="U275" s="64">
        <f>IF(AND(AND(B275="Autumn",SUM(D272:E275)&gt;Variables!$B$27),SUM(J275:Q275)&lt;Variables!$B$28*H274),$F$1*(Variables!$B$28*H274-SUM(J275:Q275)),0)</f>
        <v>0</v>
      </c>
      <c r="V275" s="96">
        <f>IF(AND((J275+K275)=0,(Q275+T275)=0),$H$1*H275*Variables!$I$23*0.25,0)</f>
        <v>42.860414005721346</v>
      </c>
      <c r="W275" s="97">
        <f>IF(AND((K275+J275)=0,(T275+Q275)=0),$I$1*H275*Variables!$Q$23*0.25,0)</f>
        <v>44.863516672465117</v>
      </c>
      <c r="X275" s="95">
        <f>IF(AND(NOT(K275=0),(H275-H274)&gt;0),(H275-H274)*(Variables!$M$5*$H$1+Variables!$U$5*$I$1),0)+IF(AND(NOT((J275+N275+Q275)=0),(H274-H275)&gt;0),(H274-H275)*(Variables!$M$4*$H$1+Variables!$U$4*$I$1),0)</f>
        <v>0</v>
      </c>
      <c r="Y275" s="95">
        <f>IF(SUM(T275,U274:U275)&gt;0,H275*Variables!$Y$11*0.25*(1-$J$1),0)</f>
        <v>0</v>
      </c>
      <c r="Z275" s="95">
        <f>IF(T275=0,H275*$J$1*Variables!$Y$5*0.25,0)</f>
        <v>14.457214450182729</v>
      </c>
      <c r="AA275" s="95">
        <f t="shared" si="9"/>
        <v>102.1811451283692</v>
      </c>
      <c r="AB275" s="91">
        <f>AA275/Variables!$E$49</f>
        <v>16.480829859414385</v>
      </c>
    </row>
    <row r="276" spans="1:28" x14ac:dyDescent="0.25">
      <c r="A276" s="61">
        <f>'Water runs'!C283</f>
        <v>27180</v>
      </c>
      <c r="B276" s="61" t="str">
        <f>'Water runs'!B283</f>
        <v>Autumn</v>
      </c>
      <c r="C276" s="54">
        <f>'Water runs'!D283/100</f>
        <v>1.5951249999999999</v>
      </c>
      <c r="D276" s="108">
        <f>VLOOKUP(ROW(D276)+4,'Water runs'!$BS$3:$CF$423,MATCH($B$1,Scenarios,0)+1)</f>
        <v>4.3389100467937196E-4</v>
      </c>
      <c r="E276" s="54">
        <f>IF(B276=Variables!$D$8,C276-Variables!$E$8,IF(B276=Variables!$D$9,C276-Variables!$E$9,IF(B276=Variables!$D$10,C276-Variables!$E$10,IF(B276=Variables!$D$11,C276-Variables!$E$11,"ELSE"))))</f>
        <v>0.60048170068027207</v>
      </c>
      <c r="F276" s="108">
        <f>VLOOKUP(ROW(F276)+4,'Water runs'!$CH$3:$CU$423,MATCH($B$1,Scenarios,0)+1)</f>
        <v>0</v>
      </c>
      <c r="G276" s="65">
        <f>H276/Variables!$E$49</f>
        <v>2.5300000000000002</v>
      </c>
      <c r="H276" s="62">
        <f>IF((H275+I276)&gt;(1.1*Variables!$E$50),(1.1*Variables!$E$50),IF((H275+I276)&gt;0,H275+I276,0))</f>
        <v>15.686000000000002</v>
      </c>
      <c r="I276" s="64">
        <f t="shared" si="8"/>
        <v>9.8236584500967226</v>
      </c>
      <c r="J276" s="63">
        <f>IF(SUM(E272:E275)&lt;Variables!$B$3,-H275,0)</f>
        <v>0</v>
      </c>
      <c r="K276" s="64">
        <f>IF(AND(H275&lt;Variables!$B$6*Variables!$E$50,OR(SUM(D273:D276)&gt;Variables!$B$5,SUM(E273:E276)&gt;Variables!$B$4)),Variables!$B$6*Variables!$E$50+Variables!$B$7*$G$1*Variables!$E$50*SUM(D273:D276),0)</f>
        <v>0</v>
      </c>
      <c r="L276" s="64">
        <f>IF(B276="Winter",Variables!$B$8*H275,0)</f>
        <v>0</v>
      </c>
      <c r="M276" s="64">
        <f>IF(AND(B276="Spring",AND(NOT(H275=0),H275&lt;(Variables!$B$9*Variables!$E$50))),(Variables!$B$10*Variables!$E$50+Variables!$B$11*Variables!$E$50*SUM(E273:E276)+$G$1*SUM(D275:D276)*Variables!$E$50*Variables!$B$12),0)</f>
        <v>0</v>
      </c>
      <c r="N276" s="64">
        <f>IF(AND(B276="Spring",AND(SUM(D273:D276)&gt;Variables!$B$13,SUM(D269:D272)&gt;Variables!$B$13)),-Variables!$B$14*Variables!$E$50,0)</f>
        <v>0</v>
      </c>
      <c r="O276" s="64">
        <f>IF(AND(B276="Summer",SUM(C272:D276)&gt;Variables!$B$15),(Variables!$B$16*Variables!$E$50*SUM(C272:C276)+$G$1*Variables!$B$16*Variables!$E$50*SUM(D272:D276)+$G$1*Variables!$E$50*Variables!$B$17*F276),0)</f>
        <v>0</v>
      </c>
      <c r="P276" s="64">
        <f>IF(AND(AND(B276="Autumn",SUM(D275:E276)&gt;0),NOT(H275=0)),Variables!$B$18*Variables!$E$50+Variables!$B$19*Variables!$E$50*SUM(E275:E276)+$G$1*Variables!$B$19*Variables!$E$50*SUM(D275:D276),0)</f>
        <v>9.7670114432209711</v>
      </c>
      <c r="Q276" s="64">
        <f>IF(AND(B276="Autumn",AND((E276+E275)&lt;Variables!$B$20,(D275+D276)=0)),-Variables!$B$21*Variables!$E$50,0)</f>
        <v>0</v>
      </c>
      <c r="R276" s="64">
        <f>IF(B276="Autumn",(SUM(F275:F276)*$G$1*Variables!$B$22*Variables!$E$50),0)</f>
        <v>5.6647006875751492E-2</v>
      </c>
      <c r="S276" s="64">
        <f>IF(B276="Spring",($G$1*Variables!$E$50*SUM('Guts (option 2)'!F275:F276)*Variables!$B$23),0)</f>
        <v>0</v>
      </c>
      <c r="T276" s="63">
        <f>IF((H275+SUM(J276:Q276))&lt;(Variables!$B$26*Variables!$E$50),$F$1*((Variables!$B$26*Variables!$E$50)-H275-SUM(J276:Q276)),0)</f>
        <v>0</v>
      </c>
      <c r="U276" s="64">
        <f>IF(AND(AND(B276="Autumn",SUM(D273:E276)&gt;Variables!$B$27),SUM(J276:Q276)&lt;Variables!$B$28*H275),$F$1*(Variables!$B$28*H275-SUM(J276:Q276)),0)</f>
        <v>0</v>
      </c>
      <c r="V276" s="96">
        <f>IF(AND((J276+K276)=0,(Q276+T276)=0),$H$1*H276*Variables!$I$23*0.25,0)</f>
        <v>100.75719096666668</v>
      </c>
      <c r="W276" s="97">
        <f>IF(AND((K276+J276)=0,(T276+Q276)=0),$I$1*H276*Variables!$Q$23*0.25,0)</f>
        <v>105.46612816666666</v>
      </c>
      <c r="X276" s="95">
        <f>IF(AND(NOT(K276=0),(H276-H275)&gt;0),(H276-H275)*(Variables!$M$5*$H$1+Variables!$U$5*$I$1),0)+IF(AND(NOT((J276+N276+Q276)=0),(H275-H276)&gt;0),(H275-H276)*(Variables!$M$4*$H$1+Variables!$U$4*$I$1),0)</f>
        <v>0</v>
      </c>
      <c r="Y276" s="95">
        <f>IF(SUM(T276,U275:U276)&gt;0,H276*Variables!$Y$11*0.25*(1-$J$1),0)</f>
        <v>0</v>
      </c>
      <c r="Z276" s="95">
        <f>IF(T276=0,H276*$J$1*Variables!$Y$5*0.25,0)</f>
        <v>33.986333333333334</v>
      </c>
      <c r="AA276" s="95">
        <f t="shared" si="9"/>
        <v>240.20965246666668</v>
      </c>
      <c r="AB276" s="91">
        <f>AA276/Variables!$E$49</f>
        <v>38.743492333333336</v>
      </c>
    </row>
    <row r="277" spans="1:28" x14ac:dyDescent="0.25">
      <c r="A277" s="61">
        <f>'Water runs'!C284</f>
        <v>27272</v>
      </c>
      <c r="B277" s="61" t="str">
        <f>'Water runs'!B284</f>
        <v>Winter</v>
      </c>
      <c r="C277" s="54">
        <f>'Water runs'!D284/100</f>
        <v>0.79076666666666595</v>
      </c>
      <c r="D277" s="108">
        <f>VLOOKUP(ROW(D277)+4,'Water runs'!$BS$3:$CF$423,MATCH($B$1,Scenarios,0)+1)</f>
        <v>0</v>
      </c>
      <c r="E277" s="54">
        <f>IF(B277=Variables!$D$8,C277-Variables!$E$8,IF(B277=Variables!$D$9,C277-Variables!$E$9,IF(B277=Variables!$D$10,C277-Variables!$E$10,IF(B277=Variables!$D$11,C277-Variables!$E$11,"ELSE"))))</f>
        <v>0.21899904100529022</v>
      </c>
      <c r="F277" s="108">
        <f>VLOOKUP(ROW(F277)+4,'Water runs'!$CH$3:$CU$423,MATCH($B$1,Scenarios,0)+1)</f>
        <v>0</v>
      </c>
      <c r="G277" s="65">
        <f>H277/Variables!$E$49</f>
        <v>1.2701985267720333</v>
      </c>
      <c r="H277" s="62">
        <f>IF((H276+I277)&gt;(1.1*Variables!$E$50),(1.1*Variables!$E$50),IF((H276+I277)&gt;0,H276+I277,0))</f>
        <v>7.875230865986607</v>
      </c>
      <c r="I277" s="64">
        <f t="shared" si="8"/>
        <v>-7.8107691340133947</v>
      </c>
      <c r="J277" s="63">
        <f>IF(SUM(E273:E276)&lt;Variables!$B$3,-H276,0)</f>
        <v>0</v>
      </c>
      <c r="K277" s="64">
        <f>IF(AND(H276&lt;Variables!$B$6*Variables!$E$50,OR(SUM(D274:D277)&gt;Variables!$B$5,SUM(E274:E277)&gt;Variables!$B$4)),Variables!$B$6*Variables!$E$50+Variables!$B$7*$G$1*Variables!$E$50*SUM(D274:D277),0)</f>
        <v>0</v>
      </c>
      <c r="L277" s="64">
        <f>IF(B277="Winter",Variables!$B$8*H276,0)</f>
        <v>-7.8107691340133947</v>
      </c>
      <c r="M277" s="64">
        <f>IF(AND(B277="Spring",AND(NOT(H276=0),H276&lt;(Variables!$B$9*Variables!$E$50))),(Variables!$B$10*Variables!$E$50+Variables!$B$11*Variables!$E$50*SUM(E274:E277)+$G$1*SUM(D276:D277)*Variables!$E$50*Variables!$B$12),0)</f>
        <v>0</v>
      </c>
      <c r="N277" s="64">
        <f>IF(AND(B277="Spring",AND(SUM(D274:D277)&gt;Variables!$B$13,SUM(D270:D273)&gt;Variables!$B$13)),-Variables!$B$14*Variables!$E$50,0)</f>
        <v>0</v>
      </c>
      <c r="O277" s="64">
        <f>IF(AND(B277="Summer",SUM(C273:D277)&gt;Variables!$B$15),(Variables!$B$16*Variables!$E$50*SUM(C273:C277)+$G$1*Variables!$B$16*Variables!$E$50*SUM(D273:D277)+$G$1*Variables!$E$50*Variables!$B$17*F277),0)</f>
        <v>0</v>
      </c>
      <c r="P277" s="64">
        <f>IF(AND(AND(B277="Autumn",SUM(D276:E277)&gt;0),NOT(H276=0)),Variables!$B$18*Variables!$E$50+Variables!$B$19*Variables!$E$50*SUM(E276:E277)+$G$1*Variables!$B$19*Variables!$E$50*SUM(D276:D277),0)</f>
        <v>0</v>
      </c>
      <c r="Q277" s="64">
        <f>IF(AND(B277="Autumn",AND((E277+E276)&lt;Variables!$B$20,(D276+D277)=0)),-Variables!$B$21*Variables!$E$50,0)</f>
        <v>0</v>
      </c>
      <c r="R277" s="64">
        <f>IF(B277="Autumn",(SUM(F276:F277)*$G$1*Variables!$B$22*Variables!$E$50),0)</f>
        <v>0</v>
      </c>
      <c r="S277" s="64">
        <f>IF(B277="Spring",($G$1*Variables!$E$50*SUM('Guts (option 2)'!F276:F277)*Variables!$B$23),0)</f>
        <v>0</v>
      </c>
      <c r="T277" s="63">
        <f>IF((H276+SUM(J277:Q277))&lt;(Variables!$B$26*Variables!$E$50),$F$1*((Variables!$B$26*Variables!$E$50)-H276-SUM(J277:Q277)),0)</f>
        <v>0</v>
      </c>
      <c r="U277" s="64">
        <f>IF(AND(AND(B277="Autumn",SUM(D274:E277)&gt;Variables!$B$27),SUM(J277:Q277)&lt;Variables!$B$28*H276),$F$1*(Variables!$B$28*H276-SUM(J277:Q277)),0)</f>
        <v>0</v>
      </c>
      <c r="V277" s="96">
        <f>IF(AND((J277+K277)=0,(Q277+T277)=0),$H$1*H277*Variables!$I$23*0.25,0)</f>
        <v>50.585626690730606</v>
      </c>
      <c r="W277" s="97">
        <f>IF(AND((K277+J277)=0,(T277+Q277)=0),$I$1*H277*Variables!$Q$23*0.25,0)</f>
        <v>52.949770996699776</v>
      </c>
      <c r="X277" s="95">
        <f>IF(AND(NOT(K277=0),(H277-H276)&gt;0),(H277-H276)*(Variables!$M$5*$H$1+Variables!$U$5*$I$1),0)+IF(AND(NOT((J277+N277+Q277)=0),(H276-H277)&gt;0),(H276-H277)*(Variables!$M$4*$H$1+Variables!$U$4*$I$1),0)</f>
        <v>0</v>
      </c>
      <c r="Y277" s="95">
        <f>IF(SUM(T277,U276:U277)&gt;0,H277*Variables!$Y$11*0.25*(1-$J$1),0)</f>
        <v>0</v>
      </c>
      <c r="Z277" s="95">
        <f>IF(T277=0,H277*$J$1*Variables!$Y$5*0.25,0)</f>
        <v>17.063000209637647</v>
      </c>
      <c r="AA277" s="95">
        <f t="shared" si="9"/>
        <v>120.59839789706804</v>
      </c>
      <c r="AB277" s="91">
        <f>AA277/Variables!$E$49</f>
        <v>19.451354499527103</v>
      </c>
    </row>
    <row r="278" spans="1:28" x14ac:dyDescent="0.25">
      <c r="A278" s="61">
        <f>'Water runs'!C285</f>
        <v>27363</v>
      </c>
      <c r="B278" s="61" t="str">
        <f>'Water runs'!B285</f>
        <v>Spring</v>
      </c>
      <c r="C278" s="54">
        <f>'Water runs'!D285/100</f>
        <v>0.903107142857143</v>
      </c>
      <c r="D278" s="108">
        <f>VLOOKUP(ROW(D278)+4,'Water runs'!$BS$3:$CF$423,MATCH($B$1,Scenarios,0)+1)</f>
        <v>0</v>
      </c>
      <c r="E278" s="54">
        <f>IF(B278=Variables!$D$8,C278-Variables!$E$8,IF(B278=Variables!$D$9,C278-Variables!$E$9,IF(B278=Variables!$D$10,C278-Variables!$E$10,IF(B278=Variables!$D$11,C278-Variables!$E$11,"ELSE"))))</f>
        <v>0.13912493386243385</v>
      </c>
      <c r="F278" s="108">
        <f>VLOOKUP(ROW(F278)+4,'Water runs'!$CH$3:$CU$423,MATCH($B$1,Scenarios,0)+1)</f>
        <v>0</v>
      </c>
      <c r="G278" s="65">
        <f>H278/Variables!$E$49</f>
        <v>1.2701985267720333</v>
      </c>
      <c r="H278" s="62">
        <f>IF((H277+I278)&gt;(1.1*Variables!$E$50),(1.1*Variables!$E$50),IF((H277+I278)&gt;0,H277+I278,0))</f>
        <v>7.875230865986607</v>
      </c>
      <c r="I278" s="64">
        <f t="shared" si="8"/>
        <v>0</v>
      </c>
      <c r="J278" s="63">
        <f>IF(SUM(E274:E277)&lt;Variables!$B$3,-H277,0)</f>
        <v>0</v>
      </c>
      <c r="K278" s="64">
        <f>IF(AND(H277&lt;Variables!$B$6*Variables!$E$50,OR(SUM(D275:D278)&gt;Variables!$B$5,SUM(E275:E278)&gt;Variables!$B$4)),Variables!$B$6*Variables!$E$50+Variables!$B$7*$G$1*Variables!$E$50*SUM(D275:D278),0)</f>
        <v>0</v>
      </c>
      <c r="L278" s="64">
        <f>IF(B278="Winter",Variables!$B$8*H277,0)</f>
        <v>0</v>
      </c>
      <c r="M278" s="64">
        <f>IF(AND(B278="Spring",AND(NOT(H277=0),H277&lt;(Variables!$B$9*Variables!$E$50))),(Variables!$B$10*Variables!$E$50+Variables!$B$11*Variables!$E$50*SUM(E275:E278)+$G$1*SUM(D277:D278)*Variables!$E$50*Variables!$B$12),0)</f>
        <v>0</v>
      </c>
      <c r="N278" s="64">
        <f>IF(AND(B278="Spring",AND(SUM(D275:D278)&gt;Variables!$B$13,SUM(D271:D274)&gt;Variables!$B$13)),-Variables!$B$14*Variables!$E$50,0)</f>
        <v>0</v>
      </c>
      <c r="O278" s="64">
        <f>IF(AND(B278="Summer",SUM(C274:D278)&gt;Variables!$B$15),(Variables!$B$16*Variables!$E$50*SUM(C274:C278)+$G$1*Variables!$B$16*Variables!$E$50*SUM(D274:D278)+$G$1*Variables!$E$50*Variables!$B$17*F278),0)</f>
        <v>0</v>
      </c>
      <c r="P278" s="64">
        <f>IF(AND(AND(B278="Autumn",SUM(D277:E278)&gt;0),NOT(H277=0)),Variables!$B$18*Variables!$E$50+Variables!$B$19*Variables!$E$50*SUM(E277:E278)+$G$1*Variables!$B$19*Variables!$E$50*SUM(D277:D278),0)</f>
        <v>0</v>
      </c>
      <c r="Q278" s="64">
        <f>IF(AND(B278="Autumn",AND((E278+E277)&lt;Variables!$B$20,(D277+D278)=0)),-Variables!$B$21*Variables!$E$50,0)</f>
        <v>0</v>
      </c>
      <c r="R278" s="64">
        <f>IF(B278="Autumn",(SUM(F277:F278)*$G$1*Variables!$B$22*Variables!$E$50),0)</f>
        <v>0</v>
      </c>
      <c r="S278" s="64">
        <f>IF(B278="Spring",($G$1*Variables!$E$50*SUM('Guts (option 2)'!F277:F278)*Variables!$B$23),0)</f>
        <v>0</v>
      </c>
      <c r="T278" s="63">
        <f>IF((H277+SUM(J278:Q278))&lt;(Variables!$B$26*Variables!$E$50),$F$1*((Variables!$B$26*Variables!$E$50)-H277-SUM(J278:Q278)),0)</f>
        <v>0</v>
      </c>
      <c r="U278" s="64">
        <f>IF(AND(AND(B278="Autumn",SUM(D275:E278)&gt;Variables!$B$27),SUM(J278:Q278)&lt;Variables!$B$28*H277),$F$1*(Variables!$B$28*H277-SUM(J278:Q278)),0)</f>
        <v>0</v>
      </c>
      <c r="V278" s="96">
        <f>IF(AND((J278+K278)=0,(Q278+T278)=0),$H$1*H278*Variables!$I$23*0.25,0)</f>
        <v>50.585626690730606</v>
      </c>
      <c r="W278" s="97">
        <f>IF(AND((K278+J278)=0,(T278+Q278)=0),$I$1*H278*Variables!$Q$23*0.25,0)</f>
        <v>52.949770996699776</v>
      </c>
      <c r="X278" s="95">
        <f>IF(AND(NOT(K278=0),(H278-H277)&gt;0),(H278-H277)*(Variables!$M$5*$H$1+Variables!$U$5*$I$1),0)+IF(AND(NOT((J278+N278+Q278)=0),(H277-H278)&gt;0),(H277-H278)*(Variables!$M$4*$H$1+Variables!$U$4*$I$1),0)</f>
        <v>0</v>
      </c>
      <c r="Y278" s="95">
        <f>IF(SUM(T278,U277:U278)&gt;0,H278*Variables!$Y$11*0.25*(1-$J$1),0)</f>
        <v>0</v>
      </c>
      <c r="Z278" s="95">
        <f>IF(T278=0,H278*$J$1*Variables!$Y$5*0.25,0)</f>
        <v>17.063000209637647</v>
      </c>
      <c r="AA278" s="95">
        <f t="shared" si="9"/>
        <v>120.59839789706804</v>
      </c>
      <c r="AB278" s="91">
        <f>AA278/Variables!$E$49</f>
        <v>19.451354499527103</v>
      </c>
    </row>
    <row r="279" spans="1:28" x14ac:dyDescent="0.25">
      <c r="A279" s="61">
        <f>'Water runs'!C286</f>
        <v>27453</v>
      </c>
      <c r="B279" s="61" t="str">
        <f>'Water runs'!B286</f>
        <v>Summer</v>
      </c>
      <c r="C279" s="54">
        <f>'Water runs'!D286/100</f>
        <v>1.6819999999999999</v>
      </c>
      <c r="D279" s="108">
        <f>VLOOKUP(ROW(D279)+4,'Water runs'!$BS$3:$CF$423,MATCH($B$1,Scenarios,0)+1)</f>
        <v>1.6283581025978038E-2</v>
      </c>
      <c r="E279" s="54">
        <f>IF(B279=Variables!$D$8,C279-Variables!$E$8,IF(B279=Variables!$D$9,C279-Variables!$E$9,IF(B279=Variables!$D$10,C279-Variables!$E$10,IF(B279=Variables!$D$11,C279-Variables!$E$11,"ELSE"))))</f>
        <v>0.42362986394557822</v>
      </c>
      <c r="F279" s="108">
        <f>VLOOKUP(ROW(F279)+4,'Water runs'!$CH$3:$CU$423,MATCH($B$1,Scenarios,0)+1)</f>
        <v>0</v>
      </c>
      <c r="G279" s="65">
        <f>H279/Variables!$E$49</f>
        <v>1.8737013181186413</v>
      </c>
      <c r="H279" s="62">
        <f>IF((H278+I279)&gt;(1.1*Variables!$E$50),(1.1*Variables!$E$50),IF((H278+I279)&gt;0,H278+I279,0))</f>
        <v>11.616948172335576</v>
      </c>
      <c r="I279" s="64">
        <f t="shared" si="8"/>
        <v>3.7417173063489688</v>
      </c>
      <c r="J279" s="63">
        <f>IF(SUM(E275:E278)&lt;Variables!$B$3,-H278,0)</f>
        <v>0</v>
      </c>
      <c r="K279" s="64">
        <f>IF(AND(H278&lt;Variables!$B$6*Variables!$E$50,OR(SUM(D276:D279)&gt;Variables!$B$5,SUM(E276:E279)&gt;Variables!$B$4)),Variables!$B$6*Variables!$E$50+Variables!$B$7*$G$1*Variables!$E$50*SUM(D276:D279),0)</f>
        <v>0</v>
      </c>
      <c r="L279" s="64">
        <f>IF(B279="Winter",Variables!$B$8*H278,0)</f>
        <v>0</v>
      </c>
      <c r="M279" s="64">
        <f>IF(AND(B279="Spring",AND(NOT(H278=0),H278&lt;(Variables!$B$9*Variables!$E$50))),(Variables!$B$10*Variables!$E$50+Variables!$B$11*Variables!$E$50*SUM(E276:E279)+$G$1*SUM(D278:D279)*Variables!$E$50*Variables!$B$12),0)</f>
        <v>0</v>
      </c>
      <c r="N279" s="64">
        <f>IF(AND(B279="Spring",AND(SUM(D276:D279)&gt;Variables!$B$13,SUM(D272:D275)&gt;Variables!$B$13)),-Variables!$B$14*Variables!$E$50,0)</f>
        <v>0</v>
      </c>
      <c r="O279" s="64">
        <f>IF(AND(B279="Summer",SUM(C275:D279)&gt;Variables!$B$15),(Variables!$B$16*Variables!$E$50*SUM(C275:C279)+$G$1*Variables!$B$16*Variables!$E$50*SUM(D275:D279)+$G$1*Variables!$E$50*Variables!$B$17*F279),0)</f>
        <v>3.7417173063489688</v>
      </c>
      <c r="P279" s="64">
        <f>IF(AND(AND(B279="Autumn",SUM(D278:E279)&gt;0),NOT(H278=0)),Variables!$B$18*Variables!$E$50+Variables!$B$19*Variables!$E$50*SUM(E278:E279)+$G$1*Variables!$B$19*Variables!$E$50*SUM(D278:D279),0)</f>
        <v>0</v>
      </c>
      <c r="Q279" s="64">
        <f>IF(AND(B279="Autumn",AND((E279+E278)&lt;Variables!$B$20,(D278+D279)=0)),-Variables!$B$21*Variables!$E$50,0)</f>
        <v>0</v>
      </c>
      <c r="R279" s="64">
        <f>IF(B279="Autumn",(SUM(F278:F279)*$G$1*Variables!$B$22*Variables!$E$50),0)</f>
        <v>0</v>
      </c>
      <c r="S279" s="64">
        <f>IF(B279="Spring",($G$1*Variables!$E$50*SUM('Guts (option 2)'!F278:F279)*Variables!$B$23),0)</f>
        <v>0</v>
      </c>
      <c r="T279" s="63">
        <f>IF((H278+SUM(J279:Q279))&lt;(Variables!$B$26*Variables!$E$50),$F$1*((Variables!$B$26*Variables!$E$50)-H278-SUM(J279:Q279)),0)</f>
        <v>0</v>
      </c>
      <c r="U279" s="64">
        <f>IF(AND(AND(B279="Autumn",SUM(D276:E279)&gt;Variables!$B$27),SUM(J279:Q279)&lt;Variables!$B$28*H278),$F$1*(Variables!$B$28*H278-SUM(J279:Q279)),0)</f>
        <v>0</v>
      </c>
      <c r="V279" s="96">
        <f>IF(AND((J279+K279)=0,(Q279+T279)=0),$H$1*H279*Variables!$I$23*0.25,0)</f>
        <v>74.620111274377464</v>
      </c>
      <c r="W279" s="97">
        <f>IF(AND((K279+J279)=0,(T279+Q279)=0),$I$1*H279*Variables!$Q$23*0.25,0)</f>
        <v>78.107519115712591</v>
      </c>
      <c r="X279" s="95">
        <f>IF(AND(NOT(K279=0),(H279-H278)&gt;0),(H279-H278)*(Variables!$M$5*$H$1+Variables!$U$5*$I$1),0)+IF(AND(NOT((J279+N279+Q279)=0),(H278-H279)&gt;0),(H278-H279)*(Variables!$M$4*$H$1+Variables!$U$4*$I$1),0)</f>
        <v>0</v>
      </c>
      <c r="Y279" s="95">
        <f>IF(SUM(T279,U278:U279)&gt;0,H279*Variables!$Y$11*0.25*(1-$J$1),0)</f>
        <v>0</v>
      </c>
      <c r="Z279" s="95">
        <f>IF(T279=0,H279*$J$1*Variables!$Y$5*0.25,0)</f>
        <v>25.170054373393747</v>
      </c>
      <c r="AA279" s="95">
        <f t="shared" si="9"/>
        <v>177.8976847634838</v>
      </c>
      <c r="AB279" s="91">
        <f>AA279/Variables!$E$49</f>
        <v>28.693174961852225</v>
      </c>
    </row>
    <row r="280" spans="1:28" x14ac:dyDescent="0.25">
      <c r="A280" s="61">
        <f>'Water runs'!C287</f>
        <v>27545</v>
      </c>
      <c r="B280" s="61" t="str">
        <f>'Water runs'!B287</f>
        <v>Autumn</v>
      </c>
      <c r="C280" s="54">
        <f>'Water runs'!D287/100</f>
        <v>0.193</v>
      </c>
      <c r="D280" s="108">
        <f>VLOOKUP(ROW(D280)+4,'Water runs'!$BS$3:$CF$423,MATCH($B$1,Scenarios,0)+1)</f>
        <v>3.297650812753862E-2</v>
      </c>
      <c r="E280" s="54">
        <f>IF(B280=Variables!$D$8,C280-Variables!$E$8,IF(B280=Variables!$D$9,C280-Variables!$E$9,IF(B280=Variables!$D$10,C280-Variables!$E$10,IF(B280=Variables!$D$11,C280-Variables!$E$11,"ELSE"))))</f>
        <v>-0.80164329931972778</v>
      </c>
      <c r="F280" s="108">
        <f>VLOOKUP(ROW(F280)+4,'Water runs'!$CH$3:$CU$423,MATCH($B$1,Scenarios,0)+1)</f>
        <v>0</v>
      </c>
      <c r="G280" s="65">
        <f>H280/Variables!$E$49</f>
        <v>1.8737013181186413</v>
      </c>
      <c r="H280" s="62">
        <f>IF((H279+I280)&gt;(1.1*Variables!$E$50),(1.1*Variables!$E$50),IF((H279+I280)&gt;0,H279+I280,0))</f>
        <v>11.616948172335576</v>
      </c>
      <c r="I280" s="64">
        <f t="shared" si="8"/>
        <v>0</v>
      </c>
      <c r="J280" s="63">
        <f>IF(SUM(E276:E279)&lt;Variables!$B$3,-H279,0)</f>
        <v>0</v>
      </c>
      <c r="K280" s="64">
        <f>IF(AND(H279&lt;Variables!$B$6*Variables!$E$50,OR(SUM(D277:D280)&gt;Variables!$B$5,SUM(E277:E280)&gt;Variables!$B$4)),Variables!$B$6*Variables!$E$50+Variables!$B$7*$G$1*Variables!$E$50*SUM(D277:D280),0)</f>
        <v>0</v>
      </c>
      <c r="L280" s="64">
        <f>IF(B280="Winter",Variables!$B$8*H279,0)</f>
        <v>0</v>
      </c>
      <c r="M280" s="64">
        <f>IF(AND(B280="Spring",AND(NOT(H279=0),H279&lt;(Variables!$B$9*Variables!$E$50))),(Variables!$B$10*Variables!$E$50+Variables!$B$11*Variables!$E$50*SUM(E277:E280)+$G$1*SUM(D279:D280)*Variables!$E$50*Variables!$B$12),0)</f>
        <v>0</v>
      </c>
      <c r="N280" s="64">
        <f>IF(AND(B280="Spring",AND(SUM(D277:D280)&gt;Variables!$B$13,SUM(D273:D276)&gt;Variables!$B$13)),-Variables!$B$14*Variables!$E$50,0)</f>
        <v>0</v>
      </c>
      <c r="O280" s="64">
        <f>IF(AND(B280="Summer",SUM(C276:D280)&gt;Variables!$B$15),(Variables!$B$16*Variables!$E$50*SUM(C276:C280)+$G$1*Variables!$B$16*Variables!$E$50*SUM(D276:D280)+$G$1*Variables!$E$50*Variables!$B$17*F280),0)</f>
        <v>0</v>
      </c>
      <c r="P280" s="64">
        <f>IF(AND(AND(B280="Autumn",SUM(D279:E280)&gt;0),NOT(H279=0)),Variables!$B$18*Variables!$E$50+Variables!$B$19*Variables!$E$50*SUM(E279:E280)+$G$1*Variables!$B$19*Variables!$E$50*SUM(D279:D280),0)</f>
        <v>0</v>
      </c>
      <c r="Q280" s="64">
        <f>IF(AND(B280="Autumn",AND((E280+E279)&lt;Variables!$B$20,(D279+D280)=0)),-Variables!$B$21*Variables!$E$50,0)</f>
        <v>0</v>
      </c>
      <c r="R280" s="64">
        <f>IF(B280="Autumn",(SUM(F279:F280)*$G$1*Variables!$B$22*Variables!$E$50),0)</f>
        <v>0</v>
      </c>
      <c r="S280" s="64">
        <f>IF(B280="Spring",($G$1*Variables!$E$50*SUM('Guts (option 2)'!F279:F280)*Variables!$B$23),0)</f>
        <v>0</v>
      </c>
      <c r="T280" s="63">
        <f>IF((H279+SUM(J280:Q280))&lt;(Variables!$B$26*Variables!$E$50),$F$1*((Variables!$B$26*Variables!$E$50)-H279-SUM(J280:Q280)),0)</f>
        <v>0</v>
      </c>
      <c r="U280" s="64">
        <f>IF(AND(AND(B280="Autumn",SUM(D277:E280)&gt;Variables!$B$27),SUM(J280:Q280)&lt;Variables!$B$28*H279),$F$1*(Variables!$B$28*H279-SUM(J280:Q280)),0)</f>
        <v>0</v>
      </c>
      <c r="V280" s="96">
        <f>IF(AND((J280+K280)=0,(Q280+T280)=0),$H$1*H280*Variables!$I$23*0.25,0)</f>
        <v>74.620111274377464</v>
      </c>
      <c r="W280" s="97">
        <f>IF(AND((K280+J280)=0,(T280+Q280)=0),$I$1*H280*Variables!$Q$23*0.25,0)</f>
        <v>78.107519115712591</v>
      </c>
      <c r="X280" s="95">
        <f>IF(AND(NOT(K280=0),(H280-H279)&gt;0),(H280-H279)*(Variables!$M$5*$H$1+Variables!$U$5*$I$1),0)+IF(AND(NOT((J280+N280+Q280)=0),(H279-H280)&gt;0),(H279-H280)*(Variables!$M$4*$H$1+Variables!$U$4*$I$1),0)</f>
        <v>0</v>
      </c>
      <c r="Y280" s="95">
        <f>IF(SUM(T280,U279:U280)&gt;0,H280*Variables!$Y$11*0.25*(1-$J$1),0)</f>
        <v>0</v>
      </c>
      <c r="Z280" s="95">
        <f>IF(T280=0,H280*$J$1*Variables!$Y$5*0.25,0)</f>
        <v>25.170054373393747</v>
      </c>
      <c r="AA280" s="95">
        <f t="shared" si="9"/>
        <v>177.8976847634838</v>
      </c>
      <c r="AB280" s="91">
        <f>AA280/Variables!$E$49</f>
        <v>28.693174961852225</v>
      </c>
    </row>
    <row r="281" spans="1:28" x14ac:dyDescent="0.25">
      <c r="A281" s="61">
        <f>'Water runs'!C288</f>
        <v>27637</v>
      </c>
      <c r="B281" s="61" t="str">
        <f>'Water runs'!B288</f>
        <v>Winter</v>
      </c>
      <c r="C281" s="54">
        <f>'Water runs'!D288/100</f>
        <v>0.73499999999999999</v>
      </c>
      <c r="D281" s="108">
        <f>VLOOKUP(ROW(D281)+4,'Water runs'!$BS$3:$CF$423,MATCH($B$1,Scenarios,0)+1)</f>
        <v>0</v>
      </c>
      <c r="E281" s="54">
        <f>IF(B281=Variables!$D$8,C281-Variables!$E$8,IF(B281=Variables!$D$9,C281-Variables!$E$9,IF(B281=Variables!$D$10,C281-Variables!$E$10,IF(B281=Variables!$D$11,C281-Variables!$E$11,"ELSE"))))</f>
        <v>0.16323237433862425</v>
      </c>
      <c r="F281" s="108">
        <f>VLOOKUP(ROW(F281)+4,'Water runs'!$CH$3:$CU$423,MATCH($B$1,Scenarios,0)+1)</f>
        <v>0</v>
      </c>
      <c r="G281" s="65">
        <f>H281/Variables!$E$49</f>
        <v>0.9407006537095316</v>
      </c>
      <c r="H281" s="62">
        <f>IF((H280+I281)&gt;(1.1*Variables!$E$50),(1.1*Variables!$E$50),IF((H280+I281)&gt;0,H280+I281,0))</f>
        <v>5.8323440529990958</v>
      </c>
      <c r="I281" s="64">
        <f t="shared" si="8"/>
        <v>-5.7846041193364801</v>
      </c>
      <c r="J281" s="63">
        <f>IF(SUM(E277:E280)&lt;Variables!$B$3,-H280,0)</f>
        <v>0</v>
      </c>
      <c r="K281" s="64">
        <f>IF(AND(H280&lt;Variables!$B$6*Variables!$E$50,OR(SUM(D278:D281)&gt;Variables!$B$5,SUM(E278:E281)&gt;Variables!$B$4)),Variables!$B$6*Variables!$E$50+Variables!$B$7*$G$1*Variables!$E$50*SUM(D278:D281),0)</f>
        <v>0</v>
      </c>
      <c r="L281" s="64">
        <f>IF(B281="Winter",Variables!$B$8*H280,0)</f>
        <v>-5.7846041193364801</v>
      </c>
      <c r="M281" s="64">
        <f>IF(AND(B281="Spring",AND(NOT(H280=0),H280&lt;(Variables!$B$9*Variables!$E$50))),(Variables!$B$10*Variables!$E$50+Variables!$B$11*Variables!$E$50*SUM(E278:E281)+$G$1*SUM(D280:D281)*Variables!$E$50*Variables!$B$12),0)</f>
        <v>0</v>
      </c>
      <c r="N281" s="64">
        <f>IF(AND(B281="Spring",AND(SUM(D278:D281)&gt;Variables!$B$13,SUM(D274:D277)&gt;Variables!$B$13)),-Variables!$B$14*Variables!$E$50,0)</f>
        <v>0</v>
      </c>
      <c r="O281" s="64">
        <f>IF(AND(B281="Summer",SUM(C277:D281)&gt;Variables!$B$15),(Variables!$B$16*Variables!$E$50*SUM(C277:C281)+$G$1*Variables!$B$16*Variables!$E$50*SUM(D277:D281)+$G$1*Variables!$E$50*Variables!$B$17*F281),0)</f>
        <v>0</v>
      </c>
      <c r="P281" s="64">
        <f>IF(AND(AND(B281="Autumn",SUM(D280:E281)&gt;0),NOT(H280=0)),Variables!$B$18*Variables!$E$50+Variables!$B$19*Variables!$E$50*SUM(E280:E281)+$G$1*Variables!$B$19*Variables!$E$50*SUM(D280:D281),0)</f>
        <v>0</v>
      </c>
      <c r="Q281" s="64">
        <f>IF(AND(B281="Autumn",AND((E281+E280)&lt;Variables!$B$20,(D280+D281)=0)),-Variables!$B$21*Variables!$E$50,0)</f>
        <v>0</v>
      </c>
      <c r="R281" s="64">
        <f>IF(B281="Autumn",(SUM(F280:F281)*$G$1*Variables!$B$22*Variables!$E$50),0)</f>
        <v>0</v>
      </c>
      <c r="S281" s="64">
        <f>IF(B281="Spring",($G$1*Variables!$E$50*SUM('Guts (option 2)'!F280:F281)*Variables!$B$23),0)</f>
        <v>0</v>
      </c>
      <c r="T281" s="63">
        <f>IF((H280+SUM(J281:Q281))&lt;(Variables!$B$26*Variables!$E$50),$F$1*((Variables!$B$26*Variables!$E$50)-H280-SUM(J281:Q281)),0)</f>
        <v>0</v>
      </c>
      <c r="U281" s="64">
        <f>IF(AND(AND(B281="Autumn",SUM(D278:E281)&gt;Variables!$B$27),SUM(J281:Q281)&lt;Variables!$B$28*H280),$F$1*(Variables!$B$28*H280-SUM(J281:Q281)),0)</f>
        <v>0</v>
      </c>
      <c r="V281" s="96">
        <f>IF(AND((J281+K281)=0,(Q281+T281)=0),$H$1*H281*Variables!$I$23*0.25,0)</f>
        <v>37.46338158430018</v>
      </c>
      <c r="W281" s="97">
        <f>IF(AND((K281+J281)=0,(T281+Q281)=0),$I$1*H281*Variables!$Q$23*0.25,0)</f>
        <v>39.214251269010497</v>
      </c>
      <c r="X281" s="95">
        <f>IF(AND(NOT(K281=0),(H281-H280)&gt;0),(H281-H280)*(Variables!$M$5*$H$1+Variables!$U$5*$I$1),0)+IF(AND(NOT((J281+N281+Q281)=0),(H280-H281)&gt;0),(H280-H281)*(Variables!$M$4*$H$1+Variables!$U$4*$I$1),0)</f>
        <v>0</v>
      </c>
      <c r="Y281" s="95">
        <f>IF(SUM(T281,U280:U281)&gt;0,H281*Variables!$Y$11*0.25*(1-$J$1),0)</f>
        <v>0</v>
      </c>
      <c r="Z281" s="95">
        <f>IF(T281=0,H281*$J$1*Variables!$Y$5*0.25,0)</f>
        <v>12.636745448164707</v>
      </c>
      <c r="AA281" s="95">
        <f t="shared" si="9"/>
        <v>89.314378301475386</v>
      </c>
      <c r="AB281" s="91">
        <f>AA281/Variables!$E$49</f>
        <v>14.40554488733474</v>
      </c>
    </row>
    <row r="282" spans="1:28" x14ac:dyDescent="0.25">
      <c r="A282" s="61">
        <f>'Water runs'!C289</f>
        <v>27728</v>
      </c>
      <c r="B282" s="61" t="str">
        <f>'Water runs'!B289</f>
        <v>Spring</v>
      </c>
      <c r="C282" s="54">
        <f>'Water runs'!D289/100</f>
        <v>0.44385714285714301</v>
      </c>
      <c r="D282" s="108">
        <f>VLOOKUP(ROW(D282)+4,'Water runs'!$BS$3:$CF$423,MATCH($B$1,Scenarios,0)+1)</f>
        <v>0</v>
      </c>
      <c r="E282" s="54">
        <f>IF(B282=Variables!$D$8,C282-Variables!$E$8,IF(B282=Variables!$D$9,C282-Variables!$E$9,IF(B282=Variables!$D$10,C282-Variables!$E$10,IF(B282=Variables!$D$11,C282-Variables!$E$11,"ELSE"))))</f>
        <v>-0.32012506613756614</v>
      </c>
      <c r="F282" s="108">
        <f>VLOOKUP(ROW(F282)+4,'Water runs'!$CH$3:$CU$423,MATCH($B$1,Scenarios,0)+1)</f>
        <v>0</v>
      </c>
      <c r="G282" s="65">
        <f>H282/Variables!$E$49</f>
        <v>0.9407006537095316</v>
      </c>
      <c r="H282" s="62">
        <f>IF((H281+I282)&gt;(1.1*Variables!$E$50),(1.1*Variables!$E$50),IF((H281+I282)&gt;0,H281+I282,0))</f>
        <v>5.8323440529990958</v>
      </c>
      <c r="I282" s="64">
        <f t="shared" si="8"/>
        <v>0</v>
      </c>
      <c r="J282" s="63">
        <f>IF(SUM(E278:E281)&lt;Variables!$B$3,-H281,0)</f>
        <v>0</v>
      </c>
      <c r="K282" s="64">
        <f>IF(AND(H281&lt;Variables!$B$6*Variables!$E$50,OR(SUM(D279:D282)&gt;Variables!$B$5,SUM(E279:E282)&gt;Variables!$B$4)),Variables!$B$6*Variables!$E$50+Variables!$B$7*$G$1*Variables!$E$50*SUM(D279:D282),0)</f>
        <v>0</v>
      </c>
      <c r="L282" s="64">
        <f>IF(B282="Winter",Variables!$B$8*H281,0)</f>
        <v>0</v>
      </c>
      <c r="M282" s="64">
        <f>IF(AND(B282="Spring",AND(NOT(H281=0),H281&lt;(Variables!$B$9*Variables!$E$50))),(Variables!$B$10*Variables!$E$50+Variables!$B$11*Variables!$E$50*SUM(E279:E282)+$G$1*SUM(D281:D282)*Variables!$E$50*Variables!$B$12),0)</f>
        <v>0</v>
      </c>
      <c r="N282" s="64">
        <f>IF(AND(B282="Spring",AND(SUM(D279:D282)&gt;Variables!$B$13,SUM(D275:D278)&gt;Variables!$B$13)),-Variables!$B$14*Variables!$E$50,0)</f>
        <v>0</v>
      </c>
      <c r="O282" s="64">
        <f>IF(AND(B282="Summer",SUM(C278:D282)&gt;Variables!$B$15),(Variables!$B$16*Variables!$E$50*SUM(C278:C282)+$G$1*Variables!$B$16*Variables!$E$50*SUM(D278:D282)+$G$1*Variables!$E$50*Variables!$B$17*F282),0)</f>
        <v>0</v>
      </c>
      <c r="P282" s="64">
        <f>IF(AND(AND(B282="Autumn",SUM(D281:E282)&gt;0),NOT(H281=0)),Variables!$B$18*Variables!$E$50+Variables!$B$19*Variables!$E$50*SUM(E281:E282)+$G$1*Variables!$B$19*Variables!$E$50*SUM(D281:D282),0)</f>
        <v>0</v>
      </c>
      <c r="Q282" s="64">
        <f>IF(AND(B282="Autumn",AND((E282+E281)&lt;Variables!$B$20,(D281+D282)=0)),-Variables!$B$21*Variables!$E$50,0)</f>
        <v>0</v>
      </c>
      <c r="R282" s="64">
        <f>IF(B282="Autumn",(SUM(F281:F282)*$G$1*Variables!$B$22*Variables!$E$50),0)</f>
        <v>0</v>
      </c>
      <c r="S282" s="64">
        <f>IF(B282="Spring",($G$1*Variables!$E$50*SUM('Guts (option 2)'!F281:F282)*Variables!$B$23),0)</f>
        <v>0</v>
      </c>
      <c r="T282" s="63">
        <f>IF((H281+SUM(J282:Q282))&lt;(Variables!$B$26*Variables!$E$50),$F$1*((Variables!$B$26*Variables!$E$50)-H281-SUM(J282:Q282)),0)</f>
        <v>0</v>
      </c>
      <c r="U282" s="64">
        <f>IF(AND(AND(B282="Autumn",SUM(D279:E282)&gt;Variables!$B$27),SUM(J282:Q282)&lt;Variables!$B$28*H281),$F$1*(Variables!$B$28*H281-SUM(J282:Q282)),0)</f>
        <v>0</v>
      </c>
      <c r="V282" s="96">
        <f>IF(AND((J282+K282)=0,(Q282+T282)=0),$H$1*H282*Variables!$I$23*0.25,0)</f>
        <v>37.46338158430018</v>
      </c>
      <c r="W282" s="97">
        <f>IF(AND((K282+J282)=0,(T282+Q282)=0),$I$1*H282*Variables!$Q$23*0.25,0)</f>
        <v>39.214251269010497</v>
      </c>
      <c r="X282" s="95">
        <f>IF(AND(NOT(K282=0),(H282-H281)&gt;0),(H282-H281)*(Variables!$M$5*$H$1+Variables!$U$5*$I$1),0)+IF(AND(NOT((J282+N282+Q282)=0),(H281-H282)&gt;0),(H281-H282)*(Variables!$M$4*$H$1+Variables!$U$4*$I$1),0)</f>
        <v>0</v>
      </c>
      <c r="Y282" s="95">
        <f>IF(SUM(T282,U281:U282)&gt;0,H282*Variables!$Y$11*0.25*(1-$J$1),0)</f>
        <v>0</v>
      </c>
      <c r="Z282" s="95">
        <f>IF(T282=0,H282*$J$1*Variables!$Y$5*0.25,0)</f>
        <v>12.636745448164707</v>
      </c>
      <c r="AA282" s="95">
        <f t="shared" si="9"/>
        <v>89.314378301475386</v>
      </c>
      <c r="AB282" s="91">
        <f>AA282/Variables!$E$49</f>
        <v>14.40554488733474</v>
      </c>
    </row>
    <row r="283" spans="1:28" x14ac:dyDescent="0.25">
      <c r="A283" s="61">
        <f>'Water runs'!C290</f>
        <v>27818</v>
      </c>
      <c r="B283" s="61" t="str">
        <f>'Water runs'!B290</f>
        <v>Summer</v>
      </c>
      <c r="C283" s="54">
        <f>'Water runs'!D290/100</f>
        <v>4.6390357142857104</v>
      </c>
      <c r="D283" s="108">
        <f>VLOOKUP(ROW(D283)+4,'Water runs'!$BS$3:$CF$423,MATCH($B$1,Scenarios,0)+1)</f>
        <v>0.46076928558420888</v>
      </c>
      <c r="E283" s="54">
        <f>IF(B283=Variables!$D$8,C283-Variables!$E$8,IF(B283=Variables!$D$9,C283-Variables!$E$9,IF(B283=Variables!$D$10,C283-Variables!$E$10,IF(B283=Variables!$D$11,C283-Variables!$E$11,"ELSE"))))</f>
        <v>3.3806655782312887</v>
      </c>
      <c r="F283" s="108">
        <f>VLOOKUP(ROW(F283)+4,'Water runs'!$CH$3:$CU$423,MATCH($B$1,Scenarios,0)+1)</f>
        <v>0.68735500676964978</v>
      </c>
      <c r="G283" s="65">
        <f>H283/Variables!$E$49</f>
        <v>1.5566316070790198</v>
      </c>
      <c r="H283" s="62">
        <f>IF((H282+I283)&gt;(1.1*Variables!$E$50),(1.1*Variables!$E$50),IF((H282+I283)&gt;0,H282+I283,0))</f>
        <v>9.6511159638899233</v>
      </c>
      <c r="I283" s="64">
        <f t="shared" si="8"/>
        <v>3.818771910890828</v>
      </c>
      <c r="J283" s="63">
        <f>IF(SUM(E279:E282)&lt;Variables!$B$3,-H282,0)</f>
        <v>0</v>
      </c>
      <c r="K283" s="64">
        <f>IF(AND(H282&lt;Variables!$B$6*Variables!$E$50,OR(SUM(D280:D283)&gt;Variables!$B$5,SUM(E280:E283)&gt;Variables!$B$4)),Variables!$B$6*Variables!$E$50+Variables!$B$7*$G$1*Variables!$E$50*SUM(D280:D283),0)</f>
        <v>0</v>
      </c>
      <c r="L283" s="64">
        <f>IF(B283="Winter",Variables!$B$8*H282,0)</f>
        <v>0</v>
      </c>
      <c r="M283" s="64">
        <f>IF(AND(B283="Spring",AND(NOT(H282=0),H282&lt;(Variables!$B$9*Variables!$E$50))),(Variables!$B$10*Variables!$E$50+Variables!$B$11*Variables!$E$50*SUM(E280:E283)+$G$1*SUM(D282:D283)*Variables!$E$50*Variables!$B$12),0)</f>
        <v>0</v>
      </c>
      <c r="N283" s="64">
        <f>IF(AND(B283="Spring",AND(SUM(D280:D283)&gt;Variables!$B$13,SUM(D276:D279)&gt;Variables!$B$13)),-Variables!$B$14*Variables!$E$50,0)</f>
        <v>0</v>
      </c>
      <c r="O283" s="64">
        <f>IF(AND(B283="Summer",SUM(C279:D283)&gt;Variables!$B$15),(Variables!$B$16*Variables!$E$50*SUM(C279:C283)+$G$1*Variables!$B$16*Variables!$E$50*SUM(D279:D283)+$G$1*Variables!$E$50*Variables!$B$17*F283),0)</f>
        <v>3.818771910890828</v>
      </c>
      <c r="P283" s="64">
        <f>IF(AND(AND(B283="Autumn",SUM(D282:E283)&gt;0),NOT(H282=0)),Variables!$B$18*Variables!$E$50+Variables!$B$19*Variables!$E$50*SUM(E282:E283)+$G$1*Variables!$B$19*Variables!$E$50*SUM(D282:D283),0)</f>
        <v>0</v>
      </c>
      <c r="Q283" s="64">
        <f>IF(AND(B283="Autumn",AND((E283+E282)&lt;Variables!$B$20,(D282+D283)=0)),-Variables!$B$21*Variables!$E$50,0)</f>
        <v>0</v>
      </c>
      <c r="R283" s="64">
        <f>IF(B283="Autumn",(SUM(F282:F283)*$G$1*Variables!$B$22*Variables!$E$50),0)</f>
        <v>0</v>
      </c>
      <c r="S283" s="64">
        <f>IF(B283="Spring",($G$1*Variables!$E$50*SUM('Guts (option 2)'!F282:F283)*Variables!$B$23),0)</f>
        <v>0</v>
      </c>
      <c r="T283" s="63">
        <f>IF((H282+SUM(J283:Q283))&lt;(Variables!$B$26*Variables!$E$50),$F$1*((Variables!$B$26*Variables!$E$50)-H282-SUM(J283:Q283)),0)</f>
        <v>0</v>
      </c>
      <c r="U283" s="64">
        <f>IF(AND(AND(B283="Autumn",SUM(D280:E283)&gt;Variables!$B$27),SUM(J283:Q283)&lt;Variables!$B$28*H282),$F$1*(Variables!$B$28*H282-SUM(J283:Q283)),0)</f>
        <v>0</v>
      </c>
      <c r="V283" s="96">
        <f>IF(AND((J283+K283)=0,(Q283+T283)=0),$H$1*H283*Variables!$I$23*0.25,0)</f>
        <v>61.992817430517803</v>
      </c>
      <c r="W283" s="97">
        <f>IF(AND((K283+J283)=0,(T283+Q283)=0),$I$1*H283*Variables!$Q$23*0.25,0)</f>
        <v>64.890082442877542</v>
      </c>
      <c r="X283" s="95">
        <f>IF(AND(NOT(K283=0),(H283-H282)&gt;0),(H283-H282)*(Variables!$M$5*$H$1+Variables!$U$5*$I$1),0)+IF(AND(NOT((J283+N283+Q283)=0),(H282-H283)&gt;0),(H282-H283)*(Variables!$M$4*$H$1+Variables!$U$4*$I$1),0)</f>
        <v>0</v>
      </c>
      <c r="Y283" s="95">
        <f>IF(SUM(T283,U282:U283)&gt;0,H283*Variables!$Y$11*0.25*(1-$J$1),0)</f>
        <v>0</v>
      </c>
      <c r="Z283" s="95">
        <f>IF(T283=0,H283*$J$1*Variables!$Y$5*0.25,0)</f>
        <v>20.910751255094834</v>
      </c>
      <c r="AA283" s="95">
        <f t="shared" si="9"/>
        <v>147.79365112849018</v>
      </c>
      <c r="AB283" s="91">
        <f>AA283/Variables!$E$49</f>
        <v>23.837685665885513</v>
      </c>
    </row>
    <row r="284" spans="1:28" x14ac:dyDescent="0.25">
      <c r="A284" s="61">
        <f>'Water runs'!C291</f>
        <v>27911</v>
      </c>
      <c r="B284" s="61" t="str">
        <f>'Water runs'!B291</f>
        <v>Autumn</v>
      </c>
      <c r="C284" s="54">
        <f>'Water runs'!D291/100</f>
        <v>0.36112499999999997</v>
      </c>
      <c r="D284" s="108">
        <f>VLOOKUP(ROW(D284)+4,'Water runs'!$BS$3:$CF$423,MATCH($B$1,Scenarios,0)+1)</f>
        <v>0.29401024552846816</v>
      </c>
      <c r="E284" s="54">
        <f>IF(B284=Variables!$D$8,C284-Variables!$E$8,IF(B284=Variables!$D$9,C284-Variables!$E$9,IF(B284=Variables!$D$10,C284-Variables!$E$10,IF(B284=Variables!$D$11,C284-Variables!$E$11,"ELSE"))))</f>
        <v>-0.63351829931972792</v>
      </c>
      <c r="F284" s="108">
        <f>VLOOKUP(ROW(F284)+4,'Water runs'!$CH$3:$CU$423,MATCH($B$1,Scenarios,0)+1)</f>
        <v>0.5498840054157198</v>
      </c>
      <c r="G284" s="65">
        <f>H284/Variables!$E$49</f>
        <v>2.5300000000000002</v>
      </c>
      <c r="H284" s="62">
        <f>IF((H283+I284)&gt;(1.1*Variables!$E$50),(1.1*Variables!$E$50),IF((H283+I284)&gt;0,H283+I284,0))</f>
        <v>15.686000000000002</v>
      </c>
      <c r="I284" s="64">
        <f t="shared" si="8"/>
        <v>7.7694901367752163</v>
      </c>
      <c r="J284" s="63">
        <f>IF(SUM(E280:E283)&lt;Variables!$B$3,-H283,0)</f>
        <v>0</v>
      </c>
      <c r="K284" s="64">
        <f>IF(AND(H283&lt;Variables!$B$6*Variables!$E$50,OR(SUM(D281:D284)&gt;Variables!$B$5,SUM(E281:E284)&gt;Variables!$B$4)),Variables!$B$6*Variables!$E$50+Variables!$B$7*$G$1*Variables!$E$50*SUM(D281:D284),0)</f>
        <v>0</v>
      </c>
      <c r="L284" s="64">
        <f>IF(B284="Winter",Variables!$B$8*H283,0)</f>
        <v>0</v>
      </c>
      <c r="M284" s="64">
        <f>IF(AND(B284="Spring",AND(NOT(H283=0),H283&lt;(Variables!$B$9*Variables!$E$50))),(Variables!$B$10*Variables!$E$50+Variables!$B$11*Variables!$E$50*SUM(E281:E284)+$G$1*SUM(D283:D284)*Variables!$E$50*Variables!$B$12),0)</f>
        <v>0</v>
      </c>
      <c r="N284" s="64">
        <f>IF(AND(B284="Spring",AND(SUM(D281:D284)&gt;Variables!$B$13,SUM(D277:D280)&gt;Variables!$B$13)),-Variables!$B$14*Variables!$E$50,0)</f>
        <v>0</v>
      </c>
      <c r="O284" s="64">
        <f>IF(AND(B284="Summer",SUM(C280:D284)&gt;Variables!$B$15),(Variables!$B$16*Variables!$E$50*SUM(C280:C284)+$G$1*Variables!$B$16*Variables!$E$50*SUM(D280:D284)+$G$1*Variables!$E$50*Variables!$B$17*F284),0)</f>
        <v>0</v>
      </c>
      <c r="P284" s="64">
        <f>IF(AND(AND(B284="Autumn",SUM(D283:E284)&gt;0),NOT(H283=0)),Variables!$B$18*Variables!$E$50+Variables!$B$19*Variables!$E$50*SUM(E283:E284)+$G$1*Variables!$B$19*Variables!$E$50*SUM(D283:D284),0)</f>
        <v>7.5951739213209226</v>
      </c>
      <c r="Q284" s="64">
        <f>IF(AND(B284="Autumn",AND((E284+E283)&lt;Variables!$B$20,(D283+D284)=0)),-Variables!$B$21*Variables!$E$50,0)</f>
        <v>0</v>
      </c>
      <c r="R284" s="64">
        <f>IF(B284="Autumn",(SUM(F283:F284)*$G$1*Variables!$B$22*Variables!$E$50),0)</f>
        <v>0.17431621545429352</v>
      </c>
      <c r="S284" s="64">
        <f>IF(B284="Spring",($G$1*Variables!$E$50*SUM('Guts (option 2)'!F283:F284)*Variables!$B$23),0)</f>
        <v>0</v>
      </c>
      <c r="T284" s="63">
        <f>IF((H283+SUM(J284:Q284))&lt;(Variables!$B$26*Variables!$E$50),$F$1*((Variables!$B$26*Variables!$E$50)-H283-SUM(J284:Q284)),0)</f>
        <v>0</v>
      </c>
      <c r="U284" s="64">
        <f>IF(AND(AND(B284="Autumn",SUM(D281:E284)&gt;Variables!$B$27),SUM(J284:Q284)&lt;Variables!$B$28*H283),$F$1*(Variables!$B$28*H283-SUM(J284:Q284)),0)</f>
        <v>0</v>
      </c>
      <c r="V284" s="96">
        <f>IF(AND((J284+K284)=0,(Q284+T284)=0),$H$1*H284*Variables!$I$23*0.25,0)</f>
        <v>100.75719096666668</v>
      </c>
      <c r="W284" s="97">
        <f>IF(AND((K284+J284)=0,(T284+Q284)=0),$I$1*H284*Variables!$Q$23*0.25,0)</f>
        <v>105.46612816666666</v>
      </c>
      <c r="X284" s="95">
        <f>IF(AND(NOT(K284=0),(H284-H283)&gt;0),(H284-H283)*(Variables!$M$5*$H$1+Variables!$U$5*$I$1),0)+IF(AND(NOT((J284+N284+Q284)=0),(H283-H284)&gt;0),(H283-H284)*(Variables!$M$4*$H$1+Variables!$U$4*$I$1),0)</f>
        <v>0</v>
      </c>
      <c r="Y284" s="95">
        <f>IF(SUM(T284,U283:U284)&gt;0,H284*Variables!$Y$11*0.25*(1-$J$1),0)</f>
        <v>0</v>
      </c>
      <c r="Z284" s="95">
        <f>IF(T284=0,H284*$J$1*Variables!$Y$5*0.25,0)</f>
        <v>33.986333333333334</v>
      </c>
      <c r="AA284" s="95">
        <f t="shared" si="9"/>
        <v>240.20965246666668</v>
      </c>
      <c r="AB284" s="91">
        <f>AA284/Variables!$E$49</f>
        <v>38.743492333333336</v>
      </c>
    </row>
    <row r="285" spans="1:28" x14ac:dyDescent="0.25">
      <c r="A285" s="61">
        <f>'Water runs'!C292</f>
        <v>28003</v>
      </c>
      <c r="B285" s="61" t="str">
        <f>'Water runs'!B292</f>
        <v>Winter</v>
      </c>
      <c r="C285" s="54">
        <f>'Water runs'!D292/100</f>
        <v>0.40362499999999996</v>
      </c>
      <c r="D285" s="108">
        <f>VLOOKUP(ROW(D285)+4,'Water runs'!$BS$3:$CF$423,MATCH($B$1,Scenarios,0)+1)</f>
        <v>0</v>
      </c>
      <c r="E285" s="54">
        <f>IF(B285=Variables!$D$8,C285-Variables!$E$8,IF(B285=Variables!$D$9,C285-Variables!$E$9,IF(B285=Variables!$D$10,C285-Variables!$E$10,IF(B285=Variables!$D$11,C285-Variables!$E$11,"ELSE"))))</f>
        <v>-0.16814262566137578</v>
      </c>
      <c r="F285" s="108">
        <f>VLOOKUP(ROW(F285)+4,'Water runs'!$CH$3:$CU$423,MATCH($B$1,Scenarios,0)+1)</f>
        <v>0</v>
      </c>
      <c r="G285" s="65">
        <f>H285/Variables!$E$49</f>
        <v>1.2701985267720333</v>
      </c>
      <c r="H285" s="62">
        <f>IF((H284+I285)&gt;(1.1*Variables!$E$50),(1.1*Variables!$E$50),IF((H284+I285)&gt;0,H284+I285,0))</f>
        <v>7.875230865986607</v>
      </c>
      <c r="I285" s="64">
        <f t="shared" si="8"/>
        <v>-7.8107691340133947</v>
      </c>
      <c r="J285" s="63">
        <f>IF(SUM(E281:E284)&lt;Variables!$B$3,-H284,0)</f>
        <v>0</v>
      </c>
      <c r="K285" s="64">
        <f>IF(AND(H284&lt;Variables!$B$6*Variables!$E$50,OR(SUM(D282:D285)&gt;Variables!$B$5,SUM(E282:E285)&gt;Variables!$B$4)),Variables!$B$6*Variables!$E$50+Variables!$B$7*$G$1*Variables!$E$50*SUM(D282:D285),0)</f>
        <v>0</v>
      </c>
      <c r="L285" s="64">
        <f>IF(B285="Winter",Variables!$B$8*H284,0)</f>
        <v>-7.8107691340133947</v>
      </c>
      <c r="M285" s="64">
        <f>IF(AND(B285="Spring",AND(NOT(H284=0),H284&lt;(Variables!$B$9*Variables!$E$50))),(Variables!$B$10*Variables!$E$50+Variables!$B$11*Variables!$E$50*SUM(E282:E285)+$G$1*SUM(D284:D285)*Variables!$E$50*Variables!$B$12),0)</f>
        <v>0</v>
      </c>
      <c r="N285" s="64">
        <f>IF(AND(B285="Spring",AND(SUM(D282:D285)&gt;Variables!$B$13,SUM(D278:D281)&gt;Variables!$B$13)),-Variables!$B$14*Variables!$E$50,0)</f>
        <v>0</v>
      </c>
      <c r="O285" s="64">
        <f>IF(AND(B285="Summer",SUM(C281:D285)&gt;Variables!$B$15),(Variables!$B$16*Variables!$E$50*SUM(C281:C285)+$G$1*Variables!$B$16*Variables!$E$50*SUM(D281:D285)+$G$1*Variables!$E$50*Variables!$B$17*F285),0)</f>
        <v>0</v>
      </c>
      <c r="P285" s="64">
        <f>IF(AND(AND(B285="Autumn",SUM(D284:E285)&gt;0),NOT(H284=0)),Variables!$B$18*Variables!$E$50+Variables!$B$19*Variables!$E$50*SUM(E284:E285)+$G$1*Variables!$B$19*Variables!$E$50*SUM(D284:D285),0)</f>
        <v>0</v>
      </c>
      <c r="Q285" s="64">
        <f>IF(AND(B285="Autumn",AND((E285+E284)&lt;Variables!$B$20,(D284+D285)=0)),-Variables!$B$21*Variables!$E$50,0)</f>
        <v>0</v>
      </c>
      <c r="R285" s="64">
        <f>IF(B285="Autumn",(SUM(F284:F285)*$G$1*Variables!$B$22*Variables!$E$50),0)</f>
        <v>0</v>
      </c>
      <c r="S285" s="64">
        <f>IF(B285="Spring",($G$1*Variables!$E$50*SUM('Guts (option 2)'!F284:F285)*Variables!$B$23),0)</f>
        <v>0</v>
      </c>
      <c r="T285" s="63">
        <f>IF((H284+SUM(J285:Q285))&lt;(Variables!$B$26*Variables!$E$50),$F$1*((Variables!$B$26*Variables!$E$50)-H284-SUM(J285:Q285)),0)</f>
        <v>0</v>
      </c>
      <c r="U285" s="64">
        <f>IF(AND(AND(B285="Autumn",SUM(D282:E285)&gt;Variables!$B$27),SUM(J285:Q285)&lt;Variables!$B$28*H284),$F$1*(Variables!$B$28*H284-SUM(J285:Q285)),0)</f>
        <v>0</v>
      </c>
      <c r="V285" s="96">
        <f>IF(AND((J285+K285)=0,(Q285+T285)=0),$H$1*H285*Variables!$I$23*0.25,0)</f>
        <v>50.585626690730606</v>
      </c>
      <c r="W285" s="97">
        <f>IF(AND((K285+J285)=0,(T285+Q285)=0),$I$1*H285*Variables!$Q$23*0.25,0)</f>
        <v>52.949770996699776</v>
      </c>
      <c r="X285" s="95">
        <f>IF(AND(NOT(K285=0),(H285-H284)&gt;0),(H285-H284)*(Variables!$M$5*$H$1+Variables!$U$5*$I$1),0)+IF(AND(NOT((J285+N285+Q285)=0),(H284-H285)&gt;0),(H284-H285)*(Variables!$M$4*$H$1+Variables!$U$4*$I$1),0)</f>
        <v>0</v>
      </c>
      <c r="Y285" s="95">
        <f>IF(SUM(T285,U284:U285)&gt;0,H285*Variables!$Y$11*0.25*(1-$J$1),0)</f>
        <v>0</v>
      </c>
      <c r="Z285" s="95">
        <f>IF(T285=0,H285*$J$1*Variables!$Y$5*0.25,0)</f>
        <v>17.063000209637647</v>
      </c>
      <c r="AA285" s="95">
        <f t="shared" si="9"/>
        <v>120.59839789706804</v>
      </c>
      <c r="AB285" s="91">
        <f>AA285/Variables!$E$49</f>
        <v>19.451354499527103</v>
      </c>
    </row>
    <row r="286" spans="1:28" x14ac:dyDescent="0.25">
      <c r="A286" s="61">
        <f>'Water runs'!C293</f>
        <v>28094</v>
      </c>
      <c r="B286" s="61" t="str">
        <f>'Water runs'!B293</f>
        <v>Spring</v>
      </c>
      <c r="C286" s="54">
        <f>'Water runs'!D293/100</f>
        <v>0.93560714285714297</v>
      </c>
      <c r="D286" s="108">
        <f>VLOOKUP(ROW(D286)+4,'Water runs'!$BS$3:$CF$423,MATCH($B$1,Scenarios,0)+1)</f>
        <v>1.0909033325679537E-2</v>
      </c>
      <c r="E286" s="54">
        <f>IF(B286=Variables!$D$8,C286-Variables!$E$8,IF(B286=Variables!$D$9,C286-Variables!$E$9,IF(B286=Variables!$D$10,C286-Variables!$E$10,IF(B286=Variables!$D$11,C286-Variables!$E$11,"ELSE"))))</f>
        <v>0.17162493386243383</v>
      </c>
      <c r="F286" s="108">
        <f>VLOOKUP(ROW(F286)+4,'Water runs'!$CH$3:$CU$423,MATCH($B$1,Scenarios,0)+1)</f>
        <v>0</v>
      </c>
      <c r="G286" s="65">
        <f>H286/Variables!$E$49</f>
        <v>1.2701985267720333</v>
      </c>
      <c r="H286" s="62">
        <f>IF((H285+I286)&gt;(1.1*Variables!$E$50),(1.1*Variables!$E$50),IF((H285+I286)&gt;0,H285+I286,0))</f>
        <v>7.875230865986607</v>
      </c>
      <c r="I286" s="64">
        <f t="shared" si="8"/>
        <v>0</v>
      </c>
      <c r="J286" s="63">
        <f>IF(SUM(E282:E285)&lt;Variables!$B$3,-H285,0)</f>
        <v>0</v>
      </c>
      <c r="K286" s="64">
        <f>IF(AND(H285&lt;Variables!$B$6*Variables!$E$50,OR(SUM(D283:D286)&gt;Variables!$B$5,SUM(E283:E286)&gt;Variables!$B$4)),Variables!$B$6*Variables!$E$50+Variables!$B$7*$G$1*Variables!$E$50*SUM(D283:D286),0)</f>
        <v>0</v>
      </c>
      <c r="L286" s="64">
        <f>IF(B286="Winter",Variables!$B$8*H285,0)</f>
        <v>0</v>
      </c>
      <c r="M286" s="64">
        <f>IF(AND(B286="Spring",AND(NOT(H285=0),H285&lt;(Variables!$B$9*Variables!$E$50))),(Variables!$B$10*Variables!$E$50+Variables!$B$11*Variables!$E$50*SUM(E283:E286)+$G$1*SUM(D285:D286)*Variables!$E$50*Variables!$B$12),0)</f>
        <v>0</v>
      </c>
      <c r="N286" s="64">
        <f>IF(AND(B286="Spring",AND(SUM(D283:D286)&gt;Variables!$B$13,SUM(D279:D282)&gt;Variables!$B$13)),-Variables!$B$14*Variables!$E$50,0)</f>
        <v>0</v>
      </c>
      <c r="O286" s="64">
        <f>IF(AND(B286="Summer",SUM(C282:D286)&gt;Variables!$B$15),(Variables!$B$16*Variables!$E$50*SUM(C282:C286)+$G$1*Variables!$B$16*Variables!$E$50*SUM(D282:D286)+$G$1*Variables!$E$50*Variables!$B$17*F286),0)</f>
        <v>0</v>
      </c>
      <c r="P286" s="64">
        <f>IF(AND(AND(B286="Autumn",SUM(D285:E286)&gt;0),NOT(H285=0)),Variables!$B$18*Variables!$E$50+Variables!$B$19*Variables!$E$50*SUM(E285:E286)+$G$1*Variables!$B$19*Variables!$E$50*SUM(D285:D286),0)</f>
        <v>0</v>
      </c>
      <c r="Q286" s="64">
        <f>IF(AND(B286="Autumn",AND((E286+E285)&lt;Variables!$B$20,(D285+D286)=0)),-Variables!$B$21*Variables!$E$50,0)</f>
        <v>0</v>
      </c>
      <c r="R286" s="64">
        <f>IF(B286="Autumn",(SUM(F285:F286)*$G$1*Variables!$B$22*Variables!$E$50),0)</f>
        <v>0</v>
      </c>
      <c r="S286" s="64">
        <f>IF(B286="Spring",($G$1*Variables!$E$50*SUM('Guts (option 2)'!F285:F286)*Variables!$B$23),0)</f>
        <v>0</v>
      </c>
      <c r="T286" s="63">
        <f>IF((H285+SUM(J286:Q286))&lt;(Variables!$B$26*Variables!$E$50),$F$1*((Variables!$B$26*Variables!$E$50)-H285-SUM(J286:Q286)),0)</f>
        <v>0</v>
      </c>
      <c r="U286" s="64">
        <f>IF(AND(AND(B286="Autumn",SUM(D283:E286)&gt;Variables!$B$27),SUM(J286:Q286)&lt;Variables!$B$28*H285),$F$1*(Variables!$B$28*H285-SUM(J286:Q286)),0)</f>
        <v>0</v>
      </c>
      <c r="V286" s="96">
        <f>IF(AND((J286+K286)=0,(Q286+T286)=0),$H$1*H286*Variables!$I$23*0.25,0)</f>
        <v>50.585626690730606</v>
      </c>
      <c r="W286" s="97">
        <f>IF(AND((K286+J286)=0,(T286+Q286)=0),$I$1*H286*Variables!$Q$23*0.25,0)</f>
        <v>52.949770996699776</v>
      </c>
      <c r="X286" s="95">
        <f>IF(AND(NOT(K286=0),(H286-H285)&gt;0),(H286-H285)*(Variables!$M$5*$H$1+Variables!$U$5*$I$1),0)+IF(AND(NOT((J286+N286+Q286)=0),(H285-H286)&gt;0),(H285-H286)*(Variables!$M$4*$H$1+Variables!$U$4*$I$1),0)</f>
        <v>0</v>
      </c>
      <c r="Y286" s="95">
        <f>IF(SUM(T286,U285:U286)&gt;0,H286*Variables!$Y$11*0.25*(1-$J$1),0)</f>
        <v>0</v>
      </c>
      <c r="Z286" s="95">
        <f>IF(T286=0,H286*$J$1*Variables!$Y$5*0.25,0)</f>
        <v>17.063000209637647</v>
      </c>
      <c r="AA286" s="95">
        <f t="shared" si="9"/>
        <v>120.59839789706804</v>
      </c>
      <c r="AB286" s="91">
        <f>AA286/Variables!$E$49</f>
        <v>19.451354499527103</v>
      </c>
    </row>
    <row r="287" spans="1:28" x14ac:dyDescent="0.25">
      <c r="A287" s="61">
        <f>'Water runs'!C294</f>
        <v>28184</v>
      </c>
      <c r="B287" s="61" t="str">
        <f>'Water runs'!B294</f>
        <v>Summer</v>
      </c>
      <c r="C287" s="54">
        <f>'Water runs'!D294/100</f>
        <v>2.2390892857142899</v>
      </c>
      <c r="D287" s="108">
        <f>VLOOKUP(ROW(D287)+4,'Water runs'!$BS$3:$CF$423,MATCH($B$1,Scenarios,0)+1)</f>
        <v>8.7585808280350591E-3</v>
      </c>
      <c r="E287" s="54">
        <f>IF(B287=Variables!$D$8,C287-Variables!$E$8,IF(B287=Variables!$D$9,C287-Variables!$E$9,IF(B287=Variables!$D$10,C287-Variables!$E$10,IF(B287=Variables!$D$11,C287-Variables!$E$11,"ELSE"))))</f>
        <v>0.98071914965986817</v>
      </c>
      <c r="F287" s="108">
        <f>VLOOKUP(ROW(F287)+4,'Water runs'!$CH$3:$CU$423,MATCH($B$1,Scenarios,0)+1)</f>
        <v>0</v>
      </c>
      <c r="G287" s="65">
        <f>H287/Variables!$E$49</f>
        <v>1.8258441125288534</v>
      </c>
      <c r="H287" s="62">
        <f>IF((H286+I287)&gt;(1.1*Variables!$E$50),(1.1*Variables!$E$50),IF((H286+I287)&gt;0,H286+I287,0))</f>
        <v>11.320233497678892</v>
      </c>
      <c r="I287" s="64">
        <f t="shared" si="8"/>
        <v>3.4450026316922839</v>
      </c>
      <c r="J287" s="63">
        <f>IF(SUM(E283:E286)&lt;Variables!$B$3,-H286,0)</f>
        <v>0</v>
      </c>
      <c r="K287" s="64">
        <f>IF(AND(H286&lt;Variables!$B$6*Variables!$E$50,OR(SUM(D284:D287)&gt;Variables!$B$5,SUM(E284:E287)&gt;Variables!$B$4)),Variables!$B$6*Variables!$E$50+Variables!$B$7*$G$1*Variables!$E$50*SUM(D284:D287),0)</f>
        <v>0</v>
      </c>
      <c r="L287" s="64">
        <f>IF(B287="Winter",Variables!$B$8*H286,0)</f>
        <v>0</v>
      </c>
      <c r="M287" s="64">
        <f>IF(AND(B287="Spring",AND(NOT(H286=0),H286&lt;(Variables!$B$9*Variables!$E$50))),(Variables!$B$10*Variables!$E$50+Variables!$B$11*Variables!$E$50*SUM(E284:E287)+$G$1*SUM(D286:D287)*Variables!$E$50*Variables!$B$12),0)</f>
        <v>0</v>
      </c>
      <c r="N287" s="64">
        <f>IF(AND(B287="Spring",AND(SUM(D284:D287)&gt;Variables!$B$13,SUM(D280:D283)&gt;Variables!$B$13)),-Variables!$B$14*Variables!$E$50,0)</f>
        <v>0</v>
      </c>
      <c r="O287" s="64">
        <f>IF(AND(B287="Summer",SUM(C283:D287)&gt;Variables!$B$15),(Variables!$B$16*Variables!$E$50*SUM(C283:C287)+$G$1*Variables!$B$16*Variables!$E$50*SUM(D283:D287)+$G$1*Variables!$E$50*Variables!$B$17*F287),0)</f>
        <v>3.4450026316922839</v>
      </c>
      <c r="P287" s="64">
        <f>IF(AND(AND(B287="Autumn",SUM(D286:E287)&gt;0),NOT(H286=0)),Variables!$B$18*Variables!$E$50+Variables!$B$19*Variables!$E$50*SUM(E286:E287)+$G$1*Variables!$B$19*Variables!$E$50*SUM(D286:D287),0)</f>
        <v>0</v>
      </c>
      <c r="Q287" s="64">
        <f>IF(AND(B287="Autumn",AND((E287+E286)&lt;Variables!$B$20,(D286+D287)=0)),-Variables!$B$21*Variables!$E$50,0)</f>
        <v>0</v>
      </c>
      <c r="R287" s="64">
        <f>IF(B287="Autumn",(SUM(F286:F287)*$G$1*Variables!$B$22*Variables!$E$50),0)</f>
        <v>0</v>
      </c>
      <c r="S287" s="64">
        <f>IF(B287="Spring",($G$1*Variables!$E$50*SUM('Guts (option 2)'!F286:F287)*Variables!$B$23),0)</f>
        <v>0</v>
      </c>
      <c r="T287" s="63">
        <f>IF((H286+SUM(J287:Q287))&lt;(Variables!$B$26*Variables!$E$50),$F$1*((Variables!$B$26*Variables!$E$50)-H286-SUM(J287:Q287)),0)</f>
        <v>0</v>
      </c>
      <c r="U287" s="64">
        <f>IF(AND(AND(B287="Autumn",SUM(D284:E287)&gt;Variables!$B$27),SUM(J287:Q287)&lt;Variables!$B$28*H286),$F$1*(Variables!$B$28*H286-SUM(J287:Q287)),0)</f>
        <v>0</v>
      </c>
      <c r="V287" s="96">
        <f>IF(AND((J287+K287)=0,(Q287+T287)=0),$H$1*H287*Variables!$I$23*0.25,0)</f>
        <v>72.714199178432295</v>
      </c>
      <c r="W287" s="97">
        <f>IF(AND((K287+J287)=0,(T287+Q287)=0),$I$1*H287*Variables!$Q$23*0.25,0)</f>
        <v>76.112533274435492</v>
      </c>
      <c r="X287" s="95">
        <f>IF(AND(NOT(K287=0),(H287-H286)&gt;0),(H287-H286)*(Variables!$M$5*$H$1+Variables!$U$5*$I$1),0)+IF(AND(NOT((J287+N287+Q287)=0),(H286-H287)&gt;0),(H286-H287)*(Variables!$M$4*$H$1+Variables!$U$4*$I$1),0)</f>
        <v>0</v>
      </c>
      <c r="Y287" s="95">
        <f>IF(SUM(T287,U286:U287)&gt;0,H287*Variables!$Y$11*0.25*(1-$J$1),0)</f>
        <v>0</v>
      </c>
      <c r="Z287" s="95">
        <f>IF(T287=0,H287*$J$1*Variables!$Y$5*0.25,0)</f>
        <v>24.527172578304263</v>
      </c>
      <c r="AA287" s="95">
        <f t="shared" si="9"/>
        <v>173.35390503117205</v>
      </c>
      <c r="AB287" s="91">
        <f>AA287/Variables!$E$49</f>
        <v>27.960307263092265</v>
      </c>
    </row>
    <row r="288" spans="1:28" x14ac:dyDescent="0.25">
      <c r="A288" s="61">
        <f>'Water runs'!C295</f>
        <v>28276</v>
      </c>
      <c r="B288" s="61" t="str">
        <f>'Water runs'!B295</f>
        <v>Autumn</v>
      </c>
      <c r="C288" s="54">
        <f>'Water runs'!D295/100</f>
        <v>1.6626607142857099</v>
      </c>
      <c r="D288" s="108">
        <f>VLOOKUP(ROW(D288)+4,'Water runs'!$BS$3:$CF$423,MATCH($B$1,Scenarios,0)+1)</f>
        <v>0.30953372552435093</v>
      </c>
      <c r="E288" s="54">
        <f>IF(B288=Variables!$D$8,C288-Variables!$E$8,IF(B288=Variables!$D$9,C288-Variables!$E$9,IF(B288=Variables!$D$10,C288-Variables!$E$10,IF(B288=Variables!$D$11,C288-Variables!$E$11,"ELSE"))))</f>
        <v>0.6680174149659821</v>
      </c>
      <c r="F288" s="108">
        <f>VLOOKUP(ROW(F288)+4,'Water runs'!$CH$3:$CU$423,MATCH($B$1,Scenarios,0)+1)</f>
        <v>0.28437517320010453</v>
      </c>
      <c r="G288" s="65">
        <f>H288/Variables!$E$49</f>
        <v>2.5300000000000002</v>
      </c>
      <c r="H288" s="62">
        <f>IF((H287+I288)&gt;(1.1*Variables!$E$50),(1.1*Variables!$E$50),IF((H287+I288)&gt;0,H287+I288,0))</f>
        <v>15.686000000000002</v>
      </c>
      <c r="I288" s="64">
        <f t="shared" si="8"/>
        <v>5.1341710623968471</v>
      </c>
      <c r="J288" s="63">
        <f>IF(SUM(E284:E287)&lt;Variables!$B$3,-H287,0)</f>
        <v>0</v>
      </c>
      <c r="K288" s="64">
        <f>IF(AND(H287&lt;Variables!$B$6*Variables!$E$50,OR(SUM(D285:D288)&gt;Variables!$B$5,SUM(E285:E288)&gt;Variables!$B$4)),Variables!$B$6*Variables!$E$50+Variables!$B$7*$G$1*Variables!$E$50*SUM(D285:D288),0)</f>
        <v>0</v>
      </c>
      <c r="L288" s="64">
        <f>IF(B288="Winter",Variables!$B$8*H287,0)</f>
        <v>0</v>
      </c>
      <c r="M288" s="64">
        <f>IF(AND(B288="Spring",AND(NOT(H287=0),H287&lt;(Variables!$B$9*Variables!$E$50))),(Variables!$B$10*Variables!$E$50+Variables!$B$11*Variables!$E$50*SUM(E285:E288)+$G$1*SUM(D287:D288)*Variables!$E$50*Variables!$B$12),0)</f>
        <v>0</v>
      </c>
      <c r="N288" s="64">
        <f>IF(AND(B288="Spring",AND(SUM(D285:D288)&gt;Variables!$B$13,SUM(D281:D284)&gt;Variables!$B$13)),-Variables!$B$14*Variables!$E$50,0)</f>
        <v>0</v>
      </c>
      <c r="O288" s="64">
        <f>IF(AND(B288="Summer",SUM(C284:D288)&gt;Variables!$B$15),(Variables!$B$16*Variables!$E$50*SUM(C284:C288)+$G$1*Variables!$B$16*Variables!$E$50*SUM(D284:D288)+$G$1*Variables!$E$50*Variables!$B$17*F288),0)</f>
        <v>0</v>
      </c>
      <c r="P288" s="64">
        <f>IF(AND(AND(B288="Autumn",SUM(D287:E288)&gt;0),NOT(H287=0)),Variables!$B$18*Variables!$E$50+Variables!$B$19*Variables!$E$50*SUM(E287:E288)+$G$1*Variables!$B$19*Variables!$E$50*SUM(D287:D288),0)</f>
        <v>4.4868628572536053</v>
      </c>
      <c r="Q288" s="64">
        <f>IF(AND(B288="Autumn",AND((E288+E287)&lt;Variables!$B$20,(D287+D288)=0)),-Variables!$B$21*Variables!$E$50,0)</f>
        <v>0</v>
      </c>
      <c r="R288" s="64">
        <f>IF(B288="Autumn",(SUM(F287:F288)*$G$1*Variables!$B$22*Variables!$E$50),0)</f>
        <v>4.0065988441346075E-2</v>
      </c>
      <c r="S288" s="64">
        <f>IF(B288="Spring",($G$1*Variables!$E$50*SUM('Guts (option 2)'!F287:F288)*Variables!$B$23),0)</f>
        <v>0</v>
      </c>
      <c r="T288" s="63">
        <f>IF((H287+SUM(J288:Q288))&lt;(Variables!$B$26*Variables!$E$50),$F$1*((Variables!$B$26*Variables!$E$50)-H287-SUM(J288:Q288)),0)</f>
        <v>0</v>
      </c>
      <c r="U288" s="64">
        <f>IF(AND(AND(B288="Autumn",SUM(D285:E288)&gt;Variables!$B$27),SUM(J288:Q288)&lt;Variables!$B$28*H287),$F$1*(Variables!$B$28*H287-SUM(J288:Q288)),0)</f>
        <v>0.60724221670189582</v>
      </c>
      <c r="V288" s="96">
        <f>IF(AND((J288+K288)=0,(Q288+T288)=0),$H$1*H288*Variables!$I$23*0.25,0)</f>
        <v>100.75719096666668</v>
      </c>
      <c r="W288" s="97">
        <f>IF(AND((K288+J288)=0,(T288+Q288)=0),$I$1*H288*Variables!$Q$23*0.25,0)</f>
        <v>105.46612816666666</v>
      </c>
      <c r="X288" s="95">
        <f>IF(AND(NOT(K288=0),(H288-H287)&gt;0),(H288-H287)*(Variables!$M$5*$H$1+Variables!$U$5*$I$1),0)+IF(AND(NOT((J288+N288+Q288)=0),(H287-H288)&gt;0),(H287-H288)*(Variables!$M$4*$H$1+Variables!$U$4*$I$1),0)</f>
        <v>0</v>
      </c>
      <c r="Y288" s="95">
        <f>IF(SUM(T288,U287:U288)&gt;0,H288*Variables!$Y$11*0.25*(1-$J$1),0)</f>
        <v>-109.80200000000004</v>
      </c>
      <c r="Z288" s="95">
        <f>IF(T288=0,H288*$J$1*Variables!$Y$5*0.25,0)</f>
        <v>33.986333333333334</v>
      </c>
      <c r="AA288" s="95">
        <f t="shared" si="9"/>
        <v>130.40765246666666</v>
      </c>
      <c r="AB288" s="91">
        <f>AA288/Variables!$E$49</f>
        <v>21.033492333333331</v>
      </c>
    </row>
    <row r="289" spans="1:28" x14ac:dyDescent="0.25">
      <c r="A289" s="61">
        <f>'Water runs'!C296</f>
        <v>28368</v>
      </c>
      <c r="B289" s="61" t="str">
        <f>'Water runs'!B296</f>
        <v>Winter</v>
      </c>
      <c r="C289" s="54">
        <f>'Water runs'!D296/100</f>
        <v>0</v>
      </c>
      <c r="D289" s="108">
        <f>VLOOKUP(ROW(D289)+4,'Water runs'!$BS$3:$CF$423,MATCH($B$1,Scenarios,0)+1)</f>
        <v>9.925652617993809E-3</v>
      </c>
      <c r="E289" s="54">
        <f>IF(B289=Variables!$D$8,C289-Variables!$E$8,IF(B289=Variables!$D$9,C289-Variables!$E$9,IF(B289=Variables!$D$10,C289-Variables!$E$10,IF(B289=Variables!$D$11,C289-Variables!$E$11,"ELSE"))))</f>
        <v>-0.57176762566137573</v>
      </c>
      <c r="F289" s="108">
        <f>VLOOKUP(ROW(F289)+4,'Water runs'!$CH$3:$CU$423,MATCH($B$1,Scenarios,0)+1)</f>
        <v>0</v>
      </c>
      <c r="G289" s="65">
        <f>H289/Variables!$E$49</f>
        <v>1.2701985267720333</v>
      </c>
      <c r="H289" s="62">
        <f>IF((H288+I289)&gt;(1.1*Variables!$E$50),(1.1*Variables!$E$50),IF((H288+I289)&gt;0,H288+I289,0))</f>
        <v>7.875230865986607</v>
      </c>
      <c r="I289" s="64">
        <f t="shared" si="8"/>
        <v>-7.8107691340133947</v>
      </c>
      <c r="J289" s="63">
        <f>IF(SUM(E285:E288)&lt;Variables!$B$3,-H288,0)</f>
        <v>0</v>
      </c>
      <c r="K289" s="64">
        <f>IF(AND(H288&lt;Variables!$B$6*Variables!$E$50,OR(SUM(D286:D289)&gt;Variables!$B$5,SUM(E286:E289)&gt;Variables!$B$4)),Variables!$B$6*Variables!$E$50+Variables!$B$7*$G$1*Variables!$E$50*SUM(D286:D289),0)</f>
        <v>0</v>
      </c>
      <c r="L289" s="64">
        <f>IF(B289="Winter",Variables!$B$8*H288,0)</f>
        <v>-7.8107691340133947</v>
      </c>
      <c r="M289" s="64">
        <f>IF(AND(B289="Spring",AND(NOT(H288=0),H288&lt;(Variables!$B$9*Variables!$E$50))),(Variables!$B$10*Variables!$E$50+Variables!$B$11*Variables!$E$50*SUM(E286:E289)+$G$1*SUM(D288:D289)*Variables!$E$50*Variables!$B$12),0)</f>
        <v>0</v>
      </c>
      <c r="N289" s="64">
        <f>IF(AND(B289="Spring",AND(SUM(D286:D289)&gt;Variables!$B$13,SUM(D282:D285)&gt;Variables!$B$13)),-Variables!$B$14*Variables!$E$50,0)</f>
        <v>0</v>
      </c>
      <c r="O289" s="64">
        <f>IF(AND(B289="Summer",SUM(C285:D289)&gt;Variables!$B$15),(Variables!$B$16*Variables!$E$50*SUM(C285:C289)+$G$1*Variables!$B$16*Variables!$E$50*SUM(D285:D289)+$G$1*Variables!$E$50*Variables!$B$17*F289),0)</f>
        <v>0</v>
      </c>
      <c r="P289" s="64">
        <f>IF(AND(AND(B289="Autumn",SUM(D288:E289)&gt;0),NOT(H288=0)),Variables!$B$18*Variables!$E$50+Variables!$B$19*Variables!$E$50*SUM(E288:E289)+$G$1*Variables!$B$19*Variables!$E$50*SUM(D288:D289),0)</f>
        <v>0</v>
      </c>
      <c r="Q289" s="64">
        <f>IF(AND(B289="Autumn",AND((E289+E288)&lt;Variables!$B$20,(D288+D289)=0)),-Variables!$B$21*Variables!$E$50,0)</f>
        <v>0</v>
      </c>
      <c r="R289" s="64">
        <f>IF(B289="Autumn",(SUM(F288:F289)*$G$1*Variables!$B$22*Variables!$E$50),0)</f>
        <v>0</v>
      </c>
      <c r="S289" s="64">
        <f>IF(B289="Spring",($G$1*Variables!$E$50*SUM('Guts (option 2)'!F288:F289)*Variables!$B$23),0)</f>
        <v>0</v>
      </c>
      <c r="T289" s="63">
        <f>IF((H288+SUM(J289:Q289))&lt;(Variables!$B$26*Variables!$E$50),$F$1*((Variables!$B$26*Variables!$E$50)-H288-SUM(J289:Q289)),0)</f>
        <v>0</v>
      </c>
      <c r="U289" s="64">
        <f>IF(AND(AND(B289="Autumn",SUM(D286:E289)&gt;Variables!$B$27),SUM(J289:Q289)&lt;Variables!$B$28*H288),$F$1*(Variables!$B$28*H288-SUM(J289:Q289)),0)</f>
        <v>0</v>
      </c>
      <c r="V289" s="96">
        <f>IF(AND((J289+K289)=0,(Q289+T289)=0),$H$1*H289*Variables!$I$23*0.25,0)</f>
        <v>50.585626690730606</v>
      </c>
      <c r="W289" s="97">
        <f>IF(AND((K289+J289)=0,(T289+Q289)=0),$I$1*H289*Variables!$Q$23*0.25,0)</f>
        <v>52.949770996699776</v>
      </c>
      <c r="X289" s="95">
        <f>IF(AND(NOT(K289=0),(H289-H288)&gt;0),(H289-H288)*(Variables!$M$5*$H$1+Variables!$U$5*$I$1),0)+IF(AND(NOT((J289+N289+Q289)=0),(H288-H289)&gt;0),(H288-H289)*(Variables!$M$4*$H$1+Variables!$U$4*$I$1),0)</f>
        <v>0</v>
      </c>
      <c r="Y289" s="95">
        <f>IF(SUM(T289,U288:U289)&gt;0,H289*Variables!$Y$11*0.25*(1-$J$1),0)</f>
        <v>-55.126616061906255</v>
      </c>
      <c r="Z289" s="95">
        <f>IF(T289=0,H289*$J$1*Variables!$Y$5*0.25,0)</f>
        <v>17.063000209637647</v>
      </c>
      <c r="AA289" s="95">
        <f t="shared" si="9"/>
        <v>65.471781835161778</v>
      </c>
      <c r="AB289" s="91">
        <f>AA289/Variables!$E$49</f>
        <v>10.559964812122868</v>
      </c>
    </row>
    <row r="290" spans="1:28" x14ac:dyDescent="0.25">
      <c r="A290" s="61">
        <f>'Water runs'!C297</f>
        <v>28459</v>
      </c>
      <c r="B290" s="61" t="str">
        <f>'Water runs'!B297</f>
        <v>Spring</v>
      </c>
      <c r="C290" s="54">
        <f>'Water runs'!D297/100</f>
        <v>0</v>
      </c>
      <c r="D290" s="108">
        <f>VLOOKUP(ROW(D290)+4,'Water runs'!$BS$3:$CF$423,MATCH($B$1,Scenarios,0)+1)</f>
        <v>0</v>
      </c>
      <c r="E290" s="54">
        <f>IF(B290=Variables!$D$8,C290-Variables!$E$8,IF(B290=Variables!$D$9,C290-Variables!$E$9,IF(B290=Variables!$D$10,C290-Variables!$E$10,IF(B290=Variables!$D$11,C290-Variables!$E$11,"ELSE"))))</f>
        <v>-0.76398220899470914</v>
      </c>
      <c r="F290" s="108">
        <f>VLOOKUP(ROW(F290)+4,'Water runs'!$CH$3:$CU$423,MATCH($B$1,Scenarios,0)+1)</f>
        <v>0</v>
      </c>
      <c r="G290" s="65">
        <f>H290/Variables!$E$49</f>
        <v>1.2701985267720333</v>
      </c>
      <c r="H290" s="62">
        <f>IF((H289+I290)&gt;(1.1*Variables!$E$50),(1.1*Variables!$E$50),IF((H289+I290)&gt;0,H289+I290,0))</f>
        <v>7.875230865986607</v>
      </c>
      <c r="I290" s="64">
        <f t="shared" si="8"/>
        <v>0</v>
      </c>
      <c r="J290" s="63">
        <f>IF(SUM(E286:E289)&lt;Variables!$B$3,-H289,0)</f>
        <v>0</v>
      </c>
      <c r="K290" s="64">
        <f>IF(AND(H289&lt;Variables!$B$6*Variables!$E$50,OR(SUM(D287:D290)&gt;Variables!$B$5,SUM(E287:E290)&gt;Variables!$B$4)),Variables!$B$6*Variables!$E$50+Variables!$B$7*$G$1*Variables!$E$50*SUM(D287:D290),0)</f>
        <v>0</v>
      </c>
      <c r="L290" s="64">
        <f>IF(B290="Winter",Variables!$B$8*H289,0)</f>
        <v>0</v>
      </c>
      <c r="M290" s="64">
        <f>IF(AND(B290="Spring",AND(NOT(H289=0),H289&lt;(Variables!$B$9*Variables!$E$50))),(Variables!$B$10*Variables!$E$50+Variables!$B$11*Variables!$E$50*SUM(E287:E290)+$G$1*SUM(D289:D290)*Variables!$E$50*Variables!$B$12),0)</f>
        <v>0</v>
      </c>
      <c r="N290" s="64">
        <f>IF(AND(B290="Spring",AND(SUM(D287:D290)&gt;Variables!$B$13,SUM(D283:D286)&gt;Variables!$B$13)),-Variables!$B$14*Variables!$E$50,0)</f>
        <v>0</v>
      </c>
      <c r="O290" s="64">
        <f>IF(AND(B290="Summer",SUM(C286:D290)&gt;Variables!$B$15),(Variables!$B$16*Variables!$E$50*SUM(C286:C290)+$G$1*Variables!$B$16*Variables!$E$50*SUM(D286:D290)+$G$1*Variables!$E$50*Variables!$B$17*F290),0)</f>
        <v>0</v>
      </c>
      <c r="P290" s="64">
        <f>IF(AND(AND(B290="Autumn",SUM(D289:E290)&gt;0),NOT(H289=0)),Variables!$B$18*Variables!$E$50+Variables!$B$19*Variables!$E$50*SUM(E289:E290)+$G$1*Variables!$B$19*Variables!$E$50*SUM(D289:D290),0)</f>
        <v>0</v>
      </c>
      <c r="Q290" s="64">
        <f>IF(AND(B290="Autumn",AND((E290+E289)&lt;Variables!$B$20,(D289+D290)=0)),-Variables!$B$21*Variables!$E$50,0)</f>
        <v>0</v>
      </c>
      <c r="R290" s="64">
        <f>IF(B290="Autumn",(SUM(F289:F290)*$G$1*Variables!$B$22*Variables!$E$50),0)</f>
        <v>0</v>
      </c>
      <c r="S290" s="64">
        <f>IF(B290="Spring",($G$1*Variables!$E$50*SUM('Guts (option 2)'!F289:F290)*Variables!$B$23),0)</f>
        <v>0</v>
      </c>
      <c r="T290" s="63">
        <f>IF((H289+SUM(J290:Q290))&lt;(Variables!$B$26*Variables!$E$50),$F$1*((Variables!$B$26*Variables!$E$50)-H289-SUM(J290:Q290)),0)</f>
        <v>0</v>
      </c>
      <c r="U290" s="64">
        <f>IF(AND(AND(B290="Autumn",SUM(D287:E290)&gt;Variables!$B$27),SUM(J290:Q290)&lt;Variables!$B$28*H289),$F$1*(Variables!$B$28*H289-SUM(J290:Q290)),0)</f>
        <v>0</v>
      </c>
      <c r="V290" s="96">
        <f>IF(AND((J290+K290)=0,(Q290+T290)=0),$H$1*H290*Variables!$I$23*0.25,0)</f>
        <v>50.585626690730606</v>
      </c>
      <c r="W290" s="97">
        <f>IF(AND((K290+J290)=0,(T290+Q290)=0),$I$1*H290*Variables!$Q$23*0.25,0)</f>
        <v>52.949770996699776</v>
      </c>
      <c r="X290" s="95">
        <f>IF(AND(NOT(K290=0),(H290-H289)&gt;0),(H290-H289)*(Variables!$M$5*$H$1+Variables!$U$5*$I$1),0)+IF(AND(NOT((J290+N290+Q290)=0),(H289-H290)&gt;0),(H289-H290)*(Variables!$M$4*$H$1+Variables!$U$4*$I$1),0)</f>
        <v>0</v>
      </c>
      <c r="Y290" s="95">
        <f>IF(SUM(T290,U289:U290)&gt;0,H290*Variables!$Y$11*0.25*(1-$J$1),0)</f>
        <v>0</v>
      </c>
      <c r="Z290" s="95">
        <f>IF(T290=0,H290*$J$1*Variables!$Y$5*0.25,0)</f>
        <v>17.063000209637647</v>
      </c>
      <c r="AA290" s="95">
        <f t="shared" si="9"/>
        <v>120.59839789706804</v>
      </c>
      <c r="AB290" s="91">
        <f>AA290/Variables!$E$49</f>
        <v>19.451354499527103</v>
      </c>
    </row>
    <row r="291" spans="1:28" x14ac:dyDescent="0.25">
      <c r="A291" s="61">
        <f>'Water runs'!C298</f>
        <v>28549</v>
      </c>
      <c r="B291" s="61" t="str">
        <f>'Water runs'!B298</f>
        <v>Summer</v>
      </c>
      <c r="C291" s="54">
        <f>'Water runs'!D298/100</f>
        <v>1.0006964285714299</v>
      </c>
      <c r="D291" s="108">
        <f>VLOOKUP(ROW(D291)+4,'Water runs'!$BS$3:$CF$423,MATCH($B$1,Scenarios,0)+1)</f>
        <v>0</v>
      </c>
      <c r="E291" s="54">
        <f>IF(B291=Variables!$D$8,C291-Variables!$E$8,IF(B291=Variables!$D$9,C291-Variables!$E$9,IF(B291=Variables!$D$10,C291-Variables!$E$10,IF(B291=Variables!$D$11,C291-Variables!$E$11,"ELSE"))))</f>
        <v>-0.25767370748299179</v>
      </c>
      <c r="F291" s="108">
        <f>VLOOKUP(ROW(F291)+4,'Water runs'!$CH$3:$CU$423,MATCH($B$1,Scenarios,0)+1)</f>
        <v>0</v>
      </c>
      <c r="G291" s="65">
        <f>H291/Variables!$E$49</f>
        <v>1.2701985267720333</v>
      </c>
      <c r="H291" s="62">
        <f>IF((H290+I291)&gt;(1.1*Variables!$E$50),(1.1*Variables!$E$50),IF((H290+I291)&gt;0,H290+I291,0))</f>
        <v>7.875230865986607</v>
      </c>
      <c r="I291" s="64">
        <f t="shared" si="8"/>
        <v>0</v>
      </c>
      <c r="J291" s="63">
        <f>IF(SUM(E287:E290)&lt;Variables!$B$3,-H290,0)</f>
        <v>0</v>
      </c>
      <c r="K291" s="64">
        <f>IF(AND(H290&lt;Variables!$B$6*Variables!$E$50,OR(SUM(D288:D291)&gt;Variables!$B$5,SUM(E288:E291)&gt;Variables!$B$4)),Variables!$B$6*Variables!$E$50+Variables!$B$7*$G$1*Variables!$E$50*SUM(D288:D291),0)</f>
        <v>0</v>
      </c>
      <c r="L291" s="64">
        <f>IF(B291="Winter",Variables!$B$8*H290,0)</f>
        <v>0</v>
      </c>
      <c r="M291" s="64">
        <f>IF(AND(B291="Spring",AND(NOT(H290=0),H290&lt;(Variables!$B$9*Variables!$E$50))),(Variables!$B$10*Variables!$E$50+Variables!$B$11*Variables!$E$50*SUM(E288:E291)+$G$1*SUM(D290:D291)*Variables!$E$50*Variables!$B$12),0)</f>
        <v>0</v>
      </c>
      <c r="N291" s="64">
        <f>IF(AND(B291="Spring",AND(SUM(D288:D291)&gt;Variables!$B$13,SUM(D284:D287)&gt;Variables!$B$13)),-Variables!$B$14*Variables!$E$50,0)</f>
        <v>0</v>
      </c>
      <c r="O291" s="64">
        <f>IF(AND(B291="Summer",SUM(C287:D291)&gt;Variables!$B$15),(Variables!$B$16*Variables!$E$50*SUM(C287:C291)+$G$1*Variables!$B$16*Variables!$E$50*SUM(D287:D291)+$G$1*Variables!$E$50*Variables!$B$17*F291),0)</f>
        <v>0</v>
      </c>
      <c r="P291" s="64">
        <f>IF(AND(AND(B291="Autumn",SUM(D290:E291)&gt;0),NOT(H290=0)),Variables!$B$18*Variables!$E$50+Variables!$B$19*Variables!$E$50*SUM(E290:E291)+$G$1*Variables!$B$19*Variables!$E$50*SUM(D290:D291),0)</f>
        <v>0</v>
      </c>
      <c r="Q291" s="64">
        <f>IF(AND(B291="Autumn",AND((E291+E290)&lt;Variables!$B$20,(D290+D291)=0)),-Variables!$B$21*Variables!$E$50,0)</f>
        <v>0</v>
      </c>
      <c r="R291" s="64">
        <f>IF(B291="Autumn",(SUM(F290:F291)*$G$1*Variables!$B$22*Variables!$E$50),0)</f>
        <v>0</v>
      </c>
      <c r="S291" s="64">
        <f>IF(B291="Spring",($G$1*Variables!$E$50*SUM('Guts (option 2)'!F290:F291)*Variables!$B$23),0)</f>
        <v>0</v>
      </c>
      <c r="T291" s="63">
        <f>IF((H290+SUM(J291:Q291))&lt;(Variables!$B$26*Variables!$E$50),$F$1*((Variables!$B$26*Variables!$E$50)-H290-SUM(J291:Q291)),0)</f>
        <v>0</v>
      </c>
      <c r="U291" s="64">
        <f>IF(AND(AND(B291="Autumn",SUM(D288:E291)&gt;Variables!$B$27),SUM(J291:Q291)&lt;Variables!$B$28*H290),$F$1*(Variables!$B$28*H290-SUM(J291:Q291)),0)</f>
        <v>0</v>
      </c>
      <c r="V291" s="96">
        <f>IF(AND((J291+K291)=0,(Q291+T291)=0),$H$1*H291*Variables!$I$23*0.25,0)</f>
        <v>50.585626690730606</v>
      </c>
      <c r="W291" s="97">
        <f>IF(AND((K291+J291)=0,(T291+Q291)=0),$I$1*H291*Variables!$Q$23*0.25,0)</f>
        <v>52.949770996699776</v>
      </c>
      <c r="X291" s="95">
        <f>IF(AND(NOT(K291=0),(H291-H290)&gt;0),(H291-H290)*(Variables!$M$5*$H$1+Variables!$U$5*$I$1),0)+IF(AND(NOT((J291+N291+Q291)=0),(H290-H291)&gt;0),(H290-H291)*(Variables!$M$4*$H$1+Variables!$U$4*$I$1),0)</f>
        <v>0</v>
      </c>
      <c r="Y291" s="95">
        <f>IF(SUM(T291,U290:U291)&gt;0,H291*Variables!$Y$11*0.25*(1-$J$1),0)</f>
        <v>0</v>
      </c>
      <c r="Z291" s="95">
        <f>IF(T291=0,H291*$J$1*Variables!$Y$5*0.25,0)</f>
        <v>17.063000209637647</v>
      </c>
      <c r="AA291" s="95">
        <f t="shared" si="9"/>
        <v>120.59839789706804</v>
      </c>
      <c r="AB291" s="91">
        <f>AA291/Variables!$E$49</f>
        <v>19.451354499527103</v>
      </c>
    </row>
    <row r="292" spans="1:28" x14ac:dyDescent="0.25">
      <c r="A292" s="61">
        <f>'Water runs'!C299</f>
        <v>28641</v>
      </c>
      <c r="B292" s="61" t="str">
        <f>'Water runs'!B299</f>
        <v>Autumn</v>
      </c>
      <c r="C292" s="54">
        <f>'Water runs'!D299/100</f>
        <v>0.85289285714285701</v>
      </c>
      <c r="D292" s="108">
        <f>VLOOKUP(ROW(D292)+4,'Water runs'!$BS$3:$CF$423,MATCH($B$1,Scenarios,0)+1)</f>
        <v>0</v>
      </c>
      <c r="E292" s="54">
        <f>IF(B292=Variables!$D$8,C292-Variables!$E$8,IF(B292=Variables!$D$9,C292-Variables!$E$9,IF(B292=Variables!$D$10,C292-Variables!$E$10,IF(B292=Variables!$D$11,C292-Variables!$E$11,"ELSE"))))</f>
        <v>-0.14175044217687083</v>
      </c>
      <c r="F292" s="108">
        <f>VLOOKUP(ROW(F292)+4,'Water runs'!$CH$3:$CU$423,MATCH($B$1,Scenarios,0)+1)</f>
        <v>0</v>
      </c>
      <c r="G292" s="65">
        <f>H292/Variables!$E$49</f>
        <v>1.2701985267720333</v>
      </c>
      <c r="H292" s="62">
        <f>IF((H291+I292)&gt;(1.1*Variables!$E$50),(1.1*Variables!$E$50),IF((H291+I292)&gt;0,H291+I292,0))</f>
        <v>7.875230865986607</v>
      </c>
      <c r="I292" s="64">
        <f t="shared" si="8"/>
        <v>0</v>
      </c>
      <c r="J292" s="63">
        <f>IF(SUM(E288:E291)&lt;Variables!$B$3,-H291,0)</f>
        <v>0</v>
      </c>
      <c r="K292" s="64">
        <f>IF(AND(H291&lt;Variables!$B$6*Variables!$E$50,OR(SUM(D289:D292)&gt;Variables!$B$5,SUM(E289:E292)&gt;Variables!$B$4)),Variables!$B$6*Variables!$E$50+Variables!$B$7*$G$1*Variables!$E$50*SUM(D289:D292),0)</f>
        <v>0</v>
      </c>
      <c r="L292" s="64">
        <f>IF(B292="Winter",Variables!$B$8*H291,0)</f>
        <v>0</v>
      </c>
      <c r="M292" s="64">
        <f>IF(AND(B292="Spring",AND(NOT(H291=0),H291&lt;(Variables!$B$9*Variables!$E$50))),(Variables!$B$10*Variables!$E$50+Variables!$B$11*Variables!$E$50*SUM(E289:E292)+$G$1*SUM(D291:D292)*Variables!$E$50*Variables!$B$12),0)</f>
        <v>0</v>
      </c>
      <c r="N292" s="64">
        <f>IF(AND(B292="Spring",AND(SUM(D289:D292)&gt;Variables!$B$13,SUM(D285:D288)&gt;Variables!$B$13)),-Variables!$B$14*Variables!$E$50,0)</f>
        <v>0</v>
      </c>
      <c r="O292" s="64">
        <f>IF(AND(B292="Summer",SUM(C288:D292)&gt;Variables!$B$15),(Variables!$B$16*Variables!$E$50*SUM(C288:C292)+$G$1*Variables!$B$16*Variables!$E$50*SUM(D288:D292)+$G$1*Variables!$E$50*Variables!$B$17*F292),0)</f>
        <v>0</v>
      </c>
      <c r="P292" s="64">
        <f>IF(AND(AND(B292="Autumn",SUM(D291:E292)&gt;0),NOT(H291=0)),Variables!$B$18*Variables!$E$50+Variables!$B$19*Variables!$E$50*SUM(E291:E292)+$G$1*Variables!$B$19*Variables!$E$50*SUM(D291:D292),0)</f>
        <v>0</v>
      </c>
      <c r="Q292" s="64">
        <f>IF(AND(B292="Autumn",AND((E292+E291)&lt;Variables!$B$20,(D291+D292)=0)),-Variables!$B$21*Variables!$E$50,0)</f>
        <v>0</v>
      </c>
      <c r="R292" s="64">
        <f>IF(B292="Autumn",(SUM(F291:F292)*$G$1*Variables!$B$22*Variables!$E$50),0)</f>
        <v>0</v>
      </c>
      <c r="S292" s="64">
        <f>IF(B292="Spring",($G$1*Variables!$E$50*SUM('Guts (option 2)'!F291:F292)*Variables!$B$23),0)</f>
        <v>0</v>
      </c>
      <c r="T292" s="63">
        <f>IF((H291+SUM(J292:Q292))&lt;(Variables!$B$26*Variables!$E$50),$F$1*((Variables!$B$26*Variables!$E$50)-H291-SUM(J292:Q292)),0)</f>
        <v>0</v>
      </c>
      <c r="U292" s="64">
        <f>IF(AND(AND(B292="Autumn",SUM(D289:E292)&gt;Variables!$B$27),SUM(J292:Q292)&lt;Variables!$B$28*H291),$F$1*(Variables!$B$28*H291-SUM(J292:Q292)),0)</f>
        <v>0</v>
      </c>
      <c r="V292" s="96">
        <f>IF(AND((J292+K292)=0,(Q292+T292)=0),$H$1*H292*Variables!$I$23*0.25,0)</f>
        <v>50.585626690730606</v>
      </c>
      <c r="W292" s="97">
        <f>IF(AND((K292+J292)=0,(T292+Q292)=0),$I$1*H292*Variables!$Q$23*0.25,0)</f>
        <v>52.949770996699776</v>
      </c>
      <c r="X292" s="95">
        <f>IF(AND(NOT(K292=0),(H292-H291)&gt;0),(H292-H291)*(Variables!$M$5*$H$1+Variables!$U$5*$I$1),0)+IF(AND(NOT((J292+N292+Q292)=0),(H291-H292)&gt;0),(H291-H292)*(Variables!$M$4*$H$1+Variables!$U$4*$I$1),0)</f>
        <v>0</v>
      </c>
      <c r="Y292" s="95">
        <f>IF(SUM(T292,U291:U292)&gt;0,H292*Variables!$Y$11*0.25*(1-$J$1),0)</f>
        <v>0</v>
      </c>
      <c r="Z292" s="95">
        <f>IF(T292=0,H292*$J$1*Variables!$Y$5*0.25,0)</f>
        <v>17.063000209637647</v>
      </c>
      <c r="AA292" s="95">
        <f t="shared" si="9"/>
        <v>120.59839789706804</v>
      </c>
      <c r="AB292" s="91">
        <f>AA292/Variables!$E$49</f>
        <v>19.451354499527103</v>
      </c>
    </row>
    <row r="293" spans="1:28" x14ac:dyDescent="0.25">
      <c r="A293" s="61">
        <f>'Water runs'!C300</f>
        <v>28733</v>
      </c>
      <c r="B293" s="61" t="str">
        <f>'Water runs'!B300</f>
        <v>Winter</v>
      </c>
      <c r="C293" s="54">
        <f>'Water runs'!D300/100</f>
        <v>1.06841071428571</v>
      </c>
      <c r="D293" s="108">
        <f>VLOOKUP(ROW(D293)+4,'Water runs'!$BS$3:$CF$423,MATCH($B$1,Scenarios,0)+1)</f>
        <v>1.4799008701573252E-2</v>
      </c>
      <c r="E293" s="54">
        <f>IF(B293=Variables!$D$8,C293-Variables!$E$8,IF(B293=Variables!$D$9,C293-Variables!$E$9,IF(B293=Variables!$D$10,C293-Variables!$E$10,IF(B293=Variables!$D$11,C293-Variables!$E$11,"ELSE"))))</f>
        <v>0.49664308862433426</v>
      </c>
      <c r="F293" s="108">
        <f>VLOOKUP(ROW(F293)+4,'Water runs'!$CH$3:$CU$423,MATCH($B$1,Scenarios,0)+1)</f>
        <v>0</v>
      </c>
      <c r="G293" s="65">
        <f>H293/Variables!$E$49</f>
        <v>0.16099999999999995</v>
      </c>
      <c r="H293" s="62">
        <f>IF((H292+I293)&gt;(1.1*Variables!$E$50),(1.1*Variables!$E$50),IF((H292+I293)&gt;0,H292+I293,0))</f>
        <v>0.99819999999999975</v>
      </c>
      <c r="I293" s="64">
        <f t="shared" si="8"/>
        <v>-6.8770308659866073</v>
      </c>
      <c r="J293" s="63">
        <f>IF(SUM(E289:E292)&lt;Variables!$B$3,-H292,0)</f>
        <v>-7.875230865986607</v>
      </c>
      <c r="K293" s="64">
        <f>IF(AND(H292&lt;Variables!$B$6*Variables!$E$50,OR(SUM(D290:D293)&gt;Variables!$B$5,SUM(E290:E293)&gt;Variables!$B$4)),Variables!$B$6*Variables!$E$50+Variables!$B$7*$G$1*Variables!$E$50*SUM(D290:D293),0)</f>
        <v>0</v>
      </c>
      <c r="L293" s="64">
        <f>IF(B293="Winter",Variables!$B$8*H292,0)</f>
        <v>-3.9214337735099938</v>
      </c>
      <c r="M293" s="64">
        <f>IF(AND(B293="Spring",AND(NOT(H292=0),H292&lt;(Variables!$B$9*Variables!$E$50))),(Variables!$B$10*Variables!$E$50+Variables!$B$11*Variables!$E$50*SUM(E290:E293)+$G$1*SUM(D292:D293)*Variables!$E$50*Variables!$B$12),0)</f>
        <v>0</v>
      </c>
      <c r="N293" s="64">
        <f>IF(AND(B293="Spring",AND(SUM(D290:D293)&gt;Variables!$B$13,SUM(D286:D289)&gt;Variables!$B$13)),-Variables!$B$14*Variables!$E$50,0)</f>
        <v>0</v>
      </c>
      <c r="O293" s="64">
        <f>IF(AND(B293="Summer",SUM(C289:D293)&gt;Variables!$B$15),(Variables!$B$16*Variables!$E$50*SUM(C289:C293)+$G$1*Variables!$B$16*Variables!$E$50*SUM(D289:D293)+$G$1*Variables!$E$50*Variables!$B$17*F293),0)</f>
        <v>0</v>
      </c>
      <c r="P293" s="64">
        <f>IF(AND(AND(B293="Autumn",SUM(D292:E293)&gt;0),NOT(H292=0)),Variables!$B$18*Variables!$E$50+Variables!$B$19*Variables!$E$50*SUM(E292:E293)+$G$1*Variables!$B$19*Variables!$E$50*SUM(D292:D293),0)</f>
        <v>0</v>
      </c>
      <c r="Q293" s="64">
        <f>IF(AND(B293="Autumn",AND((E293+E292)&lt;Variables!$B$20,(D292+D293)=0)),-Variables!$B$21*Variables!$E$50,0)</f>
        <v>0</v>
      </c>
      <c r="R293" s="64">
        <f>IF(B293="Autumn",(SUM(F292:F293)*$G$1*Variables!$B$22*Variables!$E$50),0)</f>
        <v>0</v>
      </c>
      <c r="S293" s="64">
        <f>IF(B293="Spring",($G$1*Variables!$E$50*SUM('Guts (option 2)'!F292:F293)*Variables!$B$23),0)</f>
        <v>0</v>
      </c>
      <c r="T293" s="63">
        <f>IF((H292+SUM(J293:Q293))&lt;(Variables!$B$26*Variables!$E$50),$F$1*((Variables!$B$26*Variables!$E$50)-H292-SUM(J293:Q293)),0)</f>
        <v>4.919633773509994</v>
      </c>
      <c r="U293" s="64">
        <f>IF(AND(AND(B293="Autumn",SUM(D290:E293)&gt;Variables!$B$27),SUM(J293:Q293)&lt;Variables!$B$28*H292),$F$1*(Variables!$B$28*H292-SUM(J293:Q293)),0)</f>
        <v>0</v>
      </c>
      <c r="V293" s="96">
        <f>IF(AND((J293+K293)=0,(Q293+T293)=0),$H$1*H293*Variables!$I$23*0.25,0)</f>
        <v>0</v>
      </c>
      <c r="W293" s="97">
        <f>IF(AND((K293+J293)=0,(T293+Q293)=0),$I$1*H293*Variables!$Q$23*0.25,0)</f>
        <v>0</v>
      </c>
      <c r="X293" s="95">
        <f>IF(AND(NOT(K293=0),(H293-H292)&gt;0),(H293-H292)*(Variables!$M$5*$H$1+Variables!$U$5*$I$1),0)+IF(AND(NOT((J293+N293+Q293)=0),(H292-H293)&gt;0),(H292-H293)*(Variables!$M$4*$H$1+Variables!$U$4*$I$1),0)</f>
        <v>286.54295274944195</v>
      </c>
      <c r="Y293" s="95">
        <f>IF(SUM(T293,U292:U293)&gt;0,H293*Variables!$Y$11*0.25*(1-$J$1),0)</f>
        <v>-6.9873999999999992</v>
      </c>
      <c r="Z293" s="95">
        <f>IF(T293=0,H293*$J$1*Variables!$Y$5*0.25,0)</f>
        <v>0</v>
      </c>
      <c r="AA293" s="95">
        <f t="shared" si="9"/>
        <v>279.55555274944197</v>
      </c>
      <c r="AB293" s="91">
        <f>AA293/Variables!$E$49</f>
        <v>45.089605282168058</v>
      </c>
    </row>
    <row r="294" spans="1:28" x14ac:dyDescent="0.25">
      <c r="A294" s="61">
        <f>'Water runs'!C301</f>
        <v>28824</v>
      </c>
      <c r="B294" s="61" t="str">
        <f>'Water runs'!B301</f>
        <v>Spring</v>
      </c>
      <c r="C294" s="54">
        <f>'Water runs'!D301/100</f>
        <v>0.81544047619047599</v>
      </c>
      <c r="D294" s="108">
        <f>VLOOKUP(ROW(D294)+4,'Water runs'!$BS$3:$CF$423,MATCH($B$1,Scenarios,0)+1)</f>
        <v>4.4294887528800703E-2</v>
      </c>
      <c r="E294" s="54">
        <f>IF(B294=Variables!$D$8,C294-Variables!$E$8,IF(B294=Variables!$D$9,C294-Variables!$E$9,IF(B294=Variables!$D$10,C294-Variables!$E$10,IF(B294=Variables!$D$11,C294-Variables!$E$11,"ELSE"))))</f>
        <v>5.1458267195766849E-2</v>
      </c>
      <c r="F294" s="108">
        <f>VLOOKUP(ROW(F294)+4,'Water runs'!$CH$3:$CU$423,MATCH($B$1,Scenarios,0)+1)</f>
        <v>0</v>
      </c>
      <c r="G294" s="65">
        <f>H294/Variables!$E$49</f>
        <v>0.36536333921785191</v>
      </c>
      <c r="H294" s="62">
        <f>IF((H293+I294)&gt;(1.1*Variables!$E$50),(1.1*Variables!$E$50),IF((H293+I294)&gt;0,H293+I294,0))</f>
        <v>2.2652527031506819</v>
      </c>
      <c r="I294" s="64">
        <f t="shared" si="8"/>
        <v>1.2670527031506824</v>
      </c>
      <c r="J294" s="63">
        <f>IF(SUM(E290:E293)&lt;Variables!$B$3,-H293,0)</f>
        <v>0</v>
      </c>
      <c r="K294" s="64">
        <f>IF(AND(H293&lt;Variables!$B$6*Variables!$E$50,OR(SUM(D291:D294)&gt;Variables!$B$5,SUM(E291:E294)&gt;Variables!$B$4)),Variables!$B$6*Variables!$E$50+Variables!$B$7*$G$1*Variables!$E$50*SUM(D291:D294),0)</f>
        <v>1.1439179121529071</v>
      </c>
      <c r="L294" s="64">
        <f>IF(B294="Winter",Variables!$B$8*H293,0)</f>
        <v>0</v>
      </c>
      <c r="M294" s="64">
        <f>IF(AND(B294="Spring",AND(NOT(H293=0),H293&lt;(Variables!$B$9*Variables!$E$50))),(Variables!$B$10*Variables!$E$50+Variables!$B$11*Variables!$E$50*SUM(E291:E294)+$G$1*SUM(D293:D294)*Variables!$E$50*Variables!$B$12),0)</f>
        <v>0.12313479099777529</v>
      </c>
      <c r="N294" s="64">
        <f>IF(AND(B294="Spring",AND(SUM(D291:D294)&gt;Variables!$B$13,SUM(D287:D290)&gt;Variables!$B$13)),-Variables!$B$14*Variables!$E$50,0)</f>
        <v>0</v>
      </c>
      <c r="O294" s="64">
        <f>IF(AND(B294="Summer",SUM(C290:D294)&gt;Variables!$B$15),(Variables!$B$16*Variables!$E$50*SUM(C290:C294)+$G$1*Variables!$B$16*Variables!$E$50*SUM(D290:D294)+$G$1*Variables!$E$50*Variables!$B$17*F294),0)</f>
        <v>0</v>
      </c>
      <c r="P294" s="64">
        <f>IF(AND(AND(B294="Autumn",SUM(D293:E294)&gt;0),NOT(H293=0)),Variables!$B$18*Variables!$E$50+Variables!$B$19*Variables!$E$50*SUM(E293:E294)+$G$1*Variables!$B$19*Variables!$E$50*SUM(D293:D294),0)</f>
        <v>0</v>
      </c>
      <c r="Q294" s="64">
        <f>IF(AND(B294="Autumn",AND((E294+E293)&lt;Variables!$B$20,(D293+D294)=0)),-Variables!$B$21*Variables!$E$50,0)</f>
        <v>0</v>
      </c>
      <c r="R294" s="64">
        <f>IF(B294="Autumn",(SUM(F293:F294)*$G$1*Variables!$B$22*Variables!$E$50),0)</f>
        <v>0</v>
      </c>
      <c r="S294" s="64">
        <f>IF(B294="Spring",($G$1*Variables!$E$50*SUM('Guts (option 2)'!F293:F294)*Variables!$B$23),0)</f>
        <v>0</v>
      </c>
      <c r="T294" s="63">
        <f>IF((H293+SUM(J294:Q294))&lt;(Variables!$B$26*Variables!$E$50),$F$1*((Variables!$B$26*Variables!$E$50)-H293-SUM(J294:Q294)),0)</f>
        <v>0</v>
      </c>
      <c r="U294" s="64">
        <f>IF(AND(AND(B294="Autumn",SUM(D291:E294)&gt;Variables!$B$27),SUM(J294:Q294)&lt;Variables!$B$28*H293),$F$1*(Variables!$B$28*H293-SUM(J294:Q294)),0)</f>
        <v>0</v>
      </c>
      <c r="V294" s="96">
        <f>IF(AND((J294+K294)=0,(Q294+T294)=0),$H$1*H294*Variables!$I$23*0.25,0)</f>
        <v>0</v>
      </c>
      <c r="W294" s="97">
        <f>IF(AND((K294+J294)=0,(T294+Q294)=0),$I$1*H294*Variables!$Q$23*0.25,0)</f>
        <v>0</v>
      </c>
      <c r="X294" s="95">
        <f>IF(AND(NOT(K294=0),(H294-H293)&gt;0),(H294-H293)*(Variables!$M$5*$H$1+Variables!$U$5*$I$1),0)+IF(AND(NOT((J294+N294+Q294)=0),(H293-H294)&gt;0),(H293-H294)*(Variables!$M$4*$H$1+Variables!$U$4*$I$1),0)</f>
        <v>-105.58772526255684</v>
      </c>
      <c r="Y294" s="95">
        <f>IF(SUM(T294,U293:U294)&gt;0,H294*Variables!$Y$11*0.25*(1-$J$1),0)</f>
        <v>0</v>
      </c>
      <c r="Z294" s="95">
        <f>IF(T294=0,H294*$J$1*Variables!$Y$5*0.25,0)</f>
        <v>4.9080475234931438</v>
      </c>
      <c r="AA294" s="95">
        <f t="shared" si="9"/>
        <v>-100.67967773906371</v>
      </c>
      <c r="AB294" s="91">
        <f>AA294/Variables!$E$49</f>
        <v>-16.238657699848986</v>
      </c>
    </row>
    <row r="295" spans="1:28" x14ac:dyDescent="0.25">
      <c r="A295" s="61">
        <f>'Water runs'!C302</f>
        <v>28914</v>
      </c>
      <c r="B295" s="61" t="str">
        <f>'Water runs'!B302</f>
        <v>Summer</v>
      </c>
      <c r="C295" s="54">
        <f>'Water runs'!D302/100</f>
        <v>0.93578571428571389</v>
      </c>
      <c r="D295" s="108">
        <f>VLOOKUP(ROW(D295)+4,'Water runs'!$BS$3:$CF$423,MATCH($B$1,Scenarios,0)+1)</f>
        <v>0</v>
      </c>
      <c r="E295" s="54">
        <f>IF(B295=Variables!$D$8,C295-Variables!$E$8,IF(B295=Variables!$D$9,C295-Variables!$E$9,IF(B295=Variables!$D$10,C295-Variables!$E$10,IF(B295=Variables!$D$11,C295-Variables!$E$11,"ELSE"))))</f>
        <v>-0.32258442176870783</v>
      </c>
      <c r="F295" s="108">
        <f>VLOOKUP(ROW(F295)+4,'Water runs'!$CH$3:$CU$423,MATCH($B$1,Scenarios,0)+1)</f>
        <v>0</v>
      </c>
      <c r="G295" s="65">
        <f>H295/Variables!$E$49</f>
        <v>0.36536333921785191</v>
      </c>
      <c r="H295" s="62">
        <f>IF((H294+I295)&gt;(1.1*Variables!$E$50),(1.1*Variables!$E$50),IF((H294+I295)&gt;0,H294+I295,0))</f>
        <v>2.2652527031506819</v>
      </c>
      <c r="I295" s="64">
        <f t="shared" si="8"/>
        <v>0</v>
      </c>
      <c r="J295" s="63">
        <f>IF(SUM(E291:E294)&lt;Variables!$B$3,-H294,0)</f>
        <v>0</v>
      </c>
      <c r="K295" s="64">
        <f>IF(AND(H294&lt;Variables!$B$6*Variables!$E$50,OR(SUM(D292:D295)&gt;Variables!$B$5,SUM(E292:E295)&gt;Variables!$B$4)),Variables!$B$6*Variables!$E$50+Variables!$B$7*$G$1*Variables!$E$50*SUM(D292:D295),0)</f>
        <v>0</v>
      </c>
      <c r="L295" s="64">
        <f>IF(B295="Winter",Variables!$B$8*H294,0)</f>
        <v>0</v>
      </c>
      <c r="M295" s="64">
        <f>IF(AND(B295="Spring",AND(NOT(H294=0),H294&lt;(Variables!$B$9*Variables!$E$50))),(Variables!$B$10*Variables!$E$50+Variables!$B$11*Variables!$E$50*SUM(E292:E295)+$G$1*SUM(D294:D295)*Variables!$E$50*Variables!$B$12),0)</f>
        <v>0</v>
      </c>
      <c r="N295" s="64">
        <f>IF(AND(B295="Spring",AND(SUM(D292:D295)&gt;Variables!$B$13,SUM(D288:D291)&gt;Variables!$B$13)),-Variables!$B$14*Variables!$E$50,0)</f>
        <v>0</v>
      </c>
      <c r="O295" s="64">
        <f>IF(AND(B295="Summer",SUM(C291:D295)&gt;Variables!$B$15),(Variables!$B$16*Variables!$E$50*SUM(C291:C295)+$G$1*Variables!$B$16*Variables!$E$50*SUM(D291:D295)+$G$1*Variables!$E$50*Variables!$B$17*F295),0)</f>
        <v>0</v>
      </c>
      <c r="P295" s="64">
        <f>IF(AND(AND(B295="Autumn",SUM(D294:E295)&gt;0),NOT(H294=0)),Variables!$B$18*Variables!$E$50+Variables!$B$19*Variables!$E$50*SUM(E294:E295)+$G$1*Variables!$B$19*Variables!$E$50*SUM(D294:D295),0)</f>
        <v>0</v>
      </c>
      <c r="Q295" s="64">
        <f>IF(AND(B295="Autumn",AND((E295+E294)&lt;Variables!$B$20,(D294+D295)=0)),-Variables!$B$21*Variables!$E$50,0)</f>
        <v>0</v>
      </c>
      <c r="R295" s="64">
        <f>IF(B295="Autumn",(SUM(F294:F295)*$G$1*Variables!$B$22*Variables!$E$50),0)</f>
        <v>0</v>
      </c>
      <c r="S295" s="64">
        <f>IF(B295="Spring",($G$1*Variables!$E$50*SUM('Guts (option 2)'!F294:F295)*Variables!$B$23),0)</f>
        <v>0</v>
      </c>
      <c r="T295" s="63">
        <f>IF((H294+SUM(J295:Q295))&lt;(Variables!$B$26*Variables!$E$50),$F$1*((Variables!$B$26*Variables!$E$50)-H294-SUM(J295:Q295)),0)</f>
        <v>0</v>
      </c>
      <c r="U295" s="64">
        <f>IF(AND(AND(B295="Autumn",SUM(D292:E295)&gt;Variables!$B$27),SUM(J295:Q295)&lt;Variables!$B$28*H294),$F$1*(Variables!$B$28*H294-SUM(J295:Q295)),0)</f>
        <v>0</v>
      </c>
      <c r="V295" s="96">
        <f>IF(AND((J295+K295)=0,(Q295+T295)=0),$H$1*H295*Variables!$I$23*0.25,0)</f>
        <v>14.550586459206372</v>
      </c>
      <c r="W295" s="97">
        <f>IF(AND((K295+J295)=0,(T295+Q295)=0),$I$1*H295*Variables!$Q$23*0.25,0)</f>
        <v>15.230615320692204</v>
      </c>
      <c r="X295" s="95">
        <f>IF(AND(NOT(K295=0),(H295-H294)&gt;0),(H295-H294)*(Variables!$M$5*$H$1+Variables!$U$5*$I$1),0)+IF(AND(NOT((J295+N295+Q295)=0),(H294-H295)&gt;0),(H294-H295)*(Variables!$M$4*$H$1+Variables!$U$4*$I$1),0)</f>
        <v>0</v>
      </c>
      <c r="Y295" s="95">
        <f>IF(SUM(T295,U294:U295)&gt;0,H295*Variables!$Y$11*0.25*(1-$J$1),0)</f>
        <v>0</v>
      </c>
      <c r="Z295" s="95">
        <f>IF(T295=0,H295*$J$1*Variables!$Y$5*0.25,0)</f>
        <v>4.9080475234931438</v>
      </c>
      <c r="AA295" s="95">
        <f t="shared" si="9"/>
        <v>34.689249303391719</v>
      </c>
      <c r="AB295" s="91">
        <f>AA295/Variables!$E$49</f>
        <v>5.5950402102244707</v>
      </c>
    </row>
    <row r="296" spans="1:28" x14ac:dyDescent="0.25">
      <c r="A296" s="61">
        <f>'Water runs'!C303</f>
        <v>29006</v>
      </c>
      <c r="B296" s="61" t="str">
        <f>'Water runs'!B303</f>
        <v>Autumn</v>
      </c>
      <c r="C296" s="54">
        <f>'Water runs'!D303/100</f>
        <v>0.74047619047618995</v>
      </c>
      <c r="D296" s="108">
        <f>VLOOKUP(ROW(D296)+4,'Water runs'!$BS$3:$CF$423,MATCH($B$1,Scenarios,0)+1)</f>
        <v>3.2486401317508452E-3</v>
      </c>
      <c r="E296" s="54">
        <f>IF(B296=Variables!$D$8,C296-Variables!$E$8,IF(B296=Variables!$D$9,C296-Variables!$E$9,IF(B296=Variables!$D$10,C296-Variables!$E$10,IF(B296=Variables!$D$11,C296-Variables!$E$11,"ELSE"))))</f>
        <v>-0.25416710884353788</v>
      </c>
      <c r="F296" s="108">
        <f>VLOOKUP(ROW(F296)+4,'Water runs'!$CH$3:$CU$423,MATCH($B$1,Scenarios,0)+1)</f>
        <v>0</v>
      </c>
      <c r="G296" s="65">
        <f>H296/Variables!$E$49</f>
        <v>0.36536333921785191</v>
      </c>
      <c r="H296" s="62">
        <f>IF((H295+I296)&gt;(1.1*Variables!$E$50),(1.1*Variables!$E$50),IF((H295+I296)&gt;0,H295+I296,0))</f>
        <v>2.2652527031506819</v>
      </c>
      <c r="I296" s="64">
        <f t="shared" si="8"/>
        <v>0</v>
      </c>
      <c r="J296" s="63">
        <f>IF(SUM(E292:E295)&lt;Variables!$B$3,-H295,0)</f>
        <v>0</v>
      </c>
      <c r="K296" s="64">
        <f>IF(AND(H295&lt;Variables!$B$6*Variables!$E$50,OR(SUM(D293:D296)&gt;Variables!$B$5,SUM(E293:E296)&gt;Variables!$B$4)),Variables!$B$6*Variables!$E$50+Variables!$B$7*$G$1*Variables!$E$50*SUM(D293:D296),0)</f>
        <v>0</v>
      </c>
      <c r="L296" s="64">
        <f>IF(B296="Winter",Variables!$B$8*H295,0)</f>
        <v>0</v>
      </c>
      <c r="M296" s="64">
        <f>IF(AND(B296="Spring",AND(NOT(H295=0),H295&lt;(Variables!$B$9*Variables!$E$50))),(Variables!$B$10*Variables!$E$50+Variables!$B$11*Variables!$E$50*SUM(E293:E296)+$G$1*SUM(D295:D296)*Variables!$E$50*Variables!$B$12),0)</f>
        <v>0</v>
      </c>
      <c r="N296" s="64">
        <f>IF(AND(B296="Spring",AND(SUM(D293:D296)&gt;Variables!$B$13,SUM(D289:D292)&gt;Variables!$B$13)),-Variables!$B$14*Variables!$E$50,0)</f>
        <v>0</v>
      </c>
      <c r="O296" s="64">
        <f>IF(AND(B296="Summer",SUM(C292:D296)&gt;Variables!$B$15),(Variables!$B$16*Variables!$E$50*SUM(C292:C296)+$G$1*Variables!$B$16*Variables!$E$50*SUM(D292:D296)+$G$1*Variables!$E$50*Variables!$B$17*F296),0)</f>
        <v>0</v>
      </c>
      <c r="P296" s="64">
        <f>IF(AND(AND(B296="Autumn",SUM(D295:E296)&gt;0),NOT(H295=0)),Variables!$B$18*Variables!$E$50+Variables!$B$19*Variables!$E$50*SUM(E295:E296)+$G$1*Variables!$B$19*Variables!$E$50*SUM(D295:D296),0)</f>
        <v>0</v>
      </c>
      <c r="Q296" s="64">
        <f>IF(AND(B296="Autumn",AND((E296+E295)&lt;Variables!$B$20,(D295+D296)=0)),-Variables!$B$21*Variables!$E$50,0)</f>
        <v>0</v>
      </c>
      <c r="R296" s="64">
        <f>IF(B296="Autumn",(SUM(F295:F296)*$G$1*Variables!$B$22*Variables!$E$50),0)</f>
        <v>0</v>
      </c>
      <c r="S296" s="64">
        <f>IF(B296="Spring",($G$1*Variables!$E$50*SUM('Guts (option 2)'!F295:F296)*Variables!$B$23),0)</f>
        <v>0</v>
      </c>
      <c r="T296" s="63">
        <f>IF((H295+SUM(J296:Q296))&lt;(Variables!$B$26*Variables!$E$50),$F$1*((Variables!$B$26*Variables!$E$50)-H295-SUM(J296:Q296)),0)</f>
        <v>0</v>
      </c>
      <c r="U296" s="64">
        <f>IF(AND(AND(B296="Autumn",SUM(D293:E296)&gt;Variables!$B$27),SUM(J296:Q296)&lt;Variables!$B$28*H295),$F$1*(Variables!$B$28*H295-SUM(J296:Q296)),0)</f>
        <v>0</v>
      </c>
      <c r="V296" s="96">
        <f>IF(AND((J296+K296)=0,(Q296+T296)=0),$H$1*H296*Variables!$I$23*0.25,0)</f>
        <v>14.550586459206372</v>
      </c>
      <c r="W296" s="97">
        <f>IF(AND((K296+J296)=0,(T296+Q296)=0),$I$1*H296*Variables!$Q$23*0.25,0)</f>
        <v>15.230615320692204</v>
      </c>
      <c r="X296" s="95">
        <f>IF(AND(NOT(K296=0),(H296-H295)&gt;0),(H296-H295)*(Variables!$M$5*$H$1+Variables!$U$5*$I$1),0)+IF(AND(NOT((J296+N296+Q296)=0),(H295-H296)&gt;0),(H295-H296)*(Variables!$M$4*$H$1+Variables!$U$4*$I$1),0)</f>
        <v>0</v>
      </c>
      <c r="Y296" s="95">
        <f>IF(SUM(T296,U295:U296)&gt;0,H296*Variables!$Y$11*0.25*(1-$J$1),0)</f>
        <v>0</v>
      </c>
      <c r="Z296" s="95">
        <f>IF(T296=0,H296*$J$1*Variables!$Y$5*0.25,0)</f>
        <v>4.9080475234931438</v>
      </c>
      <c r="AA296" s="95">
        <f t="shared" si="9"/>
        <v>34.689249303391719</v>
      </c>
      <c r="AB296" s="91">
        <f>AA296/Variables!$E$49</f>
        <v>5.5950402102244707</v>
      </c>
    </row>
    <row r="297" spans="1:28" x14ac:dyDescent="0.25">
      <c r="A297" s="61">
        <f>'Water runs'!C304</f>
        <v>29098</v>
      </c>
      <c r="B297" s="61" t="str">
        <f>'Water runs'!B304</f>
        <v>Winter</v>
      </c>
      <c r="C297" s="54">
        <f>'Water runs'!D304/100</f>
        <v>0.16571428571428601</v>
      </c>
      <c r="D297" s="108">
        <f>VLOOKUP(ROW(D297)+4,'Water runs'!$BS$3:$CF$423,MATCH($B$1,Scenarios,0)+1)</f>
        <v>0</v>
      </c>
      <c r="E297" s="54">
        <f>IF(B297=Variables!$D$8,C297-Variables!$E$8,IF(B297=Variables!$D$9,C297-Variables!$E$9,IF(B297=Variables!$D$10,C297-Variables!$E$10,IF(B297=Variables!$D$11,C297-Variables!$E$11,"ELSE"))))</f>
        <v>-0.4060533399470897</v>
      </c>
      <c r="F297" s="108">
        <f>VLOOKUP(ROW(F297)+4,'Water runs'!$CH$3:$CU$423,MATCH($B$1,Scenarios,0)+1)</f>
        <v>0</v>
      </c>
      <c r="G297" s="65">
        <f>H297/Variables!$E$49</f>
        <v>0.18343240126918028</v>
      </c>
      <c r="H297" s="62">
        <f>IF((H296+I297)&gt;(1.1*Variables!$E$50),(1.1*Variables!$E$50),IF((H296+I297)&gt;0,H296+I297,0))</f>
        <v>1.1372808878689178</v>
      </c>
      <c r="I297" s="64">
        <f t="shared" si="8"/>
        <v>-1.1279718152817642</v>
      </c>
      <c r="J297" s="63">
        <f>IF(SUM(E293:E296)&lt;Variables!$B$3,-H296,0)</f>
        <v>0</v>
      </c>
      <c r="K297" s="64">
        <f>IF(AND(H296&lt;Variables!$B$6*Variables!$E$50,OR(SUM(D294:D297)&gt;Variables!$B$5,SUM(E294:E297)&gt;Variables!$B$4)),Variables!$B$6*Variables!$E$50+Variables!$B$7*$G$1*Variables!$E$50*SUM(D294:D297),0)</f>
        <v>0</v>
      </c>
      <c r="L297" s="64">
        <f>IF(B297="Winter",Variables!$B$8*H296,0)</f>
        <v>-1.1279718152817642</v>
      </c>
      <c r="M297" s="64">
        <f>IF(AND(B297="Spring",AND(NOT(H296=0),H296&lt;(Variables!$B$9*Variables!$E$50))),(Variables!$B$10*Variables!$E$50+Variables!$B$11*Variables!$E$50*SUM(E294:E297)+$G$1*SUM(D296:D297)*Variables!$E$50*Variables!$B$12),0)</f>
        <v>0</v>
      </c>
      <c r="N297" s="64">
        <f>IF(AND(B297="Spring",AND(SUM(D294:D297)&gt;Variables!$B$13,SUM(D290:D293)&gt;Variables!$B$13)),-Variables!$B$14*Variables!$E$50,0)</f>
        <v>0</v>
      </c>
      <c r="O297" s="64">
        <f>IF(AND(B297="Summer",SUM(C293:D297)&gt;Variables!$B$15),(Variables!$B$16*Variables!$E$50*SUM(C293:C297)+$G$1*Variables!$B$16*Variables!$E$50*SUM(D293:D297)+$G$1*Variables!$E$50*Variables!$B$17*F297),0)</f>
        <v>0</v>
      </c>
      <c r="P297" s="64">
        <f>IF(AND(AND(B297="Autumn",SUM(D296:E297)&gt;0),NOT(H296=0)),Variables!$B$18*Variables!$E$50+Variables!$B$19*Variables!$E$50*SUM(E296:E297)+$G$1*Variables!$B$19*Variables!$E$50*SUM(D296:D297),0)</f>
        <v>0</v>
      </c>
      <c r="Q297" s="64">
        <f>IF(AND(B297="Autumn",AND((E297+E296)&lt;Variables!$B$20,(D296+D297)=0)),-Variables!$B$21*Variables!$E$50,0)</f>
        <v>0</v>
      </c>
      <c r="R297" s="64">
        <f>IF(B297="Autumn",(SUM(F296:F297)*$G$1*Variables!$B$22*Variables!$E$50),0)</f>
        <v>0</v>
      </c>
      <c r="S297" s="64">
        <f>IF(B297="Spring",($G$1*Variables!$E$50*SUM('Guts (option 2)'!F296:F297)*Variables!$B$23),0)</f>
        <v>0</v>
      </c>
      <c r="T297" s="63">
        <f>IF((H296+SUM(J297:Q297))&lt;(Variables!$B$26*Variables!$E$50),$F$1*((Variables!$B$26*Variables!$E$50)-H296-SUM(J297:Q297)),0)</f>
        <v>0</v>
      </c>
      <c r="U297" s="64">
        <f>IF(AND(AND(B297="Autumn",SUM(D294:E297)&gt;Variables!$B$27),SUM(J297:Q297)&lt;Variables!$B$28*H296),$F$1*(Variables!$B$28*H296-SUM(J297:Q297)),0)</f>
        <v>0</v>
      </c>
      <c r="V297" s="96">
        <f>IF(AND((J297+K297)=0,(Q297+T297)=0),$H$1*H297*Variables!$I$23*0.25,0)</f>
        <v>7.3051911004557422</v>
      </c>
      <c r="W297" s="97">
        <f>IF(AND((K297+J297)=0,(T297+Q297)=0),$I$1*H297*Variables!$Q$23*0.25,0)</f>
        <v>7.64660282299399</v>
      </c>
      <c r="X297" s="95">
        <f>IF(AND(NOT(K297=0),(H297-H296)&gt;0),(H297-H296)*(Variables!$M$5*$H$1+Variables!$U$5*$I$1),0)+IF(AND(NOT((J297+N297+Q297)=0),(H296-H297)&gt;0),(H296-H297)*(Variables!$M$4*$H$1+Variables!$U$4*$I$1),0)</f>
        <v>0</v>
      </c>
      <c r="Y297" s="95">
        <f>IF(SUM(T297,U296:U297)&gt;0,H297*Variables!$Y$11*0.25*(1-$J$1),0)</f>
        <v>0</v>
      </c>
      <c r="Z297" s="95">
        <f>IF(T297=0,H297*$J$1*Variables!$Y$5*0.25,0)</f>
        <v>2.4641085903826552</v>
      </c>
      <c r="AA297" s="95">
        <f t="shared" si="9"/>
        <v>17.415902513832386</v>
      </c>
      <c r="AB297" s="91">
        <f>AA297/Variables!$E$49</f>
        <v>2.8090165344890945</v>
      </c>
    </row>
    <row r="298" spans="1:28" x14ac:dyDescent="0.25">
      <c r="A298" s="61">
        <f>'Water runs'!C305</f>
        <v>29189</v>
      </c>
      <c r="B298" s="61" t="str">
        <f>'Water runs'!B305</f>
        <v>Spring</v>
      </c>
      <c r="C298" s="54">
        <f>'Water runs'!D305/100</f>
        <v>0.801160714285714</v>
      </c>
      <c r="D298" s="108">
        <f>VLOOKUP(ROW(D298)+4,'Water runs'!$BS$3:$CF$423,MATCH($B$1,Scenarios,0)+1)</f>
        <v>0</v>
      </c>
      <c r="E298" s="54">
        <f>IF(B298=Variables!$D$8,C298-Variables!$E$8,IF(B298=Variables!$D$9,C298-Variables!$E$9,IF(B298=Variables!$D$10,C298-Variables!$E$10,IF(B298=Variables!$D$11,C298-Variables!$E$11,"ELSE"))))</f>
        <v>3.717850529100486E-2</v>
      </c>
      <c r="F298" s="108">
        <f>VLOOKUP(ROW(F298)+4,'Water runs'!$CH$3:$CU$423,MATCH($B$1,Scenarios,0)+1)</f>
        <v>0</v>
      </c>
      <c r="G298" s="65">
        <f>H298/Variables!$E$49</f>
        <v>0.161</v>
      </c>
      <c r="H298" s="62">
        <f>IF((H297+I298)&gt;(1.1*Variables!$E$50),(1.1*Variables!$E$50),IF((H297+I298)&gt;0,H297+I298,0))</f>
        <v>0.99820000000000009</v>
      </c>
      <c r="I298" s="64">
        <f t="shared" si="8"/>
        <v>-0.1390808878689177</v>
      </c>
      <c r="J298" s="63">
        <f>IF(SUM(E294:E297)&lt;Variables!$B$3,-H297,0)</f>
        <v>0</v>
      </c>
      <c r="K298" s="64">
        <f>IF(AND(H297&lt;Variables!$B$6*Variables!$E$50,OR(SUM(D295:D298)&gt;Variables!$B$5,SUM(E295:E298)&gt;Variables!$B$4)),Variables!$B$6*Variables!$E$50+Variables!$B$7*$G$1*Variables!$E$50*SUM(D295:D298),0)</f>
        <v>0</v>
      </c>
      <c r="L298" s="64">
        <f>IF(B298="Winter",Variables!$B$8*H297,0)</f>
        <v>0</v>
      </c>
      <c r="M298" s="64">
        <f>IF(AND(B298="Spring",AND(NOT(H297=0),H297&lt;(Variables!$B$9*Variables!$E$50))),(Variables!$B$10*Variables!$E$50+Variables!$B$11*Variables!$E$50*SUM(E295:E298)+$G$1*SUM(D297:D298)*Variables!$E$50*Variables!$B$12),0)</f>
        <v>-0.64402988669384531</v>
      </c>
      <c r="N298" s="64">
        <f>IF(AND(B298="Spring",AND(SUM(D295:D298)&gt;Variables!$B$13,SUM(D291:D294)&gt;Variables!$B$13)),-Variables!$B$14*Variables!$E$50,0)</f>
        <v>0</v>
      </c>
      <c r="O298" s="64">
        <f>IF(AND(B298="Summer",SUM(C294:D298)&gt;Variables!$B$15),(Variables!$B$16*Variables!$E$50*SUM(C294:C298)+$G$1*Variables!$B$16*Variables!$E$50*SUM(D294:D298)+$G$1*Variables!$E$50*Variables!$B$17*F298),0)</f>
        <v>0</v>
      </c>
      <c r="P298" s="64">
        <f>IF(AND(AND(B298="Autumn",SUM(D297:E298)&gt;0),NOT(H297=0)),Variables!$B$18*Variables!$E$50+Variables!$B$19*Variables!$E$50*SUM(E297:E298)+$G$1*Variables!$B$19*Variables!$E$50*SUM(D297:D298),0)</f>
        <v>0</v>
      </c>
      <c r="Q298" s="64">
        <f>IF(AND(B298="Autumn",AND((E298+E297)&lt;Variables!$B$20,(D297+D298)=0)),-Variables!$B$21*Variables!$E$50,0)</f>
        <v>0</v>
      </c>
      <c r="R298" s="64">
        <f>IF(B298="Autumn",(SUM(F297:F298)*$G$1*Variables!$B$22*Variables!$E$50),0)</f>
        <v>0</v>
      </c>
      <c r="S298" s="64">
        <f>IF(B298="Spring",($G$1*Variables!$E$50*SUM('Guts (option 2)'!F297:F298)*Variables!$B$23),0)</f>
        <v>0</v>
      </c>
      <c r="T298" s="63">
        <f>IF((H297+SUM(J298:Q298))&lt;(Variables!$B$26*Variables!$E$50),$F$1*((Variables!$B$26*Variables!$E$50)-H297-SUM(J298:Q298)),0)</f>
        <v>0.50494899882492761</v>
      </c>
      <c r="U298" s="64">
        <f>IF(AND(AND(B298="Autumn",SUM(D295:E298)&gt;Variables!$B$27),SUM(J298:Q298)&lt;Variables!$B$28*H297),$F$1*(Variables!$B$28*H297-SUM(J298:Q298)),0)</f>
        <v>0</v>
      </c>
      <c r="V298" s="96">
        <f>IF(AND((J298+K298)=0,(Q298+T298)=0),$H$1*H298*Variables!$I$23*0.25,0)</f>
        <v>0</v>
      </c>
      <c r="W298" s="97">
        <f>IF(AND((K298+J298)=0,(T298+Q298)=0),$I$1*H298*Variables!$Q$23*0.25,0)</f>
        <v>0</v>
      </c>
      <c r="X298" s="95">
        <f>IF(AND(NOT(K298=0),(H298-H297)&gt;0),(H298-H297)*(Variables!$M$5*$H$1+Variables!$U$5*$I$1),0)+IF(AND(NOT((J298+N298+Q298)=0),(H297-H298)&gt;0),(H297-H298)*(Variables!$M$4*$H$1+Variables!$U$4*$I$1),0)</f>
        <v>0</v>
      </c>
      <c r="Y298" s="95">
        <f>IF(SUM(T298,U297:U298)&gt;0,H298*Variables!$Y$11*0.25*(1-$J$1),0)</f>
        <v>-6.9874000000000018</v>
      </c>
      <c r="Z298" s="95">
        <f>IF(T298=0,H298*$J$1*Variables!$Y$5*0.25,0)</f>
        <v>0</v>
      </c>
      <c r="AA298" s="95">
        <f t="shared" si="9"/>
        <v>-6.9874000000000018</v>
      </c>
      <c r="AB298" s="91">
        <f>AA298/Variables!$E$49</f>
        <v>-1.1270000000000002</v>
      </c>
    </row>
    <row r="299" spans="1:28" x14ac:dyDescent="0.25">
      <c r="A299" s="61">
        <f>'Water runs'!C306</f>
        <v>29279</v>
      </c>
      <c r="B299" s="61" t="str">
        <f>'Water runs'!B306</f>
        <v>Summer</v>
      </c>
      <c r="C299" s="54">
        <f>'Water runs'!D306/100</f>
        <v>0.20782142857142902</v>
      </c>
      <c r="D299" s="108">
        <f>VLOOKUP(ROW(D299)+4,'Water runs'!$BS$3:$CF$423,MATCH($B$1,Scenarios,0)+1)</f>
        <v>0</v>
      </c>
      <c r="E299" s="54">
        <f>IF(B299=Variables!$D$8,C299-Variables!$E$8,IF(B299=Variables!$D$9,C299-Variables!$E$9,IF(B299=Variables!$D$10,C299-Variables!$E$10,IF(B299=Variables!$D$11,C299-Variables!$E$11,"ELSE"))))</f>
        <v>-1.0505487074829927</v>
      </c>
      <c r="F299" s="108">
        <f>VLOOKUP(ROW(F299)+4,'Water runs'!$CH$3:$CU$423,MATCH($B$1,Scenarios,0)+1)</f>
        <v>0</v>
      </c>
      <c r="G299" s="65">
        <f>H299/Variables!$E$49</f>
        <v>0.161</v>
      </c>
      <c r="H299" s="62">
        <f>IF((H298+I299)&gt;(1.1*Variables!$E$50),(1.1*Variables!$E$50),IF((H298+I299)&gt;0,H298+I299,0))</f>
        <v>0.99820000000000009</v>
      </c>
      <c r="I299" s="64">
        <f t="shared" si="8"/>
        <v>0</v>
      </c>
      <c r="J299" s="63">
        <f>IF(SUM(E295:E298)&lt;Variables!$B$3,-H298,0)</f>
        <v>0</v>
      </c>
      <c r="K299" s="64">
        <f>IF(AND(H298&lt;Variables!$B$6*Variables!$E$50,OR(SUM(D296:D299)&gt;Variables!$B$5,SUM(E296:E299)&gt;Variables!$B$4)),Variables!$B$6*Variables!$E$50+Variables!$B$7*$G$1*Variables!$E$50*SUM(D296:D299),0)</f>
        <v>0</v>
      </c>
      <c r="L299" s="64">
        <f>IF(B299="Winter",Variables!$B$8*H298,0)</f>
        <v>0</v>
      </c>
      <c r="M299" s="64">
        <f>IF(AND(B299="Spring",AND(NOT(H298=0),H298&lt;(Variables!$B$9*Variables!$E$50))),(Variables!$B$10*Variables!$E$50+Variables!$B$11*Variables!$E$50*SUM(E296:E299)+$G$1*SUM(D298:D299)*Variables!$E$50*Variables!$B$12),0)</f>
        <v>0</v>
      </c>
      <c r="N299" s="64">
        <f>IF(AND(B299="Spring",AND(SUM(D296:D299)&gt;Variables!$B$13,SUM(D292:D295)&gt;Variables!$B$13)),-Variables!$B$14*Variables!$E$50,0)</f>
        <v>0</v>
      </c>
      <c r="O299" s="64">
        <f>IF(AND(B299="Summer",SUM(C295:D299)&gt;Variables!$B$15),(Variables!$B$16*Variables!$E$50*SUM(C295:C299)+$G$1*Variables!$B$16*Variables!$E$50*SUM(D295:D299)+$G$1*Variables!$E$50*Variables!$B$17*F299),0)</f>
        <v>0</v>
      </c>
      <c r="P299" s="64">
        <f>IF(AND(AND(B299="Autumn",SUM(D298:E299)&gt;0),NOT(H298=0)),Variables!$B$18*Variables!$E$50+Variables!$B$19*Variables!$E$50*SUM(E298:E299)+$G$1*Variables!$B$19*Variables!$E$50*SUM(D298:D299),0)</f>
        <v>0</v>
      </c>
      <c r="Q299" s="64">
        <f>IF(AND(B299="Autumn",AND((E299+E298)&lt;Variables!$B$20,(D298+D299)=0)),-Variables!$B$21*Variables!$E$50,0)</f>
        <v>0</v>
      </c>
      <c r="R299" s="64">
        <f>IF(B299="Autumn",(SUM(F298:F299)*$G$1*Variables!$B$22*Variables!$E$50),0)</f>
        <v>0</v>
      </c>
      <c r="S299" s="64">
        <f>IF(B299="Spring",($G$1*Variables!$E$50*SUM('Guts (option 2)'!F298:F299)*Variables!$B$23),0)</f>
        <v>0</v>
      </c>
      <c r="T299" s="63">
        <f>IF((H298+SUM(J299:Q299))&lt;(Variables!$B$26*Variables!$E$50),$F$1*((Variables!$B$26*Variables!$E$50)-H298-SUM(J299:Q299)),0)</f>
        <v>0</v>
      </c>
      <c r="U299" s="64">
        <f>IF(AND(AND(B299="Autumn",SUM(D296:E299)&gt;Variables!$B$27),SUM(J299:Q299)&lt;Variables!$B$28*H298),$F$1*(Variables!$B$28*H298-SUM(J299:Q299)),0)</f>
        <v>0</v>
      </c>
      <c r="V299" s="96">
        <f>IF(AND((J299+K299)=0,(Q299+T299)=0),$H$1*H299*Variables!$I$23*0.25,0)</f>
        <v>6.4118212433333337</v>
      </c>
      <c r="W299" s="97">
        <f>IF(AND((K299+J299)=0,(T299+Q299)=0),$I$1*H299*Variables!$Q$23*0.25,0)</f>
        <v>6.7114808833333326</v>
      </c>
      <c r="X299" s="95">
        <f>IF(AND(NOT(K299=0),(H299-H298)&gt;0),(H299-H298)*(Variables!$M$5*$H$1+Variables!$U$5*$I$1),0)+IF(AND(NOT((J299+N299+Q299)=0),(H298-H299)&gt;0),(H298-H299)*(Variables!$M$4*$H$1+Variables!$U$4*$I$1),0)</f>
        <v>0</v>
      </c>
      <c r="Y299" s="95">
        <f>IF(SUM(T299,U298:U299)&gt;0,H299*Variables!$Y$11*0.25*(1-$J$1),0)</f>
        <v>0</v>
      </c>
      <c r="Z299" s="95">
        <f>IF(T299=0,H299*$J$1*Variables!$Y$5*0.25,0)</f>
        <v>2.1627666666666667</v>
      </c>
      <c r="AA299" s="95">
        <f t="shared" si="9"/>
        <v>15.286068793333332</v>
      </c>
      <c r="AB299" s="91">
        <f>AA299/Variables!$E$49</f>
        <v>2.4654949666666663</v>
      </c>
    </row>
    <row r="300" spans="1:28" x14ac:dyDescent="0.25">
      <c r="A300" s="61">
        <f>'Water runs'!C307</f>
        <v>29372</v>
      </c>
      <c r="B300" s="61" t="str">
        <f>'Water runs'!B307</f>
        <v>Autumn</v>
      </c>
      <c r="C300" s="54">
        <f>'Water runs'!D307/100</f>
        <v>0.25989285714285698</v>
      </c>
      <c r="D300" s="108">
        <f>VLOOKUP(ROW(D300)+4,'Water runs'!$BS$3:$CF$423,MATCH($B$1,Scenarios,0)+1)</f>
        <v>0</v>
      </c>
      <c r="E300" s="54">
        <f>IF(B300=Variables!$D$8,C300-Variables!$E$8,IF(B300=Variables!$D$9,C300-Variables!$E$9,IF(B300=Variables!$D$10,C300-Variables!$E$10,IF(B300=Variables!$D$11,C300-Variables!$E$11,"ELSE"))))</f>
        <v>-0.73475044217687091</v>
      </c>
      <c r="F300" s="108">
        <f>VLOOKUP(ROW(F300)+4,'Water runs'!$CH$3:$CU$423,MATCH($B$1,Scenarios,0)+1)</f>
        <v>0</v>
      </c>
      <c r="G300" s="65">
        <f>H300/Variables!$E$49</f>
        <v>0.161</v>
      </c>
      <c r="H300" s="62">
        <f>IF((H299+I300)&gt;(1.1*Variables!$E$50),(1.1*Variables!$E$50),IF((H299+I300)&gt;0,H299+I300,0))</f>
        <v>0.99820000000000009</v>
      </c>
      <c r="I300" s="64">
        <f t="shared" si="8"/>
        <v>0</v>
      </c>
      <c r="J300" s="63">
        <f>IF(SUM(E296:E299)&lt;Variables!$B$3,-H299,0)</f>
        <v>0</v>
      </c>
      <c r="K300" s="64">
        <f>IF(AND(H299&lt;Variables!$B$6*Variables!$E$50,OR(SUM(D297:D300)&gt;Variables!$B$5,SUM(E297:E300)&gt;Variables!$B$4)),Variables!$B$6*Variables!$E$50+Variables!$B$7*$G$1*Variables!$E$50*SUM(D297:D300),0)</f>
        <v>0</v>
      </c>
      <c r="L300" s="64">
        <f>IF(B300="Winter",Variables!$B$8*H299,0)</f>
        <v>0</v>
      </c>
      <c r="M300" s="64">
        <f>IF(AND(B300="Spring",AND(NOT(H299=0),H299&lt;(Variables!$B$9*Variables!$E$50))),(Variables!$B$10*Variables!$E$50+Variables!$B$11*Variables!$E$50*SUM(E297:E300)+$G$1*SUM(D299:D300)*Variables!$E$50*Variables!$B$12),0)</f>
        <v>0</v>
      </c>
      <c r="N300" s="64">
        <f>IF(AND(B300="Spring",AND(SUM(D297:D300)&gt;Variables!$B$13,SUM(D293:D296)&gt;Variables!$B$13)),-Variables!$B$14*Variables!$E$50,0)</f>
        <v>0</v>
      </c>
      <c r="O300" s="64">
        <f>IF(AND(B300="Summer",SUM(C296:D300)&gt;Variables!$B$15),(Variables!$B$16*Variables!$E$50*SUM(C296:C300)+$G$1*Variables!$B$16*Variables!$E$50*SUM(D296:D300)+$G$1*Variables!$E$50*Variables!$B$17*F300),0)</f>
        <v>0</v>
      </c>
      <c r="P300" s="64">
        <f>IF(AND(AND(B300="Autumn",SUM(D299:E300)&gt;0),NOT(H299=0)),Variables!$B$18*Variables!$E$50+Variables!$B$19*Variables!$E$50*SUM(E299:E300)+$G$1*Variables!$B$19*Variables!$E$50*SUM(D299:D300),0)</f>
        <v>0</v>
      </c>
      <c r="Q300" s="64">
        <f>IF(AND(B300="Autumn",AND((E300+E299)&lt;Variables!$B$20,(D299+D300)=0)),-Variables!$B$21*Variables!$E$50,0)</f>
        <v>-4.0327172013864514</v>
      </c>
      <c r="R300" s="64">
        <f>IF(B300="Autumn",(SUM(F299:F300)*$G$1*Variables!$B$22*Variables!$E$50),0)</f>
        <v>0</v>
      </c>
      <c r="S300" s="64">
        <f>IF(B300="Spring",($G$1*Variables!$E$50*SUM('Guts (option 2)'!F299:F300)*Variables!$B$23),0)</f>
        <v>0</v>
      </c>
      <c r="T300" s="63">
        <f>IF((H299+SUM(J300:Q300))&lt;(Variables!$B$26*Variables!$E$50),$F$1*((Variables!$B$26*Variables!$E$50)-H299-SUM(J300:Q300)),0)</f>
        <v>4.0327172013864514</v>
      </c>
      <c r="U300" s="64">
        <f>IF(AND(AND(B300="Autumn",SUM(D297:E300)&gt;Variables!$B$27),SUM(J300:Q300)&lt;Variables!$B$28*H299),$F$1*(Variables!$B$28*H299-SUM(J300:Q300)),0)</f>
        <v>0</v>
      </c>
      <c r="V300" s="96">
        <f>IF(AND((J300+K300)=0,(Q300+T300)=0),$H$1*H300*Variables!$I$23*0.25,0)</f>
        <v>6.4118212433333337</v>
      </c>
      <c r="W300" s="97">
        <f>IF(AND((K300+J300)=0,(T300+Q300)=0),$I$1*H300*Variables!$Q$23*0.25,0)</f>
        <v>6.7114808833333326</v>
      </c>
      <c r="X300" s="95">
        <f>IF(AND(NOT(K300=0),(H300-H299)&gt;0),(H300-H299)*(Variables!$M$5*$H$1+Variables!$U$5*$I$1),0)+IF(AND(NOT((J300+N300+Q300)=0),(H299-H300)&gt;0),(H299-H300)*(Variables!$M$4*$H$1+Variables!$U$4*$I$1),0)</f>
        <v>0</v>
      </c>
      <c r="Y300" s="95">
        <f>IF(SUM(T300,U299:U300)&gt;0,H300*Variables!$Y$11*0.25*(1-$J$1),0)</f>
        <v>-6.9874000000000018</v>
      </c>
      <c r="Z300" s="95">
        <f>IF(T300=0,H300*$J$1*Variables!$Y$5*0.25,0)</f>
        <v>0</v>
      </c>
      <c r="AA300" s="95">
        <f t="shared" si="9"/>
        <v>6.1359021266666636</v>
      </c>
      <c r="AB300" s="91">
        <f>AA300/Variables!$E$49</f>
        <v>0.98966163333333279</v>
      </c>
    </row>
    <row r="301" spans="1:28" x14ac:dyDescent="0.25">
      <c r="A301" s="61">
        <f>'Water runs'!C308</f>
        <v>29464</v>
      </c>
      <c r="B301" s="61" t="str">
        <f>'Water runs'!B308</f>
        <v>Winter</v>
      </c>
      <c r="C301" s="54">
        <f>'Water runs'!D308/100</f>
        <v>9.7750000000000004E-2</v>
      </c>
      <c r="D301" s="108">
        <f>VLOOKUP(ROW(D301)+4,'Water runs'!$BS$3:$CF$423,MATCH($B$1,Scenarios,0)+1)</f>
        <v>0</v>
      </c>
      <c r="E301" s="54">
        <f>IF(B301=Variables!$D$8,C301-Variables!$E$8,IF(B301=Variables!$D$9,C301-Variables!$E$9,IF(B301=Variables!$D$10,C301-Variables!$E$10,IF(B301=Variables!$D$11,C301-Variables!$E$11,"ELSE"))))</f>
        <v>-0.47401762566137573</v>
      </c>
      <c r="F301" s="108">
        <f>VLOOKUP(ROW(F301)+4,'Water runs'!$CH$3:$CU$423,MATCH($B$1,Scenarios,0)+1)</f>
        <v>0</v>
      </c>
      <c r="G301" s="65">
        <f>H301/Variables!$E$49</f>
        <v>0.161</v>
      </c>
      <c r="H301" s="62">
        <f>IF((H300+I301)&gt;(1.1*Variables!$E$50),(1.1*Variables!$E$50),IF((H300+I301)&gt;0,H300+I301,0))</f>
        <v>0.99820000000000009</v>
      </c>
      <c r="I301" s="64">
        <f t="shared" si="8"/>
        <v>0</v>
      </c>
      <c r="J301" s="63">
        <f>IF(SUM(E297:E300)&lt;Variables!$B$3,-H300,0)</f>
        <v>-0.99820000000000009</v>
      </c>
      <c r="K301" s="64">
        <f>IF(AND(H300&lt;Variables!$B$6*Variables!$E$50,OR(SUM(D298:D301)&gt;Variables!$B$5,SUM(E298:E301)&gt;Variables!$B$4)),Variables!$B$6*Variables!$E$50+Variables!$B$7*$G$1*Variables!$E$50*SUM(D298:D301),0)</f>
        <v>0</v>
      </c>
      <c r="L301" s="64">
        <f>IF(B301="Winter",Variables!$B$8*H300,0)</f>
        <v>-0.49704894489176149</v>
      </c>
      <c r="M301" s="64">
        <f>IF(AND(B301="Spring",AND(NOT(H300=0),H300&lt;(Variables!$B$9*Variables!$E$50))),(Variables!$B$10*Variables!$E$50+Variables!$B$11*Variables!$E$50*SUM(E298:E301)+$G$1*SUM(D300:D301)*Variables!$E$50*Variables!$B$12),0)</f>
        <v>0</v>
      </c>
      <c r="N301" s="64">
        <f>IF(AND(B301="Spring",AND(SUM(D298:D301)&gt;Variables!$B$13,SUM(D294:D297)&gt;Variables!$B$13)),-Variables!$B$14*Variables!$E$50,0)</f>
        <v>0</v>
      </c>
      <c r="O301" s="64">
        <f>IF(AND(B301="Summer",SUM(C297:D301)&gt;Variables!$B$15),(Variables!$B$16*Variables!$E$50*SUM(C297:C301)+$G$1*Variables!$B$16*Variables!$E$50*SUM(D297:D301)+$G$1*Variables!$E$50*Variables!$B$17*F301),0)</f>
        <v>0</v>
      </c>
      <c r="P301" s="64">
        <f>IF(AND(AND(B301="Autumn",SUM(D300:E301)&gt;0),NOT(H300=0)),Variables!$B$18*Variables!$E$50+Variables!$B$19*Variables!$E$50*SUM(E300:E301)+$G$1*Variables!$B$19*Variables!$E$50*SUM(D300:D301),0)</f>
        <v>0</v>
      </c>
      <c r="Q301" s="64">
        <f>IF(AND(B301="Autumn",AND((E301+E300)&lt;Variables!$B$20,(D300+D301)=0)),-Variables!$B$21*Variables!$E$50,0)</f>
        <v>0</v>
      </c>
      <c r="R301" s="64">
        <f>IF(B301="Autumn",(SUM(F300:F301)*$G$1*Variables!$B$22*Variables!$E$50),0)</f>
        <v>0</v>
      </c>
      <c r="S301" s="64">
        <f>IF(B301="Spring",($G$1*Variables!$E$50*SUM('Guts (option 2)'!F300:F301)*Variables!$B$23),0)</f>
        <v>0</v>
      </c>
      <c r="T301" s="63">
        <f>IF((H300+SUM(J301:Q301))&lt;(Variables!$B$26*Variables!$E$50),$F$1*((Variables!$B$26*Variables!$E$50)-H300-SUM(J301:Q301)),0)</f>
        <v>1.4952489448917616</v>
      </c>
      <c r="U301" s="64">
        <f>IF(AND(AND(B301="Autumn",SUM(D298:E301)&gt;Variables!$B$27),SUM(J301:Q301)&lt;Variables!$B$28*H300),$F$1*(Variables!$B$28*H300-SUM(J301:Q301)),0)</f>
        <v>0</v>
      </c>
      <c r="V301" s="96">
        <f>IF(AND((J301+K301)=0,(Q301+T301)=0),$H$1*H301*Variables!$I$23*0.25,0)</f>
        <v>0</v>
      </c>
      <c r="W301" s="97">
        <f>IF(AND((K301+J301)=0,(T301+Q301)=0),$I$1*H301*Variables!$Q$23*0.25,0)</f>
        <v>0</v>
      </c>
      <c r="X301" s="95">
        <f>IF(AND(NOT(K301=0),(H301-H300)&gt;0),(H301-H300)*(Variables!$M$5*$H$1+Variables!$U$5*$I$1),0)+IF(AND(NOT((J301+N301+Q301)=0),(H300-H301)&gt;0),(H300-H301)*(Variables!$M$4*$H$1+Variables!$U$4*$I$1),0)</f>
        <v>0</v>
      </c>
      <c r="Y301" s="95">
        <f>IF(SUM(T301,U300:U301)&gt;0,H301*Variables!$Y$11*0.25*(1-$J$1),0)</f>
        <v>-6.9874000000000018</v>
      </c>
      <c r="Z301" s="95">
        <f>IF(T301=0,H301*$J$1*Variables!$Y$5*0.25,0)</f>
        <v>0</v>
      </c>
      <c r="AA301" s="95">
        <f t="shared" si="9"/>
        <v>-6.9874000000000018</v>
      </c>
      <c r="AB301" s="91">
        <f>AA301/Variables!$E$49</f>
        <v>-1.1270000000000002</v>
      </c>
    </row>
    <row r="302" spans="1:28" x14ac:dyDescent="0.25">
      <c r="A302" s="61">
        <f>'Water runs'!C309</f>
        <v>29555</v>
      </c>
      <c r="B302" s="61" t="str">
        <f>'Water runs'!B309</f>
        <v>Spring</v>
      </c>
      <c r="C302" s="54">
        <f>'Water runs'!D309/100</f>
        <v>0.14199999999999999</v>
      </c>
      <c r="D302" s="108">
        <f>VLOOKUP(ROW(D302)+4,'Water runs'!$BS$3:$CF$423,MATCH($B$1,Scenarios,0)+1)</f>
        <v>0</v>
      </c>
      <c r="E302" s="54">
        <f>IF(B302=Variables!$D$8,C302-Variables!$E$8,IF(B302=Variables!$D$9,C302-Variables!$E$9,IF(B302=Variables!$D$10,C302-Variables!$E$10,IF(B302=Variables!$D$11,C302-Variables!$E$11,"ELSE"))))</f>
        <v>-0.62198220899470913</v>
      </c>
      <c r="F302" s="108">
        <f>VLOOKUP(ROW(F302)+4,'Water runs'!$CH$3:$CU$423,MATCH($B$1,Scenarios,0)+1)</f>
        <v>0</v>
      </c>
      <c r="G302" s="65">
        <f>H302/Variables!$E$49</f>
        <v>0.161</v>
      </c>
      <c r="H302" s="62">
        <f>IF((H301+I302)&gt;(1.1*Variables!$E$50),(1.1*Variables!$E$50),IF((H301+I302)&gt;0,H301+I302,0))</f>
        <v>0.99820000000000009</v>
      </c>
      <c r="I302" s="64">
        <f t="shared" si="8"/>
        <v>0</v>
      </c>
      <c r="J302" s="63">
        <f>IF(SUM(E298:E301)&lt;Variables!$B$3,-H301,0)</f>
        <v>-0.99820000000000009</v>
      </c>
      <c r="K302" s="64">
        <f>IF(AND(H301&lt;Variables!$B$6*Variables!$E$50,OR(SUM(D299:D302)&gt;Variables!$B$5,SUM(E299:E302)&gt;Variables!$B$4)),Variables!$B$6*Variables!$E$50+Variables!$B$7*$G$1*Variables!$E$50*SUM(D299:D302),0)</f>
        <v>0</v>
      </c>
      <c r="L302" s="64">
        <f>IF(B302="Winter",Variables!$B$8*H301,0)</f>
        <v>0</v>
      </c>
      <c r="M302" s="64">
        <f>IF(AND(B302="Spring",AND(NOT(H301=0),H301&lt;(Variables!$B$9*Variables!$E$50))),(Variables!$B$10*Variables!$E$50+Variables!$B$11*Variables!$E$50*SUM(E299:E302)+$G$1*SUM(D301:D302)*Variables!$E$50*Variables!$B$12),0)</f>
        <v>-1.962342344244532</v>
      </c>
      <c r="N302" s="64">
        <f>IF(AND(B302="Spring",AND(SUM(D299:D302)&gt;Variables!$B$13,SUM(D295:D298)&gt;Variables!$B$13)),-Variables!$B$14*Variables!$E$50,0)</f>
        <v>0</v>
      </c>
      <c r="O302" s="64">
        <f>IF(AND(B302="Summer",SUM(C298:D302)&gt;Variables!$B$15),(Variables!$B$16*Variables!$E$50*SUM(C298:C302)+$G$1*Variables!$B$16*Variables!$E$50*SUM(D298:D302)+$G$1*Variables!$E$50*Variables!$B$17*F302),0)</f>
        <v>0</v>
      </c>
      <c r="P302" s="64">
        <f>IF(AND(AND(B302="Autumn",SUM(D301:E302)&gt;0),NOT(H301=0)),Variables!$B$18*Variables!$E$50+Variables!$B$19*Variables!$E$50*SUM(E301:E302)+$G$1*Variables!$B$19*Variables!$E$50*SUM(D301:D302),0)</f>
        <v>0</v>
      </c>
      <c r="Q302" s="64">
        <f>IF(AND(B302="Autumn",AND((E302+E301)&lt;Variables!$B$20,(D301+D302)=0)),-Variables!$B$21*Variables!$E$50,0)</f>
        <v>0</v>
      </c>
      <c r="R302" s="64">
        <f>IF(B302="Autumn",(SUM(F301:F302)*$G$1*Variables!$B$22*Variables!$E$50),0)</f>
        <v>0</v>
      </c>
      <c r="S302" s="64">
        <f>IF(B302="Spring",($G$1*Variables!$E$50*SUM('Guts (option 2)'!F301:F302)*Variables!$B$23),0)</f>
        <v>0</v>
      </c>
      <c r="T302" s="63">
        <f>IF((H301+SUM(J302:Q302))&lt;(Variables!$B$26*Variables!$E$50),$F$1*((Variables!$B$26*Variables!$E$50)-H301-SUM(J302:Q302)),0)</f>
        <v>2.9605423442445322</v>
      </c>
      <c r="U302" s="64">
        <f>IF(AND(AND(B302="Autumn",SUM(D299:E302)&gt;Variables!$B$27),SUM(J302:Q302)&lt;Variables!$B$28*H301),$F$1*(Variables!$B$28*H301-SUM(J302:Q302)),0)</f>
        <v>0</v>
      </c>
      <c r="V302" s="96">
        <f>IF(AND((J302+K302)=0,(Q302+T302)=0),$H$1*H302*Variables!$I$23*0.25,0)</f>
        <v>0</v>
      </c>
      <c r="W302" s="97">
        <f>IF(AND((K302+J302)=0,(T302+Q302)=0),$I$1*H302*Variables!$Q$23*0.25,0)</f>
        <v>0</v>
      </c>
      <c r="X302" s="95">
        <f>IF(AND(NOT(K302=0),(H302-H301)&gt;0),(H302-H301)*(Variables!$M$5*$H$1+Variables!$U$5*$I$1),0)+IF(AND(NOT((J302+N302+Q302)=0),(H301-H302)&gt;0),(H301-H302)*(Variables!$M$4*$H$1+Variables!$U$4*$I$1),0)</f>
        <v>0</v>
      </c>
      <c r="Y302" s="95">
        <f>IF(SUM(T302,U301:U302)&gt;0,H302*Variables!$Y$11*0.25*(1-$J$1),0)</f>
        <v>-6.9874000000000018</v>
      </c>
      <c r="Z302" s="95">
        <f>IF(T302=0,H302*$J$1*Variables!$Y$5*0.25,0)</f>
        <v>0</v>
      </c>
      <c r="AA302" s="95">
        <f t="shared" si="9"/>
        <v>-6.9874000000000018</v>
      </c>
      <c r="AB302" s="91">
        <f>AA302/Variables!$E$49</f>
        <v>-1.1270000000000002</v>
      </c>
    </row>
    <row r="303" spans="1:28" x14ac:dyDescent="0.25">
      <c r="A303" s="61">
        <f>'Water runs'!C310</f>
        <v>29645</v>
      </c>
      <c r="B303" s="61" t="str">
        <f>'Water runs'!B310</f>
        <v>Summer</v>
      </c>
      <c r="C303" s="54">
        <f>'Water runs'!D310/100</f>
        <v>0.90635714285714297</v>
      </c>
      <c r="D303" s="108">
        <f>VLOOKUP(ROW(D303)+4,'Water runs'!$BS$3:$CF$423,MATCH($B$1,Scenarios,0)+1)</f>
        <v>0.20029295560534921</v>
      </c>
      <c r="E303" s="54">
        <f>IF(B303=Variables!$D$8,C303-Variables!$E$8,IF(B303=Variables!$D$9,C303-Variables!$E$9,IF(B303=Variables!$D$10,C303-Variables!$E$10,IF(B303=Variables!$D$11,C303-Variables!$E$11,"ELSE"))))</f>
        <v>-0.35201299319727875</v>
      </c>
      <c r="F303" s="108">
        <f>VLOOKUP(ROW(F303)+4,'Water runs'!$CH$3:$CU$423,MATCH($B$1,Scenarios,0)+1)</f>
        <v>0</v>
      </c>
      <c r="G303" s="65">
        <f>H303/Variables!$E$49</f>
        <v>0.18570449305220152</v>
      </c>
      <c r="H303" s="62">
        <f>IF((H302+I303)&gt;(1.1*Variables!$E$50),(1.1*Variables!$E$50),IF((H302+I303)&gt;0,H302+I303,0))</f>
        <v>1.1513678569236494</v>
      </c>
      <c r="I303" s="64">
        <f t="shared" si="8"/>
        <v>0.15316785692364931</v>
      </c>
      <c r="J303" s="63">
        <f>IF(SUM(E299:E302)&lt;Variables!$B$3,-H302,0)</f>
        <v>-0.99820000000000009</v>
      </c>
      <c r="K303" s="64">
        <f>IF(AND(H302&lt;Variables!$B$6*Variables!$E$50,OR(SUM(D300:D303)&gt;Variables!$B$5,SUM(E300:E303)&gt;Variables!$B$4)),Variables!$B$6*Variables!$E$50+Variables!$B$7*$G$1*Variables!$E$50*SUM(D300:D303),0)</f>
        <v>1.1513678569236494</v>
      </c>
      <c r="L303" s="64">
        <f>IF(B303="Winter",Variables!$B$8*H302,0)</f>
        <v>0</v>
      </c>
      <c r="M303" s="64">
        <f>IF(AND(B303="Spring",AND(NOT(H302=0),H302&lt;(Variables!$B$9*Variables!$E$50))),(Variables!$B$10*Variables!$E$50+Variables!$B$11*Variables!$E$50*SUM(E300:E303)+$G$1*SUM(D302:D303)*Variables!$E$50*Variables!$B$12),0)</f>
        <v>0</v>
      </c>
      <c r="N303" s="64">
        <f>IF(AND(B303="Spring",AND(SUM(D300:D303)&gt;Variables!$B$13,SUM(D296:D299)&gt;Variables!$B$13)),-Variables!$B$14*Variables!$E$50,0)</f>
        <v>0</v>
      </c>
      <c r="O303" s="64">
        <f>IF(AND(B303="Summer",SUM(C299:D303)&gt;Variables!$B$15),(Variables!$B$16*Variables!$E$50*SUM(C299:C303)+$G$1*Variables!$B$16*Variables!$E$50*SUM(D299:D303)+$G$1*Variables!$E$50*Variables!$B$17*F303),0)</f>
        <v>0</v>
      </c>
      <c r="P303" s="64">
        <f>IF(AND(AND(B303="Autumn",SUM(D302:E303)&gt;0),NOT(H302=0)),Variables!$B$18*Variables!$E$50+Variables!$B$19*Variables!$E$50*SUM(E302:E303)+$G$1*Variables!$B$19*Variables!$E$50*SUM(D302:D303),0)</f>
        <v>0</v>
      </c>
      <c r="Q303" s="64">
        <f>IF(AND(B303="Autumn",AND((E303+E302)&lt;Variables!$B$20,(D302+D303)=0)),-Variables!$B$21*Variables!$E$50,0)</f>
        <v>0</v>
      </c>
      <c r="R303" s="64">
        <f>IF(B303="Autumn",(SUM(F302:F303)*$G$1*Variables!$B$22*Variables!$E$50),0)</f>
        <v>0</v>
      </c>
      <c r="S303" s="64">
        <f>IF(B303="Spring",($G$1*Variables!$E$50*SUM('Guts (option 2)'!F302:F303)*Variables!$B$23),0)</f>
        <v>0</v>
      </c>
      <c r="T303" s="63">
        <f>IF((H302+SUM(J303:Q303))&lt;(Variables!$B$26*Variables!$E$50),$F$1*((Variables!$B$26*Variables!$E$50)-H302-SUM(J303:Q303)),0)</f>
        <v>0</v>
      </c>
      <c r="U303" s="64">
        <f>IF(AND(AND(B303="Autumn",SUM(D300:E303)&gt;Variables!$B$27),SUM(J303:Q303)&lt;Variables!$B$28*H302),$F$1*(Variables!$B$28*H302-SUM(J303:Q303)),0)</f>
        <v>0</v>
      </c>
      <c r="V303" s="96">
        <f>IF(AND((J303+K303)=0,(Q303+T303)=0),$H$1*H303*Variables!$I$23*0.25,0)</f>
        <v>0</v>
      </c>
      <c r="W303" s="97">
        <f>IF(AND((K303+J303)=0,(T303+Q303)=0),$I$1*H303*Variables!$Q$23*0.25,0)</f>
        <v>0</v>
      </c>
      <c r="X303" s="95">
        <f>IF(AND(NOT(K303=0),(H303-H302)&gt;0),(H303-H302)*(Variables!$M$5*$H$1+Variables!$U$5*$I$1),0)+IF(AND(NOT((J303+N303+Q303)=0),(H302-H303)&gt;0),(H302-H303)*(Variables!$M$4*$H$1+Variables!$U$4*$I$1),0)</f>
        <v>-12.763988076970776</v>
      </c>
      <c r="Y303" s="95">
        <f>IF(SUM(T303,U302:U303)&gt;0,H303*Variables!$Y$11*0.25*(1-$J$1),0)</f>
        <v>0</v>
      </c>
      <c r="Z303" s="95">
        <f>IF(T303=0,H303*$J$1*Variables!$Y$5*0.25,0)</f>
        <v>2.4946303566679071</v>
      </c>
      <c r="AA303" s="95">
        <f t="shared" si="9"/>
        <v>-10.269357720302869</v>
      </c>
      <c r="AB303" s="91">
        <f>AA303/Variables!$E$49</f>
        <v>-1.6563480194036886</v>
      </c>
    </row>
    <row r="304" spans="1:28" x14ac:dyDescent="0.25">
      <c r="A304" s="61">
        <f>'Water runs'!C311</f>
        <v>29737</v>
      </c>
      <c r="B304" s="61" t="str">
        <f>'Water runs'!B311</f>
        <v>Autumn</v>
      </c>
      <c r="C304" s="54">
        <f>'Water runs'!D311/100</f>
        <v>1.3674464285714298</v>
      </c>
      <c r="D304" s="108">
        <f>VLOOKUP(ROW(D304)+4,'Water runs'!$BS$3:$CF$423,MATCH($B$1,Scenarios,0)+1)</f>
        <v>0.14407398316692926</v>
      </c>
      <c r="E304" s="54">
        <f>IF(B304=Variables!$D$8,C304-Variables!$E$8,IF(B304=Variables!$D$9,C304-Variables!$E$9,IF(B304=Variables!$D$10,C304-Variables!$E$10,IF(B304=Variables!$D$11,C304-Variables!$E$11,"ELSE"))))</f>
        <v>0.372803129251702</v>
      </c>
      <c r="F304" s="108">
        <f>VLOOKUP(ROW(F304)+4,'Water runs'!$CH$3:$CU$423,MATCH($B$1,Scenarios,0)+1)</f>
        <v>0.32226383423463367</v>
      </c>
      <c r="G304" s="65">
        <f>H304/Variables!$E$49</f>
        <v>0.16832325342417667</v>
      </c>
      <c r="H304" s="62">
        <f>IF((H303+I304)&gt;(1.1*Variables!$E$50),(1.1*Variables!$E$50),IF((H303+I304)&gt;0,H303+I304,0))</f>
        <v>1.0436041712298953</v>
      </c>
      <c r="I304" s="64">
        <f t="shared" si="8"/>
        <v>-0.10776368569375394</v>
      </c>
      <c r="J304" s="63">
        <f>IF(SUM(E300:E303)&lt;Variables!$B$3,-H303,0)</f>
        <v>-1.1513678569236494</v>
      </c>
      <c r="K304" s="64">
        <f>IF(AND(H303&lt;Variables!$B$6*Variables!$E$50,OR(SUM(D301:D304)&gt;Variables!$B$5,SUM(E301:E304)&gt;Variables!$B$4)),Variables!$B$6*Variables!$E$50+Variables!$B$7*$G$1*Variables!$E$50*SUM(D301:D304),0)</f>
        <v>0</v>
      </c>
      <c r="L304" s="64">
        <f>IF(B304="Winter",Variables!$B$8*H303,0)</f>
        <v>0</v>
      </c>
      <c r="M304" s="64">
        <f>IF(AND(B304="Spring",AND(NOT(H303=0),H303&lt;(Variables!$B$9*Variables!$E$50))),(Variables!$B$10*Variables!$E$50+Variables!$B$11*Variables!$E$50*SUM(E301:E304)+$G$1*SUM(D303:D304)*Variables!$E$50*Variables!$B$12),0)</f>
        <v>0</v>
      </c>
      <c r="N304" s="64">
        <f>IF(AND(B304="Spring",AND(SUM(D301:D304)&gt;Variables!$B$13,SUM(D297:D300)&gt;Variables!$B$13)),-Variables!$B$14*Variables!$E$50,0)</f>
        <v>0</v>
      </c>
      <c r="O304" s="64">
        <f>IF(AND(B304="Summer",SUM(C300:D304)&gt;Variables!$B$15),(Variables!$B$16*Variables!$E$50*SUM(C300:C304)+$G$1*Variables!$B$16*Variables!$E$50*SUM(D300:D304)+$G$1*Variables!$E$50*Variables!$B$17*F304),0)</f>
        <v>0</v>
      </c>
      <c r="P304" s="64">
        <f>IF(AND(AND(B304="Autumn",SUM(D303:E304)&gt;0),NOT(H303=0)),Variables!$B$18*Variables!$E$50+Variables!$B$19*Variables!$E$50*SUM(E303:E304)+$G$1*Variables!$B$19*Variables!$E$50*SUM(D303:D304),0)</f>
        <v>0.96909958665010831</v>
      </c>
      <c r="Q304" s="64">
        <f>IF(AND(B304="Autumn",AND((E304+E303)&lt;Variables!$B$20,(D303+D304)=0)),-Variables!$B$21*Variables!$E$50,0)</f>
        <v>0</v>
      </c>
      <c r="R304" s="64">
        <f>IF(B304="Autumn",(SUM(F303:F304)*$G$1*Variables!$B$22*Variables!$E$50),0)</f>
        <v>4.5404171229895374E-2</v>
      </c>
      <c r="S304" s="64">
        <f>IF(B304="Spring",($G$1*Variables!$E$50*SUM('Guts (option 2)'!F303:F304)*Variables!$B$23),0)</f>
        <v>0</v>
      </c>
      <c r="T304" s="63">
        <f>IF((H303+SUM(J304:Q304))&lt;(Variables!$B$26*Variables!$E$50),$F$1*((Variables!$B$26*Variables!$E$50)-H303-SUM(J304:Q304)),0)</f>
        <v>2.9100413349891774E-2</v>
      </c>
      <c r="U304" s="64">
        <f>IF(AND(AND(B304="Autumn",SUM(D301:E304)&gt;Variables!$B$27),SUM(J304:Q304)&lt;Variables!$B$28*H303),$F$1*(Variables!$B$28*H303-SUM(J304:Q304)),0)</f>
        <v>0</v>
      </c>
      <c r="V304" s="96">
        <f>IF(AND((J304+K304)=0,(Q304+T304)=0),$H$1*H304*Variables!$I$23*0.25,0)</f>
        <v>0</v>
      </c>
      <c r="W304" s="97">
        <f>IF(AND((K304+J304)=0,(T304+Q304)=0),$I$1*H304*Variables!$Q$23*0.25,0)</f>
        <v>0</v>
      </c>
      <c r="X304" s="95">
        <f>IF(AND(NOT(K304=0),(H304-H303)&gt;0),(H304-H303)*(Variables!$M$5*$H$1+Variables!$U$5*$I$1),0)+IF(AND(NOT((J304+N304+Q304)=0),(H303-H304)&gt;0),(H303-H304)*(Variables!$M$4*$H$1+Variables!$U$4*$I$1),0)</f>
        <v>4.4901535705730851</v>
      </c>
      <c r="Y304" s="95">
        <f>IF(SUM(T304,U303:U304)&gt;0,H304*Variables!$Y$11*0.25*(1-$J$1),0)</f>
        <v>-7.3052291986092683</v>
      </c>
      <c r="Z304" s="95">
        <f>IF(T304=0,H304*$J$1*Variables!$Y$5*0.25,0)</f>
        <v>0</v>
      </c>
      <c r="AA304" s="95">
        <f t="shared" si="9"/>
        <v>-2.8150756280361833</v>
      </c>
      <c r="AB304" s="91">
        <f>AA304/Variables!$E$49</f>
        <v>-0.45404445613486827</v>
      </c>
    </row>
    <row r="305" spans="1:28" x14ac:dyDescent="0.25">
      <c r="A305" s="61">
        <f>'Water runs'!C312</f>
        <v>29829</v>
      </c>
      <c r="B305" s="61" t="str">
        <f>'Water runs'!B312</f>
        <v>Winter</v>
      </c>
      <c r="C305" s="54">
        <f>'Water runs'!D312/100</f>
        <v>0.86959523809523798</v>
      </c>
      <c r="D305" s="108">
        <f>VLOOKUP(ROW(D305)+4,'Water runs'!$BS$3:$CF$423,MATCH($B$1,Scenarios,0)+1)</f>
        <v>8.4006999263652127E-2</v>
      </c>
      <c r="E305" s="54">
        <f>IF(B305=Variables!$D$8,C305-Variables!$E$8,IF(B305=Variables!$D$9,C305-Variables!$E$9,IF(B305=Variables!$D$10,C305-Variables!$E$10,IF(B305=Variables!$D$11,C305-Variables!$E$11,"ELSE"))))</f>
        <v>0.29782761243386224</v>
      </c>
      <c r="F305" s="108">
        <f>VLOOKUP(ROW(F305)+4,'Water runs'!$CH$3:$CU$423,MATCH($B$1,Scenarios,0)+1)</f>
        <v>5.5354357516686596E-2</v>
      </c>
      <c r="G305" s="65">
        <f>H305/Variables!$E$49</f>
        <v>0.27215295174662441</v>
      </c>
      <c r="H305" s="62">
        <f>IF((H304+I305)&gt;(1.1*Variables!$E$50),(1.1*Variables!$E$50),IF((H304+I305)&gt;0,H304+I305,0))</f>
        <v>1.6873483008290715</v>
      </c>
      <c r="I305" s="64">
        <f t="shared" si="8"/>
        <v>0.64374412959917615</v>
      </c>
      <c r="J305" s="63">
        <f>IF(SUM(E301:E304)&lt;Variables!$B$3,-H304,0)</f>
        <v>0</v>
      </c>
      <c r="K305" s="64">
        <f>IF(AND(H304&lt;Variables!$B$6*Variables!$E$50,OR(SUM(D302:D305)&gt;Variables!$B$5,SUM(E302:E305)&gt;Variables!$B$4)),Variables!$B$6*Variables!$E$50+Variables!$B$7*$G$1*Variables!$E$50*SUM(D302:D305),0)</f>
        <v>1.1634018657186518</v>
      </c>
      <c r="L305" s="64">
        <f>IF(B305="Winter",Variables!$B$8*H304,0)</f>
        <v>-0.51965773611947563</v>
      </c>
      <c r="M305" s="64">
        <f>IF(AND(B305="Spring",AND(NOT(H304=0),H304&lt;(Variables!$B$9*Variables!$E$50))),(Variables!$B$10*Variables!$E$50+Variables!$B$11*Variables!$E$50*SUM(E302:E305)+$G$1*SUM(D304:D305)*Variables!$E$50*Variables!$B$12),0)</f>
        <v>0</v>
      </c>
      <c r="N305" s="64">
        <f>IF(AND(B305="Spring",AND(SUM(D302:D305)&gt;Variables!$B$13,SUM(D298:D301)&gt;Variables!$B$13)),-Variables!$B$14*Variables!$E$50,0)</f>
        <v>0</v>
      </c>
      <c r="O305" s="64">
        <f>IF(AND(B305="Summer",SUM(C301:D305)&gt;Variables!$B$15),(Variables!$B$16*Variables!$E$50*SUM(C301:C305)+$G$1*Variables!$B$16*Variables!$E$50*SUM(D301:D305)+$G$1*Variables!$E$50*Variables!$B$17*F305),0)</f>
        <v>0</v>
      </c>
      <c r="P305" s="64">
        <f>IF(AND(AND(B305="Autumn",SUM(D304:E305)&gt;0),NOT(H304=0)),Variables!$B$18*Variables!$E$50+Variables!$B$19*Variables!$E$50*SUM(E304:E305)+$G$1*Variables!$B$19*Variables!$E$50*SUM(D304:D305),0)</f>
        <v>0</v>
      </c>
      <c r="Q305" s="64">
        <f>IF(AND(B305="Autumn",AND((E305+E304)&lt;Variables!$B$20,(D304+D305)=0)),-Variables!$B$21*Variables!$E$50,0)</f>
        <v>0</v>
      </c>
      <c r="R305" s="64">
        <f>IF(B305="Autumn",(SUM(F304:F305)*$G$1*Variables!$B$22*Variables!$E$50),0)</f>
        <v>0</v>
      </c>
      <c r="S305" s="64">
        <f>IF(B305="Spring",($G$1*Variables!$E$50*SUM('Guts (option 2)'!F304:F305)*Variables!$B$23),0)</f>
        <v>0</v>
      </c>
      <c r="T305" s="63">
        <f>IF((H304+SUM(J305:Q305))&lt;(Variables!$B$26*Variables!$E$50),$F$1*((Variables!$B$26*Variables!$E$50)-H304-SUM(J305:Q305)),0)</f>
        <v>0</v>
      </c>
      <c r="U305" s="64">
        <f>IF(AND(AND(B305="Autumn",SUM(D302:E305)&gt;Variables!$B$27),SUM(J305:Q305)&lt;Variables!$B$28*H304),$F$1*(Variables!$B$28*H304-SUM(J305:Q305)),0)</f>
        <v>0</v>
      </c>
      <c r="V305" s="96">
        <f>IF(AND((J305+K305)=0,(Q305+T305)=0),$H$1*H305*Variables!$I$23*0.25,0)</f>
        <v>0</v>
      </c>
      <c r="W305" s="97">
        <f>IF(AND((K305+J305)=0,(T305+Q305)=0),$I$1*H305*Variables!$Q$23*0.25,0)</f>
        <v>0</v>
      </c>
      <c r="X305" s="95">
        <f>IF(AND(NOT(K305=0),(H305-H304)&gt;0),(H305-H304)*(Variables!$M$5*$H$1+Variables!$U$5*$I$1),0)+IF(AND(NOT((J305+N305+Q305)=0),(H304-H305)&gt;0),(H304-H305)*(Variables!$M$4*$H$1+Variables!$U$4*$I$1),0)</f>
        <v>-53.645344133264679</v>
      </c>
      <c r="Y305" s="95">
        <f>IF(SUM(T305,U304:U305)&gt;0,H305*Variables!$Y$11*0.25*(1-$J$1),0)</f>
        <v>0</v>
      </c>
      <c r="Z305" s="95">
        <f>IF(T305=0,H305*$J$1*Variables!$Y$5*0.25,0)</f>
        <v>3.6559213184629882</v>
      </c>
      <c r="AA305" s="95">
        <f t="shared" si="9"/>
        <v>-49.989422814801692</v>
      </c>
      <c r="AB305" s="91">
        <f>AA305/Variables!$E$49</f>
        <v>-8.0628101314196279</v>
      </c>
    </row>
    <row r="306" spans="1:28" x14ac:dyDescent="0.25">
      <c r="A306" s="61">
        <f>'Water runs'!C313</f>
        <v>29920</v>
      </c>
      <c r="B306" s="61" t="str">
        <f>'Water runs'!B313</f>
        <v>Spring</v>
      </c>
      <c r="C306" s="54">
        <f>'Water runs'!D313/100</f>
        <v>0.79955357142857097</v>
      </c>
      <c r="D306" s="108">
        <f>VLOOKUP(ROW(D306)+4,'Water runs'!$BS$3:$CF$423,MATCH($B$1,Scenarios,0)+1)</f>
        <v>0</v>
      </c>
      <c r="E306" s="54">
        <f>IF(B306=Variables!$D$8,C306-Variables!$E$8,IF(B306=Variables!$D$9,C306-Variables!$E$9,IF(B306=Variables!$D$10,C306-Variables!$E$10,IF(B306=Variables!$D$11,C306-Variables!$E$11,"ELSE"))))</f>
        <v>3.5571362433861831E-2</v>
      </c>
      <c r="F306" s="108">
        <f>VLOOKUP(ROW(F306)+4,'Water runs'!$CH$3:$CU$423,MATCH($B$1,Scenarios,0)+1)</f>
        <v>0</v>
      </c>
      <c r="G306" s="65">
        <f>H306/Variables!$E$49</f>
        <v>0.31721860916458194</v>
      </c>
      <c r="H306" s="62">
        <f>IF((H305+I306)&gt;(1.1*Variables!$E$50),(1.1*Variables!$E$50),IF((H305+I306)&gt;0,H305+I306,0))</f>
        <v>1.9667553768204082</v>
      </c>
      <c r="I306" s="64">
        <f t="shared" si="8"/>
        <v>0.27940707599133668</v>
      </c>
      <c r="J306" s="63">
        <f>IF(SUM(E302:E305)&lt;Variables!$B$3,-H305,0)</f>
        <v>0</v>
      </c>
      <c r="K306" s="64">
        <f>IF(AND(H305&lt;Variables!$B$6*Variables!$E$50,OR(SUM(D303:D306)&gt;Variables!$B$5,SUM(E303:E306)&gt;Variables!$B$4)),Variables!$B$6*Variables!$E$50+Variables!$B$7*$G$1*Variables!$E$50*SUM(D303:D306),0)</f>
        <v>0</v>
      </c>
      <c r="L306" s="64">
        <f>IF(B306="Winter",Variables!$B$8*H305,0)</f>
        <v>0</v>
      </c>
      <c r="M306" s="64">
        <f>IF(AND(B306="Spring",AND(NOT(H305=0),H305&lt;(Variables!$B$9*Variables!$E$50))),(Variables!$B$10*Variables!$E$50+Variables!$B$11*Variables!$E$50*SUM(E303:E306)+$G$1*SUM(D305:D306)*Variables!$E$50*Variables!$B$12),0)</f>
        <v>0.272323856314237</v>
      </c>
      <c r="N306" s="64">
        <f>IF(AND(B306="Spring",AND(SUM(D303:D306)&gt;Variables!$B$13,SUM(D299:D302)&gt;Variables!$B$13)),-Variables!$B$14*Variables!$E$50,0)</f>
        <v>0</v>
      </c>
      <c r="O306" s="64">
        <f>IF(AND(B306="Summer",SUM(C302:D306)&gt;Variables!$B$15),(Variables!$B$16*Variables!$E$50*SUM(C302:C306)+$G$1*Variables!$B$16*Variables!$E$50*SUM(D302:D306)+$G$1*Variables!$E$50*Variables!$B$17*F306),0)</f>
        <v>0</v>
      </c>
      <c r="P306" s="64">
        <f>IF(AND(AND(B306="Autumn",SUM(D305:E306)&gt;0),NOT(H305=0)),Variables!$B$18*Variables!$E$50+Variables!$B$19*Variables!$E$50*SUM(E305:E306)+$G$1*Variables!$B$19*Variables!$E$50*SUM(D305:D306),0)</f>
        <v>0</v>
      </c>
      <c r="Q306" s="64">
        <f>IF(AND(B306="Autumn",AND((E306+E305)&lt;Variables!$B$20,(D305+D306)=0)),-Variables!$B$21*Variables!$E$50,0)</f>
        <v>0</v>
      </c>
      <c r="R306" s="64">
        <f>IF(B306="Autumn",(SUM(F305:F306)*$G$1*Variables!$B$22*Variables!$E$50),0)</f>
        <v>0</v>
      </c>
      <c r="S306" s="64">
        <f>IF(B306="Spring",($G$1*Variables!$E$50*SUM('Guts (option 2)'!F305:F306)*Variables!$B$23),0)</f>
        <v>7.0832196770996801E-3</v>
      </c>
      <c r="T306" s="63">
        <f>IF((H305+SUM(J306:Q306))&lt;(Variables!$B$26*Variables!$E$50),$F$1*((Variables!$B$26*Variables!$E$50)-H305-SUM(J306:Q306)),0)</f>
        <v>0</v>
      </c>
      <c r="U306" s="64">
        <f>IF(AND(AND(B306="Autumn",SUM(D303:E306)&gt;Variables!$B$27),SUM(J306:Q306)&lt;Variables!$B$28*H305),$F$1*(Variables!$B$28*H305-SUM(J306:Q306)),0)</f>
        <v>0</v>
      </c>
      <c r="V306" s="96">
        <f>IF(AND((J306+K306)=0,(Q306+T306)=0),$H$1*H306*Variables!$I$23*0.25,0)</f>
        <v>12.633223708211929</v>
      </c>
      <c r="W306" s="97">
        <f>IF(AND((K306+J306)=0,(T306+Q306)=0),$I$1*H306*Variables!$Q$23*0.25,0)</f>
        <v>13.223643672333415</v>
      </c>
      <c r="X306" s="95">
        <f>IF(AND(NOT(K306=0),(H306-H305)&gt;0),(H306-H305)*(Variables!$M$5*$H$1+Variables!$U$5*$I$1),0)+IF(AND(NOT((J306+N306+Q306)=0),(H305-H306)&gt;0),(H305-H306)*(Variables!$M$4*$H$1+Variables!$U$4*$I$1),0)</f>
        <v>0</v>
      </c>
      <c r="Y306" s="95">
        <f>IF(SUM(T306,U305:U306)&gt;0,H306*Variables!$Y$11*0.25*(1-$J$1),0)</f>
        <v>0</v>
      </c>
      <c r="Z306" s="95">
        <f>IF(T306=0,H306*$J$1*Variables!$Y$5*0.25,0)</f>
        <v>4.2613033164442173</v>
      </c>
      <c r="AA306" s="95">
        <f t="shared" si="9"/>
        <v>30.118170696989562</v>
      </c>
      <c r="AB306" s="91">
        <f>AA306/Variables!$E$49</f>
        <v>4.8577694672563805</v>
      </c>
    </row>
    <row r="307" spans="1:28" x14ac:dyDescent="0.25">
      <c r="A307" s="61">
        <f>'Water runs'!C314</f>
        <v>30010</v>
      </c>
      <c r="B307" s="61" t="str">
        <f>'Water runs'!B314</f>
        <v>Summer</v>
      </c>
      <c r="C307" s="54">
        <f>'Water runs'!D314/100</f>
        <v>0.59326785714285701</v>
      </c>
      <c r="D307" s="108">
        <f>VLOOKUP(ROW(D307)+4,'Water runs'!$BS$3:$CF$423,MATCH($B$1,Scenarios,0)+1)</f>
        <v>2.135963071758288E-2</v>
      </c>
      <c r="E307" s="54">
        <f>IF(B307=Variables!$D$8,C307-Variables!$E$8,IF(B307=Variables!$D$9,C307-Variables!$E$9,IF(B307=Variables!$D$10,C307-Variables!$E$10,IF(B307=Variables!$D$11,C307-Variables!$E$11,"ELSE"))))</f>
        <v>-0.6651022789115647</v>
      </c>
      <c r="F307" s="108">
        <f>VLOOKUP(ROW(F307)+4,'Water runs'!$CH$3:$CU$423,MATCH($B$1,Scenarios,0)+1)</f>
        <v>0</v>
      </c>
      <c r="G307" s="65">
        <f>H307/Variables!$E$49</f>
        <v>0.31721860916458194</v>
      </c>
      <c r="H307" s="62">
        <f>IF((H306+I307)&gt;(1.1*Variables!$E$50),(1.1*Variables!$E$50),IF((H306+I307)&gt;0,H306+I307,0))</f>
        <v>1.9667553768204082</v>
      </c>
      <c r="I307" s="64">
        <f t="shared" si="8"/>
        <v>0</v>
      </c>
      <c r="J307" s="63">
        <f>IF(SUM(E303:E306)&lt;Variables!$B$3,-H306,0)</f>
        <v>0</v>
      </c>
      <c r="K307" s="64">
        <f>IF(AND(H306&lt;Variables!$B$6*Variables!$E$50,OR(SUM(D304:D307)&gt;Variables!$B$5,SUM(E304:E307)&gt;Variables!$B$4)),Variables!$B$6*Variables!$E$50+Variables!$B$7*$G$1*Variables!$E$50*SUM(D304:D307),0)</f>
        <v>0</v>
      </c>
      <c r="L307" s="64">
        <f>IF(B307="Winter",Variables!$B$8*H306,0)</f>
        <v>0</v>
      </c>
      <c r="M307" s="64">
        <f>IF(AND(B307="Spring",AND(NOT(H306=0),H306&lt;(Variables!$B$9*Variables!$E$50))),(Variables!$B$10*Variables!$E$50+Variables!$B$11*Variables!$E$50*SUM(E304:E307)+$G$1*SUM(D306:D307)*Variables!$E$50*Variables!$B$12),0)</f>
        <v>0</v>
      </c>
      <c r="N307" s="64">
        <f>IF(AND(B307="Spring",AND(SUM(D304:D307)&gt;Variables!$B$13,SUM(D300:D303)&gt;Variables!$B$13)),-Variables!$B$14*Variables!$E$50,0)</f>
        <v>0</v>
      </c>
      <c r="O307" s="64">
        <f>IF(AND(B307="Summer",SUM(C303:D307)&gt;Variables!$B$15),(Variables!$B$16*Variables!$E$50*SUM(C303:C307)+$G$1*Variables!$B$16*Variables!$E$50*SUM(D303:D307)+$G$1*Variables!$E$50*Variables!$B$17*F307),0)</f>
        <v>0</v>
      </c>
      <c r="P307" s="64">
        <f>IF(AND(AND(B307="Autumn",SUM(D306:E307)&gt;0),NOT(H306=0)),Variables!$B$18*Variables!$E$50+Variables!$B$19*Variables!$E$50*SUM(E306:E307)+$G$1*Variables!$B$19*Variables!$E$50*SUM(D306:D307),0)</f>
        <v>0</v>
      </c>
      <c r="Q307" s="64">
        <f>IF(AND(B307="Autumn",AND((E307+E306)&lt;Variables!$B$20,(D306+D307)=0)),-Variables!$B$21*Variables!$E$50,0)</f>
        <v>0</v>
      </c>
      <c r="R307" s="64">
        <f>IF(B307="Autumn",(SUM(F306:F307)*$G$1*Variables!$B$22*Variables!$E$50),0)</f>
        <v>0</v>
      </c>
      <c r="S307" s="64">
        <f>IF(B307="Spring",($G$1*Variables!$E$50*SUM('Guts (option 2)'!F306:F307)*Variables!$B$23),0)</f>
        <v>0</v>
      </c>
      <c r="T307" s="63">
        <f>IF((H306+SUM(J307:Q307))&lt;(Variables!$B$26*Variables!$E$50),$F$1*((Variables!$B$26*Variables!$E$50)-H306-SUM(J307:Q307)),0)</f>
        <v>0</v>
      </c>
      <c r="U307" s="64">
        <f>IF(AND(AND(B307="Autumn",SUM(D304:E307)&gt;Variables!$B$27),SUM(J307:Q307)&lt;Variables!$B$28*H306),$F$1*(Variables!$B$28*H306-SUM(J307:Q307)),0)</f>
        <v>0</v>
      </c>
      <c r="V307" s="96">
        <f>IF(AND((J307+K307)=0,(Q307+T307)=0),$H$1*H307*Variables!$I$23*0.25,0)</f>
        <v>12.633223708211929</v>
      </c>
      <c r="W307" s="97">
        <f>IF(AND((K307+J307)=0,(T307+Q307)=0),$I$1*H307*Variables!$Q$23*0.25,0)</f>
        <v>13.223643672333415</v>
      </c>
      <c r="X307" s="95">
        <f>IF(AND(NOT(K307=0),(H307-H306)&gt;0),(H307-H306)*(Variables!$M$5*$H$1+Variables!$U$5*$I$1),0)+IF(AND(NOT((J307+N307+Q307)=0),(H306-H307)&gt;0),(H306-H307)*(Variables!$M$4*$H$1+Variables!$U$4*$I$1),0)</f>
        <v>0</v>
      </c>
      <c r="Y307" s="95">
        <f>IF(SUM(T307,U306:U307)&gt;0,H307*Variables!$Y$11*0.25*(1-$J$1),0)</f>
        <v>0</v>
      </c>
      <c r="Z307" s="95">
        <f>IF(T307=0,H307*$J$1*Variables!$Y$5*0.25,0)</f>
        <v>4.2613033164442173</v>
      </c>
      <c r="AA307" s="95">
        <f t="shared" si="9"/>
        <v>30.118170696989562</v>
      </c>
      <c r="AB307" s="91">
        <f>AA307/Variables!$E$49</f>
        <v>4.8577694672563805</v>
      </c>
    </row>
    <row r="308" spans="1:28" x14ac:dyDescent="0.25">
      <c r="A308" s="61">
        <f>'Water runs'!C315</f>
        <v>30102</v>
      </c>
      <c r="B308" s="61" t="str">
        <f>'Water runs'!B315</f>
        <v>Autumn</v>
      </c>
      <c r="C308" s="54">
        <f>'Water runs'!D315/100</f>
        <v>0.85189285714285701</v>
      </c>
      <c r="D308" s="108">
        <f>VLOOKUP(ROW(D308)+4,'Water runs'!$BS$3:$CF$423,MATCH($B$1,Scenarios,0)+1)</f>
        <v>0.16874242868114553</v>
      </c>
      <c r="E308" s="54">
        <f>IF(B308=Variables!$D$8,C308-Variables!$E$8,IF(B308=Variables!$D$9,C308-Variables!$E$9,IF(B308=Variables!$D$10,C308-Variables!$E$10,IF(B308=Variables!$D$11,C308-Variables!$E$11,"ELSE"))))</f>
        <v>-0.14275044217687083</v>
      </c>
      <c r="F308" s="108">
        <f>VLOOKUP(ROW(F308)+4,'Water runs'!$CH$3:$CU$423,MATCH($B$1,Scenarios,0)+1)</f>
        <v>0.14741130175219122</v>
      </c>
      <c r="G308" s="65">
        <f>H308/Variables!$E$49</f>
        <v>0.32056844307592647</v>
      </c>
      <c r="H308" s="62">
        <f>IF((H307+I308)&gt;(1.1*Variables!$E$50),(1.1*Variables!$E$50),IF((H307+I308)&gt;0,H307+I308,0))</f>
        <v>1.987524347070744</v>
      </c>
      <c r="I308" s="64">
        <f t="shared" si="8"/>
        <v>2.076897025033584E-2</v>
      </c>
      <c r="J308" s="63">
        <f>IF(SUM(E304:E307)&lt;Variables!$B$3,-H307,0)</f>
        <v>0</v>
      </c>
      <c r="K308" s="64">
        <f>IF(AND(H307&lt;Variables!$B$6*Variables!$E$50,OR(SUM(D305:D308)&gt;Variables!$B$5,SUM(E305:E308)&gt;Variables!$B$4)),Variables!$B$6*Variables!$E$50+Variables!$B$7*$G$1*Variables!$E$50*SUM(D305:D308),0)</f>
        <v>0</v>
      </c>
      <c r="L308" s="64">
        <f>IF(B308="Winter",Variables!$B$8*H307,0)</f>
        <v>0</v>
      </c>
      <c r="M308" s="64">
        <f>IF(AND(B308="Spring",AND(NOT(H307=0),H307&lt;(Variables!$B$9*Variables!$E$50))),(Variables!$B$10*Variables!$E$50+Variables!$B$11*Variables!$E$50*SUM(E305:E308)+$G$1*SUM(D307:D308)*Variables!$E$50*Variables!$B$12),0)</f>
        <v>0</v>
      </c>
      <c r="N308" s="64">
        <f>IF(AND(B308="Spring",AND(SUM(D305:D308)&gt;Variables!$B$13,SUM(D301:D304)&gt;Variables!$B$13)),-Variables!$B$14*Variables!$E$50,0)</f>
        <v>0</v>
      </c>
      <c r="O308" s="64">
        <f>IF(AND(B308="Summer",SUM(C304:D308)&gt;Variables!$B$15),(Variables!$B$16*Variables!$E$50*SUM(C304:C308)+$G$1*Variables!$B$16*Variables!$E$50*SUM(D304:D308)+$G$1*Variables!$E$50*Variables!$B$17*F308),0)</f>
        <v>0</v>
      </c>
      <c r="P308" s="64">
        <f>IF(AND(AND(B308="Autumn",SUM(D307:E308)&gt;0),NOT(H307=0)),Variables!$B$18*Variables!$E$50+Variables!$B$19*Variables!$E$50*SUM(E307:E308)+$G$1*Variables!$B$19*Variables!$E$50*SUM(D307:D308),0)</f>
        <v>0</v>
      </c>
      <c r="Q308" s="64">
        <f>IF(AND(B308="Autumn",AND((E308+E307)&lt;Variables!$B$20,(D307+D308)=0)),-Variables!$B$21*Variables!$E$50,0)</f>
        <v>0</v>
      </c>
      <c r="R308" s="64">
        <f>IF(B308="Autumn",(SUM(F307:F308)*$G$1*Variables!$B$22*Variables!$E$50),0)</f>
        <v>2.076897025033584E-2</v>
      </c>
      <c r="S308" s="64">
        <f>IF(B308="Spring",($G$1*Variables!$E$50*SUM('Guts (option 2)'!F307:F308)*Variables!$B$23),0)</f>
        <v>0</v>
      </c>
      <c r="T308" s="63">
        <f>IF((H307+SUM(J308:Q308))&lt;(Variables!$B$26*Variables!$E$50),$F$1*((Variables!$B$26*Variables!$E$50)-H307-SUM(J308:Q308)),0)</f>
        <v>0</v>
      </c>
      <c r="U308" s="64">
        <f>IF(AND(AND(B308="Autumn",SUM(D305:E308)&gt;Variables!$B$27),SUM(J308:Q308)&lt;Variables!$B$28*H307),$F$1*(Variables!$B$28*H307-SUM(J308:Q308)),0)</f>
        <v>0</v>
      </c>
      <c r="V308" s="96">
        <f>IF(AND((J308+K308)=0,(Q308+T308)=0),$H$1*H308*Variables!$I$23*0.25,0)</f>
        <v>12.766630765568431</v>
      </c>
      <c r="W308" s="97">
        <f>IF(AND((K308+J308)=0,(T308+Q308)=0),$I$1*H308*Variables!$Q$23*0.25,0)</f>
        <v>13.363285574559066</v>
      </c>
      <c r="X308" s="95">
        <f>IF(AND(NOT(K308=0),(H308-H307)&gt;0),(H308-H307)*(Variables!$M$5*$H$1+Variables!$U$5*$I$1),0)+IF(AND(NOT((J308+N308+Q308)=0),(H307-H308)&gt;0),(H307-H308)*(Variables!$M$4*$H$1+Variables!$U$4*$I$1),0)</f>
        <v>0</v>
      </c>
      <c r="Y308" s="95">
        <f>IF(SUM(T308,U307:U308)&gt;0,H308*Variables!$Y$11*0.25*(1-$J$1),0)</f>
        <v>0</v>
      </c>
      <c r="Z308" s="95">
        <f>IF(T308=0,H308*$J$1*Variables!$Y$5*0.25,0)</f>
        <v>4.3063027519866113</v>
      </c>
      <c r="AA308" s="95">
        <f t="shared" si="9"/>
        <v>30.436219092114108</v>
      </c>
      <c r="AB308" s="91">
        <f>AA308/Variables!$E$49</f>
        <v>4.9090675955022753</v>
      </c>
    </row>
    <row r="309" spans="1:28" x14ac:dyDescent="0.25">
      <c r="A309" s="61">
        <f>'Water runs'!C316</f>
        <v>30194</v>
      </c>
      <c r="B309" s="61" t="str">
        <f>'Water runs'!B316</f>
        <v>Winter</v>
      </c>
      <c r="C309" s="54">
        <f>'Water runs'!D316/100</f>
        <v>0</v>
      </c>
      <c r="D309" s="108">
        <f>VLOOKUP(ROW(D309)+4,'Water runs'!$BS$3:$CF$423,MATCH($B$1,Scenarios,0)+1)</f>
        <v>0</v>
      </c>
      <c r="E309" s="54">
        <f>IF(B309=Variables!$D$8,C309-Variables!$E$8,IF(B309=Variables!$D$9,C309-Variables!$E$9,IF(B309=Variables!$D$10,C309-Variables!$E$10,IF(B309=Variables!$D$11,C309-Variables!$E$11,"ELSE"))))</f>
        <v>-0.57176762566137573</v>
      </c>
      <c r="F309" s="108">
        <f>VLOOKUP(ROW(F309)+4,'Water runs'!$CH$3:$CU$423,MATCH($B$1,Scenarios,0)+1)</f>
        <v>0</v>
      </c>
      <c r="G309" s="65">
        <f>H309/Variables!$E$49</f>
        <v>0.161</v>
      </c>
      <c r="H309" s="62">
        <f>IF((H308+I309)&gt;(1.1*Variables!$E$50),(1.1*Variables!$E$50),IF((H308+I309)&gt;0,H308+I309,0))</f>
        <v>0.99820000000000009</v>
      </c>
      <c r="I309" s="64">
        <f t="shared" si="8"/>
        <v>-0.9893243470707439</v>
      </c>
      <c r="J309" s="63">
        <f>IF(SUM(E305:E308)&lt;Variables!$B$3,-H308,0)</f>
        <v>0</v>
      </c>
      <c r="K309" s="64">
        <f>IF(AND(H308&lt;Variables!$B$6*Variables!$E$50,OR(SUM(D306:D309)&gt;Variables!$B$5,SUM(E306:E309)&gt;Variables!$B$4)),Variables!$B$6*Variables!$E$50+Variables!$B$7*$G$1*Variables!$E$50*SUM(D306:D309),0)</f>
        <v>0</v>
      </c>
      <c r="L309" s="64">
        <f>IF(B309="Winter",Variables!$B$8*H308,0)</f>
        <v>-0.98967830059927908</v>
      </c>
      <c r="M309" s="64">
        <f>IF(AND(B309="Spring",AND(NOT(H308=0),H308&lt;(Variables!$B$9*Variables!$E$50))),(Variables!$B$10*Variables!$E$50+Variables!$B$11*Variables!$E$50*SUM(E306:E309)+$G$1*SUM(D308:D309)*Variables!$E$50*Variables!$B$12),0)</f>
        <v>0</v>
      </c>
      <c r="N309" s="64">
        <f>IF(AND(B309="Spring",AND(SUM(D306:D309)&gt;Variables!$B$13,SUM(D302:D305)&gt;Variables!$B$13)),-Variables!$B$14*Variables!$E$50,0)</f>
        <v>0</v>
      </c>
      <c r="O309" s="64">
        <f>IF(AND(B309="Summer",SUM(C305:D309)&gt;Variables!$B$15),(Variables!$B$16*Variables!$E$50*SUM(C305:C309)+$G$1*Variables!$B$16*Variables!$E$50*SUM(D305:D309)+$G$1*Variables!$E$50*Variables!$B$17*F309),0)</f>
        <v>0</v>
      </c>
      <c r="P309" s="64">
        <f>IF(AND(AND(B309="Autumn",SUM(D308:E309)&gt;0),NOT(H308=0)),Variables!$B$18*Variables!$E$50+Variables!$B$19*Variables!$E$50*SUM(E308:E309)+$G$1*Variables!$B$19*Variables!$E$50*SUM(D308:D309),0)</f>
        <v>0</v>
      </c>
      <c r="Q309" s="64">
        <f>IF(AND(B309="Autumn",AND((E309+E308)&lt;Variables!$B$20,(D308+D309)=0)),-Variables!$B$21*Variables!$E$50,0)</f>
        <v>0</v>
      </c>
      <c r="R309" s="64">
        <f>IF(B309="Autumn",(SUM(F308:F309)*$G$1*Variables!$B$22*Variables!$E$50),0)</f>
        <v>0</v>
      </c>
      <c r="S309" s="64">
        <f>IF(B309="Spring",($G$1*Variables!$E$50*SUM('Guts (option 2)'!F308:F309)*Variables!$B$23),0)</f>
        <v>0</v>
      </c>
      <c r="T309" s="63">
        <f>IF((H308+SUM(J309:Q309))&lt;(Variables!$B$26*Variables!$E$50),$F$1*((Variables!$B$26*Variables!$E$50)-H308-SUM(J309:Q309)),0)</f>
        <v>3.5395352853517803E-4</v>
      </c>
      <c r="U309" s="64">
        <f>IF(AND(AND(B309="Autumn",SUM(D306:E309)&gt;Variables!$B$27),SUM(J309:Q309)&lt;Variables!$B$28*H308),$F$1*(Variables!$B$28*H308-SUM(J309:Q309)),0)</f>
        <v>0</v>
      </c>
      <c r="V309" s="96">
        <f>IF(AND((J309+K309)=0,(Q309+T309)=0),$H$1*H309*Variables!$I$23*0.25,0)</f>
        <v>0</v>
      </c>
      <c r="W309" s="97">
        <f>IF(AND((K309+J309)=0,(T309+Q309)=0),$I$1*H309*Variables!$Q$23*0.25,0)</f>
        <v>0</v>
      </c>
      <c r="X309" s="95">
        <f>IF(AND(NOT(K309=0),(H309-H308)&gt;0),(H309-H308)*(Variables!$M$5*$H$1+Variables!$U$5*$I$1),0)+IF(AND(NOT((J309+N309+Q309)=0),(H308-H309)&gt;0),(H308-H309)*(Variables!$M$4*$H$1+Variables!$U$4*$I$1),0)</f>
        <v>0</v>
      </c>
      <c r="Y309" s="95">
        <f>IF(SUM(T309,U308:U309)&gt;0,H309*Variables!$Y$11*0.25*(1-$J$1),0)</f>
        <v>-6.9874000000000018</v>
      </c>
      <c r="Z309" s="95">
        <f>IF(T309=0,H309*$J$1*Variables!$Y$5*0.25,0)</f>
        <v>0</v>
      </c>
      <c r="AA309" s="95">
        <f t="shared" si="9"/>
        <v>-6.9874000000000018</v>
      </c>
      <c r="AB309" s="91">
        <f>AA309/Variables!$E$49</f>
        <v>-1.1270000000000002</v>
      </c>
    </row>
    <row r="310" spans="1:28" x14ac:dyDescent="0.25">
      <c r="A310" s="61">
        <f>'Water runs'!C317</f>
        <v>30285</v>
      </c>
      <c r="B310" s="61" t="str">
        <f>'Water runs'!B317</f>
        <v>Spring</v>
      </c>
      <c r="C310" s="54">
        <f>'Water runs'!D317/100</f>
        <v>0.24037500000000001</v>
      </c>
      <c r="D310" s="108">
        <f>VLOOKUP(ROW(D310)+4,'Water runs'!$BS$3:$CF$423,MATCH($B$1,Scenarios,0)+1)</f>
        <v>0</v>
      </c>
      <c r="E310" s="54">
        <f>IF(B310=Variables!$D$8,C310-Variables!$E$8,IF(B310=Variables!$D$9,C310-Variables!$E$9,IF(B310=Variables!$D$10,C310-Variables!$E$10,IF(B310=Variables!$D$11,C310-Variables!$E$11,"ELSE"))))</f>
        <v>-0.52360720899470914</v>
      </c>
      <c r="F310" s="108">
        <f>VLOOKUP(ROW(F310)+4,'Water runs'!$CH$3:$CU$423,MATCH($B$1,Scenarios,0)+1)</f>
        <v>0</v>
      </c>
      <c r="G310" s="65">
        <f>H310/Variables!$E$49</f>
        <v>0.161</v>
      </c>
      <c r="H310" s="62">
        <f>IF((H309+I310)&gt;(1.1*Variables!$E$50),(1.1*Variables!$E$50),IF((H309+I310)&gt;0,H309+I310,0))</f>
        <v>0.99820000000000009</v>
      </c>
      <c r="I310" s="64">
        <f t="shared" si="8"/>
        <v>0</v>
      </c>
      <c r="J310" s="63">
        <f>IF(SUM(E306:E309)&lt;Variables!$B$3,-H309,0)</f>
        <v>0</v>
      </c>
      <c r="K310" s="64">
        <f>IF(AND(H309&lt;Variables!$B$6*Variables!$E$50,OR(SUM(D307:D310)&gt;Variables!$B$5,SUM(E307:E310)&gt;Variables!$B$4)),Variables!$B$6*Variables!$E$50+Variables!$B$7*$G$1*Variables!$E$50*SUM(D307:D310),0)</f>
        <v>1.1508301648579957</v>
      </c>
      <c r="L310" s="64">
        <f>IF(B310="Winter",Variables!$B$8*H309,0)</f>
        <v>0</v>
      </c>
      <c r="M310" s="64">
        <f>IF(AND(B310="Spring",AND(NOT(H309=0),H309&lt;(Variables!$B$9*Variables!$E$50))),(Variables!$B$10*Variables!$E$50+Variables!$B$11*Variables!$E$50*SUM(E307:E310)+$G$1*SUM(D309:D310)*Variables!$E$50*Variables!$B$12),0)</f>
        <v>-1.2962153680337936</v>
      </c>
      <c r="N310" s="64">
        <f>IF(AND(B310="Spring",AND(SUM(D307:D310)&gt;Variables!$B$13,SUM(D303:D306)&gt;Variables!$B$13)),-Variables!$B$14*Variables!$E$50,0)</f>
        <v>0</v>
      </c>
      <c r="O310" s="64">
        <f>IF(AND(B310="Summer",SUM(C306:D310)&gt;Variables!$B$15),(Variables!$B$16*Variables!$E$50*SUM(C306:C310)+$G$1*Variables!$B$16*Variables!$E$50*SUM(D306:D310)+$G$1*Variables!$E$50*Variables!$B$17*F310),0)</f>
        <v>0</v>
      </c>
      <c r="P310" s="64">
        <f>IF(AND(AND(B310="Autumn",SUM(D309:E310)&gt;0),NOT(H309=0)),Variables!$B$18*Variables!$E$50+Variables!$B$19*Variables!$E$50*SUM(E309:E310)+$G$1*Variables!$B$19*Variables!$E$50*SUM(D309:D310),0)</f>
        <v>0</v>
      </c>
      <c r="Q310" s="64">
        <f>IF(AND(B310="Autumn",AND((E310+E309)&lt;Variables!$B$20,(D309+D310)=0)),-Variables!$B$21*Variables!$E$50,0)</f>
        <v>0</v>
      </c>
      <c r="R310" s="64">
        <f>IF(B310="Autumn",(SUM(F309:F310)*$G$1*Variables!$B$22*Variables!$E$50),0)</f>
        <v>0</v>
      </c>
      <c r="S310" s="64">
        <f>IF(B310="Spring",($G$1*Variables!$E$50*SUM('Guts (option 2)'!F309:F310)*Variables!$B$23),0)</f>
        <v>0</v>
      </c>
      <c r="T310" s="63">
        <f>IF((H309+SUM(J310:Q310))&lt;(Variables!$B$26*Variables!$E$50),$F$1*((Variables!$B$26*Variables!$E$50)-H309-SUM(J310:Q310)),0)</f>
        <v>0.14538520317579784</v>
      </c>
      <c r="U310" s="64">
        <f>IF(AND(AND(B310="Autumn",SUM(D307:E310)&gt;Variables!$B$27),SUM(J310:Q310)&lt;Variables!$B$28*H309),$F$1*(Variables!$B$28*H309-SUM(J310:Q310)),0)</f>
        <v>0</v>
      </c>
      <c r="V310" s="96">
        <f>IF(AND((J310+K310)=0,(Q310+T310)=0),$H$1*H310*Variables!$I$23*0.25,0)</f>
        <v>0</v>
      </c>
      <c r="W310" s="97">
        <f>IF(AND((K310+J310)=0,(T310+Q310)=0),$I$1*H310*Variables!$Q$23*0.25,0)</f>
        <v>0</v>
      </c>
      <c r="X310" s="95">
        <f>IF(AND(NOT(K310=0),(H310-H309)&gt;0),(H310-H309)*(Variables!$M$5*$H$1+Variables!$U$5*$I$1),0)+IF(AND(NOT((J310+N310+Q310)=0),(H309-H310)&gt;0),(H309-H310)*(Variables!$M$4*$H$1+Variables!$U$4*$I$1),0)</f>
        <v>0</v>
      </c>
      <c r="Y310" s="95">
        <f>IF(SUM(T310,U309:U310)&gt;0,H310*Variables!$Y$11*0.25*(1-$J$1),0)</f>
        <v>-6.9874000000000018</v>
      </c>
      <c r="Z310" s="95">
        <f>IF(T310=0,H310*$J$1*Variables!$Y$5*0.25,0)</f>
        <v>0</v>
      </c>
      <c r="AA310" s="95">
        <f t="shared" si="9"/>
        <v>-6.9874000000000018</v>
      </c>
      <c r="AB310" s="91">
        <f>AA310/Variables!$E$49</f>
        <v>-1.1270000000000002</v>
      </c>
    </row>
    <row r="311" spans="1:28" x14ac:dyDescent="0.25">
      <c r="A311" s="61">
        <f>'Water runs'!C318</f>
        <v>30375</v>
      </c>
      <c r="B311" s="61" t="str">
        <f>'Water runs'!B318</f>
        <v>Summer</v>
      </c>
      <c r="C311" s="54">
        <f>'Water runs'!D318/100</f>
        <v>0.91708928571428605</v>
      </c>
      <c r="D311" s="108">
        <f>VLOOKUP(ROW(D311)+4,'Water runs'!$BS$3:$CF$423,MATCH($B$1,Scenarios,0)+1)</f>
        <v>9.2843173738509418E-3</v>
      </c>
      <c r="E311" s="54">
        <f>IF(B311=Variables!$D$8,C311-Variables!$E$8,IF(B311=Variables!$D$9,C311-Variables!$E$9,IF(B311=Variables!$D$10,C311-Variables!$E$10,IF(B311=Variables!$D$11,C311-Variables!$E$11,"ELSE"))))</f>
        <v>-0.34128085034013567</v>
      </c>
      <c r="F311" s="108">
        <f>VLOOKUP(ROW(F311)+4,'Water runs'!$CH$3:$CU$423,MATCH($B$1,Scenarios,0)+1)</f>
        <v>0</v>
      </c>
      <c r="G311" s="65">
        <f>H311/Variables!$E$49</f>
        <v>0.18551500760892803</v>
      </c>
      <c r="H311" s="62">
        <f>IF((H310+I311)&gt;(1.1*Variables!$E$50),(1.1*Variables!$E$50),IF((H310+I311)&gt;0,H310+I311,0))</f>
        <v>1.1501930471753539</v>
      </c>
      <c r="I311" s="64">
        <f t="shared" si="8"/>
        <v>0.15199304717535378</v>
      </c>
      <c r="J311" s="63">
        <f>IF(SUM(E307:E310)&lt;Variables!$B$3,-H310,0)</f>
        <v>-0.99820000000000009</v>
      </c>
      <c r="K311" s="64">
        <f>IF(AND(H310&lt;Variables!$B$6*Variables!$E$50,OR(SUM(D308:D311)&gt;Variables!$B$5,SUM(E308:E311)&gt;Variables!$B$4)),Variables!$B$6*Variables!$E$50+Variables!$B$7*$G$1*Variables!$E$50*SUM(D308:D311),0)</f>
        <v>1.1501930471753539</v>
      </c>
      <c r="L311" s="64">
        <f>IF(B311="Winter",Variables!$B$8*H310,0)</f>
        <v>0</v>
      </c>
      <c r="M311" s="64">
        <f>IF(AND(B311="Spring",AND(NOT(H310=0),H310&lt;(Variables!$B$9*Variables!$E$50))),(Variables!$B$10*Variables!$E$50+Variables!$B$11*Variables!$E$50*SUM(E308:E311)+$G$1*SUM(D310:D311)*Variables!$E$50*Variables!$B$12),0)</f>
        <v>0</v>
      </c>
      <c r="N311" s="64">
        <f>IF(AND(B311="Spring",AND(SUM(D308:D311)&gt;Variables!$B$13,SUM(D304:D307)&gt;Variables!$B$13)),-Variables!$B$14*Variables!$E$50,0)</f>
        <v>0</v>
      </c>
      <c r="O311" s="64">
        <f>IF(AND(B311="Summer",SUM(C307:D311)&gt;Variables!$B$15),(Variables!$B$16*Variables!$E$50*SUM(C307:C311)+$G$1*Variables!$B$16*Variables!$E$50*SUM(D307:D311)+$G$1*Variables!$E$50*Variables!$B$17*F311),0)</f>
        <v>0</v>
      </c>
      <c r="P311" s="64">
        <f>IF(AND(AND(B311="Autumn",SUM(D310:E311)&gt;0),NOT(H310=0)),Variables!$B$18*Variables!$E$50+Variables!$B$19*Variables!$E$50*SUM(E310:E311)+$G$1*Variables!$B$19*Variables!$E$50*SUM(D310:D311),0)</f>
        <v>0</v>
      </c>
      <c r="Q311" s="64">
        <f>IF(AND(B311="Autumn",AND((E311+E310)&lt;Variables!$B$20,(D310+D311)=0)),-Variables!$B$21*Variables!$E$50,0)</f>
        <v>0</v>
      </c>
      <c r="R311" s="64">
        <f>IF(B311="Autumn",(SUM(F310:F311)*$G$1*Variables!$B$22*Variables!$E$50),0)</f>
        <v>0</v>
      </c>
      <c r="S311" s="64">
        <f>IF(B311="Spring",($G$1*Variables!$E$50*SUM('Guts (option 2)'!F310:F311)*Variables!$B$23),0)</f>
        <v>0</v>
      </c>
      <c r="T311" s="63">
        <f>IF((H310+SUM(J311:Q311))&lt;(Variables!$B$26*Variables!$E$50),$F$1*((Variables!$B$26*Variables!$E$50)-H310-SUM(J311:Q311)),0)</f>
        <v>0</v>
      </c>
      <c r="U311" s="64">
        <f>IF(AND(AND(B311="Autumn",SUM(D308:E311)&gt;Variables!$B$27),SUM(J311:Q311)&lt;Variables!$B$28*H310),$F$1*(Variables!$B$28*H310-SUM(J311:Q311)),0)</f>
        <v>0</v>
      </c>
      <c r="V311" s="96">
        <f>IF(AND((J311+K311)=0,(Q311+T311)=0),$H$1*H311*Variables!$I$23*0.25,0)</f>
        <v>0</v>
      </c>
      <c r="W311" s="97">
        <f>IF(AND((K311+J311)=0,(T311+Q311)=0),$I$1*H311*Variables!$Q$23*0.25,0)</f>
        <v>0</v>
      </c>
      <c r="X311" s="95">
        <f>IF(AND(NOT(K311=0),(H311-H310)&gt;0),(H311-H310)*(Variables!$M$5*$H$1+Variables!$U$5*$I$1),0)+IF(AND(NOT((J311+N311+Q311)=0),(H310-H311)&gt;0),(H310-H311)*(Variables!$M$4*$H$1+Variables!$U$4*$I$1),0)</f>
        <v>-12.666087264612814</v>
      </c>
      <c r="Y311" s="95">
        <f>IF(SUM(T311,U310:U311)&gt;0,H311*Variables!$Y$11*0.25*(1-$J$1),0)</f>
        <v>0</v>
      </c>
      <c r="Z311" s="95">
        <f>IF(T311=0,H311*$J$1*Variables!$Y$5*0.25,0)</f>
        <v>2.4920849355465999</v>
      </c>
      <c r="AA311" s="95">
        <f t="shared" si="9"/>
        <v>-10.174002329066214</v>
      </c>
      <c r="AB311" s="91">
        <f>AA311/Variables!$E$49</f>
        <v>-1.6409681175913249</v>
      </c>
    </row>
    <row r="312" spans="1:28" x14ac:dyDescent="0.25">
      <c r="A312" s="61">
        <f>'Water runs'!C319</f>
        <v>30467</v>
      </c>
      <c r="B312" s="61" t="str">
        <f>'Water runs'!B319</f>
        <v>Autumn</v>
      </c>
      <c r="C312" s="54">
        <f>'Water runs'!D319/100</f>
        <v>2.4256785714285702</v>
      </c>
      <c r="D312" s="108">
        <f>VLOOKUP(ROW(D312)+4,'Water runs'!$BS$3:$CF$423,MATCH($B$1,Scenarios,0)+1)</f>
        <v>0.91953776356107331</v>
      </c>
      <c r="E312" s="54">
        <f>IF(B312=Variables!$D$8,C312-Variables!$E$8,IF(B312=Variables!$D$9,C312-Variables!$E$9,IF(B312=Variables!$D$10,C312-Variables!$E$10,IF(B312=Variables!$D$11,C312-Variables!$E$11,"ELSE"))))</f>
        <v>1.4310352721088424</v>
      </c>
      <c r="F312" s="108">
        <f>VLOOKUP(ROW(F312)+4,'Water runs'!$CH$3:$CU$423,MATCH($B$1,Scenarios,0)+1)</f>
        <v>0</v>
      </c>
      <c r="G312" s="65">
        <f>H312/Variables!$E$49</f>
        <v>0.87139595426356342</v>
      </c>
      <c r="H312" s="62">
        <f>IF((H311+I312)&gt;(1.1*Variables!$E$50),(1.1*Variables!$E$50),IF((H311+I312)&gt;0,H311+I312,0))</f>
        <v>5.4026549164340931</v>
      </c>
      <c r="I312" s="64">
        <f t="shared" si="8"/>
        <v>4.252461869258739</v>
      </c>
      <c r="J312" s="63">
        <f>IF(SUM(E308:E311)&lt;Variables!$B$3,-H311,0)</f>
        <v>0</v>
      </c>
      <c r="K312" s="64">
        <f>IF(AND(H311&lt;Variables!$B$6*Variables!$E$50,OR(SUM(D309:D312)&gt;Variables!$B$5,SUM(E309:E312)&gt;Variables!$B$4)),Variables!$B$6*Variables!$E$50+Variables!$B$7*$G$1*Variables!$E$50*SUM(D309:D312),0)</f>
        <v>0</v>
      </c>
      <c r="L312" s="64">
        <f>IF(B312="Winter",Variables!$B$8*H311,0)</f>
        <v>0</v>
      </c>
      <c r="M312" s="64">
        <f>IF(AND(B312="Spring",AND(NOT(H311=0),H311&lt;(Variables!$B$9*Variables!$E$50))),(Variables!$B$10*Variables!$E$50+Variables!$B$11*Variables!$E$50*SUM(E309:E312)+$G$1*SUM(D311:D312)*Variables!$E$50*Variables!$B$12),0)</f>
        <v>0</v>
      </c>
      <c r="N312" s="64">
        <f>IF(AND(B312="Spring",AND(SUM(D309:D312)&gt;Variables!$B$13,SUM(D305:D308)&gt;Variables!$B$13)),-Variables!$B$14*Variables!$E$50,0)</f>
        <v>0</v>
      </c>
      <c r="O312" s="64">
        <f>IF(AND(B312="Summer",SUM(C308:D312)&gt;Variables!$B$15),(Variables!$B$16*Variables!$E$50*SUM(C308:C312)+$G$1*Variables!$B$16*Variables!$E$50*SUM(D308:D312)+$G$1*Variables!$E$50*Variables!$B$17*F312),0)</f>
        <v>0</v>
      </c>
      <c r="P312" s="64">
        <f>IF(AND(AND(B312="Autumn",SUM(D311:E312)&gt;0),NOT(H311=0)),Variables!$B$18*Variables!$E$50+Variables!$B$19*Variables!$E$50*SUM(E311:E312)+$G$1*Variables!$B$19*Variables!$E$50*SUM(D311:D312),0)</f>
        <v>4.252461869258739</v>
      </c>
      <c r="Q312" s="64">
        <f>IF(AND(B312="Autumn",AND((E312+E311)&lt;Variables!$B$20,(D311+D312)=0)),-Variables!$B$21*Variables!$E$50,0)</f>
        <v>0</v>
      </c>
      <c r="R312" s="64">
        <f>IF(B312="Autumn",(SUM(F311:F312)*$G$1*Variables!$B$22*Variables!$E$50),0)</f>
        <v>0</v>
      </c>
      <c r="S312" s="64">
        <f>IF(B312="Spring",($G$1*Variables!$E$50*SUM('Guts (option 2)'!F311:F312)*Variables!$B$23),0)</f>
        <v>0</v>
      </c>
      <c r="T312" s="63">
        <f>IF((H311+SUM(J312:Q312))&lt;(Variables!$B$26*Variables!$E$50),$F$1*((Variables!$B$26*Variables!$E$50)-H311-SUM(J312:Q312)),0)</f>
        <v>0</v>
      </c>
      <c r="U312" s="64">
        <f>IF(AND(AND(B312="Autumn",SUM(D309:E312)&gt;Variables!$B$27),SUM(J312:Q312)&lt;Variables!$B$28*H311),$F$1*(Variables!$B$28*H311-SUM(J312:Q312)),0)</f>
        <v>0</v>
      </c>
      <c r="V312" s="96">
        <f>IF(AND((J312+K312)=0,(Q312+T312)=0),$H$1*H312*Variables!$I$23*0.25,0)</f>
        <v>34.703323545974143</v>
      </c>
      <c r="W312" s="97">
        <f>IF(AND((K312+J312)=0,(T312+Q312)=0),$I$1*H312*Variables!$Q$23*0.25,0)</f>
        <v>36.325200551887654</v>
      </c>
      <c r="X312" s="95">
        <f>IF(AND(NOT(K312=0),(H312-H311)&gt;0),(H312-H311)*(Variables!$M$5*$H$1+Variables!$U$5*$I$1),0)+IF(AND(NOT((J312+N312+Q312)=0),(H311-H312)&gt;0),(H311-H312)*(Variables!$M$4*$H$1+Variables!$U$4*$I$1),0)</f>
        <v>0</v>
      </c>
      <c r="Y312" s="95">
        <f>IF(SUM(T312,U311:U312)&gt;0,H312*Variables!$Y$11*0.25*(1-$J$1),0)</f>
        <v>0</v>
      </c>
      <c r="Z312" s="95">
        <f>IF(T312=0,H312*$J$1*Variables!$Y$5*0.25,0)</f>
        <v>11.705752318940535</v>
      </c>
      <c r="AA312" s="95">
        <f t="shared" si="9"/>
        <v>82.734276416802345</v>
      </c>
      <c r="AB312" s="91">
        <f>AA312/Variables!$E$49</f>
        <v>13.344238131742314</v>
      </c>
    </row>
    <row r="313" spans="1:28" x14ac:dyDescent="0.25">
      <c r="A313" s="61">
        <f>'Water runs'!C320</f>
        <v>30559</v>
      </c>
      <c r="B313" s="61" t="str">
        <f>'Water runs'!B320</f>
        <v>Winter</v>
      </c>
      <c r="C313" s="54">
        <f>'Water runs'!D320/100</f>
        <v>0.84299999999999997</v>
      </c>
      <c r="D313" s="108">
        <f>VLOOKUP(ROW(D313)+4,'Water runs'!$BS$3:$CF$423,MATCH($B$1,Scenarios,0)+1)</f>
        <v>1.4926626497438618</v>
      </c>
      <c r="E313" s="54">
        <f>IF(B313=Variables!$D$8,C313-Variables!$E$8,IF(B313=Variables!$D$9,C313-Variables!$E$9,IF(B313=Variables!$D$10,C313-Variables!$E$10,IF(B313=Variables!$D$11,C313-Variables!$E$11,"ELSE"))))</f>
        <v>0.27123237433862424</v>
      </c>
      <c r="F313" s="108">
        <f>VLOOKUP(ROW(F313)+4,'Water runs'!$CH$3:$CU$423,MATCH($B$1,Scenarios,0)+1)</f>
        <v>2.2968637914789509</v>
      </c>
      <c r="G313" s="65">
        <f>H313/Variables!$E$49</f>
        <v>0.43748848116232741</v>
      </c>
      <c r="H313" s="62">
        <f>IF((H312+I313)&gt;(1.1*Variables!$E$50),(1.1*Variables!$E$50),IF((H312+I313)&gt;0,H312+I313,0))</f>
        <v>2.7124285832064299</v>
      </c>
      <c r="I313" s="64">
        <f t="shared" si="8"/>
        <v>-2.6902263332276632</v>
      </c>
      <c r="J313" s="63">
        <f>IF(SUM(E309:E312)&lt;Variables!$B$3,-H312,0)</f>
        <v>0</v>
      </c>
      <c r="K313" s="64">
        <f>IF(AND(H312&lt;Variables!$B$6*Variables!$E$50,OR(SUM(D310:D313)&gt;Variables!$B$5,SUM(E310:E313)&gt;Variables!$B$4)),Variables!$B$6*Variables!$E$50+Variables!$B$7*$G$1*Variables!$E$50*SUM(D310:D313),0)</f>
        <v>0</v>
      </c>
      <c r="L313" s="64">
        <f>IF(B313="Winter",Variables!$B$8*H312,0)</f>
        <v>-2.6902263332276632</v>
      </c>
      <c r="M313" s="64">
        <f>IF(AND(B313="Spring",AND(NOT(H312=0),H312&lt;(Variables!$B$9*Variables!$E$50))),(Variables!$B$10*Variables!$E$50+Variables!$B$11*Variables!$E$50*SUM(E310:E313)+$G$1*SUM(D312:D313)*Variables!$E$50*Variables!$B$12),0)</f>
        <v>0</v>
      </c>
      <c r="N313" s="64">
        <f>IF(AND(B313="Spring",AND(SUM(D310:D313)&gt;Variables!$B$13,SUM(D306:D309)&gt;Variables!$B$13)),-Variables!$B$14*Variables!$E$50,0)</f>
        <v>0</v>
      </c>
      <c r="O313" s="64">
        <f>IF(AND(B313="Summer",SUM(C309:D313)&gt;Variables!$B$15),(Variables!$B$16*Variables!$E$50*SUM(C309:C313)+$G$1*Variables!$B$16*Variables!$E$50*SUM(D309:D313)+$G$1*Variables!$E$50*Variables!$B$17*F313),0)</f>
        <v>0</v>
      </c>
      <c r="P313" s="64">
        <f>IF(AND(AND(B313="Autumn",SUM(D312:E313)&gt;0),NOT(H312=0)),Variables!$B$18*Variables!$E$50+Variables!$B$19*Variables!$E$50*SUM(E312:E313)+$G$1*Variables!$B$19*Variables!$E$50*SUM(D312:D313),0)</f>
        <v>0</v>
      </c>
      <c r="Q313" s="64">
        <f>IF(AND(B313="Autumn",AND((E313+E312)&lt;Variables!$B$20,(D312+D313)=0)),-Variables!$B$21*Variables!$E$50,0)</f>
        <v>0</v>
      </c>
      <c r="R313" s="64">
        <f>IF(B313="Autumn",(SUM(F312:F313)*$G$1*Variables!$B$22*Variables!$E$50),0)</f>
        <v>0</v>
      </c>
      <c r="S313" s="64">
        <f>IF(B313="Spring",($G$1*Variables!$E$50*SUM('Guts (option 2)'!F312:F313)*Variables!$B$23),0)</f>
        <v>0</v>
      </c>
      <c r="T313" s="63">
        <f>IF((H312+SUM(J313:Q313))&lt;(Variables!$B$26*Variables!$E$50),$F$1*((Variables!$B$26*Variables!$E$50)-H312-SUM(J313:Q313)),0)</f>
        <v>0</v>
      </c>
      <c r="U313" s="64">
        <f>IF(AND(AND(B313="Autumn",SUM(D310:E313)&gt;Variables!$B$27),SUM(J313:Q313)&lt;Variables!$B$28*H312),$F$1*(Variables!$B$28*H312-SUM(J313:Q313)),0)</f>
        <v>0</v>
      </c>
      <c r="V313" s="96">
        <f>IF(AND((J313+K313)=0,(Q313+T313)=0),$H$1*H313*Variables!$I$23*0.25,0)</f>
        <v>17.422968554225129</v>
      </c>
      <c r="W313" s="97">
        <f>IF(AND((K313+J313)=0,(T313+Q313)=0),$I$1*H313*Variables!$Q$23*0.25,0)</f>
        <v>18.237239614903697</v>
      </c>
      <c r="X313" s="95">
        <f>IF(AND(NOT(K313=0),(H313-H312)&gt;0),(H313-H312)*(Variables!$M$5*$H$1+Variables!$U$5*$I$1),0)+IF(AND(NOT((J313+N313+Q313)=0),(H312-H313)&gt;0),(H312-H313)*(Variables!$M$4*$H$1+Variables!$U$4*$I$1),0)</f>
        <v>0</v>
      </c>
      <c r="Y313" s="95">
        <f>IF(SUM(T313,U312:U313)&gt;0,H313*Variables!$Y$11*0.25*(1-$J$1),0)</f>
        <v>0</v>
      </c>
      <c r="Z313" s="95">
        <f>IF(T313=0,H313*$J$1*Variables!$Y$5*0.25,0)</f>
        <v>5.8769285969472644</v>
      </c>
      <c r="AA313" s="95">
        <f t="shared" si="9"/>
        <v>41.537136766076088</v>
      </c>
      <c r="AB313" s="91">
        <f>AA313/Variables!$E$49</f>
        <v>6.6995381880767884</v>
      </c>
    </row>
    <row r="314" spans="1:28" x14ac:dyDescent="0.25">
      <c r="A314" s="61">
        <f>'Water runs'!C321</f>
        <v>30650</v>
      </c>
      <c r="B314" s="61" t="str">
        <f>'Water runs'!B321</f>
        <v>Spring</v>
      </c>
      <c r="C314" s="54">
        <f>'Water runs'!D321/100</f>
        <v>1.35917857142857</v>
      </c>
      <c r="D314" s="108">
        <f>VLOOKUP(ROW(D314)+4,'Water runs'!$BS$3:$CF$423,MATCH($B$1,Scenarios,0)+1)</f>
        <v>2.5178346621905159E-4</v>
      </c>
      <c r="E314" s="54">
        <f>IF(B314=Variables!$D$8,C314-Variables!$E$8,IF(B314=Variables!$D$9,C314-Variables!$E$9,IF(B314=Variables!$D$10,C314-Variables!$E$10,IF(B314=Variables!$D$11,C314-Variables!$E$11,"ELSE"))))</f>
        <v>0.59519636243386087</v>
      </c>
      <c r="F314" s="108">
        <f>VLOOKUP(ROW(F314)+4,'Water runs'!$CH$3:$CU$423,MATCH($B$1,Scenarios,0)+1)</f>
        <v>0</v>
      </c>
      <c r="G314" s="65">
        <f>H314/Variables!$E$49</f>
        <v>0.48489329535457754</v>
      </c>
      <c r="H314" s="62">
        <f>IF((H313+I314)&gt;(1.1*Variables!$E$50),(1.1*Variables!$E$50),IF((H313+I314)&gt;0,H313+I314,0))</f>
        <v>3.006338431198381</v>
      </c>
      <c r="I314" s="64">
        <f t="shared" si="8"/>
        <v>0.29390984799195125</v>
      </c>
      <c r="J314" s="63">
        <f>IF(SUM(E310:E313)&lt;Variables!$B$3,-H313,0)</f>
        <v>0</v>
      </c>
      <c r="K314" s="64">
        <f>IF(AND(H313&lt;Variables!$B$6*Variables!$E$50,OR(SUM(D311:D314)&gt;Variables!$B$5,SUM(E311:E314)&gt;Variables!$B$4)),Variables!$B$6*Variables!$E$50+Variables!$B$7*$G$1*Variables!$E$50*SUM(D311:D314),0)</f>
        <v>0</v>
      </c>
      <c r="L314" s="64">
        <f>IF(B314="Winter",Variables!$B$8*H313,0)</f>
        <v>0</v>
      </c>
      <c r="M314" s="64">
        <f>IF(AND(B314="Spring",AND(NOT(H313=0),H313&lt;(Variables!$B$9*Variables!$E$50))),(Variables!$B$10*Variables!$E$50+Variables!$B$11*Variables!$E$50*SUM(E311:E314)+$G$1*SUM(D313:D314)*Variables!$E$50*Variables!$B$12),0)</f>
        <v>0</v>
      </c>
      <c r="N314" s="64">
        <f>IF(AND(B314="Spring",AND(SUM(D311:D314)&gt;Variables!$B$13,SUM(D307:D310)&gt;Variables!$B$13)),-Variables!$B$14*Variables!$E$50,0)</f>
        <v>0</v>
      </c>
      <c r="O314" s="64">
        <f>IF(AND(B314="Summer",SUM(C310:D314)&gt;Variables!$B$15),(Variables!$B$16*Variables!$E$50*SUM(C310:C314)+$G$1*Variables!$B$16*Variables!$E$50*SUM(D310:D314)+$G$1*Variables!$E$50*Variables!$B$17*F314),0)</f>
        <v>0</v>
      </c>
      <c r="P314" s="64">
        <f>IF(AND(AND(B314="Autumn",SUM(D313:E314)&gt;0),NOT(H313=0)),Variables!$B$18*Variables!$E$50+Variables!$B$19*Variables!$E$50*SUM(E313:E314)+$G$1*Variables!$B$19*Variables!$E$50*SUM(D313:D314),0)</f>
        <v>0</v>
      </c>
      <c r="Q314" s="64">
        <f>IF(AND(B314="Autumn",AND((E314+E313)&lt;Variables!$B$20,(D313+D314)=0)),-Variables!$B$21*Variables!$E$50,0)</f>
        <v>0</v>
      </c>
      <c r="R314" s="64">
        <f>IF(B314="Autumn",(SUM(F313:F314)*$G$1*Variables!$B$22*Variables!$E$50),0)</f>
        <v>0</v>
      </c>
      <c r="S314" s="64">
        <f>IF(B314="Spring",($G$1*Variables!$E$50*SUM('Guts (option 2)'!F313:F314)*Variables!$B$23),0)</f>
        <v>0.29390984799195125</v>
      </c>
      <c r="T314" s="63">
        <f>IF((H313+SUM(J314:Q314))&lt;(Variables!$B$26*Variables!$E$50),$F$1*((Variables!$B$26*Variables!$E$50)-H313-SUM(J314:Q314)),0)</f>
        <v>0</v>
      </c>
      <c r="U314" s="64">
        <f>IF(AND(AND(B314="Autumn",SUM(D311:E314)&gt;Variables!$B$27),SUM(J314:Q314)&lt;Variables!$B$28*H313),$F$1*(Variables!$B$28*H313-SUM(J314:Q314)),0)</f>
        <v>0</v>
      </c>
      <c r="V314" s="96">
        <f>IF(AND((J314+K314)=0,(Q314+T314)=0),$H$1*H314*Variables!$I$23*0.25,0)</f>
        <v>19.31086417331916</v>
      </c>
      <c r="W314" s="97">
        <f>IF(AND((K314+J314)=0,(T314+Q314)=0),$I$1*H314*Variables!$Q$23*0.25,0)</f>
        <v>20.213366970364913</v>
      </c>
      <c r="X314" s="95">
        <f>IF(AND(NOT(K314=0),(H314-H313)&gt;0),(H314-H313)*(Variables!$M$5*$H$1+Variables!$U$5*$I$1),0)+IF(AND(NOT((J314+N314+Q314)=0),(H313-H314)&gt;0),(H313-H314)*(Variables!$M$4*$H$1+Variables!$U$4*$I$1),0)</f>
        <v>0</v>
      </c>
      <c r="Y314" s="95">
        <f>IF(SUM(T314,U313:U314)&gt;0,H314*Variables!$Y$11*0.25*(1-$J$1),0)</f>
        <v>0</v>
      </c>
      <c r="Z314" s="95">
        <f>IF(T314=0,H314*$J$1*Variables!$Y$5*0.25,0)</f>
        <v>6.5137332675964918</v>
      </c>
      <c r="AA314" s="95">
        <f t="shared" si="9"/>
        <v>46.037964411280569</v>
      </c>
      <c r="AB314" s="91">
        <f>AA314/Variables!$E$49</f>
        <v>7.4254781308517046</v>
      </c>
    </row>
    <row r="315" spans="1:28" x14ac:dyDescent="0.25">
      <c r="A315" s="61">
        <f>'Water runs'!C322</f>
        <v>30740</v>
      </c>
      <c r="B315" s="61" t="str">
        <f>'Water runs'!B322</f>
        <v>Summer</v>
      </c>
      <c r="C315" s="54">
        <f>'Water runs'!D322/100</f>
        <v>2.0966428571428599</v>
      </c>
      <c r="D315" s="108">
        <f>VLOOKUP(ROW(D315)+4,'Water runs'!$BS$3:$CF$423,MATCH($B$1,Scenarios,0)+1)</f>
        <v>0.50346954449362225</v>
      </c>
      <c r="E315" s="54">
        <f>IF(B315=Variables!$D$8,C315-Variables!$E$8,IF(B315=Variables!$D$9,C315-Variables!$E$9,IF(B315=Variables!$D$10,C315-Variables!$E$10,IF(B315=Variables!$D$11,C315-Variables!$E$11,"ELSE"))))</f>
        <v>0.8382727210884382</v>
      </c>
      <c r="F315" s="108">
        <f>VLOOKUP(ROW(F315)+4,'Water runs'!$CH$3:$CU$423,MATCH($B$1,Scenarios,0)+1)</f>
        <v>0.58984077466963314</v>
      </c>
      <c r="G315" s="65">
        <f>H315/Variables!$E$49</f>
        <v>1.1883563189022621</v>
      </c>
      <c r="H315" s="62">
        <f>IF((H314+I315)&gt;(1.1*Variables!$E$50),(1.1*Variables!$E$50),IF((H314+I315)&gt;0,H314+I315,0))</f>
        <v>7.3678091771940259</v>
      </c>
      <c r="I315" s="64">
        <f t="shared" si="8"/>
        <v>4.3614707459956454</v>
      </c>
      <c r="J315" s="63">
        <f>IF(SUM(E311:E314)&lt;Variables!$B$3,-H314,0)</f>
        <v>0</v>
      </c>
      <c r="K315" s="64">
        <f>IF(AND(H314&lt;Variables!$B$6*Variables!$E$50,OR(SUM(D312:D315)&gt;Variables!$B$5,SUM(E312:E315)&gt;Variables!$B$4)),Variables!$B$6*Variables!$E$50+Variables!$B$7*$G$1*Variables!$E$50*SUM(D312:D315),0)</f>
        <v>0</v>
      </c>
      <c r="L315" s="64">
        <f>IF(B315="Winter",Variables!$B$8*H314,0)</f>
        <v>0</v>
      </c>
      <c r="M315" s="64">
        <f>IF(AND(B315="Spring",AND(NOT(H314=0),H314&lt;(Variables!$B$9*Variables!$E$50))),(Variables!$B$10*Variables!$E$50+Variables!$B$11*Variables!$E$50*SUM(E312:E315)+$G$1*SUM(D314:D315)*Variables!$E$50*Variables!$B$12),0)</f>
        <v>0</v>
      </c>
      <c r="N315" s="64">
        <f>IF(AND(B315="Spring",AND(SUM(D312:D315)&gt;Variables!$B$13,SUM(D308:D311)&gt;Variables!$B$13)),-Variables!$B$14*Variables!$E$50,0)</f>
        <v>0</v>
      </c>
      <c r="O315" s="64">
        <f>IF(AND(B315="Summer",SUM(C311:D315)&gt;Variables!$B$15),(Variables!$B$16*Variables!$E$50*SUM(C311:C315)+$G$1*Variables!$B$16*Variables!$E$50*SUM(D311:D315)+$G$1*Variables!$E$50*Variables!$B$17*F315),0)</f>
        <v>4.3614707459956454</v>
      </c>
      <c r="P315" s="64">
        <f>IF(AND(AND(B315="Autumn",SUM(D314:E315)&gt;0),NOT(H314=0)),Variables!$B$18*Variables!$E$50+Variables!$B$19*Variables!$E$50*SUM(E314:E315)+$G$1*Variables!$B$19*Variables!$E$50*SUM(D314:D315),0)</f>
        <v>0</v>
      </c>
      <c r="Q315" s="64">
        <f>IF(AND(B315="Autumn",AND((E315+E314)&lt;Variables!$B$20,(D314+D315)=0)),-Variables!$B$21*Variables!$E$50,0)</f>
        <v>0</v>
      </c>
      <c r="R315" s="64">
        <f>IF(B315="Autumn",(SUM(F314:F315)*$G$1*Variables!$B$22*Variables!$E$50),0)</f>
        <v>0</v>
      </c>
      <c r="S315" s="64">
        <f>IF(B315="Spring",($G$1*Variables!$E$50*SUM('Guts (option 2)'!F314:F315)*Variables!$B$23),0)</f>
        <v>0</v>
      </c>
      <c r="T315" s="63">
        <f>IF((H314+SUM(J315:Q315))&lt;(Variables!$B$26*Variables!$E$50),$F$1*((Variables!$B$26*Variables!$E$50)-H314-SUM(J315:Q315)),0)</f>
        <v>0</v>
      </c>
      <c r="U315" s="64">
        <f>IF(AND(AND(B315="Autumn",SUM(D312:E315)&gt;Variables!$B$27),SUM(J315:Q315)&lt;Variables!$B$28*H314),$F$1*(Variables!$B$28*H314-SUM(J315:Q315)),0)</f>
        <v>0</v>
      </c>
      <c r="V315" s="96">
        <f>IF(AND((J315+K315)=0,(Q315+T315)=0),$H$1*H315*Variables!$I$23*0.25,0)</f>
        <v>47.326262671968486</v>
      </c>
      <c r="W315" s="97">
        <f>IF(AND((K315+J315)=0,(T315+Q315)=0),$I$1*H315*Variables!$Q$23*0.25,0)</f>
        <v>49.538078986962127</v>
      </c>
      <c r="X315" s="95">
        <f>IF(AND(NOT(K315=0),(H315-H314)&gt;0),(H315-H314)*(Variables!$M$5*$H$1+Variables!$U$5*$I$1),0)+IF(AND(NOT((J315+N315+Q315)=0),(H314-H315)&gt;0),(H314-H315)*(Variables!$M$4*$H$1+Variables!$U$4*$I$1),0)</f>
        <v>0</v>
      </c>
      <c r="Y315" s="95">
        <f>IF(SUM(T315,U314:U315)&gt;0,H315*Variables!$Y$11*0.25*(1-$J$1),0)</f>
        <v>0</v>
      </c>
      <c r="Z315" s="95">
        <f>IF(T315=0,H315*$J$1*Variables!$Y$5*0.25,0)</f>
        <v>15.963586550587056</v>
      </c>
      <c r="AA315" s="95">
        <f t="shared" si="9"/>
        <v>112.82792820951767</v>
      </c>
      <c r="AB315" s="91">
        <f>AA315/Variables!$E$49</f>
        <v>18.198052937018979</v>
      </c>
    </row>
    <row r="316" spans="1:28" x14ac:dyDescent="0.25">
      <c r="A316" s="61">
        <f>'Water runs'!C323</f>
        <v>30833</v>
      </c>
      <c r="B316" s="61" t="str">
        <f>'Water runs'!B323</f>
        <v>Autumn</v>
      </c>
      <c r="C316" s="54">
        <f>'Water runs'!D323/100</f>
        <v>0.64849999999999997</v>
      </c>
      <c r="D316" s="108">
        <f>VLOOKUP(ROW(D316)+4,'Water runs'!$BS$3:$CF$423,MATCH($B$1,Scenarios,0)+1)</f>
        <v>5.1148465150159539E-4</v>
      </c>
      <c r="E316" s="54">
        <f>IF(B316=Variables!$D$8,C316-Variables!$E$8,IF(B316=Variables!$D$9,C316-Variables!$E$9,IF(B316=Variables!$D$10,C316-Variables!$E$10,IF(B316=Variables!$D$11,C316-Variables!$E$11,"ELSE"))))</f>
        <v>-0.34614329931972787</v>
      </c>
      <c r="F316" s="108">
        <f>VLOOKUP(ROW(F316)+4,'Water runs'!$CH$3:$CU$423,MATCH($B$1,Scenarios,0)+1)</f>
        <v>0</v>
      </c>
      <c r="G316" s="65">
        <f>H316/Variables!$E$49</f>
        <v>1.7365204422121083</v>
      </c>
      <c r="H316" s="62">
        <f>IF((H315+I316)&gt;(1.1*Variables!$E$50),(1.1*Variables!$E$50),IF((H315+I316)&gt;0,H315+I316,0))</f>
        <v>10.766426741715073</v>
      </c>
      <c r="I316" s="64">
        <f t="shared" si="8"/>
        <v>3.3986175645210466</v>
      </c>
      <c r="J316" s="63">
        <f>IF(SUM(E312:E315)&lt;Variables!$B$3,-H315,0)</f>
        <v>0</v>
      </c>
      <c r="K316" s="64">
        <f>IF(AND(H315&lt;Variables!$B$6*Variables!$E$50,OR(SUM(D313:D316)&gt;Variables!$B$5,SUM(E313:E316)&gt;Variables!$B$4)),Variables!$B$6*Variables!$E$50+Variables!$B$7*$G$1*Variables!$E$50*SUM(D313:D316),0)</f>
        <v>0</v>
      </c>
      <c r="L316" s="64">
        <f>IF(B316="Winter",Variables!$B$8*H315,0)</f>
        <v>0</v>
      </c>
      <c r="M316" s="64">
        <f>IF(AND(B316="Spring",AND(NOT(H315=0),H315&lt;(Variables!$B$9*Variables!$E$50))),(Variables!$B$10*Variables!$E$50+Variables!$B$11*Variables!$E$50*SUM(E313:E316)+$G$1*SUM(D315:D316)*Variables!$E$50*Variables!$B$12),0)</f>
        <v>0</v>
      </c>
      <c r="N316" s="64">
        <f>IF(AND(B316="Spring",AND(SUM(D313:D316)&gt;Variables!$B$13,SUM(D309:D312)&gt;Variables!$B$13)),-Variables!$B$14*Variables!$E$50,0)</f>
        <v>0</v>
      </c>
      <c r="O316" s="64">
        <f>IF(AND(B316="Summer",SUM(C312:D316)&gt;Variables!$B$15),(Variables!$B$16*Variables!$E$50*SUM(C312:C316)+$G$1*Variables!$B$16*Variables!$E$50*SUM(D312:D316)+$G$1*Variables!$E$50*Variables!$B$17*F316),0)</f>
        <v>0</v>
      </c>
      <c r="P316" s="64">
        <f>IF(AND(AND(B316="Autumn",SUM(D315:E316)&gt;0),NOT(H315=0)),Variables!$B$18*Variables!$E$50+Variables!$B$19*Variables!$E$50*SUM(E315:E316)+$G$1*Variables!$B$19*Variables!$E$50*SUM(D315:D316),0)</f>
        <v>2.2581040763257549</v>
      </c>
      <c r="Q316" s="64">
        <f>IF(AND(B316="Autumn",AND((E316+E315)&lt;Variables!$B$20,(D315+D316)=0)),-Variables!$B$21*Variables!$E$50,0)</f>
        <v>0</v>
      </c>
      <c r="R316" s="64">
        <f>IF(B316="Autumn",(SUM(F315:F316)*$G$1*Variables!$B$22*Variables!$E$50),0)</f>
        <v>8.3103434783734664E-2</v>
      </c>
      <c r="S316" s="64">
        <f>IF(B316="Spring",($G$1*Variables!$E$50*SUM('Guts (option 2)'!F315:F316)*Variables!$B$23),0)</f>
        <v>0</v>
      </c>
      <c r="T316" s="63">
        <f>IF((H315+SUM(J316:Q316))&lt;(Variables!$B$26*Variables!$E$50),$F$1*((Variables!$B$26*Variables!$E$50)-H315-SUM(J316:Q316)),0)</f>
        <v>0</v>
      </c>
      <c r="U316" s="64">
        <f>IF(AND(AND(B316="Autumn",SUM(D313:E316)&gt;Variables!$B$27),SUM(J316:Q316)&lt;Variables!$B$28*H315),$F$1*(Variables!$B$28*H315-SUM(J316:Q316)),0)</f>
        <v>1.0574100534115569</v>
      </c>
      <c r="V316" s="96">
        <f>IF(AND((J316+K316)=0,(Q316+T316)=0),$H$1*H316*Variables!$I$23*0.25,0)</f>
        <v>69.156886092286896</v>
      </c>
      <c r="W316" s="97">
        <f>IF(AND((K316+J316)=0,(T316+Q316)=0),$I$1*H316*Variables!$Q$23*0.25,0)</f>
        <v>72.388967400149753</v>
      </c>
      <c r="X316" s="95">
        <f>IF(AND(NOT(K316=0),(H316-H315)&gt;0),(H316-H315)*(Variables!$M$5*$H$1+Variables!$U$5*$I$1),0)+IF(AND(NOT((J316+N316+Q316)=0),(H315-H316)&gt;0),(H315-H316)*(Variables!$M$4*$H$1+Variables!$U$4*$I$1),0)</f>
        <v>0</v>
      </c>
      <c r="Y316" s="95">
        <f>IF(SUM(T316,U315:U316)&gt;0,H316*Variables!$Y$11*0.25*(1-$J$1),0)</f>
        <v>-75.364987192005515</v>
      </c>
      <c r="Z316" s="95">
        <f>IF(T316=0,H316*$J$1*Variables!$Y$5*0.25,0)</f>
        <v>23.327257940382655</v>
      </c>
      <c r="AA316" s="95">
        <f t="shared" si="9"/>
        <v>89.5081242408138</v>
      </c>
      <c r="AB316" s="91">
        <f>AA316/Variables!$E$49</f>
        <v>14.436794232389323</v>
      </c>
    </row>
    <row r="317" spans="1:28" x14ac:dyDescent="0.25">
      <c r="A317" s="61">
        <f>'Water runs'!C324</f>
        <v>30925</v>
      </c>
      <c r="B317" s="61" t="str">
        <f>'Water runs'!B324</f>
        <v>Winter</v>
      </c>
      <c r="C317" s="54">
        <f>'Water runs'!D324/100</f>
        <v>1.355375</v>
      </c>
      <c r="D317" s="108">
        <f>VLOOKUP(ROW(D317)+4,'Water runs'!$BS$3:$CF$423,MATCH($B$1,Scenarios,0)+1)</f>
        <v>0.55138124609062622</v>
      </c>
      <c r="E317" s="54">
        <f>IF(B317=Variables!$D$8,C317-Variables!$E$8,IF(B317=Variables!$D$9,C317-Variables!$E$9,IF(B317=Variables!$D$10,C317-Variables!$E$10,IF(B317=Variables!$D$11,C317-Variables!$E$11,"ELSE"))))</f>
        <v>0.78360737433862426</v>
      </c>
      <c r="F317" s="108">
        <f>VLOOKUP(ROW(F317)+4,'Water runs'!$CH$3:$CU$423,MATCH($B$1,Scenarios,0)+1)</f>
        <v>0.51401673805810022</v>
      </c>
      <c r="G317" s="65">
        <f>H317/Variables!$E$49</f>
        <v>0.87182834284875088</v>
      </c>
      <c r="H317" s="62">
        <f>IF((H316+I317)&gt;(1.1*Variables!$E$50),(1.1*Variables!$E$50),IF((H316+I317)&gt;0,H316+I317,0))</f>
        <v>5.4053357256622556</v>
      </c>
      <c r="I317" s="64">
        <f t="shared" ref="I317:I364" si="10">SUM(J317:U317)</f>
        <v>-5.3610910160528169</v>
      </c>
      <c r="J317" s="63">
        <f>IF(SUM(E313:E316)&lt;Variables!$B$3,-H316,0)</f>
        <v>0</v>
      </c>
      <c r="K317" s="64">
        <f>IF(AND(H316&lt;Variables!$B$6*Variables!$E$50,OR(SUM(D314:D317)&gt;Variables!$B$5,SUM(E314:E317)&gt;Variables!$B$4)),Variables!$B$6*Variables!$E$50+Variables!$B$7*$G$1*Variables!$E$50*SUM(D314:D317),0)</f>
        <v>0</v>
      </c>
      <c r="L317" s="64">
        <f>IF(B317="Winter",Variables!$B$8*H316,0)</f>
        <v>-5.3610910160528169</v>
      </c>
      <c r="M317" s="64">
        <f>IF(AND(B317="Spring",AND(NOT(H316=0),H316&lt;(Variables!$B$9*Variables!$E$50))),(Variables!$B$10*Variables!$E$50+Variables!$B$11*Variables!$E$50*SUM(E314:E317)+$G$1*SUM(D316:D317)*Variables!$E$50*Variables!$B$12),0)</f>
        <v>0</v>
      </c>
      <c r="N317" s="64">
        <f>IF(AND(B317="Spring",AND(SUM(D314:D317)&gt;Variables!$B$13,SUM(D310:D313)&gt;Variables!$B$13)),-Variables!$B$14*Variables!$E$50,0)</f>
        <v>0</v>
      </c>
      <c r="O317" s="64">
        <f>IF(AND(B317="Summer",SUM(C313:D317)&gt;Variables!$B$15),(Variables!$B$16*Variables!$E$50*SUM(C313:C317)+$G$1*Variables!$B$16*Variables!$E$50*SUM(D313:D317)+$G$1*Variables!$E$50*Variables!$B$17*F317),0)</f>
        <v>0</v>
      </c>
      <c r="P317" s="64">
        <f>IF(AND(AND(B317="Autumn",SUM(D316:E317)&gt;0),NOT(H316=0)),Variables!$B$18*Variables!$E$50+Variables!$B$19*Variables!$E$50*SUM(E316:E317)+$G$1*Variables!$B$19*Variables!$E$50*SUM(D316:D317),0)</f>
        <v>0</v>
      </c>
      <c r="Q317" s="64">
        <f>IF(AND(B317="Autumn",AND((E317+E316)&lt;Variables!$B$20,(D316+D317)=0)),-Variables!$B$21*Variables!$E$50,0)</f>
        <v>0</v>
      </c>
      <c r="R317" s="64">
        <f>IF(B317="Autumn",(SUM(F316:F317)*$G$1*Variables!$B$22*Variables!$E$50),0)</f>
        <v>0</v>
      </c>
      <c r="S317" s="64">
        <f>IF(B317="Spring",($G$1*Variables!$E$50*SUM('Guts (option 2)'!F316:F317)*Variables!$B$23),0)</f>
        <v>0</v>
      </c>
      <c r="T317" s="63">
        <f>IF((H316+SUM(J317:Q317))&lt;(Variables!$B$26*Variables!$E$50),$F$1*((Variables!$B$26*Variables!$E$50)-H316-SUM(J317:Q317)),0)</f>
        <v>0</v>
      </c>
      <c r="U317" s="64">
        <f>IF(AND(AND(B317="Autumn",SUM(D314:E317)&gt;Variables!$B$27),SUM(J317:Q317)&lt;Variables!$B$28*H316),$F$1*(Variables!$B$28*H316-SUM(J317:Q317)),0)</f>
        <v>0</v>
      </c>
      <c r="V317" s="96">
        <f>IF(AND((J317+K317)=0,(Q317+T317)=0),$H$1*H317*Variables!$I$23*0.25,0)</f>
        <v>34.720543411290173</v>
      </c>
      <c r="W317" s="97">
        <f>IF(AND((K317+J317)=0,(T317+Q317)=0),$I$1*H317*Variables!$Q$23*0.25,0)</f>
        <v>36.343225196133979</v>
      </c>
      <c r="X317" s="95">
        <f>IF(AND(NOT(K317=0),(H317-H316)&gt;0),(H317-H316)*(Variables!$M$5*$H$1+Variables!$U$5*$I$1),0)+IF(AND(NOT((J317+N317+Q317)=0),(H316-H317)&gt;0),(H316-H317)*(Variables!$M$4*$H$1+Variables!$U$4*$I$1),0)</f>
        <v>0</v>
      </c>
      <c r="Y317" s="95">
        <f>IF(SUM(T317,U316:U317)&gt;0,H317*Variables!$Y$11*0.25*(1-$J$1),0)</f>
        <v>-37.83735007963579</v>
      </c>
      <c r="Z317" s="95">
        <f>IF(T317=0,H317*$J$1*Variables!$Y$5*0.25,0)</f>
        <v>11.711560738934887</v>
      </c>
      <c r="AA317" s="95">
        <f t="shared" si="9"/>
        <v>44.937979266723246</v>
      </c>
      <c r="AB317" s="91">
        <f>AA317/Variables!$E$49</f>
        <v>7.248061172052136</v>
      </c>
    </row>
    <row r="318" spans="1:28" x14ac:dyDescent="0.25">
      <c r="A318" s="61">
        <f>'Water runs'!C325</f>
        <v>31016</v>
      </c>
      <c r="B318" s="61" t="str">
        <f>'Water runs'!B325</f>
        <v>Spring</v>
      </c>
      <c r="C318" s="54">
        <f>'Water runs'!D325/100</f>
        <v>0.73162499999999997</v>
      </c>
      <c r="D318" s="108">
        <f>VLOOKUP(ROW(D318)+4,'Water runs'!$BS$3:$CF$423,MATCH($B$1,Scenarios,0)+1)</f>
        <v>2.3594802809206723E-4</v>
      </c>
      <c r="E318" s="54">
        <f>IF(B318=Variables!$D$8,C318-Variables!$E$8,IF(B318=Variables!$D$9,C318-Variables!$E$9,IF(B318=Variables!$D$10,C318-Variables!$E$10,IF(B318=Variables!$D$11,C318-Variables!$E$11,"ELSE"))))</f>
        <v>-3.2357208994709175E-2</v>
      </c>
      <c r="F318" s="108">
        <f>VLOOKUP(ROW(F318)+4,'Water runs'!$CH$3:$CU$423,MATCH($B$1,Scenarios,0)+1)</f>
        <v>0</v>
      </c>
      <c r="G318" s="65">
        <f>H318/Variables!$E$49</f>
        <v>0.55386567046467161</v>
      </c>
      <c r="H318" s="62">
        <f>IF((H317+I318)&gt;(1.1*Variables!$E$50),(1.1*Variables!$E$50),IF((H317+I318)&gt;0,H317+I318,0))</f>
        <v>3.4339671568809642</v>
      </c>
      <c r="I318" s="64">
        <f t="shared" si="10"/>
        <v>-1.9713685687812916</v>
      </c>
      <c r="J318" s="63">
        <f>IF(SUM(E314:E317)&lt;Variables!$B$3,-H317,0)</f>
        <v>0</v>
      </c>
      <c r="K318" s="64">
        <f>IF(AND(H317&lt;Variables!$B$6*Variables!$E$50,OR(SUM(D315:D318)&gt;Variables!$B$5,SUM(E315:E318)&gt;Variables!$B$4)),Variables!$B$6*Variables!$E$50+Variables!$B$7*$G$1*Variables!$E$50*SUM(D315:D318),0)</f>
        <v>0</v>
      </c>
      <c r="L318" s="64">
        <f>IF(B318="Winter",Variables!$B$8*H317,0)</f>
        <v>0</v>
      </c>
      <c r="M318" s="64">
        <f>IF(AND(B318="Spring",AND(NOT(H317=0),H317&lt;(Variables!$B$9*Variables!$E$50))),(Variables!$B$10*Variables!$E$50+Variables!$B$11*Variables!$E$50*SUM(E315:E318)+$G$1*SUM(D317:D318)*Variables!$E$50*Variables!$B$12),0)</f>
        <v>0</v>
      </c>
      <c r="N318" s="64">
        <f>IF(AND(B318="Spring",AND(SUM(D315:D318)&gt;Variables!$B$13,SUM(D311:D314)&gt;Variables!$B$13)),-Variables!$B$14*Variables!$E$50,0)</f>
        <v>-2.0371428571428569</v>
      </c>
      <c r="O318" s="64">
        <f>IF(AND(B318="Summer",SUM(C314:D318)&gt;Variables!$B$15),(Variables!$B$16*Variables!$E$50*SUM(C314:C318)+$G$1*Variables!$B$16*Variables!$E$50*SUM(D314:D318)+$G$1*Variables!$E$50*Variables!$B$17*F318),0)</f>
        <v>0</v>
      </c>
      <c r="P318" s="64">
        <f>IF(AND(AND(B318="Autumn",SUM(D317:E318)&gt;0),NOT(H317=0)),Variables!$B$18*Variables!$E$50+Variables!$B$19*Variables!$E$50*SUM(E317:E318)+$G$1*Variables!$B$19*Variables!$E$50*SUM(D317:D318),0)</f>
        <v>0</v>
      </c>
      <c r="Q318" s="64">
        <f>IF(AND(B318="Autumn",AND((E318+E317)&lt;Variables!$B$20,(D317+D318)=0)),-Variables!$B$21*Variables!$E$50,0)</f>
        <v>0</v>
      </c>
      <c r="R318" s="64">
        <f>IF(B318="Autumn",(SUM(F317:F318)*$G$1*Variables!$B$22*Variables!$E$50),0)</f>
        <v>0</v>
      </c>
      <c r="S318" s="64">
        <f>IF(B318="Spring",($G$1*Variables!$E$50*SUM('Guts (option 2)'!F317:F318)*Variables!$B$23),0)</f>
        <v>6.5774288361565361E-2</v>
      </c>
      <c r="T318" s="63">
        <f>IF((H317+SUM(J318:Q318))&lt;(Variables!$B$26*Variables!$E$50),$F$1*((Variables!$B$26*Variables!$E$50)-H317-SUM(J318:Q318)),0)</f>
        <v>0</v>
      </c>
      <c r="U318" s="64">
        <f>IF(AND(AND(B318="Autumn",SUM(D315:E318)&gt;Variables!$B$27),SUM(J318:Q318)&lt;Variables!$B$28*H317),$F$1*(Variables!$B$28*H317-SUM(J318:Q318)),0)</f>
        <v>0</v>
      </c>
      <c r="V318" s="96">
        <f>IF(AND((J318+K318)=0,(Q318+T318)=0),$H$1*H318*Variables!$I$23*0.25,0)</f>
        <v>22.057687402723236</v>
      </c>
      <c r="W318" s="97">
        <f>IF(AND((K318+J318)=0,(T318+Q318)=0),$I$1*H318*Variables!$Q$23*0.25,0)</f>
        <v>23.088564343218899</v>
      </c>
      <c r="X318" s="95">
        <f>IF(AND(NOT(K318=0),(H318-H317)&gt;0),(H318-H317)*(Variables!$M$5*$H$1+Variables!$U$5*$I$1),0)+IF(AND(NOT((J318+N318+Q318)=0),(H317-H318)&gt;0),(H317-H318)*(Variables!$M$4*$H$1+Variables!$U$4*$I$1),0)</f>
        <v>82.140357032553808</v>
      </c>
      <c r="Y318" s="95">
        <f>IF(SUM(T318,U317:U318)&gt;0,H318*Variables!$Y$11*0.25*(1-$J$1),0)</f>
        <v>0</v>
      </c>
      <c r="Z318" s="95">
        <f>IF(T318=0,H318*$J$1*Variables!$Y$5*0.25,0)</f>
        <v>7.4402621732420879</v>
      </c>
      <c r="AA318" s="95">
        <f t="shared" si="9"/>
        <v>134.72687095173802</v>
      </c>
      <c r="AB318" s="91">
        <f>AA318/Variables!$E$49</f>
        <v>21.730140476086778</v>
      </c>
    </row>
    <row r="319" spans="1:28" x14ac:dyDescent="0.25">
      <c r="A319" s="61">
        <f>'Water runs'!C326</f>
        <v>31106</v>
      </c>
      <c r="B319" s="61" t="str">
        <f>'Water runs'!B326</f>
        <v>Summer</v>
      </c>
      <c r="C319" s="54">
        <f>'Water runs'!D326/100</f>
        <v>0.18725000000000003</v>
      </c>
      <c r="D319" s="108">
        <f>VLOOKUP(ROW(D319)+4,'Water runs'!$BS$3:$CF$423,MATCH($B$1,Scenarios,0)+1)</f>
        <v>0</v>
      </c>
      <c r="E319" s="54">
        <f>IF(B319=Variables!$D$8,C319-Variables!$E$8,IF(B319=Variables!$D$9,C319-Variables!$E$9,IF(B319=Variables!$D$10,C319-Variables!$E$10,IF(B319=Variables!$D$11,C319-Variables!$E$11,"ELSE"))))</f>
        <v>-1.0711201360544216</v>
      </c>
      <c r="F319" s="108">
        <f>VLOOKUP(ROW(F319)+4,'Water runs'!$CH$3:$CU$423,MATCH($B$1,Scenarios,0)+1)</f>
        <v>0</v>
      </c>
      <c r="G319" s="65">
        <f>H319/Variables!$E$49</f>
        <v>0.55386567046467161</v>
      </c>
      <c r="H319" s="62">
        <f>IF((H318+I319)&gt;(1.1*Variables!$E$50),(1.1*Variables!$E$50),IF((H318+I319)&gt;0,H318+I319,0))</f>
        <v>3.4339671568809642</v>
      </c>
      <c r="I319" s="64">
        <f t="shared" si="10"/>
        <v>0</v>
      </c>
      <c r="J319" s="63">
        <f>IF(SUM(E315:E318)&lt;Variables!$B$3,-H318,0)</f>
        <v>0</v>
      </c>
      <c r="K319" s="64">
        <f>IF(AND(H318&lt;Variables!$B$6*Variables!$E$50,OR(SUM(D316:D319)&gt;Variables!$B$5,SUM(E316:E319)&gt;Variables!$B$4)),Variables!$B$6*Variables!$E$50+Variables!$B$7*$G$1*Variables!$E$50*SUM(D316:D319),0)</f>
        <v>0</v>
      </c>
      <c r="L319" s="64">
        <f>IF(B319="Winter",Variables!$B$8*H318,0)</f>
        <v>0</v>
      </c>
      <c r="M319" s="64">
        <f>IF(AND(B319="Spring",AND(NOT(H318=0),H318&lt;(Variables!$B$9*Variables!$E$50))),(Variables!$B$10*Variables!$E$50+Variables!$B$11*Variables!$E$50*SUM(E316:E319)+$G$1*SUM(D318:D319)*Variables!$E$50*Variables!$B$12),0)</f>
        <v>0</v>
      </c>
      <c r="N319" s="64">
        <f>IF(AND(B319="Spring",AND(SUM(D316:D319)&gt;Variables!$B$13,SUM(D312:D315)&gt;Variables!$B$13)),-Variables!$B$14*Variables!$E$50,0)</f>
        <v>0</v>
      </c>
      <c r="O319" s="64">
        <f>IF(AND(B319="Summer",SUM(C315:D319)&gt;Variables!$B$15),(Variables!$B$16*Variables!$E$50*SUM(C315:C319)+$G$1*Variables!$B$16*Variables!$E$50*SUM(D315:D319)+$G$1*Variables!$E$50*Variables!$B$17*F319),0)</f>
        <v>0</v>
      </c>
      <c r="P319" s="64">
        <f>IF(AND(AND(B319="Autumn",SUM(D318:E319)&gt;0),NOT(H318=0)),Variables!$B$18*Variables!$E$50+Variables!$B$19*Variables!$E$50*SUM(E318:E319)+$G$1*Variables!$B$19*Variables!$E$50*SUM(D318:D319),0)</f>
        <v>0</v>
      </c>
      <c r="Q319" s="64">
        <f>IF(AND(B319="Autumn",AND((E319+E318)&lt;Variables!$B$20,(D318+D319)=0)),-Variables!$B$21*Variables!$E$50,0)</f>
        <v>0</v>
      </c>
      <c r="R319" s="64">
        <f>IF(B319="Autumn",(SUM(F318:F319)*$G$1*Variables!$B$22*Variables!$E$50),0)</f>
        <v>0</v>
      </c>
      <c r="S319" s="64">
        <f>IF(B319="Spring",($G$1*Variables!$E$50*SUM('Guts (option 2)'!F318:F319)*Variables!$B$23),0)</f>
        <v>0</v>
      </c>
      <c r="T319" s="63">
        <f>IF((H318+SUM(J319:Q319))&lt;(Variables!$B$26*Variables!$E$50),$F$1*((Variables!$B$26*Variables!$E$50)-H318-SUM(J319:Q319)),0)</f>
        <v>0</v>
      </c>
      <c r="U319" s="64">
        <f>IF(AND(AND(B319="Autumn",SUM(D316:E319)&gt;Variables!$B$27),SUM(J319:Q319)&lt;Variables!$B$28*H318),$F$1*(Variables!$B$28*H318-SUM(J319:Q319)),0)</f>
        <v>0</v>
      </c>
      <c r="V319" s="96">
        <f>IF(AND((J319+K319)=0,(Q319+T319)=0),$H$1*H319*Variables!$I$23*0.25,0)</f>
        <v>22.057687402723236</v>
      </c>
      <c r="W319" s="97">
        <f>IF(AND((K319+J319)=0,(T319+Q319)=0),$I$1*H319*Variables!$Q$23*0.25,0)</f>
        <v>23.088564343218899</v>
      </c>
      <c r="X319" s="95">
        <f>IF(AND(NOT(K319=0),(H319-H318)&gt;0),(H319-H318)*(Variables!$M$5*$H$1+Variables!$U$5*$I$1),0)+IF(AND(NOT((J319+N319+Q319)=0),(H318-H319)&gt;0),(H318-H319)*(Variables!$M$4*$H$1+Variables!$U$4*$I$1),0)</f>
        <v>0</v>
      </c>
      <c r="Y319" s="95">
        <f>IF(SUM(T319,U318:U319)&gt;0,H319*Variables!$Y$11*0.25*(1-$J$1),0)</f>
        <v>0</v>
      </c>
      <c r="Z319" s="95">
        <f>IF(T319=0,H319*$J$1*Variables!$Y$5*0.25,0)</f>
        <v>7.4402621732420879</v>
      </c>
      <c r="AA319" s="95">
        <f t="shared" si="9"/>
        <v>52.586513919184227</v>
      </c>
      <c r="AB319" s="91">
        <f>AA319/Variables!$E$49</f>
        <v>8.4816957934168098</v>
      </c>
    </row>
    <row r="320" spans="1:28" x14ac:dyDescent="0.25">
      <c r="A320" s="61">
        <f>'Water runs'!C327</f>
        <v>31198</v>
      </c>
      <c r="B320" s="61" t="str">
        <f>'Water runs'!B327</f>
        <v>Autumn</v>
      </c>
      <c r="C320" s="54">
        <f>'Water runs'!D327/100</f>
        <v>0.1925</v>
      </c>
      <c r="D320" s="108">
        <f>VLOOKUP(ROW(D320)+4,'Water runs'!$BS$3:$CF$423,MATCH($B$1,Scenarios,0)+1)</f>
        <v>0</v>
      </c>
      <c r="E320" s="54">
        <f>IF(B320=Variables!$D$8,C320-Variables!$E$8,IF(B320=Variables!$D$9,C320-Variables!$E$9,IF(B320=Variables!$D$10,C320-Variables!$E$10,IF(B320=Variables!$D$11,C320-Variables!$E$11,"ELSE"))))</f>
        <v>-0.80214329931972783</v>
      </c>
      <c r="F320" s="108">
        <f>VLOOKUP(ROW(F320)+4,'Water runs'!$CH$3:$CU$423,MATCH($B$1,Scenarios,0)+1)</f>
        <v>0</v>
      </c>
      <c r="G320" s="65">
        <f>H320/Variables!$E$49</f>
        <v>0.16100000000000003</v>
      </c>
      <c r="H320" s="62">
        <f>IF((H319+I320)&gt;(1.1*Variables!$E$50),(1.1*Variables!$E$50),IF((H319+I320)&gt;0,H319+I320,0))</f>
        <v>0.9982000000000002</v>
      </c>
      <c r="I320" s="64">
        <f t="shared" si="10"/>
        <v>-2.435767156880964</v>
      </c>
      <c r="J320" s="63">
        <f>IF(SUM(E316:E319)&lt;Variables!$B$3,-H319,0)</f>
        <v>0</v>
      </c>
      <c r="K320" s="64">
        <f>IF(AND(H319&lt;Variables!$B$6*Variables!$E$50,OR(SUM(D317:D320)&gt;Variables!$B$5,SUM(E317:E320)&gt;Variables!$B$4)),Variables!$B$6*Variables!$E$50+Variables!$B$7*$G$1*Variables!$E$50*SUM(D317:D320),0)</f>
        <v>0</v>
      </c>
      <c r="L320" s="64">
        <f>IF(B320="Winter",Variables!$B$8*H319,0)</f>
        <v>0</v>
      </c>
      <c r="M320" s="64">
        <f>IF(AND(B320="Spring",AND(NOT(H319=0),H319&lt;(Variables!$B$9*Variables!$E$50))),(Variables!$B$10*Variables!$E$50+Variables!$B$11*Variables!$E$50*SUM(E317:E320)+$G$1*SUM(D319:D320)*Variables!$E$50*Variables!$B$12),0)</f>
        <v>0</v>
      </c>
      <c r="N320" s="64">
        <f>IF(AND(B320="Spring",AND(SUM(D317:D320)&gt;Variables!$B$13,SUM(D313:D316)&gt;Variables!$B$13)),-Variables!$B$14*Variables!$E$50,0)</f>
        <v>0</v>
      </c>
      <c r="O320" s="64">
        <f>IF(AND(B320="Summer",SUM(C316:D320)&gt;Variables!$B$15),(Variables!$B$16*Variables!$E$50*SUM(C316:C320)+$G$1*Variables!$B$16*Variables!$E$50*SUM(D316:D320)+$G$1*Variables!$E$50*Variables!$B$17*F320),0)</f>
        <v>0</v>
      </c>
      <c r="P320" s="64">
        <f>IF(AND(AND(B320="Autumn",SUM(D319:E320)&gt;0),NOT(H319=0)),Variables!$B$18*Variables!$E$50+Variables!$B$19*Variables!$E$50*SUM(E319:E320)+$G$1*Variables!$B$19*Variables!$E$50*SUM(D319:D320),0)</f>
        <v>0</v>
      </c>
      <c r="Q320" s="64">
        <f>IF(AND(B320="Autumn",AND((E320+E319)&lt;Variables!$B$20,(D319+D320)=0)),-Variables!$B$21*Variables!$E$50,0)</f>
        <v>-4.0327172013864514</v>
      </c>
      <c r="R320" s="64">
        <f>IF(B320="Autumn",(SUM(F319:F320)*$G$1*Variables!$B$22*Variables!$E$50),0)</f>
        <v>0</v>
      </c>
      <c r="S320" s="64">
        <f>IF(B320="Spring",($G$1*Variables!$E$50*SUM('Guts (option 2)'!F319:F320)*Variables!$B$23),0)</f>
        <v>0</v>
      </c>
      <c r="T320" s="63">
        <f>IF((H319+SUM(J320:Q320))&lt;(Variables!$B$26*Variables!$E$50),$F$1*((Variables!$B$26*Variables!$E$50)-H319-SUM(J320:Q320)),0)</f>
        <v>1.5969500445054874</v>
      </c>
      <c r="U320" s="64">
        <f>IF(AND(AND(B320="Autumn",SUM(D317:E320)&gt;Variables!$B$27),SUM(J320:Q320)&lt;Variables!$B$28*H319),$F$1*(Variables!$B$28*H319-SUM(J320:Q320)),0)</f>
        <v>0</v>
      </c>
      <c r="V320" s="96">
        <f>IF(AND((J320+K320)=0,(Q320+T320)=0),$H$1*H320*Variables!$I$23*0.25,0)</f>
        <v>0</v>
      </c>
      <c r="W320" s="97">
        <f>IF(AND((K320+J320)=0,(T320+Q320)=0),$I$1*H320*Variables!$Q$23*0.25,0)</f>
        <v>0</v>
      </c>
      <c r="X320" s="95">
        <f>IF(AND(NOT(K320=0),(H320-H319)&gt;0),(H320-H319)*(Variables!$M$5*$H$1+Variables!$U$5*$I$1),0)+IF(AND(NOT((J320+N320+Q320)=0),(H319-H320)&gt;0),(H319-H320)*(Variables!$M$4*$H$1+Variables!$U$4*$I$1),0)</f>
        <v>101.4902982033735</v>
      </c>
      <c r="Y320" s="95">
        <f>IF(SUM(T320,U319:U320)&gt;0,H320*Variables!$Y$11*0.25*(1-$J$1),0)</f>
        <v>-6.9874000000000018</v>
      </c>
      <c r="Z320" s="95">
        <f>IF(T320=0,H320*$J$1*Variables!$Y$5*0.25,0)</f>
        <v>0</v>
      </c>
      <c r="AA320" s="95">
        <f t="shared" si="9"/>
        <v>94.502898203373491</v>
      </c>
      <c r="AB320" s="91">
        <f>AA320/Variables!$E$49</f>
        <v>15.242402936027982</v>
      </c>
    </row>
    <row r="321" spans="1:28" x14ac:dyDescent="0.25">
      <c r="A321" s="61">
        <f>'Water runs'!C328</f>
        <v>31290</v>
      </c>
      <c r="B321" s="61" t="str">
        <f>'Water runs'!B328</f>
        <v>Winter</v>
      </c>
      <c r="C321" s="54">
        <f>'Water runs'!D328/100</f>
        <v>0.81957142857142895</v>
      </c>
      <c r="D321" s="108">
        <f>VLOOKUP(ROW(D321)+4,'Water runs'!$BS$3:$CF$423,MATCH($B$1,Scenarios,0)+1)</f>
        <v>0</v>
      </c>
      <c r="E321" s="54">
        <f>IF(B321=Variables!$D$8,C321-Variables!$E$8,IF(B321=Variables!$D$9,C321-Variables!$E$9,IF(B321=Variables!$D$10,C321-Variables!$E$10,IF(B321=Variables!$D$11,C321-Variables!$E$11,"ELSE"))))</f>
        <v>0.24780380291005322</v>
      </c>
      <c r="F321" s="108">
        <f>VLOOKUP(ROW(F321)+4,'Water runs'!$CH$3:$CU$423,MATCH($B$1,Scenarios,0)+1)</f>
        <v>0</v>
      </c>
      <c r="G321" s="65">
        <f>H321/Variables!$E$49</f>
        <v>0.161</v>
      </c>
      <c r="H321" s="62">
        <f>IF((H320+I321)&gt;(1.1*Variables!$E$50),(1.1*Variables!$E$50),IF((H320+I321)&gt;0,H320+I321,0))</f>
        <v>0.99820000000000009</v>
      </c>
      <c r="I321" s="64">
        <f t="shared" si="10"/>
        <v>-1.1102230246251565E-16</v>
      </c>
      <c r="J321" s="63">
        <f>IF(SUM(E317:E320)&lt;Variables!$B$3,-H320,0)</f>
        <v>0</v>
      </c>
      <c r="K321" s="64">
        <f>IF(AND(H320&lt;Variables!$B$6*Variables!$E$50,OR(SUM(D318:D321)&gt;Variables!$B$5,SUM(E318:E321)&gt;Variables!$B$4)),Variables!$B$6*Variables!$E$50+Variables!$B$7*$G$1*Variables!$E$50*SUM(D318:D321),0)</f>
        <v>0</v>
      </c>
      <c r="L321" s="64">
        <f>IF(B321="Winter",Variables!$B$8*H320,0)</f>
        <v>-0.49704894489176155</v>
      </c>
      <c r="M321" s="64">
        <f>IF(AND(B321="Spring",AND(NOT(H320=0),H320&lt;(Variables!$B$9*Variables!$E$50))),(Variables!$B$10*Variables!$E$50+Variables!$B$11*Variables!$E$50*SUM(E318:E321)+$G$1*SUM(D320:D321)*Variables!$E$50*Variables!$B$12),0)</f>
        <v>0</v>
      </c>
      <c r="N321" s="64">
        <f>IF(AND(B321="Spring",AND(SUM(D318:D321)&gt;Variables!$B$13,SUM(D314:D317)&gt;Variables!$B$13)),-Variables!$B$14*Variables!$E$50,0)</f>
        <v>0</v>
      </c>
      <c r="O321" s="64">
        <f>IF(AND(B321="Summer",SUM(C317:D321)&gt;Variables!$B$15),(Variables!$B$16*Variables!$E$50*SUM(C317:C321)+$G$1*Variables!$B$16*Variables!$E$50*SUM(D317:D321)+$G$1*Variables!$E$50*Variables!$B$17*F321),0)</f>
        <v>0</v>
      </c>
      <c r="P321" s="64">
        <f>IF(AND(AND(B321="Autumn",SUM(D320:E321)&gt;0),NOT(H320=0)),Variables!$B$18*Variables!$E$50+Variables!$B$19*Variables!$E$50*SUM(E320:E321)+$G$1*Variables!$B$19*Variables!$E$50*SUM(D320:D321),0)</f>
        <v>0</v>
      </c>
      <c r="Q321" s="64">
        <f>IF(AND(B321="Autumn",AND((E321+E320)&lt;Variables!$B$20,(D320+D321)=0)),-Variables!$B$21*Variables!$E$50,0)</f>
        <v>0</v>
      </c>
      <c r="R321" s="64">
        <f>IF(B321="Autumn",(SUM(F320:F321)*$G$1*Variables!$B$22*Variables!$E$50),0)</f>
        <v>0</v>
      </c>
      <c r="S321" s="64">
        <f>IF(B321="Spring",($G$1*Variables!$E$50*SUM('Guts (option 2)'!F320:F321)*Variables!$B$23),0)</f>
        <v>0</v>
      </c>
      <c r="T321" s="63">
        <f>IF((H320+SUM(J321:Q321))&lt;(Variables!$B$26*Variables!$E$50),$F$1*((Variables!$B$26*Variables!$E$50)-H320-SUM(J321:Q321)),0)</f>
        <v>0.49704894489176144</v>
      </c>
      <c r="U321" s="64">
        <f>IF(AND(AND(B321="Autumn",SUM(D318:E321)&gt;Variables!$B$27),SUM(J321:Q321)&lt;Variables!$B$28*H320),$F$1*(Variables!$B$28*H320-SUM(J321:Q321)),0)</f>
        <v>0</v>
      </c>
      <c r="V321" s="96">
        <f>IF(AND((J321+K321)=0,(Q321+T321)=0),$H$1*H321*Variables!$I$23*0.25,0)</f>
        <v>0</v>
      </c>
      <c r="W321" s="97">
        <f>IF(AND((K321+J321)=0,(T321+Q321)=0),$I$1*H321*Variables!$Q$23*0.25,0)</f>
        <v>0</v>
      </c>
      <c r="X321" s="95">
        <f>IF(AND(NOT(K321=0),(H321-H320)&gt;0),(H321-H320)*(Variables!$M$5*$H$1+Variables!$U$5*$I$1),0)+IF(AND(NOT((J321+N321+Q321)=0),(H320-H321)&gt;0),(H320-H321)*(Variables!$M$4*$H$1+Variables!$U$4*$I$1),0)</f>
        <v>0</v>
      </c>
      <c r="Y321" s="95">
        <f>IF(SUM(T321,U320:U321)&gt;0,H321*Variables!$Y$11*0.25*(1-$J$1),0)</f>
        <v>-6.9874000000000018</v>
      </c>
      <c r="Z321" s="95">
        <f>IF(T321=0,H321*$J$1*Variables!$Y$5*0.25,0)</f>
        <v>0</v>
      </c>
      <c r="AA321" s="95">
        <f t="shared" si="9"/>
        <v>-6.9874000000000018</v>
      </c>
      <c r="AB321" s="91">
        <f>AA321/Variables!$E$49</f>
        <v>-1.1270000000000002</v>
      </c>
    </row>
    <row r="322" spans="1:28" x14ac:dyDescent="0.25">
      <c r="A322" s="61">
        <f>'Water runs'!C329</f>
        <v>31381</v>
      </c>
      <c r="B322" s="61" t="str">
        <f>'Water runs'!B329</f>
        <v>Spring</v>
      </c>
      <c r="C322" s="54">
        <f>'Water runs'!D329/100</f>
        <v>1.2090892857142901</v>
      </c>
      <c r="D322" s="108">
        <f>VLOOKUP(ROW(D322)+4,'Water runs'!$BS$3:$CF$423,MATCH($B$1,Scenarios,0)+1)</f>
        <v>0</v>
      </c>
      <c r="E322" s="54">
        <f>IF(B322=Variables!$D$8,C322-Variables!$E$8,IF(B322=Variables!$D$9,C322-Variables!$E$9,IF(B322=Variables!$D$10,C322-Variables!$E$10,IF(B322=Variables!$D$11,C322-Variables!$E$11,"ELSE"))))</f>
        <v>0.44510707671958094</v>
      </c>
      <c r="F322" s="108">
        <f>VLOOKUP(ROW(F322)+4,'Water runs'!$CH$3:$CU$423,MATCH($B$1,Scenarios,0)+1)</f>
        <v>0</v>
      </c>
      <c r="G322" s="65">
        <f>H322/Variables!$E$49</f>
        <v>0.161</v>
      </c>
      <c r="H322" s="62">
        <f>IF((H321+I322)&gt;(1.1*Variables!$E$50),(1.1*Variables!$E$50),IF((H321+I322)&gt;0,H321+I322,0))</f>
        <v>0.99820000000000009</v>
      </c>
      <c r="I322" s="64">
        <f t="shared" si="10"/>
        <v>0</v>
      </c>
      <c r="J322" s="63">
        <f>IF(SUM(E318:E321)&lt;Variables!$B$3,-H321,0)</f>
        <v>0</v>
      </c>
      <c r="K322" s="64">
        <f>IF(AND(H321&lt;Variables!$B$6*Variables!$E$50,OR(SUM(D319:D322)&gt;Variables!$B$5,SUM(E319:E322)&gt;Variables!$B$4)),Variables!$B$6*Variables!$E$50+Variables!$B$7*$G$1*Variables!$E$50*SUM(D319:D322),0)</f>
        <v>0</v>
      </c>
      <c r="L322" s="64">
        <f>IF(B322="Winter",Variables!$B$8*H321,0)</f>
        <v>0</v>
      </c>
      <c r="M322" s="64">
        <f>IF(AND(B322="Spring",AND(NOT(H321=0),H321&lt;(Variables!$B$9*Variables!$E$50))),(Variables!$B$10*Variables!$E$50+Variables!$B$11*Variables!$E$50*SUM(E319:E322)+$G$1*SUM(D321:D322)*Variables!$E$50*Variables!$B$12),0)</f>
        <v>-0.80389290173738082</v>
      </c>
      <c r="N322" s="64">
        <f>IF(AND(B322="Spring",AND(SUM(D319:D322)&gt;Variables!$B$13,SUM(D315:D318)&gt;Variables!$B$13)),-Variables!$B$14*Variables!$E$50,0)</f>
        <v>0</v>
      </c>
      <c r="O322" s="64">
        <f>IF(AND(B322="Summer",SUM(C318:D322)&gt;Variables!$B$15),(Variables!$B$16*Variables!$E$50*SUM(C318:C322)+$G$1*Variables!$B$16*Variables!$E$50*SUM(D318:D322)+$G$1*Variables!$E$50*Variables!$B$17*F322),0)</f>
        <v>0</v>
      </c>
      <c r="P322" s="64">
        <f>IF(AND(AND(B322="Autumn",SUM(D321:E322)&gt;0),NOT(H321=0)),Variables!$B$18*Variables!$E$50+Variables!$B$19*Variables!$E$50*SUM(E321:E322)+$G$1*Variables!$B$19*Variables!$E$50*SUM(D321:D322),0)</f>
        <v>0</v>
      </c>
      <c r="Q322" s="64">
        <f>IF(AND(B322="Autumn",AND((E322+E321)&lt;Variables!$B$20,(D321+D322)=0)),-Variables!$B$21*Variables!$E$50,0)</f>
        <v>0</v>
      </c>
      <c r="R322" s="64">
        <f>IF(B322="Autumn",(SUM(F321:F322)*$G$1*Variables!$B$22*Variables!$E$50),0)</f>
        <v>0</v>
      </c>
      <c r="S322" s="64">
        <f>IF(B322="Spring",($G$1*Variables!$E$50*SUM('Guts (option 2)'!F321:F322)*Variables!$B$23),0)</f>
        <v>0</v>
      </c>
      <c r="T322" s="63">
        <f>IF((H321+SUM(J322:Q322))&lt;(Variables!$B$26*Variables!$E$50),$F$1*((Variables!$B$26*Variables!$E$50)-H321-SUM(J322:Q322)),0)</f>
        <v>0.80389290173738082</v>
      </c>
      <c r="U322" s="64">
        <f>IF(AND(AND(B322="Autumn",SUM(D319:E322)&gt;Variables!$B$27),SUM(J322:Q322)&lt;Variables!$B$28*H321),$F$1*(Variables!$B$28*H321-SUM(J322:Q322)),0)</f>
        <v>0</v>
      </c>
      <c r="V322" s="96">
        <f>IF(AND((J322+K322)=0,(Q322+T322)=0),$H$1*H322*Variables!$I$23*0.25,0)</f>
        <v>0</v>
      </c>
      <c r="W322" s="97">
        <f>IF(AND((K322+J322)=0,(T322+Q322)=0),$I$1*H322*Variables!$Q$23*0.25,0)</f>
        <v>0</v>
      </c>
      <c r="X322" s="95">
        <f>IF(AND(NOT(K322=0),(H322-H321)&gt;0),(H322-H321)*(Variables!$M$5*$H$1+Variables!$U$5*$I$1),0)+IF(AND(NOT((J322+N322+Q322)=0),(H321-H322)&gt;0),(H321-H322)*(Variables!$M$4*$H$1+Variables!$U$4*$I$1),0)</f>
        <v>0</v>
      </c>
      <c r="Y322" s="95">
        <f>IF(SUM(T322,U321:U322)&gt;0,H322*Variables!$Y$11*0.25*(1-$J$1),0)</f>
        <v>-6.9874000000000018</v>
      </c>
      <c r="Z322" s="95">
        <f>IF(T322=0,H322*$J$1*Variables!$Y$5*0.25,0)</f>
        <v>0</v>
      </c>
      <c r="AA322" s="95">
        <f t="shared" si="9"/>
        <v>-6.9874000000000018</v>
      </c>
      <c r="AB322" s="91">
        <f>AA322/Variables!$E$49</f>
        <v>-1.1270000000000002</v>
      </c>
    </row>
    <row r="323" spans="1:28" x14ac:dyDescent="0.25">
      <c r="A323" s="61">
        <f>'Water runs'!C330</f>
        <v>31471</v>
      </c>
      <c r="B323" s="61" t="str">
        <f>'Water runs'!B330</f>
        <v>Summer</v>
      </c>
      <c r="C323" s="54">
        <f>'Water runs'!D330/100</f>
        <v>0.65355357142857207</v>
      </c>
      <c r="D323" s="108">
        <f>VLOOKUP(ROW(D323)+4,'Water runs'!$BS$3:$CF$423,MATCH($B$1,Scenarios,0)+1)</f>
        <v>0</v>
      </c>
      <c r="E323" s="54">
        <f>IF(B323=Variables!$D$8,C323-Variables!$E$8,IF(B323=Variables!$D$9,C323-Variables!$E$9,IF(B323=Variables!$D$10,C323-Variables!$E$10,IF(B323=Variables!$D$11,C323-Variables!$E$11,"ELSE"))))</f>
        <v>-0.60481656462584965</v>
      </c>
      <c r="F323" s="108">
        <f>VLOOKUP(ROW(F323)+4,'Water runs'!$CH$3:$CU$423,MATCH($B$1,Scenarios,0)+1)</f>
        <v>0</v>
      </c>
      <c r="G323" s="65">
        <f>H323/Variables!$E$49</f>
        <v>0.161</v>
      </c>
      <c r="H323" s="62">
        <f>IF((H322+I323)&gt;(1.1*Variables!$E$50),(1.1*Variables!$E$50),IF((H322+I323)&gt;0,H322+I323,0))</f>
        <v>0.99820000000000009</v>
      </c>
      <c r="I323" s="64">
        <f t="shared" si="10"/>
        <v>0</v>
      </c>
      <c r="J323" s="63">
        <f>IF(SUM(E319:E322)&lt;Variables!$B$3,-H322,0)</f>
        <v>0</v>
      </c>
      <c r="K323" s="64">
        <f>IF(AND(H322&lt;Variables!$B$6*Variables!$E$50,OR(SUM(D320:D323)&gt;Variables!$B$5,SUM(E320:E323)&gt;Variables!$B$4)),Variables!$B$6*Variables!$E$50+Variables!$B$7*$G$1*Variables!$E$50*SUM(D320:D323),0)</f>
        <v>0</v>
      </c>
      <c r="L323" s="64">
        <f>IF(B323="Winter",Variables!$B$8*H322,0)</f>
        <v>0</v>
      </c>
      <c r="M323" s="64">
        <f>IF(AND(B323="Spring",AND(NOT(H322=0),H322&lt;(Variables!$B$9*Variables!$E$50))),(Variables!$B$10*Variables!$E$50+Variables!$B$11*Variables!$E$50*SUM(E320:E323)+$G$1*SUM(D322:D323)*Variables!$E$50*Variables!$B$12),0)</f>
        <v>0</v>
      </c>
      <c r="N323" s="64">
        <f>IF(AND(B323="Spring",AND(SUM(D320:D323)&gt;Variables!$B$13,SUM(D316:D319)&gt;Variables!$B$13)),-Variables!$B$14*Variables!$E$50,0)</f>
        <v>0</v>
      </c>
      <c r="O323" s="64">
        <f>IF(AND(B323="Summer",SUM(C319:D323)&gt;Variables!$B$15),(Variables!$B$16*Variables!$E$50*SUM(C319:C323)+$G$1*Variables!$B$16*Variables!$E$50*SUM(D319:D323)+$G$1*Variables!$E$50*Variables!$B$17*F323),0)</f>
        <v>0</v>
      </c>
      <c r="P323" s="64">
        <f>IF(AND(AND(B323="Autumn",SUM(D322:E323)&gt;0),NOT(H322=0)),Variables!$B$18*Variables!$E$50+Variables!$B$19*Variables!$E$50*SUM(E322:E323)+$G$1*Variables!$B$19*Variables!$E$50*SUM(D322:D323),0)</f>
        <v>0</v>
      </c>
      <c r="Q323" s="64">
        <f>IF(AND(B323="Autumn",AND((E323+E322)&lt;Variables!$B$20,(D322+D323)=0)),-Variables!$B$21*Variables!$E$50,0)</f>
        <v>0</v>
      </c>
      <c r="R323" s="64">
        <f>IF(B323="Autumn",(SUM(F322:F323)*$G$1*Variables!$B$22*Variables!$E$50),0)</f>
        <v>0</v>
      </c>
      <c r="S323" s="64">
        <f>IF(B323="Spring",($G$1*Variables!$E$50*SUM('Guts (option 2)'!F322:F323)*Variables!$B$23),0)</f>
        <v>0</v>
      </c>
      <c r="T323" s="63">
        <f>IF((H322+SUM(J323:Q323))&lt;(Variables!$B$26*Variables!$E$50),$F$1*((Variables!$B$26*Variables!$E$50)-H322-SUM(J323:Q323)),0)</f>
        <v>0</v>
      </c>
      <c r="U323" s="64">
        <f>IF(AND(AND(B323="Autumn",SUM(D320:E323)&gt;Variables!$B$27),SUM(J323:Q323)&lt;Variables!$B$28*H322),$F$1*(Variables!$B$28*H322-SUM(J323:Q323)),0)</f>
        <v>0</v>
      </c>
      <c r="V323" s="96">
        <f>IF(AND((J323+K323)=0,(Q323+T323)=0),$H$1*H323*Variables!$I$23*0.25,0)</f>
        <v>6.4118212433333337</v>
      </c>
      <c r="W323" s="97">
        <f>IF(AND((K323+J323)=0,(T323+Q323)=0),$I$1*H323*Variables!$Q$23*0.25,0)</f>
        <v>6.7114808833333326</v>
      </c>
      <c r="X323" s="95">
        <f>IF(AND(NOT(K323=0),(H323-H322)&gt;0),(H323-H322)*(Variables!$M$5*$H$1+Variables!$U$5*$I$1),0)+IF(AND(NOT((J323+N323+Q323)=0),(H322-H323)&gt;0),(H322-H323)*(Variables!$M$4*$H$1+Variables!$U$4*$I$1),0)</f>
        <v>0</v>
      </c>
      <c r="Y323" s="95">
        <f>IF(SUM(T323,U322:U323)&gt;0,H323*Variables!$Y$11*0.25*(1-$J$1),0)</f>
        <v>0</v>
      </c>
      <c r="Z323" s="95">
        <f>IF(T323=0,H323*$J$1*Variables!$Y$5*0.25,0)</f>
        <v>2.1627666666666667</v>
      </c>
      <c r="AA323" s="95">
        <f t="shared" si="9"/>
        <v>15.286068793333332</v>
      </c>
      <c r="AB323" s="91">
        <f>AA323/Variables!$E$49</f>
        <v>2.4654949666666663</v>
      </c>
    </row>
    <row r="324" spans="1:28" x14ac:dyDescent="0.25">
      <c r="A324" s="61">
        <f>'Water runs'!C331</f>
        <v>31563</v>
      </c>
      <c r="B324" s="61" t="str">
        <f>'Water runs'!B331</f>
        <v>Autumn</v>
      </c>
      <c r="C324" s="54">
        <f>'Water runs'!D331/100</f>
        <v>0.45250000000000001</v>
      </c>
      <c r="D324" s="108">
        <f>VLOOKUP(ROW(D324)+4,'Water runs'!$BS$3:$CF$423,MATCH($B$1,Scenarios,0)+1)</f>
        <v>0</v>
      </c>
      <c r="E324" s="54">
        <f>IF(B324=Variables!$D$8,C324-Variables!$E$8,IF(B324=Variables!$D$9,C324-Variables!$E$9,IF(B324=Variables!$D$10,C324-Variables!$E$10,IF(B324=Variables!$D$11,C324-Variables!$E$11,"ELSE"))))</f>
        <v>-0.54214329931972782</v>
      </c>
      <c r="F324" s="108">
        <f>VLOOKUP(ROW(F324)+4,'Water runs'!$CH$3:$CU$423,MATCH($B$1,Scenarios,0)+1)</f>
        <v>0</v>
      </c>
      <c r="G324" s="65">
        <f>H324/Variables!$E$49</f>
        <v>0.34500000000000003</v>
      </c>
      <c r="H324" s="62">
        <f>IF((H323+I324)&gt;(1.1*Variables!$E$50),(1.1*Variables!$E$50),IF((H323+I324)&gt;0,H323+I324,0))</f>
        <v>2.1390000000000002</v>
      </c>
      <c r="I324" s="64">
        <f t="shared" si="10"/>
        <v>1.1408</v>
      </c>
      <c r="J324" s="63">
        <f>IF(SUM(E320:E323)&lt;Variables!$B$3,-H323,0)</f>
        <v>0</v>
      </c>
      <c r="K324" s="64">
        <f>IF(AND(H323&lt;Variables!$B$6*Variables!$E$50,OR(SUM(D321:D324)&gt;Variables!$B$5,SUM(E321:E324)&gt;Variables!$B$4)),Variables!$B$6*Variables!$E$50+Variables!$B$7*$G$1*Variables!$E$50*SUM(D321:D324),0)</f>
        <v>1.1408</v>
      </c>
      <c r="L324" s="64">
        <f>IF(B324="Winter",Variables!$B$8*H323,0)</f>
        <v>0</v>
      </c>
      <c r="M324" s="64">
        <f>IF(AND(B324="Spring",AND(NOT(H323=0),H323&lt;(Variables!$B$9*Variables!$E$50))),(Variables!$B$10*Variables!$E$50+Variables!$B$11*Variables!$E$50*SUM(E321:E324)+$G$1*SUM(D323:D324)*Variables!$E$50*Variables!$B$12),0)</f>
        <v>0</v>
      </c>
      <c r="N324" s="64">
        <f>IF(AND(B324="Spring",AND(SUM(D321:D324)&gt;Variables!$B$13,SUM(D317:D320)&gt;Variables!$B$13)),-Variables!$B$14*Variables!$E$50,0)</f>
        <v>0</v>
      </c>
      <c r="O324" s="64">
        <f>IF(AND(B324="Summer",SUM(C320:D324)&gt;Variables!$B$15),(Variables!$B$16*Variables!$E$50*SUM(C320:C324)+$G$1*Variables!$B$16*Variables!$E$50*SUM(D320:D324)+$G$1*Variables!$E$50*Variables!$B$17*F324),0)</f>
        <v>0</v>
      </c>
      <c r="P324" s="64">
        <f>IF(AND(AND(B324="Autumn",SUM(D323:E324)&gt;0),NOT(H323=0)),Variables!$B$18*Variables!$E$50+Variables!$B$19*Variables!$E$50*SUM(E323:E324)+$G$1*Variables!$B$19*Variables!$E$50*SUM(D323:D324),0)</f>
        <v>0</v>
      </c>
      <c r="Q324" s="64">
        <f>IF(AND(B324="Autumn",AND((E324+E323)&lt;Variables!$B$20,(D323+D324)=0)),-Variables!$B$21*Variables!$E$50,0)</f>
        <v>0</v>
      </c>
      <c r="R324" s="64">
        <f>IF(B324="Autumn",(SUM(F323:F324)*$G$1*Variables!$B$22*Variables!$E$50),0)</f>
        <v>0</v>
      </c>
      <c r="S324" s="64">
        <f>IF(B324="Spring",($G$1*Variables!$E$50*SUM('Guts (option 2)'!F323:F324)*Variables!$B$23),0)</f>
        <v>0</v>
      </c>
      <c r="T324" s="63">
        <f>IF((H323+SUM(J324:Q324))&lt;(Variables!$B$26*Variables!$E$50),$F$1*((Variables!$B$26*Variables!$E$50)-H323-SUM(J324:Q324)),0)</f>
        <v>0</v>
      </c>
      <c r="U324" s="64">
        <f>IF(AND(AND(B324="Autumn",SUM(D321:E324)&gt;Variables!$B$27),SUM(J324:Q324)&lt;Variables!$B$28*H323),$F$1*(Variables!$B$28*H323-SUM(J324:Q324)),0)</f>
        <v>0</v>
      </c>
      <c r="V324" s="96">
        <f>IF(AND((J324+K324)=0,(Q324+T324)=0),$H$1*H324*Variables!$I$23*0.25,0)</f>
        <v>0</v>
      </c>
      <c r="W324" s="97">
        <f>IF(AND((K324+J324)=0,(T324+Q324)=0),$I$1*H324*Variables!$Q$23*0.25,0)</f>
        <v>0</v>
      </c>
      <c r="X324" s="95">
        <f>IF(AND(NOT(K324=0),(H324-H323)&gt;0),(H324-H323)*(Variables!$M$5*$H$1+Variables!$U$5*$I$1),0)+IF(AND(NOT((J324+N324+Q324)=0),(H323-H324)&gt;0),(H323-H324)*(Variables!$M$4*$H$1+Variables!$U$4*$I$1),0)</f>
        <v>-95.066666666666663</v>
      </c>
      <c r="Y324" s="95">
        <f>IF(SUM(T324,U323:U324)&gt;0,H324*Variables!$Y$11*0.25*(1-$J$1),0)</f>
        <v>0</v>
      </c>
      <c r="Z324" s="95">
        <f>IF(T324=0,H324*$J$1*Variables!$Y$5*0.25,0)</f>
        <v>4.634500000000001</v>
      </c>
      <c r="AA324" s="95">
        <f t="shared" si="9"/>
        <v>-90.43216666666666</v>
      </c>
      <c r="AB324" s="91">
        <f>AA324/Variables!$E$49</f>
        <v>-14.585833333333332</v>
      </c>
    </row>
    <row r="325" spans="1:28" x14ac:dyDescent="0.25">
      <c r="A325" s="61">
        <f>'Water runs'!C332</f>
        <v>31655</v>
      </c>
      <c r="B325" s="61" t="str">
        <f>'Water runs'!B332</f>
        <v>Winter</v>
      </c>
      <c r="C325" s="54">
        <f>'Water runs'!D332/100</f>
        <v>1.12221428571429</v>
      </c>
      <c r="D325" s="108">
        <f>VLOOKUP(ROW(D325)+4,'Water runs'!$BS$3:$CF$423,MATCH($B$1,Scenarios,0)+1)</f>
        <v>0</v>
      </c>
      <c r="E325" s="54">
        <f>IF(B325=Variables!$D$8,C325-Variables!$E$8,IF(B325=Variables!$D$9,C325-Variables!$E$9,IF(B325=Variables!$D$10,C325-Variables!$E$10,IF(B325=Variables!$D$11,C325-Variables!$E$11,"ELSE"))))</f>
        <v>0.55044666005291432</v>
      </c>
      <c r="F325" s="108">
        <f>VLOOKUP(ROW(F325)+4,'Water runs'!$CH$3:$CU$423,MATCH($B$1,Scenarios,0)+1)</f>
        <v>0</v>
      </c>
      <c r="G325" s="65">
        <f>H325/Variables!$E$49</f>
        <v>0.17320889001436818</v>
      </c>
      <c r="H325" s="62">
        <f>IF((H324+I325)&gt;(1.1*Variables!$E$50),(1.1*Variables!$E$50),IF((H324+I325)&gt;0,H324+I325,0))</f>
        <v>1.0738951180890828</v>
      </c>
      <c r="I325" s="64">
        <f t="shared" si="10"/>
        <v>-1.0651048819109175</v>
      </c>
      <c r="J325" s="63">
        <f>IF(SUM(E321:E324)&lt;Variables!$B$3,-H324,0)</f>
        <v>0</v>
      </c>
      <c r="K325" s="64">
        <f>IF(AND(H324&lt;Variables!$B$6*Variables!$E$50,OR(SUM(D322:D325)&gt;Variables!$B$5,SUM(E322:E325)&gt;Variables!$B$4)),Variables!$B$6*Variables!$E$50+Variables!$B$7*$G$1*Variables!$E$50*SUM(D322:D325),0)</f>
        <v>0</v>
      </c>
      <c r="L325" s="64">
        <f>IF(B325="Winter",Variables!$B$8*H324,0)</f>
        <v>-1.0651048819109175</v>
      </c>
      <c r="M325" s="64">
        <f>IF(AND(B325="Spring",AND(NOT(H324=0),H324&lt;(Variables!$B$9*Variables!$E$50))),(Variables!$B$10*Variables!$E$50+Variables!$B$11*Variables!$E$50*SUM(E322:E325)+$G$1*SUM(D324:D325)*Variables!$E$50*Variables!$B$12),0)</f>
        <v>0</v>
      </c>
      <c r="N325" s="64">
        <f>IF(AND(B325="Spring",AND(SUM(D322:D325)&gt;Variables!$B$13,SUM(D318:D321)&gt;Variables!$B$13)),-Variables!$B$14*Variables!$E$50,0)</f>
        <v>0</v>
      </c>
      <c r="O325" s="64">
        <f>IF(AND(B325="Summer",SUM(C321:D325)&gt;Variables!$B$15),(Variables!$B$16*Variables!$E$50*SUM(C321:C325)+$G$1*Variables!$B$16*Variables!$E$50*SUM(D321:D325)+$G$1*Variables!$E$50*Variables!$B$17*F325),0)</f>
        <v>0</v>
      </c>
      <c r="P325" s="64">
        <f>IF(AND(AND(B325="Autumn",SUM(D324:E325)&gt;0),NOT(H324=0)),Variables!$B$18*Variables!$E$50+Variables!$B$19*Variables!$E$50*SUM(E324:E325)+$G$1*Variables!$B$19*Variables!$E$50*SUM(D324:D325),0)</f>
        <v>0</v>
      </c>
      <c r="Q325" s="64">
        <f>IF(AND(B325="Autumn",AND((E325+E324)&lt;Variables!$B$20,(D324+D325)=0)),-Variables!$B$21*Variables!$E$50,0)</f>
        <v>0</v>
      </c>
      <c r="R325" s="64">
        <f>IF(B325="Autumn",(SUM(F324:F325)*$G$1*Variables!$B$22*Variables!$E$50),0)</f>
        <v>0</v>
      </c>
      <c r="S325" s="64">
        <f>IF(B325="Spring",($G$1*Variables!$E$50*SUM('Guts (option 2)'!F324:F325)*Variables!$B$23),0)</f>
        <v>0</v>
      </c>
      <c r="T325" s="63">
        <f>IF((H324+SUM(J325:Q325))&lt;(Variables!$B$26*Variables!$E$50),$F$1*((Variables!$B$26*Variables!$E$50)-H324-SUM(J325:Q325)),0)</f>
        <v>0</v>
      </c>
      <c r="U325" s="64">
        <f>IF(AND(AND(B325="Autumn",SUM(D322:E325)&gt;Variables!$B$27),SUM(J325:Q325)&lt;Variables!$B$28*H324),$F$1*(Variables!$B$28*H324-SUM(J325:Q325)),0)</f>
        <v>0</v>
      </c>
      <c r="V325" s="96">
        <f>IF(AND((J325+K325)=0,(Q325+T325)=0),$H$1*H325*Variables!$I$23*0.25,0)</f>
        <v>6.8980400032814462</v>
      </c>
      <c r="W325" s="97">
        <f>IF(AND((K325+J325)=0,(T325+Q325)=0),$I$1*H325*Variables!$Q$23*0.25,0)</f>
        <v>7.2204233177317878</v>
      </c>
      <c r="X325" s="95">
        <f>IF(AND(NOT(K325=0),(H325-H324)&gt;0),(H325-H324)*(Variables!$M$5*$H$1+Variables!$U$5*$I$1),0)+IF(AND(NOT((J325+N325+Q325)=0),(H324-H325)&gt;0),(H324-H325)*(Variables!$M$4*$H$1+Variables!$U$4*$I$1),0)</f>
        <v>0</v>
      </c>
      <c r="Y325" s="95">
        <f>IF(SUM(T325,U324:U325)&gt;0,H325*Variables!$Y$11*0.25*(1-$J$1),0)</f>
        <v>0</v>
      </c>
      <c r="Z325" s="95">
        <f>IF(T325=0,H325*$J$1*Variables!$Y$5*0.25,0)</f>
        <v>2.3267727558596794</v>
      </c>
      <c r="AA325" s="95">
        <f t="shared" si="9"/>
        <v>16.445236076872913</v>
      </c>
      <c r="AB325" s="91">
        <f>AA325/Variables!$E$49</f>
        <v>2.6524574317536955</v>
      </c>
    </row>
    <row r="326" spans="1:28" x14ac:dyDescent="0.25">
      <c r="A326" s="61">
        <f>'Water runs'!C333</f>
        <v>31746</v>
      </c>
      <c r="B326" s="61" t="str">
        <f>'Water runs'!B333</f>
        <v>Spring</v>
      </c>
      <c r="C326" s="54">
        <f>'Water runs'!D333/100</f>
        <v>1.159125</v>
      </c>
      <c r="D326" s="108">
        <f>VLOOKUP(ROW(D326)+4,'Water runs'!$BS$3:$CF$423,MATCH($B$1,Scenarios,0)+1)</f>
        <v>0</v>
      </c>
      <c r="E326" s="54">
        <f>IF(B326=Variables!$D$8,C326-Variables!$E$8,IF(B326=Variables!$D$9,C326-Variables!$E$9,IF(B326=Variables!$D$10,C326-Variables!$E$10,IF(B326=Variables!$D$11,C326-Variables!$E$11,"ELSE"))))</f>
        <v>0.39514279100529082</v>
      </c>
      <c r="F326" s="108">
        <f>VLOOKUP(ROW(F326)+4,'Water runs'!$CH$3:$CU$423,MATCH($B$1,Scenarios,0)+1)</f>
        <v>0</v>
      </c>
      <c r="G326" s="65">
        <f>H326/Variables!$E$49</f>
        <v>0.33508862018860808</v>
      </c>
      <c r="H326" s="62">
        <f>IF((H325+I326)&gt;(1.1*Variables!$E$50),(1.1*Variables!$E$50),IF((H325+I326)&gt;0,H325+I326,0))</f>
        <v>2.0775494451693701</v>
      </c>
      <c r="I326" s="64">
        <f t="shared" si="10"/>
        <v>1.0036543270802873</v>
      </c>
      <c r="J326" s="63">
        <f>IF(SUM(E322:E325)&lt;Variables!$B$3,-H325,0)</f>
        <v>0</v>
      </c>
      <c r="K326" s="64">
        <f>IF(AND(H325&lt;Variables!$B$6*Variables!$E$50,OR(SUM(D323:D326)&gt;Variables!$B$5,SUM(E323:E326)&gt;Variables!$B$4)),Variables!$B$6*Variables!$E$50+Variables!$B$7*$G$1*Variables!$E$50*SUM(D323:D326),0)</f>
        <v>1.1408</v>
      </c>
      <c r="L326" s="64">
        <f>IF(B326="Winter",Variables!$B$8*H325,0)</f>
        <v>0</v>
      </c>
      <c r="M326" s="64">
        <f>IF(AND(B326="Spring",AND(NOT(H325=0),H325&lt;(Variables!$B$9*Variables!$E$50))),(Variables!$B$10*Variables!$E$50+Variables!$B$11*Variables!$E$50*SUM(E323:E326)+$G$1*SUM(D325:D326)*Variables!$E$50*Variables!$B$12),0)</f>
        <v>-0.1371456729197128</v>
      </c>
      <c r="N326" s="64">
        <f>IF(AND(B326="Spring",AND(SUM(D323:D326)&gt;Variables!$B$13,SUM(D319:D322)&gt;Variables!$B$13)),-Variables!$B$14*Variables!$E$50,0)</f>
        <v>0</v>
      </c>
      <c r="O326" s="64">
        <f>IF(AND(B326="Summer",SUM(C322:D326)&gt;Variables!$B$15),(Variables!$B$16*Variables!$E$50*SUM(C322:C326)+$G$1*Variables!$B$16*Variables!$E$50*SUM(D322:D326)+$G$1*Variables!$E$50*Variables!$B$17*F326),0)</f>
        <v>0</v>
      </c>
      <c r="P326" s="64">
        <f>IF(AND(AND(B326="Autumn",SUM(D325:E326)&gt;0),NOT(H325=0)),Variables!$B$18*Variables!$E$50+Variables!$B$19*Variables!$E$50*SUM(E325:E326)+$G$1*Variables!$B$19*Variables!$E$50*SUM(D325:D326),0)</f>
        <v>0</v>
      </c>
      <c r="Q326" s="64">
        <f>IF(AND(B326="Autumn",AND((E326+E325)&lt;Variables!$B$20,(D325+D326)=0)),-Variables!$B$21*Variables!$E$50,0)</f>
        <v>0</v>
      </c>
      <c r="R326" s="64">
        <f>IF(B326="Autumn",(SUM(F325:F326)*$G$1*Variables!$B$22*Variables!$E$50),0)</f>
        <v>0</v>
      </c>
      <c r="S326" s="64">
        <f>IF(B326="Spring",($G$1*Variables!$E$50*SUM('Guts (option 2)'!F325:F326)*Variables!$B$23),0)</f>
        <v>0</v>
      </c>
      <c r="T326" s="63">
        <f>IF((H325+SUM(J326:Q326))&lt;(Variables!$B$26*Variables!$E$50),$F$1*((Variables!$B$26*Variables!$E$50)-H325-SUM(J326:Q326)),0)</f>
        <v>0</v>
      </c>
      <c r="U326" s="64">
        <f>IF(AND(AND(B326="Autumn",SUM(D323:E326)&gt;Variables!$B$27),SUM(J326:Q326)&lt;Variables!$B$28*H325),$F$1*(Variables!$B$28*H325-SUM(J326:Q326)),0)</f>
        <v>0</v>
      </c>
      <c r="V326" s="96">
        <f>IF(AND((J326+K326)=0,(Q326+T326)=0),$H$1*H326*Variables!$I$23*0.25,0)</f>
        <v>0</v>
      </c>
      <c r="W326" s="97">
        <f>IF(AND((K326+J326)=0,(T326+Q326)=0),$I$1*H326*Variables!$Q$23*0.25,0)</f>
        <v>0</v>
      </c>
      <c r="X326" s="95">
        <f>IF(AND(NOT(K326=0),(H326-H325)&gt;0),(H326-H325)*(Variables!$M$5*$H$1+Variables!$U$5*$I$1),0)+IF(AND(NOT((J326+N326+Q326)=0),(H325-H326)&gt;0),(H325-H326)*(Variables!$M$4*$H$1+Variables!$U$4*$I$1),0)</f>
        <v>-83.637860590023934</v>
      </c>
      <c r="Y326" s="95">
        <f>IF(SUM(T326,U325:U326)&gt;0,H326*Variables!$Y$11*0.25*(1-$J$1),0)</f>
        <v>0</v>
      </c>
      <c r="Z326" s="95">
        <f>IF(T326=0,H326*$J$1*Variables!$Y$5*0.25,0)</f>
        <v>4.5013571312003018</v>
      </c>
      <c r="AA326" s="95">
        <f t="shared" si="9"/>
        <v>-79.136503458823626</v>
      </c>
      <c r="AB326" s="91">
        <f>AA326/Variables!$E$49</f>
        <v>-12.763952170778003</v>
      </c>
    </row>
    <row r="327" spans="1:28" x14ac:dyDescent="0.25">
      <c r="A327" s="61">
        <f>'Water runs'!C334</f>
        <v>31836</v>
      </c>
      <c r="B327" s="61" t="str">
        <f>'Water runs'!B334</f>
        <v>Summer</v>
      </c>
      <c r="C327" s="54">
        <f>'Water runs'!D334/100</f>
        <v>0.55474999999999997</v>
      </c>
      <c r="D327" s="108">
        <f>VLOOKUP(ROW(D327)+4,'Water runs'!$BS$3:$CF$423,MATCH($B$1,Scenarios,0)+1)</f>
        <v>0</v>
      </c>
      <c r="E327" s="54">
        <f>IF(B327=Variables!$D$8,C327-Variables!$E$8,IF(B327=Variables!$D$9,C327-Variables!$E$9,IF(B327=Variables!$D$10,C327-Variables!$E$10,IF(B327=Variables!$D$11,C327-Variables!$E$11,"ELSE"))))</f>
        <v>-0.70362013605442175</v>
      </c>
      <c r="F327" s="108">
        <f>VLOOKUP(ROW(F327)+4,'Water runs'!$CH$3:$CU$423,MATCH($B$1,Scenarios,0)+1)</f>
        <v>0</v>
      </c>
      <c r="G327" s="65">
        <f>H327/Variables!$E$49</f>
        <v>0.33508862018860808</v>
      </c>
      <c r="H327" s="62">
        <f>IF((H326+I327)&gt;(1.1*Variables!$E$50),(1.1*Variables!$E$50),IF((H326+I327)&gt;0,H326+I327,0))</f>
        <v>2.0775494451693701</v>
      </c>
      <c r="I327" s="64">
        <f t="shared" si="10"/>
        <v>0</v>
      </c>
      <c r="J327" s="63">
        <f>IF(SUM(E323:E326)&lt;Variables!$B$3,-H326,0)</f>
        <v>0</v>
      </c>
      <c r="K327" s="64">
        <f>IF(AND(H326&lt;Variables!$B$6*Variables!$E$50,OR(SUM(D324:D327)&gt;Variables!$B$5,SUM(E324:E327)&gt;Variables!$B$4)),Variables!$B$6*Variables!$E$50+Variables!$B$7*$G$1*Variables!$E$50*SUM(D324:D327),0)</f>
        <v>0</v>
      </c>
      <c r="L327" s="64">
        <f>IF(B327="Winter",Variables!$B$8*H326,0)</f>
        <v>0</v>
      </c>
      <c r="M327" s="64">
        <f>IF(AND(B327="Spring",AND(NOT(H326=0),H326&lt;(Variables!$B$9*Variables!$E$50))),(Variables!$B$10*Variables!$E$50+Variables!$B$11*Variables!$E$50*SUM(E324:E327)+$G$1*SUM(D326:D327)*Variables!$E$50*Variables!$B$12),0)</f>
        <v>0</v>
      </c>
      <c r="N327" s="64">
        <f>IF(AND(B327="Spring",AND(SUM(D324:D327)&gt;Variables!$B$13,SUM(D320:D323)&gt;Variables!$B$13)),-Variables!$B$14*Variables!$E$50,0)</f>
        <v>0</v>
      </c>
      <c r="O327" s="64">
        <f>IF(AND(B327="Summer",SUM(C323:D327)&gt;Variables!$B$15),(Variables!$B$16*Variables!$E$50*SUM(C323:C327)+$G$1*Variables!$B$16*Variables!$E$50*SUM(D323:D327)+$G$1*Variables!$E$50*Variables!$B$17*F327),0)</f>
        <v>0</v>
      </c>
      <c r="P327" s="64">
        <f>IF(AND(AND(B327="Autumn",SUM(D326:E327)&gt;0),NOT(H326=0)),Variables!$B$18*Variables!$E$50+Variables!$B$19*Variables!$E$50*SUM(E326:E327)+$G$1*Variables!$B$19*Variables!$E$50*SUM(D326:D327),0)</f>
        <v>0</v>
      </c>
      <c r="Q327" s="64">
        <f>IF(AND(B327="Autumn",AND((E327+E326)&lt;Variables!$B$20,(D326+D327)=0)),-Variables!$B$21*Variables!$E$50,0)</f>
        <v>0</v>
      </c>
      <c r="R327" s="64">
        <f>IF(B327="Autumn",(SUM(F326:F327)*$G$1*Variables!$B$22*Variables!$E$50),0)</f>
        <v>0</v>
      </c>
      <c r="S327" s="64">
        <f>IF(B327="Spring",($G$1*Variables!$E$50*SUM('Guts (option 2)'!F326:F327)*Variables!$B$23),0)</f>
        <v>0</v>
      </c>
      <c r="T327" s="63">
        <f>IF((H326+SUM(J327:Q327))&lt;(Variables!$B$26*Variables!$E$50),$F$1*((Variables!$B$26*Variables!$E$50)-H326-SUM(J327:Q327)),0)</f>
        <v>0</v>
      </c>
      <c r="U327" s="64">
        <f>IF(AND(AND(B327="Autumn",SUM(D324:E327)&gt;Variables!$B$27),SUM(J327:Q327)&lt;Variables!$B$28*H326),$F$1*(Variables!$B$28*H326-SUM(J327:Q327)),0)</f>
        <v>0</v>
      </c>
      <c r="V327" s="96">
        <f>IF(AND((J327+K327)=0,(Q327+T327)=0),$H$1*H327*Variables!$I$23*0.25,0)</f>
        <v>13.344896480276844</v>
      </c>
      <c r="W327" s="97">
        <f>IF(AND((K327+J327)=0,(T327+Q327)=0),$I$1*H327*Variables!$Q$23*0.25,0)</f>
        <v>13.968576823716688</v>
      </c>
      <c r="X327" s="95">
        <f>IF(AND(NOT(K327=0),(H327-H326)&gt;0),(H327-H326)*(Variables!$M$5*$H$1+Variables!$U$5*$I$1),0)+IF(AND(NOT((J327+N327+Q327)=0),(H326-H327)&gt;0),(H326-H327)*(Variables!$M$4*$H$1+Variables!$U$4*$I$1),0)</f>
        <v>0</v>
      </c>
      <c r="Y327" s="95">
        <f>IF(SUM(T327,U326:U327)&gt;0,H327*Variables!$Y$11*0.25*(1-$J$1),0)</f>
        <v>0</v>
      </c>
      <c r="Z327" s="95">
        <f>IF(T327=0,H327*$J$1*Variables!$Y$5*0.25,0)</f>
        <v>4.5013571312003018</v>
      </c>
      <c r="AA327" s="95">
        <f t="shared" si="9"/>
        <v>31.814830435193834</v>
      </c>
      <c r="AB327" s="91">
        <f>AA327/Variables!$E$49</f>
        <v>5.1314242637409411</v>
      </c>
    </row>
    <row r="328" spans="1:28" x14ac:dyDescent="0.25">
      <c r="A328" s="61">
        <f>'Water runs'!C335</f>
        <v>31928</v>
      </c>
      <c r="B328" s="61" t="str">
        <f>'Water runs'!B335</f>
        <v>Autumn</v>
      </c>
      <c r="C328" s="54">
        <f>'Water runs'!D335/100</f>
        <v>0.82055357142857099</v>
      </c>
      <c r="D328" s="108">
        <f>VLOOKUP(ROW(D328)+4,'Water runs'!$BS$3:$CF$423,MATCH($B$1,Scenarios,0)+1)</f>
        <v>0</v>
      </c>
      <c r="E328" s="54">
        <f>IF(B328=Variables!$D$8,C328-Variables!$E$8,IF(B328=Variables!$D$9,C328-Variables!$E$9,IF(B328=Variables!$D$10,C328-Variables!$E$10,IF(B328=Variables!$D$11,C328-Variables!$E$11,"ELSE"))))</f>
        <v>-0.17408972789115684</v>
      </c>
      <c r="F328" s="108">
        <f>VLOOKUP(ROW(F328)+4,'Water runs'!$CH$3:$CU$423,MATCH($B$1,Scenarios,0)+1)</f>
        <v>0</v>
      </c>
      <c r="G328" s="65">
        <f>H328/Variables!$E$49</f>
        <v>0.33508862018860808</v>
      </c>
      <c r="H328" s="62">
        <f>IF((H327+I328)&gt;(1.1*Variables!$E$50),(1.1*Variables!$E$50),IF((H327+I328)&gt;0,H327+I328,0))</f>
        <v>2.0775494451693701</v>
      </c>
      <c r="I328" s="64">
        <f t="shared" si="10"/>
        <v>0</v>
      </c>
      <c r="J328" s="63">
        <f>IF(SUM(E324:E327)&lt;Variables!$B$3,-H327,0)</f>
        <v>0</v>
      </c>
      <c r="K328" s="64">
        <f>IF(AND(H327&lt;Variables!$B$6*Variables!$E$50,OR(SUM(D325:D328)&gt;Variables!$B$5,SUM(E325:E328)&gt;Variables!$B$4)),Variables!$B$6*Variables!$E$50+Variables!$B$7*$G$1*Variables!$E$50*SUM(D325:D328),0)</f>
        <v>0</v>
      </c>
      <c r="L328" s="64">
        <f>IF(B328="Winter",Variables!$B$8*H327,0)</f>
        <v>0</v>
      </c>
      <c r="M328" s="64">
        <f>IF(AND(B328="Spring",AND(NOT(H327=0),H327&lt;(Variables!$B$9*Variables!$E$50))),(Variables!$B$10*Variables!$E$50+Variables!$B$11*Variables!$E$50*SUM(E325:E328)+$G$1*SUM(D327:D328)*Variables!$E$50*Variables!$B$12),0)</f>
        <v>0</v>
      </c>
      <c r="N328" s="64">
        <f>IF(AND(B328="Spring",AND(SUM(D325:D328)&gt;Variables!$B$13,SUM(D321:D324)&gt;Variables!$B$13)),-Variables!$B$14*Variables!$E$50,0)</f>
        <v>0</v>
      </c>
      <c r="O328" s="64">
        <f>IF(AND(B328="Summer",SUM(C324:D328)&gt;Variables!$B$15),(Variables!$B$16*Variables!$E$50*SUM(C324:C328)+$G$1*Variables!$B$16*Variables!$E$50*SUM(D324:D328)+$G$1*Variables!$E$50*Variables!$B$17*F328),0)</f>
        <v>0</v>
      </c>
      <c r="P328" s="64">
        <f>IF(AND(AND(B328="Autumn",SUM(D327:E328)&gt;0),NOT(H327=0)),Variables!$B$18*Variables!$E$50+Variables!$B$19*Variables!$E$50*SUM(E327:E328)+$G$1*Variables!$B$19*Variables!$E$50*SUM(D327:D328),0)</f>
        <v>0</v>
      </c>
      <c r="Q328" s="64">
        <f>IF(AND(B328="Autumn",AND((E328+E327)&lt;Variables!$B$20,(D327+D328)=0)),-Variables!$B$21*Variables!$E$50,0)</f>
        <v>0</v>
      </c>
      <c r="R328" s="64">
        <f>IF(B328="Autumn",(SUM(F327:F328)*$G$1*Variables!$B$22*Variables!$E$50),0)</f>
        <v>0</v>
      </c>
      <c r="S328" s="64">
        <f>IF(B328="Spring",($G$1*Variables!$E$50*SUM('Guts (option 2)'!F327:F328)*Variables!$B$23),0)</f>
        <v>0</v>
      </c>
      <c r="T328" s="63">
        <f>IF((H327+SUM(J328:Q328))&lt;(Variables!$B$26*Variables!$E$50),$F$1*((Variables!$B$26*Variables!$E$50)-H327-SUM(J328:Q328)),0)</f>
        <v>0</v>
      </c>
      <c r="U328" s="64">
        <f>IF(AND(AND(B328="Autumn",SUM(D325:E328)&gt;Variables!$B$27),SUM(J328:Q328)&lt;Variables!$B$28*H327),$F$1*(Variables!$B$28*H327-SUM(J328:Q328)),0)</f>
        <v>0</v>
      </c>
      <c r="V328" s="96">
        <f>IF(AND((J328+K328)=0,(Q328+T328)=0),$H$1*H328*Variables!$I$23*0.25,0)</f>
        <v>13.344896480276844</v>
      </c>
      <c r="W328" s="97">
        <f>IF(AND((K328+J328)=0,(T328+Q328)=0),$I$1*H328*Variables!$Q$23*0.25,0)</f>
        <v>13.968576823716688</v>
      </c>
      <c r="X328" s="95">
        <f>IF(AND(NOT(K328=0),(H328-H327)&gt;0),(H328-H327)*(Variables!$M$5*$H$1+Variables!$U$5*$I$1),0)+IF(AND(NOT((J328+N328+Q328)=0),(H327-H328)&gt;0),(H327-H328)*(Variables!$M$4*$H$1+Variables!$U$4*$I$1),0)</f>
        <v>0</v>
      </c>
      <c r="Y328" s="95">
        <f>IF(SUM(T328,U327:U328)&gt;0,H328*Variables!$Y$11*0.25*(1-$J$1),0)</f>
        <v>0</v>
      </c>
      <c r="Z328" s="95">
        <f>IF(T328=0,H328*$J$1*Variables!$Y$5*0.25,0)</f>
        <v>4.5013571312003018</v>
      </c>
      <c r="AA328" s="95">
        <f t="shared" si="9"/>
        <v>31.814830435193834</v>
      </c>
      <c r="AB328" s="91">
        <f>AA328/Variables!$E$49</f>
        <v>5.1314242637409411</v>
      </c>
    </row>
    <row r="329" spans="1:28" x14ac:dyDescent="0.25">
      <c r="A329" s="61">
        <f>'Water runs'!C336</f>
        <v>32020</v>
      </c>
      <c r="B329" s="61" t="str">
        <f>'Water runs'!B336</f>
        <v>Winter</v>
      </c>
      <c r="C329" s="54">
        <f>'Water runs'!D336/100</f>
        <v>0.7453749999999999</v>
      </c>
      <c r="D329" s="108">
        <f>VLOOKUP(ROW(D329)+4,'Water runs'!$BS$3:$CF$423,MATCH($B$1,Scenarios,0)+1)</f>
        <v>0</v>
      </c>
      <c r="E329" s="54">
        <f>IF(B329=Variables!$D$8,C329-Variables!$E$8,IF(B329=Variables!$D$9,C329-Variables!$E$9,IF(B329=Variables!$D$10,C329-Variables!$E$10,IF(B329=Variables!$D$11,C329-Variables!$E$11,"ELSE"))))</f>
        <v>0.17360737433862417</v>
      </c>
      <c r="F329" s="108">
        <f>VLOOKUP(ROW(F329)+4,'Water runs'!$CH$3:$CU$423,MATCH($B$1,Scenarios,0)+1)</f>
        <v>0</v>
      </c>
      <c r="G329" s="65">
        <f>H329/Variables!$E$49</f>
        <v>0.1682328346646812</v>
      </c>
      <c r="H329" s="62">
        <f>IF((H328+I329)&gt;(1.1*Variables!$E$50),(1.1*Variables!$E$50),IF((H328+I329)&gt;0,H328+I329,0))</f>
        <v>1.0430435749210234</v>
      </c>
      <c r="I329" s="64">
        <f t="shared" si="10"/>
        <v>-1.0345058702483467</v>
      </c>
      <c r="J329" s="63">
        <f>IF(SUM(E325:E328)&lt;Variables!$B$3,-H328,0)</f>
        <v>0</v>
      </c>
      <c r="K329" s="64">
        <f>IF(AND(H328&lt;Variables!$B$6*Variables!$E$50,OR(SUM(D326:D329)&gt;Variables!$B$5,SUM(E326:E329)&gt;Variables!$B$4)),Variables!$B$6*Variables!$E$50+Variables!$B$7*$G$1*Variables!$E$50*SUM(D326:D329),0)</f>
        <v>0</v>
      </c>
      <c r="L329" s="64">
        <f>IF(B329="Winter",Variables!$B$8*H328,0)</f>
        <v>-1.0345058702483467</v>
      </c>
      <c r="M329" s="64">
        <f>IF(AND(B329="Spring",AND(NOT(H328=0),H328&lt;(Variables!$B$9*Variables!$E$50))),(Variables!$B$10*Variables!$E$50+Variables!$B$11*Variables!$E$50*SUM(E326:E329)+$G$1*SUM(D328:D329)*Variables!$E$50*Variables!$B$12),0)</f>
        <v>0</v>
      </c>
      <c r="N329" s="64">
        <f>IF(AND(B329="Spring",AND(SUM(D326:D329)&gt;Variables!$B$13,SUM(D322:D325)&gt;Variables!$B$13)),-Variables!$B$14*Variables!$E$50,0)</f>
        <v>0</v>
      </c>
      <c r="O329" s="64">
        <f>IF(AND(B329="Summer",SUM(C325:D329)&gt;Variables!$B$15),(Variables!$B$16*Variables!$E$50*SUM(C325:C329)+$G$1*Variables!$B$16*Variables!$E$50*SUM(D325:D329)+$G$1*Variables!$E$50*Variables!$B$17*F329),0)</f>
        <v>0</v>
      </c>
      <c r="P329" s="64">
        <f>IF(AND(AND(B329="Autumn",SUM(D328:E329)&gt;0),NOT(H328=0)),Variables!$B$18*Variables!$E$50+Variables!$B$19*Variables!$E$50*SUM(E328:E329)+$G$1*Variables!$B$19*Variables!$E$50*SUM(D328:D329),0)</f>
        <v>0</v>
      </c>
      <c r="Q329" s="64">
        <f>IF(AND(B329="Autumn",AND((E329+E328)&lt;Variables!$B$20,(D328+D329)=0)),-Variables!$B$21*Variables!$E$50,0)</f>
        <v>0</v>
      </c>
      <c r="R329" s="64">
        <f>IF(B329="Autumn",(SUM(F328:F329)*$G$1*Variables!$B$22*Variables!$E$50),0)</f>
        <v>0</v>
      </c>
      <c r="S329" s="64">
        <f>IF(B329="Spring",($G$1*Variables!$E$50*SUM('Guts (option 2)'!F328:F329)*Variables!$B$23),0)</f>
        <v>0</v>
      </c>
      <c r="T329" s="63">
        <f>IF((H328+SUM(J329:Q329))&lt;(Variables!$B$26*Variables!$E$50),$F$1*((Variables!$B$26*Variables!$E$50)-H328-SUM(J329:Q329)),0)</f>
        <v>0</v>
      </c>
      <c r="U329" s="64">
        <f>IF(AND(AND(B329="Autumn",SUM(D326:E329)&gt;Variables!$B$27),SUM(J329:Q329)&lt;Variables!$B$28*H328),$F$1*(Variables!$B$28*H328-SUM(J329:Q329)),0)</f>
        <v>0</v>
      </c>
      <c r="V329" s="96">
        <f>IF(AND((J329+K329)=0,(Q329+T329)=0),$H$1*H329*Variables!$I$23*0.25,0)</f>
        <v>6.6998687150881198</v>
      </c>
      <c r="W329" s="97">
        <f>IF(AND((K329+J329)=0,(T329+Q329)=0),$I$1*H329*Variables!$Q$23*0.25,0)</f>
        <v>7.0129903962794096</v>
      </c>
      <c r="X329" s="95">
        <f>IF(AND(NOT(K329=0),(H329-H328)&gt;0),(H329-H328)*(Variables!$M$5*$H$1+Variables!$U$5*$I$1),0)+IF(AND(NOT((J329+N329+Q329)=0),(H328-H329)&gt;0),(H328-H329)*(Variables!$M$4*$H$1+Variables!$U$4*$I$1),0)</f>
        <v>0</v>
      </c>
      <c r="Y329" s="95">
        <f>IF(SUM(T329,U328:U329)&gt;0,H329*Variables!$Y$11*0.25*(1-$J$1),0)</f>
        <v>0</v>
      </c>
      <c r="Z329" s="95">
        <f>IF(T329=0,H329*$J$1*Variables!$Y$5*0.25,0)</f>
        <v>2.2599277456622171</v>
      </c>
      <c r="AA329" s="95">
        <f t="shared" si="9"/>
        <v>15.972786857029746</v>
      </c>
      <c r="AB329" s="91">
        <f>AA329/Variables!$E$49</f>
        <v>2.5762559446822171</v>
      </c>
    </row>
    <row r="330" spans="1:28" x14ac:dyDescent="0.25">
      <c r="A330" s="61">
        <f>'Water runs'!C337</f>
        <v>32111</v>
      </c>
      <c r="B330" s="61" t="str">
        <f>'Water runs'!B337</f>
        <v>Spring</v>
      </c>
      <c r="C330" s="54">
        <f>'Water runs'!D337/100</f>
        <v>0.37174999999999997</v>
      </c>
      <c r="D330" s="108">
        <f>VLOOKUP(ROW(D330)+4,'Water runs'!$BS$3:$CF$423,MATCH($B$1,Scenarios,0)+1)</f>
        <v>0</v>
      </c>
      <c r="E330" s="54">
        <f>IF(B330=Variables!$D$8,C330-Variables!$E$8,IF(B330=Variables!$D$9,C330-Variables!$E$9,IF(B330=Variables!$D$10,C330-Variables!$E$10,IF(B330=Variables!$D$11,C330-Variables!$E$11,"ELSE"))))</f>
        <v>-0.39223220899470917</v>
      </c>
      <c r="F330" s="108">
        <f>VLOOKUP(ROW(F330)+4,'Water runs'!$CH$3:$CU$423,MATCH($B$1,Scenarios,0)+1)</f>
        <v>0</v>
      </c>
      <c r="G330" s="65">
        <f>H330/Variables!$E$49</f>
        <v>0.161</v>
      </c>
      <c r="H330" s="62">
        <f>IF((H329+I330)&gt;(1.1*Variables!$E$50),(1.1*Variables!$E$50),IF((H329+I330)&gt;0,H329+I330,0))</f>
        <v>0.99820000000000009</v>
      </c>
      <c r="I330" s="64">
        <f t="shared" si="10"/>
        <v>-4.484357492102331E-2</v>
      </c>
      <c r="J330" s="63">
        <f>IF(SUM(E326:E329)&lt;Variables!$B$3,-H329,0)</f>
        <v>0</v>
      </c>
      <c r="K330" s="64">
        <f>IF(AND(H329&lt;Variables!$B$6*Variables!$E$50,OR(SUM(D327:D330)&gt;Variables!$B$5,SUM(E327:E330)&gt;Variables!$B$4)),Variables!$B$6*Variables!$E$50+Variables!$B$7*$G$1*Variables!$E$50*SUM(D327:D330),0)</f>
        <v>0</v>
      </c>
      <c r="L330" s="64">
        <f>IF(B330="Winter",Variables!$B$8*H329,0)</f>
        <v>0</v>
      </c>
      <c r="M330" s="64">
        <f>IF(AND(B330="Spring",AND(NOT(H329=0),H329&lt;(Variables!$B$9*Variables!$E$50))),(Variables!$B$10*Variables!$E$50+Variables!$B$11*Variables!$E$50*SUM(E327:E330)+$G$1*SUM(D329:D330)*Variables!$E$50*Variables!$B$12),0)</f>
        <v>-0.74667155829417431</v>
      </c>
      <c r="N330" s="64">
        <f>IF(AND(B330="Spring",AND(SUM(D327:D330)&gt;Variables!$B$13,SUM(D323:D326)&gt;Variables!$B$13)),-Variables!$B$14*Variables!$E$50,0)</f>
        <v>0</v>
      </c>
      <c r="O330" s="64">
        <f>IF(AND(B330="Summer",SUM(C326:D330)&gt;Variables!$B$15),(Variables!$B$16*Variables!$E$50*SUM(C326:C330)+$G$1*Variables!$B$16*Variables!$E$50*SUM(D326:D330)+$G$1*Variables!$E$50*Variables!$B$17*F330),0)</f>
        <v>0</v>
      </c>
      <c r="P330" s="64">
        <f>IF(AND(AND(B330="Autumn",SUM(D329:E330)&gt;0),NOT(H329=0)),Variables!$B$18*Variables!$E$50+Variables!$B$19*Variables!$E$50*SUM(E329:E330)+$G$1*Variables!$B$19*Variables!$E$50*SUM(D329:D330),0)</f>
        <v>0</v>
      </c>
      <c r="Q330" s="64">
        <f>IF(AND(B330="Autumn",AND((E330+E329)&lt;Variables!$B$20,(D329+D330)=0)),-Variables!$B$21*Variables!$E$50,0)</f>
        <v>0</v>
      </c>
      <c r="R330" s="64">
        <f>IF(B330="Autumn",(SUM(F329:F330)*$G$1*Variables!$B$22*Variables!$E$50),0)</f>
        <v>0</v>
      </c>
      <c r="S330" s="64">
        <f>IF(B330="Spring",($G$1*Variables!$E$50*SUM('Guts (option 2)'!F329:F330)*Variables!$B$23),0)</f>
        <v>0</v>
      </c>
      <c r="T330" s="63">
        <f>IF((H329+SUM(J330:Q330))&lt;(Variables!$B$26*Variables!$E$50),$F$1*((Variables!$B$26*Variables!$E$50)-H329-SUM(J330:Q330)),0)</f>
        <v>0.701827983373151</v>
      </c>
      <c r="U330" s="64">
        <f>IF(AND(AND(B330="Autumn",SUM(D327:E330)&gt;Variables!$B$27),SUM(J330:Q330)&lt;Variables!$B$28*H329),$F$1*(Variables!$B$28*H329-SUM(J330:Q330)),0)</f>
        <v>0</v>
      </c>
      <c r="V330" s="96">
        <f>IF(AND((J330+K330)=0,(Q330+T330)=0),$H$1*H330*Variables!$I$23*0.25,0)</f>
        <v>0</v>
      </c>
      <c r="W330" s="97">
        <f>IF(AND((K330+J330)=0,(T330+Q330)=0),$I$1*H330*Variables!$Q$23*0.25,0)</f>
        <v>0</v>
      </c>
      <c r="X330" s="95">
        <f>IF(AND(NOT(K330=0),(H330-H329)&gt;0),(H330-H329)*(Variables!$M$5*$H$1+Variables!$U$5*$I$1),0)+IF(AND(NOT((J330+N330+Q330)=0),(H329-H330)&gt;0),(H329-H330)*(Variables!$M$4*$H$1+Variables!$U$4*$I$1),0)</f>
        <v>0</v>
      </c>
      <c r="Y330" s="95">
        <f>IF(SUM(T330,U329:U330)&gt;0,H330*Variables!$Y$11*0.25*(1-$J$1),0)</f>
        <v>-6.9874000000000018</v>
      </c>
      <c r="Z330" s="95">
        <f>IF(T330=0,H330*$J$1*Variables!$Y$5*0.25,0)</f>
        <v>0</v>
      </c>
      <c r="AA330" s="95">
        <f t="shared" si="9"/>
        <v>-6.9874000000000018</v>
      </c>
      <c r="AB330" s="91">
        <f>AA330/Variables!$E$49</f>
        <v>-1.1270000000000002</v>
      </c>
    </row>
    <row r="331" spans="1:28" x14ac:dyDescent="0.25">
      <c r="A331" s="61">
        <f>'Water runs'!C338</f>
        <v>32201</v>
      </c>
      <c r="B331" s="61" t="str">
        <f>'Water runs'!B338</f>
        <v>Summer</v>
      </c>
      <c r="C331" s="54">
        <f>'Water runs'!D338/100</f>
        <v>1.1296250000000001</v>
      </c>
      <c r="D331" s="108">
        <f>VLOOKUP(ROW(D331)+4,'Water runs'!$BS$3:$CF$423,MATCH($B$1,Scenarios,0)+1)</f>
        <v>1.8916222614589188E-2</v>
      </c>
      <c r="E331" s="54">
        <f>IF(B331=Variables!$D$8,C331-Variables!$E$8,IF(B331=Variables!$D$9,C331-Variables!$E$9,IF(B331=Variables!$D$10,C331-Variables!$E$10,IF(B331=Variables!$D$11,C331-Variables!$E$11,"ELSE"))))</f>
        <v>-0.12874513605442162</v>
      </c>
      <c r="F331" s="108">
        <f>VLOOKUP(ROW(F331)+4,'Water runs'!$CH$3:$CU$423,MATCH($B$1,Scenarios,0)+1)</f>
        <v>0</v>
      </c>
      <c r="G331" s="65">
        <f>H331/Variables!$E$49</f>
        <v>0.161</v>
      </c>
      <c r="H331" s="62">
        <f>IF((H330+I331)&gt;(1.1*Variables!$E$50),(1.1*Variables!$E$50),IF((H330+I331)&gt;0,H330+I331,0))</f>
        <v>0.99820000000000009</v>
      </c>
      <c r="I331" s="64">
        <f t="shared" si="10"/>
        <v>0</v>
      </c>
      <c r="J331" s="63">
        <f>IF(SUM(E327:E330)&lt;Variables!$B$3,-H330,0)</f>
        <v>0</v>
      </c>
      <c r="K331" s="64">
        <f>IF(AND(H330&lt;Variables!$B$6*Variables!$E$50,OR(SUM(D328:D331)&gt;Variables!$B$5,SUM(E328:E331)&gt;Variables!$B$4)),Variables!$B$6*Variables!$E$50+Variables!$B$7*$G$1*Variables!$E$50*SUM(D328:D331),0)</f>
        <v>0</v>
      </c>
      <c r="L331" s="64">
        <f>IF(B331="Winter",Variables!$B$8*H330,0)</f>
        <v>0</v>
      </c>
      <c r="M331" s="64">
        <f>IF(AND(B331="Spring",AND(NOT(H330=0),H330&lt;(Variables!$B$9*Variables!$E$50))),(Variables!$B$10*Variables!$E$50+Variables!$B$11*Variables!$E$50*SUM(E328:E331)+$G$1*SUM(D330:D331)*Variables!$E$50*Variables!$B$12),0)</f>
        <v>0</v>
      </c>
      <c r="N331" s="64">
        <f>IF(AND(B331="Spring",AND(SUM(D328:D331)&gt;Variables!$B$13,SUM(D324:D327)&gt;Variables!$B$13)),-Variables!$B$14*Variables!$E$50,0)</f>
        <v>0</v>
      </c>
      <c r="O331" s="64">
        <f>IF(AND(B331="Summer",SUM(C327:D331)&gt;Variables!$B$15),(Variables!$B$16*Variables!$E$50*SUM(C327:C331)+$G$1*Variables!$B$16*Variables!$E$50*SUM(D327:D331)+$G$1*Variables!$E$50*Variables!$B$17*F331),0)</f>
        <v>0</v>
      </c>
      <c r="P331" s="64">
        <f>IF(AND(AND(B331="Autumn",SUM(D330:E331)&gt;0),NOT(H330=0)),Variables!$B$18*Variables!$E$50+Variables!$B$19*Variables!$E$50*SUM(E330:E331)+$G$1*Variables!$B$19*Variables!$E$50*SUM(D330:D331),0)</f>
        <v>0</v>
      </c>
      <c r="Q331" s="64">
        <f>IF(AND(B331="Autumn",AND((E331+E330)&lt;Variables!$B$20,(D330+D331)=0)),-Variables!$B$21*Variables!$E$50,0)</f>
        <v>0</v>
      </c>
      <c r="R331" s="64">
        <f>IF(B331="Autumn",(SUM(F330:F331)*$G$1*Variables!$B$22*Variables!$E$50),0)</f>
        <v>0</v>
      </c>
      <c r="S331" s="64">
        <f>IF(B331="Spring",($G$1*Variables!$E$50*SUM('Guts (option 2)'!F330:F331)*Variables!$B$23),0)</f>
        <v>0</v>
      </c>
      <c r="T331" s="63">
        <f>IF((H330+SUM(J331:Q331))&lt;(Variables!$B$26*Variables!$E$50),$F$1*((Variables!$B$26*Variables!$E$50)-H330-SUM(J331:Q331)),0)</f>
        <v>0</v>
      </c>
      <c r="U331" s="64">
        <f>IF(AND(AND(B331="Autumn",SUM(D328:E331)&gt;Variables!$B$27),SUM(J331:Q331)&lt;Variables!$B$28*H330),$F$1*(Variables!$B$28*H330-SUM(J331:Q331)),0)</f>
        <v>0</v>
      </c>
      <c r="V331" s="96">
        <f>IF(AND((J331+K331)=0,(Q331+T331)=0),$H$1*H331*Variables!$I$23*0.25,0)</f>
        <v>6.4118212433333337</v>
      </c>
      <c r="W331" s="97">
        <f>IF(AND((K331+J331)=0,(T331+Q331)=0),$I$1*H331*Variables!$Q$23*0.25,0)</f>
        <v>6.7114808833333326</v>
      </c>
      <c r="X331" s="95">
        <f>IF(AND(NOT(K331=0),(H331-H330)&gt;0),(H331-H330)*(Variables!$M$5*$H$1+Variables!$U$5*$I$1),0)+IF(AND(NOT((J331+N331+Q331)=0),(H330-H331)&gt;0),(H330-H331)*(Variables!$M$4*$H$1+Variables!$U$4*$I$1),0)</f>
        <v>0</v>
      </c>
      <c r="Y331" s="95">
        <f>IF(SUM(T331,U330:U331)&gt;0,H331*Variables!$Y$11*0.25*(1-$J$1),0)</f>
        <v>0</v>
      </c>
      <c r="Z331" s="95">
        <f>IF(T331=0,H331*$J$1*Variables!$Y$5*0.25,0)</f>
        <v>2.1627666666666667</v>
      </c>
      <c r="AA331" s="95">
        <f t="shared" si="9"/>
        <v>15.286068793333332</v>
      </c>
      <c r="AB331" s="91">
        <f>AA331/Variables!$E$49</f>
        <v>2.4654949666666663</v>
      </c>
    </row>
    <row r="332" spans="1:28" x14ac:dyDescent="0.25">
      <c r="A332" s="61">
        <f>'Water runs'!C339</f>
        <v>32294</v>
      </c>
      <c r="B332" s="61" t="str">
        <f>'Water runs'!B339</f>
        <v>Autumn</v>
      </c>
      <c r="C332" s="54">
        <f>'Water runs'!D339/100</f>
        <v>2.2637857142857101</v>
      </c>
      <c r="D332" s="108">
        <f>VLOOKUP(ROW(D332)+4,'Water runs'!$BS$3:$CF$423,MATCH($B$1,Scenarios,0)+1)</f>
        <v>1.0622245623480788</v>
      </c>
      <c r="E332" s="54">
        <f>IF(B332=Variables!$D$8,C332-Variables!$E$8,IF(B332=Variables!$D$9,C332-Variables!$E$9,IF(B332=Variables!$D$10,C332-Variables!$E$10,IF(B332=Variables!$D$11,C332-Variables!$E$11,"ELSE"))))</f>
        <v>1.2691424149659822</v>
      </c>
      <c r="F332" s="108">
        <f>VLOOKUP(ROW(F332)+4,'Water runs'!$CH$3:$CU$423,MATCH($B$1,Scenarios,0)+1)</f>
        <v>2.1957133468990255</v>
      </c>
      <c r="G332" s="65">
        <f>H332/Variables!$E$49</f>
        <v>1.1475953485354469</v>
      </c>
      <c r="H332" s="62">
        <f>IF((H331+I332)&gt;(1.1*Variables!$E$50),(1.1*Variables!$E$50),IF((H331+I332)&gt;0,H331+I332,0))</f>
        <v>7.1150911609197713</v>
      </c>
      <c r="I332" s="64">
        <f t="shared" si="10"/>
        <v>6.1168911609197716</v>
      </c>
      <c r="J332" s="63">
        <f>IF(SUM(E328:E331)&lt;Variables!$B$3,-H331,0)</f>
        <v>0</v>
      </c>
      <c r="K332" s="64">
        <f>IF(AND(H331&lt;Variables!$B$6*Variables!$E$50,OR(SUM(D329:D332)&gt;Variables!$B$5,SUM(E329:E332)&gt;Variables!$B$4)),Variables!$B$6*Variables!$E$50+Variables!$B$7*$G$1*Variables!$E$50*SUM(D329:D332),0)</f>
        <v>1.1978431500962003</v>
      </c>
      <c r="L332" s="64">
        <f>IF(B332="Winter",Variables!$B$8*H331,0)</f>
        <v>0</v>
      </c>
      <c r="M332" s="64">
        <f>IF(AND(B332="Spring",AND(NOT(H331=0),H331&lt;(Variables!$B$9*Variables!$E$50))),(Variables!$B$10*Variables!$E$50+Variables!$B$11*Variables!$E$50*SUM(E329:E332)+$G$1*SUM(D331:D332)*Variables!$E$50*Variables!$B$12),0)</f>
        <v>0</v>
      </c>
      <c r="N332" s="64">
        <f>IF(AND(B332="Spring",AND(SUM(D329:D332)&gt;Variables!$B$13,SUM(D325:D328)&gt;Variables!$B$13)),-Variables!$B$14*Variables!$E$50,0)</f>
        <v>0</v>
      </c>
      <c r="O332" s="64">
        <f>IF(AND(B332="Summer",SUM(C328:D332)&gt;Variables!$B$15),(Variables!$B$16*Variables!$E$50*SUM(C328:C332)+$G$1*Variables!$B$16*Variables!$E$50*SUM(D328:D332)+$G$1*Variables!$E$50*Variables!$B$17*F332),0)</f>
        <v>0</v>
      </c>
      <c r="P332" s="64">
        <f>IF(AND(AND(B332="Autumn",SUM(D331:E332)&gt;0),NOT(H331=0)),Variables!$B$18*Variables!$E$50+Variables!$B$19*Variables!$E$50*SUM(E331:E332)+$G$1*Variables!$B$19*Variables!$E$50*SUM(D331:D332),0)</f>
        <v>4.6096910983076471</v>
      </c>
      <c r="Q332" s="64">
        <f>IF(AND(B332="Autumn",AND((E332+E331)&lt;Variables!$B$20,(D331+D332)=0)),-Variables!$B$21*Variables!$E$50,0)</f>
        <v>0</v>
      </c>
      <c r="R332" s="64">
        <f>IF(B332="Autumn",(SUM(F331:F332)*$G$1*Variables!$B$22*Variables!$E$50),0)</f>
        <v>0.30935691251592468</v>
      </c>
      <c r="S332" s="64">
        <f>IF(B332="Spring",($G$1*Variables!$E$50*SUM('Guts (option 2)'!F331:F332)*Variables!$B$23),0)</f>
        <v>0</v>
      </c>
      <c r="T332" s="63">
        <f>IF((H331+SUM(J332:Q332))&lt;(Variables!$B$26*Variables!$E$50),$F$1*((Variables!$B$26*Variables!$E$50)-H331-SUM(J332:Q332)),0)</f>
        <v>0</v>
      </c>
      <c r="U332" s="64">
        <f>IF(AND(AND(B332="Autumn",SUM(D329:E332)&gt;Variables!$B$27),SUM(J332:Q332)&lt;Variables!$B$28*H331),$F$1*(Variables!$B$28*H331-SUM(J332:Q332)),0)</f>
        <v>0</v>
      </c>
      <c r="V332" s="96">
        <f>IF(AND((J332+K332)=0,(Q332+T332)=0),$H$1*H332*Variables!$I$23*0.25,0)</f>
        <v>0</v>
      </c>
      <c r="W332" s="97">
        <f>IF(AND((K332+J332)=0,(T332+Q332)=0),$I$1*H332*Variables!$Q$23*0.25,0)</f>
        <v>0</v>
      </c>
      <c r="X332" s="95">
        <f>IF(AND(NOT(K332=0),(H332-H331)&gt;0),(H332-H331)*(Variables!$M$5*$H$1+Variables!$U$5*$I$1),0)+IF(AND(NOT((J332+N332+Q332)=0),(H331-H332)&gt;0),(H331-H332)*(Variables!$M$4*$H$1+Variables!$U$4*$I$1),0)</f>
        <v>-509.7409300766476</v>
      </c>
      <c r="Y332" s="95">
        <f>IF(SUM(T332,U331:U332)&gt;0,H332*Variables!$Y$11*0.25*(1-$J$1),0)</f>
        <v>0</v>
      </c>
      <c r="Z332" s="95">
        <f>IF(T332=0,H332*$J$1*Variables!$Y$5*0.25,0)</f>
        <v>15.416030848659505</v>
      </c>
      <c r="AA332" s="95">
        <f t="shared" si="9"/>
        <v>-494.32489922798811</v>
      </c>
      <c r="AB332" s="91">
        <f>AA332/Variables!$E$49</f>
        <v>-79.72982245612711</v>
      </c>
    </row>
    <row r="333" spans="1:28" x14ac:dyDescent="0.25">
      <c r="A333" s="61">
        <f>'Water runs'!C340</f>
        <v>32386</v>
      </c>
      <c r="B333" s="61" t="str">
        <f>'Water runs'!B340</f>
        <v>Winter</v>
      </c>
      <c r="C333" s="54">
        <f>'Water runs'!D340/100</f>
        <v>1.00467857142857</v>
      </c>
      <c r="D333" s="108">
        <f>VLOOKUP(ROW(D333)+4,'Water runs'!$BS$3:$CF$423,MATCH($B$1,Scenarios,0)+1)</f>
        <v>3.1419092787749708E-2</v>
      </c>
      <c r="E333" s="54">
        <f>IF(B333=Variables!$D$8,C333-Variables!$E$8,IF(B333=Variables!$D$9,C333-Variables!$E$9,IF(B333=Variables!$D$10,C333-Variables!$E$10,IF(B333=Variables!$D$11,C333-Variables!$E$11,"ELSE"))))</f>
        <v>0.43291094576719424</v>
      </c>
      <c r="F333" s="108">
        <f>VLOOKUP(ROW(F333)+4,'Water runs'!$CH$3:$CU$423,MATCH($B$1,Scenarios,0)+1)</f>
        <v>0</v>
      </c>
      <c r="G333" s="65">
        <f>H333/Variables!$E$49</f>
        <v>0.57615570001587457</v>
      </c>
      <c r="H333" s="62">
        <f>IF((H332+I333)&gt;(1.1*Variables!$E$50),(1.1*Variables!$E$50),IF((H332+I333)&gt;0,H332+I333,0))</f>
        <v>3.5721653400984223</v>
      </c>
      <c r="I333" s="64">
        <f t="shared" si="10"/>
        <v>-3.542925820821349</v>
      </c>
      <c r="J333" s="63">
        <f>IF(SUM(E329:E332)&lt;Variables!$B$3,-H332,0)</f>
        <v>0</v>
      </c>
      <c r="K333" s="64">
        <f>IF(AND(H332&lt;Variables!$B$6*Variables!$E$50,OR(SUM(D330:D333)&gt;Variables!$B$5,SUM(E330:E333)&gt;Variables!$B$4)),Variables!$B$6*Variables!$E$50+Variables!$B$7*$G$1*Variables!$E$50*SUM(D330:D333),0)</f>
        <v>0</v>
      </c>
      <c r="L333" s="64">
        <f>IF(B333="Winter",Variables!$B$8*H332,0)</f>
        <v>-3.542925820821349</v>
      </c>
      <c r="M333" s="64">
        <f>IF(AND(B333="Spring",AND(NOT(H332=0),H332&lt;(Variables!$B$9*Variables!$E$50))),(Variables!$B$10*Variables!$E$50+Variables!$B$11*Variables!$E$50*SUM(E330:E333)+$G$1*SUM(D332:D333)*Variables!$E$50*Variables!$B$12),0)</f>
        <v>0</v>
      </c>
      <c r="N333" s="64">
        <f>IF(AND(B333="Spring",AND(SUM(D330:D333)&gt;Variables!$B$13,SUM(D326:D329)&gt;Variables!$B$13)),-Variables!$B$14*Variables!$E$50,0)</f>
        <v>0</v>
      </c>
      <c r="O333" s="64">
        <f>IF(AND(B333="Summer",SUM(C329:D333)&gt;Variables!$B$15),(Variables!$B$16*Variables!$E$50*SUM(C329:C333)+$G$1*Variables!$B$16*Variables!$E$50*SUM(D329:D333)+$G$1*Variables!$E$50*Variables!$B$17*F333),0)</f>
        <v>0</v>
      </c>
      <c r="P333" s="64">
        <f>IF(AND(AND(B333="Autumn",SUM(D332:E333)&gt;0),NOT(H332=0)),Variables!$B$18*Variables!$E$50+Variables!$B$19*Variables!$E$50*SUM(E332:E333)+$G$1*Variables!$B$19*Variables!$E$50*SUM(D332:D333),0)</f>
        <v>0</v>
      </c>
      <c r="Q333" s="64">
        <f>IF(AND(B333="Autumn",AND((E333+E332)&lt;Variables!$B$20,(D332+D333)=0)),-Variables!$B$21*Variables!$E$50,0)</f>
        <v>0</v>
      </c>
      <c r="R333" s="64">
        <f>IF(B333="Autumn",(SUM(F332:F333)*$G$1*Variables!$B$22*Variables!$E$50),0)</f>
        <v>0</v>
      </c>
      <c r="S333" s="64">
        <f>IF(B333="Spring",($G$1*Variables!$E$50*SUM('Guts (option 2)'!F332:F333)*Variables!$B$23),0)</f>
        <v>0</v>
      </c>
      <c r="T333" s="63">
        <f>IF((H332+SUM(J333:Q333))&lt;(Variables!$B$26*Variables!$E$50),$F$1*((Variables!$B$26*Variables!$E$50)-H332-SUM(J333:Q333)),0)</f>
        <v>0</v>
      </c>
      <c r="U333" s="64">
        <f>IF(AND(AND(B333="Autumn",SUM(D330:E333)&gt;Variables!$B$27),SUM(J333:Q333)&lt;Variables!$B$28*H332),$F$1*(Variables!$B$28*H332-SUM(J333:Q333)),0)</f>
        <v>0</v>
      </c>
      <c r="V333" s="96">
        <f>IF(AND((J333+K333)=0,(Q333+T333)=0),$H$1*H333*Variables!$I$23*0.25,0)</f>
        <v>22.945387309499203</v>
      </c>
      <c r="W333" s="97">
        <f>IF(AND((K333+J333)=0,(T333+Q333)=0),$I$1*H333*Variables!$Q$23*0.25,0)</f>
        <v>24.017751344596746</v>
      </c>
      <c r="X333" s="95">
        <f>IF(AND(NOT(K333=0),(H333-H332)&gt;0),(H333-H332)*(Variables!$M$5*$H$1+Variables!$U$5*$I$1),0)+IF(AND(NOT((J333+N333+Q333)=0),(H332-H333)&gt;0),(H332-H333)*(Variables!$M$4*$H$1+Variables!$U$4*$I$1),0)</f>
        <v>0</v>
      </c>
      <c r="Y333" s="95">
        <f>IF(SUM(T333,U332:U333)&gt;0,H333*Variables!$Y$11*0.25*(1-$J$1),0)</f>
        <v>0</v>
      </c>
      <c r="Z333" s="95">
        <f>IF(T333=0,H333*$J$1*Variables!$Y$5*0.25,0)</f>
        <v>7.7396915702132478</v>
      </c>
      <c r="AA333" s="95">
        <f t="shared" si="9"/>
        <v>54.702830224309196</v>
      </c>
      <c r="AB333" s="91">
        <f>AA333/Variables!$E$49</f>
        <v>8.823037132953095</v>
      </c>
    </row>
    <row r="334" spans="1:28" x14ac:dyDescent="0.25">
      <c r="A334" s="61">
        <f>'Water runs'!C341</f>
        <v>32477</v>
      </c>
      <c r="B334" s="61" t="str">
        <f>'Water runs'!B341</f>
        <v>Spring</v>
      </c>
      <c r="C334" s="54">
        <f>'Water runs'!D341/100</f>
        <v>0.52187499999999998</v>
      </c>
      <c r="D334" s="108">
        <f>VLOOKUP(ROW(D334)+4,'Water runs'!$BS$3:$CF$423,MATCH($B$1,Scenarios,0)+1)</f>
        <v>0</v>
      </c>
      <c r="E334" s="54">
        <f>IF(B334=Variables!$D$8,C334-Variables!$E$8,IF(B334=Variables!$D$9,C334-Variables!$E$9,IF(B334=Variables!$D$10,C334-Variables!$E$10,IF(B334=Variables!$D$11,C334-Variables!$E$11,"ELSE"))))</f>
        <v>-0.24210720899470917</v>
      </c>
      <c r="F334" s="108">
        <f>VLOOKUP(ROW(F334)+4,'Water runs'!$CH$3:$CU$423,MATCH($B$1,Scenarios,0)+1)</f>
        <v>0</v>
      </c>
      <c r="G334" s="65">
        <f>H334/Variables!$E$49</f>
        <v>0.57615570001587457</v>
      </c>
      <c r="H334" s="62">
        <f>IF((H333+I334)&gt;(1.1*Variables!$E$50),(1.1*Variables!$E$50),IF((H333+I334)&gt;0,H333+I334,0))</f>
        <v>3.5721653400984223</v>
      </c>
      <c r="I334" s="64">
        <f t="shared" si="10"/>
        <v>0</v>
      </c>
      <c r="J334" s="63">
        <f>IF(SUM(E330:E333)&lt;Variables!$B$3,-H333,0)</f>
        <v>0</v>
      </c>
      <c r="K334" s="64">
        <f>IF(AND(H333&lt;Variables!$B$6*Variables!$E$50,OR(SUM(D331:D334)&gt;Variables!$B$5,SUM(E331:E334)&gt;Variables!$B$4)),Variables!$B$6*Variables!$E$50+Variables!$B$7*$G$1*Variables!$E$50*SUM(D331:D334),0)</f>
        <v>0</v>
      </c>
      <c r="L334" s="64">
        <f>IF(B334="Winter",Variables!$B$8*H333,0)</f>
        <v>0</v>
      </c>
      <c r="M334" s="64">
        <f>IF(AND(B334="Spring",AND(NOT(H333=0),H333&lt;(Variables!$B$9*Variables!$E$50))),(Variables!$B$10*Variables!$E$50+Variables!$B$11*Variables!$E$50*SUM(E331:E334)+$G$1*SUM(D333:D334)*Variables!$E$50*Variables!$B$12),0)</f>
        <v>0</v>
      </c>
      <c r="N334" s="64">
        <f>IF(AND(B334="Spring",AND(SUM(D331:D334)&gt;Variables!$B$13,SUM(D327:D330)&gt;Variables!$B$13)),-Variables!$B$14*Variables!$E$50,0)</f>
        <v>0</v>
      </c>
      <c r="O334" s="64">
        <f>IF(AND(B334="Summer",SUM(C330:D334)&gt;Variables!$B$15),(Variables!$B$16*Variables!$E$50*SUM(C330:C334)+$G$1*Variables!$B$16*Variables!$E$50*SUM(D330:D334)+$G$1*Variables!$E$50*Variables!$B$17*F334),0)</f>
        <v>0</v>
      </c>
      <c r="P334" s="64">
        <f>IF(AND(AND(B334="Autumn",SUM(D333:E334)&gt;0),NOT(H333=0)),Variables!$B$18*Variables!$E$50+Variables!$B$19*Variables!$E$50*SUM(E333:E334)+$G$1*Variables!$B$19*Variables!$E$50*SUM(D333:D334),0)</f>
        <v>0</v>
      </c>
      <c r="Q334" s="64">
        <f>IF(AND(B334="Autumn",AND((E334+E333)&lt;Variables!$B$20,(D333+D334)=0)),-Variables!$B$21*Variables!$E$50,0)</f>
        <v>0</v>
      </c>
      <c r="R334" s="64">
        <f>IF(B334="Autumn",(SUM(F333:F334)*$G$1*Variables!$B$22*Variables!$E$50),0)</f>
        <v>0</v>
      </c>
      <c r="S334" s="64">
        <f>IF(B334="Spring",($G$1*Variables!$E$50*SUM('Guts (option 2)'!F333:F334)*Variables!$B$23),0)</f>
        <v>0</v>
      </c>
      <c r="T334" s="63">
        <f>IF((H333+SUM(J334:Q334))&lt;(Variables!$B$26*Variables!$E$50),$F$1*((Variables!$B$26*Variables!$E$50)-H333-SUM(J334:Q334)),0)</f>
        <v>0</v>
      </c>
      <c r="U334" s="64">
        <f>IF(AND(AND(B334="Autumn",SUM(D331:E334)&gt;Variables!$B$27),SUM(J334:Q334)&lt;Variables!$B$28*H333),$F$1*(Variables!$B$28*H333-SUM(J334:Q334)),0)</f>
        <v>0</v>
      </c>
      <c r="V334" s="96">
        <f>IF(AND((J334+K334)=0,(Q334+T334)=0),$H$1*H334*Variables!$I$23*0.25,0)</f>
        <v>22.945387309499203</v>
      </c>
      <c r="W334" s="97">
        <f>IF(AND((K334+J334)=0,(T334+Q334)=0),$I$1*H334*Variables!$Q$23*0.25,0)</f>
        <v>24.017751344596746</v>
      </c>
      <c r="X334" s="95">
        <f>IF(AND(NOT(K334=0),(H334-H333)&gt;0),(H334-H333)*(Variables!$M$5*$H$1+Variables!$U$5*$I$1),0)+IF(AND(NOT((J334+N334+Q334)=0),(H333-H334)&gt;0),(H333-H334)*(Variables!$M$4*$H$1+Variables!$U$4*$I$1),0)</f>
        <v>0</v>
      </c>
      <c r="Y334" s="95">
        <f>IF(SUM(T334,U333:U334)&gt;0,H334*Variables!$Y$11*0.25*(1-$J$1),0)</f>
        <v>0</v>
      </c>
      <c r="Z334" s="95">
        <f>IF(T334=0,H334*$J$1*Variables!$Y$5*0.25,0)</f>
        <v>7.7396915702132478</v>
      </c>
      <c r="AA334" s="95">
        <f t="shared" si="9"/>
        <v>54.702830224309196</v>
      </c>
      <c r="AB334" s="91">
        <f>AA334/Variables!$E$49</f>
        <v>8.823037132953095</v>
      </c>
    </row>
    <row r="335" spans="1:28" x14ac:dyDescent="0.25">
      <c r="A335" s="61">
        <f>'Water runs'!C342</f>
        <v>32567</v>
      </c>
      <c r="B335" s="61" t="str">
        <f>'Water runs'!B342</f>
        <v>Summer</v>
      </c>
      <c r="C335" s="54">
        <f>'Water runs'!D342/100</f>
        <v>0.71280357142857198</v>
      </c>
      <c r="D335" s="108">
        <f>VLOOKUP(ROW(D335)+4,'Water runs'!$BS$3:$CF$423,MATCH($B$1,Scenarios,0)+1)</f>
        <v>0</v>
      </c>
      <c r="E335" s="54">
        <f>IF(B335=Variables!$D$8,C335-Variables!$E$8,IF(B335=Variables!$D$9,C335-Variables!$E$9,IF(B335=Variables!$D$10,C335-Variables!$E$10,IF(B335=Variables!$D$11,C335-Variables!$E$11,"ELSE"))))</f>
        <v>-0.54556656462584974</v>
      </c>
      <c r="F335" s="108">
        <f>VLOOKUP(ROW(F335)+4,'Water runs'!$CH$3:$CU$423,MATCH($B$1,Scenarios,0)+1)</f>
        <v>0</v>
      </c>
      <c r="G335" s="65">
        <f>H335/Variables!$E$49</f>
        <v>0.96814103766087822</v>
      </c>
      <c r="H335" s="62">
        <f>IF((H334+I335)&gt;(1.1*Variables!$E$50),(1.1*Variables!$E$50),IF((H334+I335)&gt;0,H334+I335,0))</f>
        <v>6.0024744334974454</v>
      </c>
      <c r="I335" s="64">
        <f t="shared" si="10"/>
        <v>2.4303090933990235</v>
      </c>
      <c r="J335" s="63">
        <f>IF(SUM(E331:E334)&lt;Variables!$B$3,-H334,0)</f>
        <v>0</v>
      </c>
      <c r="K335" s="64">
        <f>IF(AND(H334&lt;Variables!$B$6*Variables!$E$50,OR(SUM(D332:D335)&gt;Variables!$B$5,SUM(E332:E335)&gt;Variables!$B$4)),Variables!$B$6*Variables!$E$50+Variables!$B$7*$G$1*Variables!$E$50*SUM(D332:D335),0)</f>
        <v>0</v>
      </c>
      <c r="L335" s="64">
        <f>IF(B335="Winter",Variables!$B$8*H334,0)</f>
        <v>0</v>
      </c>
      <c r="M335" s="64">
        <f>IF(AND(B335="Spring",AND(NOT(H334=0),H334&lt;(Variables!$B$9*Variables!$E$50))),(Variables!$B$10*Variables!$E$50+Variables!$B$11*Variables!$E$50*SUM(E332:E335)+$G$1*SUM(D334:D335)*Variables!$E$50*Variables!$B$12),0)</f>
        <v>0</v>
      </c>
      <c r="N335" s="64">
        <f>IF(AND(B335="Spring",AND(SUM(D332:D335)&gt;Variables!$B$13,SUM(D328:D331)&gt;Variables!$B$13)),-Variables!$B$14*Variables!$E$50,0)</f>
        <v>0</v>
      </c>
      <c r="O335" s="64">
        <f>IF(AND(B335="Summer",SUM(C331:D335)&gt;Variables!$B$15),(Variables!$B$16*Variables!$E$50*SUM(C331:C335)+$G$1*Variables!$B$16*Variables!$E$50*SUM(D331:D335)+$G$1*Variables!$E$50*Variables!$B$17*F335),0)</f>
        <v>2.4303090933990235</v>
      </c>
      <c r="P335" s="64">
        <f>IF(AND(AND(B335="Autumn",SUM(D334:E335)&gt;0),NOT(H334=0)),Variables!$B$18*Variables!$E$50+Variables!$B$19*Variables!$E$50*SUM(E334:E335)+$G$1*Variables!$B$19*Variables!$E$50*SUM(D334:D335),0)</f>
        <v>0</v>
      </c>
      <c r="Q335" s="64">
        <f>IF(AND(B335="Autumn",AND((E335+E334)&lt;Variables!$B$20,(D334+D335)=0)),-Variables!$B$21*Variables!$E$50,0)</f>
        <v>0</v>
      </c>
      <c r="R335" s="64">
        <f>IF(B335="Autumn",(SUM(F334:F335)*$G$1*Variables!$B$22*Variables!$E$50),0)</f>
        <v>0</v>
      </c>
      <c r="S335" s="64">
        <f>IF(B335="Spring",($G$1*Variables!$E$50*SUM('Guts (option 2)'!F334:F335)*Variables!$B$23),0)</f>
        <v>0</v>
      </c>
      <c r="T335" s="63">
        <f>IF((H334+SUM(J335:Q335))&lt;(Variables!$B$26*Variables!$E$50),$F$1*((Variables!$B$26*Variables!$E$50)-H334-SUM(J335:Q335)),0)</f>
        <v>0</v>
      </c>
      <c r="U335" s="64">
        <f>IF(AND(AND(B335="Autumn",SUM(D332:E335)&gt;Variables!$B$27),SUM(J335:Q335)&lt;Variables!$B$28*H334),$F$1*(Variables!$B$28*H334-SUM(J335:Q335)),0)</f>
        <v>0</v>
      </c>
      <c r="V335" s="96">
        <f>IF(AND((J335+K335)=0,(Q335+T335)=0),$H$1*H335*Variables!$I$23*0.25,0)</f>
        <v>38.556194234886931</v>
      </c>
      <c r="W335" s="97">
        <f>IF(AND((K335+J335)=0,(T335+Q335)=0),$I$1*H335*Variables!$Q$23*0.25,0)</f>
        <v>40.358137059822859</v>
      </c>
      <c r="X335" s="95">
        <f>IF(AND(NOT(K335=0),(H335-H334)&gt;0),(H335-H334)*(Variables!$M$5*$H$1+Variables!$U$5*$I$1),0)+IF(AND(NOT((J335+N335+Q335)=0),(H334-H335)&gt;0),(H334-H335)*(Variables!$M$4*$H$1+Variables!$U$4*$I$1),0)</f>
        <v>0</v>
      </c>
      <c r="Y335" s="95">
        <f>IF(SUM(T335,U334:U335)&gt;0,H335*Variables!$Y$11*0.25*(1-$J$1),0)</f>
        <v>0</v>
      </c>
      <c r="Z335" s="95">
        <f>IF(T335=0,H335*$J$1*Variables!$Y$5*0.25,0)</f>
        <v>13.005361272577797</v>
      </c>
      <c r="AA335" s="95">
        <f t="shared" si="9"/>
        <v>91.919692567287598</v>
      </c>
      <c r="AB335" s="91">
        <f>AA335/Variables!$E$49</f>
        <v>14.825756865691547</v>
      </c>
    </row>
    <row r="336" spans="1:28" x14ac:dyDescent="0.25">
      <c r="A336" s="61">
        <f>'Water runs'!C343</f>
        <v>32659</v>
      </c>
      <c r="B336" s="61" t="str">
        <f>'Water runs'!B343</f>
        <v>Autumn</v>
      </c>
      <c r="C336" s="54">
        <f>'Water runs'!D343/100</f>
        <v>2.22266071428571</v>
      </c>
      <c r="D336" s="108">
        <f>VLOOKUP(ROW(D336)+4,'Water runs'!$BS$3:$CF$423,MATCH($B$1,Scenarios,0)+1)</f>
        <v>0.13987680029137206</v>
      </c>
      <c r="E336" s="54">
        <f>IF(B336=Variables!$D$8,C336-Variables!$E$8,IF(B336=Variables!$D$9,C336-Variables!$E$9,IF(B336=Variables!$D$10,C336-Variables!$E$10,IF(B336=Variables!$D$11,C336-Variables!$E$11,"ELSE"))))</f>
        <v>1.2280174149659822</v>
      </c>
      <c r="F336" s="108">
        <f>VLOOKUP(ROW(F336)+4,'Water runs'!$CH$3:$CU$423,MATCH($B$1,Scenarios,0)+1)</f>
        <v>8.5465047229194208E-2</v>
      </c>
      <c r="G336" s="65">
        <f>H336/Variables!$E$49</f>
        <v>1.4057466468323772</v>
      </c>
      <c r="H336" s="62">
        <f>IF((H335+I336)&gt;(1.1*Variables!$E$50),(1.1*Variables!$E$50),IF((H335+I336)&gt;0,H335+I336,0))</f>
        <v>8.7156292103607385</v>
      </c>
      <c r="I336" s="64">
        <f t="shared" si="10"/>
        <v>2.7131547768632931</v>
      </c>
      <c r="J336" s="63">
        <f>IF(SUM(E332:E335)&lt;Variables!$B$3,-H335,0)</f>
        <v>0</v>
      </c>
      <c r="K336" s="64">
        <f>IF(AND(H335&lt;Variables!$B$6*Variables!$E$50,OR(SUM(D333:D336)&gt;Variables!$B$5,SUM(E333:E336)&gt;Variables!$B$4)),Variables!$B$6*Variables!$E$50+Variables!$B$7*$G$1*Variables!$E$50*SUM(D333:D336),0)</f>
        <v>0</v>
      </c>
      <c r="L336" s="64">
        <f>IF(B336="Winter",Variables!$B$8*H335,0)</f>
        <v>0</v>
      </c>
      <c r="M336" s="64">
        <f>IF(AND(B336="Spring",AND(NOT(H335=0),H335&lt;(Variables!$B$9*Variables!$E$50))),(Variables!$B$10*Variables!$E$50+Variables!$B$11*Variables!$E$50*SUM(E333:E336)+$G$1*SUM(D335:D336)*Variables!$E$50*Variables!$B$12),0)</f>
        <v>0</v>
      </c>
      <c r="N336" s="64">
        <f>IF(AND(B336="Spring",AND(SUM(D333:D336)&gt;Variables!$B$13,SUM(D329:D332)&gt;Variables!$B$13)),-Variables!$B$14*Variables!$E$50,0)</f>
        <v>0</v>
      </c>
      <c r="O336" s="64">
        <f>IF(AND(B336="Summer",SUM(C332:D336)&gt;Variables!$B$15),(Variables!$B$16*Variables!$E$50*SUM(C332:C336)+$G$1*Variables!$B$16*Variables!$E$50*SUM(D332:D336)+$G$1*Variables!$E$50*Variables!$B$17*F336),0)</f>
        <v>0</v>
      </c>
      <c r="P336" s="64">
        <f>IF(AND(AND(B336="Autumn",SUM(D335:E336)&gt;0),NOT(H335=0)),Variables!$B$18*Variables!$E$50+Variables!$B$19*Variables!$E$50*SUM(E335:E336)+$G$1*Variables!$B$19*Variables!$E$50*SUM(D335:D336),0)</f>
        <v>2.0850955918061032</v>
      </c>
      <c r="Q336" s="64">
        <f>IF(AND(B336="Autumn",AND((E336+E335)&lt;Variables!$B$20,(D335+D336)=0)),-Variables!$B$21*Variables!$E$50,0)</f>
        <v>0</v>
      </c>
      <c r="R336" s="64">
        <f>IF(B336="Autumn",(SUM(F335:F336)*$G$1*Variables!$B$22*Variables!$E$50),0)</f>
        <v>1.2041281789442556E-2</v>
      </c>
      <c r="S336" s="64">
        <f>IF(B336="Spring",($G$1*Variables!$E$50*SUM('Guts (option 2)'!F335:F336)*Variables!$B$23),0)</f>
        <v>0</v>
      </c>
      <c r="T336" s="63">
        <f>IF((H335+SUM(J336:Q336))&lt;(Variables!$B$26*Variables!$E$50),$F$1*((Variables!$B$26*Variables!$E$50)-H335-SUM(J336:Q336)),0)</f>
        <v>0</v>
      </c>
      <c r="U336" s="64">
        <f>IF(AND(AND(B336="Autumn",SUM(D333:E336)&gt;Variables!$B$27),SUM(J336:Q336)&lt;Variables!$B$28*H335),$F$1*(Variables!$B$28*H335-SUM(J336:Q336)),0)</f>
        <v>0.61601790326774752</v>
      </c>
      <c r="V336" s="96">
        <f>IF(AND((J336+K336)=0,(Q336+T336)=0),$H$1*H336*Variables!$I$23*0.25,0)</f>
        <v>55.983827409344322</v>
      </c>
      <c r="W336" s="97">
        <f>IF(AND((K336+J336)=0,(T336+Q336)=0),$I$1*H336*Variables!$Q$23*0.25,0)</f>
        <v>58.60025929829461</v>
      </c>
      <c r="X336" s="95">
        <f>IF(AND(NOT(K336=0),(H336-H335)&gt;0),(H336-H335)*(Variables!$M$5*$H$1+Variables!$U$5*$I$1),0)+IF(AND(NOT((J336+N336+Q336)=0),(H335-H336)&gt;0),(H335-H336)*(Variables!$M$4*$H$1+Variables!$U$4*$I$1),0)</f>
        <v>0</v>
      </c>
      <c r="Y336" s="95">
        <f>IF(SUM(T336,U335:U336)&gt;0,H336*Variables!$Y$11*0.25*(1-$J$1),0)</f>
        <v>-61.009404472525176</v>
      </c>
      <c r="Z336" s="95">
        <f>IF(T336=0,H336*$J$1*Variables!$Y$5*0.25,0)</f>
        <v>18.883863289114931</v>
      </c>
      <c r="AA336" s="95">
        <f t="shared" ref="AA336:AA399" si="11">SUM(V336:Z336)</f>
        <v>72.458545524228683</v>
      </c>
      <c r="AB336" s="91">
        <f>AA336/Variables!$E$49</f>
        <v>11.686862181327207</v>
      </c>
    </row>
    <row r="337" spans="1:28" x14ac:dyDescent="0.25">
      <c r="A337" s="61">
        <f>'Water runs'!C344</f>
        <v>32751</v>
      </c>
      <c r="B337" s="61" t="str">
        <f>'Water runs'!B344</f>
        <v>Winter</v>
      </c>
      <c r="C337" s="54">
        <f>'Water runs'!D344/100</f>
        <v>0.33007142857142902</v>
      </c>
      <c r="D337" s="108">
        <f>VLOOKUP(ROW(D337)+4,'Water runs'!$BS$3:$CF$423,MATCH($B$1,Scenarios,0)+1)</f>
        <v>1.5091172535016113E-2</v>
      </c>
      <c r="E337" s="54">
        <f>IF(B337=Variables!$D$8,C337-Variables!$E$8,IF(B337=Variables!$D$9,C337-Variables!$E$9,IF(B337=Variables!$D$10,C337-Variables!$E$10,IF(B337=Variables!$D$11,C337-Variables!$E$11,"ELSE"))))</f>
        <v>-0.24169619708994672</v>
      </c>
      <c r="F337" s="108">
        <f>VLOOKUP(ROW(F337)+4,'Water runs'!$CH$3:$CU$423,MATCH($B$1,Scenarios,0)+1)</f>
        <v>0</v>
      </c>
      <c r="G337" s="65">
        <f>H337/Variables!$E$49</f>
        <v>0.70576178649059729</v>
      </c>
      <c r="H337" s="62">
        <f>IF((H336+I337)&gt;(1.1*Variables!$E$50),(1.1*Variables!$E$50),IF((H336+I337)&gt;0,H336+I337,0))</f>
        <v>4.3757230762417034</v>
      </c>
      <c r="I337" s="64">
        <f t="shared" si="10"/>
        <v>-4.339906134119035</v>
      </c>
      <c r="J337" s="63">
        <f>IF(SUM(E333:E336)&lt;Variables!$B$3,-H336,0)</f>
        <v>0</v>
      </c>
      <c r="K337" s="64">
        <f>IF(AND(H336&lt;Variables!$B$6*Variables!$E$50,OR(SUM(D334:D337)&gt;Variables!$B$5,SUM(E334:E337)&gt;Variables!$B$4)),Variables!$B$6*Variables!$E$50+Variables!$B$7*$G$1*Variables!$E$50*SUM(D334:D337),0)</f>
        <v>0</v>
      </c>
      <c r="L337" s="64">
        <f>IF(B337="Winter",Variables!$B$8*H336,0)</f>
        <v>-4.339906134119035</v>
      </c>
      <c r="M337" s="64">
        <f>IF(AND(B337="Spring",AND(NOT(H336=0),H336&lt;(Variables!$B$9*Variables!$E$50))),(Variables!$B$10*Variables!$E$50+Variables!$B$11*Variables!$E$50*SUM(E334:E337)+$G$1*SUM(D336:D337)*Variables!$E$50*Variables!$B$12),0)</f>
        <v>0</v>
      </c>
      <c r="N337" s="64">
        <f>IF(AND(B337="Spring",AND(SUM(D334:D337)&gt;Variables!$B$13,SUM(D330:D333)&gt;Variables!$B$13)),-Variables!$B$14*Variables!$E$50,0)</f>
        <v>0</v>
      </c>
      <c r="O337" s="64">
        <f>IF(AND(B337="Summer",SUM(C333:D337)&gt;Variables!$B$15),(Variables!$B$16*Variables!$E$50*SUM(C333:C337)+$G$1*Variables!$B$16*Variables!$E$50*SUM(D333:D337)+$G$1*Variables!$E$50*Variables!$B$17*F337),0)</f>
        <v>0</v>
      </c>
      <c r="P337" s="64">
        <f>IF(AND(AND(B337="Autumn",SUM(D336:E337)&gt;0),NOT(H336=0)),Variables!$B$18*Variables!$E$50+Variables!$B$19*Variables!$E$50*SUM(E336:E337)+$G$1*Variables!$B$19*Variables!$E$50*SUM(D336:D337),0)</f>
        <v>0</v>
      </c>
      <c r="Q337" s="64">
        <f>IF(AND(B337="Autumn",AND((E337+E336)&lt;Variables!$B$20,(D336+D337)=0)),-Variables!$B$21*Variables!$E$50,0)</f>
        <v>0</v>
      </c>
      <c r="R337" s="64">
        <f>IF(B337="Autumn",(SUM(F336:F337)*$G$1*Variables!$B$22*Variables!$E$50),0)</f>
        <v>0</v>
      </c>
      <c r="S337" s="64">
        <f>IF(B337="Spring",($G$1*Variables!$E$50*SUM('Guts (option 2)'!F336:F337)*Variables!$B$23),0)</f>
        <v>0</v>
      </c>
      <c r="T337" s="63">
        <f>IF((H336+SUM(J337:Q337))&lt;(Variables!$B$26*Variables!$E$50),$F$1*((Variables!$B$26*Variables!$E$50)-H336-SUM(J337:Q337)),0)</f>
        <v>0</v>
      </c>
      <c r="U337" s="64">
        <f>IF(AND(AND(B337="Autumn",SUM(D334:E337)&gt;Variables!$B$27),SUM(J337:Q337)&lt;Variables!$B$28*H336),$F$1*(Variables!$B$28*H336-SUM(J337:Q337)),0)</f>
        <v>0</v>
      </c>
      <c r="V337" s="96">
        <f>IF(AND((J337+K337)=0,(Q337+T337)=0),$H$1*H337*Variables!$I$23*0.25,0)</f>
        <v>28.106946679213021</v>
      </c>
      <c r="W337" s="97">
        <f>IF(AND((K337+J337)=0,(T337+Q337)=0),$I$1*H337*Variables!$Q$23*0.25,0)</f>
        <v>29.420538746700775</v>
      </c>
      <c r="X337" s="95">
        <f>IF(AND(NOT(K337=0),(H337-H336)&gt;0),(H337-H336)*(Variables!$M$5*$H$1+Variables!$U$5*$I$1),0)+IF(AND(NOT((J337+N337+Q337)=0),(H336-H337)&gt;0),(H336-H337)*(Variables!$M$4*$H$1+Variables!$U$4*$I$1),0)</f>
        <v>0</v>
      </c>
      <c r="Y337" s="95">
        <f>IF(SUM(T337,U336:U337)&gt;0,H337*Variables!$Y$11*0.25*(1-$J$1),0)</f>
        <v>-30.630061533691929</v>
      </c>
      <c r="Z337" s="95">
        <f>IF(T337=0,H337*$J$1*Variables!$Y$5*0.25,0)</f>
        <v>9.4807333318570244</v>
      </c>
      <c r="AA337" s="95">
        <f t="shared" si="11"/>
        <v>36.37815722407889</v>
      </c>
      <c r="AB337" s="91">
        <f>AA337/Variables!$E$49</f>
        <v>5.8674447135611114</v>
      </c>
    </row>
    <row r="338" spans="1:28" x14ac:dyDescent="0.25">
      <c r="A338" s="61">
        <f>'Water runs'!C345</f>
        <v>32842</v>
      </c>
      <c r="B338" s="61" t="str">
        <f>'Water runs'!B345</f>
        <v>Spring</v>
      </c>
      <c r="C338" s="54">
        <f>'Water runs'!D345/100</f>
        <v>0.28312500000000002</v>
      </c>
      <c r="D338" s="108">
        <f>VLOOKUP(ROW(D338)+4,'Water runs'!$BS$3:$CF$423,MATCH($B$1,Scenarios,0)+1)</f>
        <v>6.4034552925993082E-2</v>
      </c>
      <c r="E338" s="54">
        <f>IF(B338=Variables!$D$8,C338-Variables!$E$8,IF(B338=Variables!$D$9,C338-Variables!$E$9,IF(B338=Variables!$D$10,C338-Variables!$E$10,IF(B338=Variables!$D$11,C338-Variables!$E$11,"ELSE"))))</f>
        <v>-0.48085720899470913</v>
      </c>
      <c r="F338" s="108">
        <f>VLOOKUP(ROW(F338)+4,'Water runs'!$CH$3:$CU$423,MATCH($B$1,Scenarios,0)+1)</f>
        <v>0</v>
      </c>
      <c r="G338" s="65">
        <f>H338/Variables!$E$49</f>
        <v>0.70576178649059729</v>
      </c>
      <c r="H338" s="62">
        <f>IF((H337+I338)&gt;(1.1*Variables!$E$50),(1.1*Variables!$E$50),IF((H337+I338)&gt;0,H337+I338,0))</f>
        <v>4.3757230762417034</v>
      </c>
      <c r="I338" s="64">
        <f t="shared" si="10"/>
        <v>0</v>
      </c>
      <c r="J338" s="63">
        <f>IF(SUM(E334:E337)&lt;Variables!$B$3,-H337,0)</f>
        <v>0</v>
      </c>
      <c r="K338" s="64">
        <f>IF(AND(H337&lt;Variables!$B$6*Variables!$E$50,OR(SUM(D335:D338)&gt;Variables!$B$5,SUM(E335:E338)&gt;Variables!$B$4)),Variables!$B$6*Variables!$E$50+Variables!$B$7*$G$1*Variables!$E$50*SUM(D335:D338),0)</f>
        <v>0</v>
      </c>
      <c r="L338" s="64">
        <f>IF(B338="Winter",Variables!$B$8*H337,0)</f>
        <v>0</v>
      </c>
      <c r="M338" s="64">
        <f>IF(AND(B338="Spring",AND(NOT(H337=0),H337&lt;(Variables!$B$9*Variables!$E$50))),(Variables!$B$10*Variables!$E$50+Variables!$B$11*Variables!$E$50*SUM(E335:E338)+$G$1*SUM(D337:D338)*Variables!$E$50*Variables!$B$12),0)</f>
        <v>0</v>
      </c>
      <c r="N338" s="64">
        <f>IF(AND(B338="Spring",AND(SUM(D335:D338)&gt;Variables!$B$13,SUM(D331:D334)&gt;Variables!$B$13)),-Variables!$B$14*Variables!$E$50,0)</f>
        <v>0</v>
      </c>
      <c r="O338" s="64">
        <f>IF(AND(B338="Summer",SUM(C334:D338)&gt;Variables!$B$15),(Variables!$B$16*Variables!$E$50*SUM(C334:C338)+$G$1*Variables!$B$16*Variables!$E$50*SUM(D334:D338)+$G$1*Variables!$E$50*Variables!$B$17*F338),0)</f>
        <v>0</v>
      </c>
      <c r="P338" s="64">
        <f>IF(AND(AND(B338="Autumn",SUM(D337:E338)&gt;0),NOT(H337=0)),Variables!$B$18*Variables!$E$50+Variables!$B$19*Variables!$E$50*SUM(E337:E338)+$G$1*Variables!$B$19*Variables!$E$50*SUM(D337:D338),0)</f>
        <v>0</v>
      </c>
      <c r="Q338" s="64">
        <f>IF(AND(B338="Autumn",AND((E338+E337)&lt;Variables!$B$20,(D337+D338)=0)),-Variables!$B$21*Variables!$E$50,0)</f>
        <v>0</v>
      </c>
      <c r="R338" s="64">
        <f>IF(B338="Autumn",(SUM(F337:F338)*$G$1*Variables!$B$22*Variables!$E$50),0)</f>
        <v>0</v>
      </c>
      <c r="S338" s="64">
        <f>IF(B338="Spring",($G$1*Variables!$E$50*SUM('Guts (option 2)'!F337:F338)*Variables!$B$23),0)</f>
        <v>0</v>
      </c>
      <c r="T338" s="63">
        <f>IF((H337+SUM(J338:Q338))&lt;(Variables!$B$26*Variables!$E$50),$F$1*((Variables!$B$26*Variables!$E$50)-H337-SUM(J338:Q338)),0)</f>
        <v>0</v>
      </c>
      <c r="U338" s="64">
        <f>IF(AND(AND(B338="Autumn",SUM(D335:E338)&gt;Variables!$B$27),SUM(J338:Q338)&lt;Variables!$B$28*H337),$F$1*(Variables!$B$28*H337-SUM(J338:Q338)),0)</f>
        <v>0</v>
      </c>
      <c r="V338" s="96">
        <f>IF(AND((J338+K338)=0,(Q338+T338)=0),$H$1*H338*Variables!$I$23*0.25,0)</f>
        <v>28.106946679213021</v>
      </c>
      <c r="W338" s="97">
        <f>IF(AND((K338+J338)=0,(T338+Q338)=0),$I$1*H338*Variables!$Q$23*0.25,0)</f>
        <v>29.420538746700775</v>
      </c>
      <c r="X338" s="95">
        <f>IF(AND(NOT(K338=0),(H338-H337)&gt;0),(H338-H337)*(Variables!$M$5*$H$1+Variables!$U$5*$I$1),0)+IF(AND(NOT((J338+N338+Q338)=0),(H337-H338)&gt;0),(H337-H338)*(Variables!$M$4*$H$1+Variables!$U$4*$I$1),0)</f>
        <v>0</v>
      </c>
      <c r="Y338" s="95">
        <f>IF(SUM(T338,U337:U338)&gt;0,H338*Variables!$Y$11*0.25*(1-$J$1),0)</f>
        <v>0</v>
      </c>
      <c r="Z338" s="95">
        <f>IF(T338=0,H338*$J$1*Variables!$Y$5*0.25,0)</f>
        <v>9.4807333318570244</v>
      </c>
      <c r="AA338" s="95">
        <f t="shared" si="11"/>
        <v>67.00821875777082</v>
      </c>
      <c r="AB338" s="91">
        <f>AA338/Variables!$E$49</f>
        <v>10.807777218995293</v>
      </c>
    </row>
    <row r="339" spans="1:28" x14ac:dyDescent="0.25">
      <c r="A339" s="61">
        <f>'Water runs'!C346</f>
        <v>32932</v>
      </c>
      <c r="B339" s="61" t="str">
        <f>'Water runs'!B346</f>
        <v>Summer</v>
      </c>
      <c r="C339" s="54">
        <f>'Water runs'!D346/100</f>
        <v>0.75937500000000002</v>
      </c>
      <c r="D339" s="108">
        <f>VLOOKUP(ROW(D339)+4,'Water runs'!$BS$3:$CF$423,MATCH($B$1,Scenarios,0)+1)</f>
        <v>6.7229352568112175E-3</v>
      </c>
      <c r="E339" s="54">
        <f>IF(B339=Variables!$D$8,C339-Variables!$E$8,IF(B339=Variables!$D$9,C339-Variables!$E$9,IF(B339=Variables!$D$10,C339-Variables!$E$10,IF(B339=Variables!$D$11,C339-Variables!$E$11,"ELSE"))))</f>
        <v>-0.4989951360544217</v>
      </c>
      <c r="F339" s="108">
        <f>VLOOKUP(ROW(F339)+4,'Water runs'!$CH$3:$CU$423,MATCH($B$1,Scenarios,0)+1)</f>
        <v>0</v>
      </c>
      <c r="G339" s="65">
        <f>H339/Variables!$E$49</f>
        <v>0.70576178649059729</v>
      </c>
      <c r="H339" s="62">
        <f>IF((H338+I339)&gt;(1.1*Variables!$E$50),(1.1*Variables!$E$50),IF((H338+I339)&gt;0,H338+I339,0))</f>
        <v>4.3757230762417034</v>
      </c>
      <c r="I339" s="64">
        <f t="shared" si="10"/>
        <v>0</v>
      </c>
      <c r="J339" s="63">
        <f>IF(SUM(E335:E338)&lt;Variables!$B$3,-H338,0)</f>
        <v>0</v>
      </c>
      <c r="K339" s="64">
        <f>IF(AND(H338&lt;Variables!$B$6*Variables!$E$50,OR(SUM(D336:D339)&gt;Variables!$B$5,SUM(E336:E339)&gt;Variables!$B$4)),Variables!$B$6*Variables!$E$50+Variables!$B$7*$G$1*Variables!$E$50*SUM(D336:D339),0)</f>
        <v>0</v>
      </c>
      <c r="L339" s="64">
        <f>IF(B339="Winter",Variables!$B$8*H338,0)</f>
        <v>0</v>
      </c>
      <c r="M339" s="64">
        <f>IF(AND(B339="Spring",AND(NOT(H338=0),H338&lt;(Variables!$B$9*Variables!$E$50))),(Variables!$B$10*Variables!$E$50+Variables!$B$11*Variables!$E$50*SUM(E336:E339)+$G$1*SUM(D338:D339)*Variables!$E$50*Variables!$B$12),0)</f>
        <v>0</v>
      </c>
      <c r="N339" s="64">
        <f>IF(AND(B339="Spring",AND(SUM(D336:D339)&gt;Variables!$B$13,SUM(D332:D335)&gt;Variables!$B$13)),-Variables!$B$14*Variables!$E$50,0)</f>
        <v>0</v>
      </c>
      <c r="O339" s="64">
        <f>IF(AND(B339="Summer",SUM(C335:D339)&gt;Variables!$B$15),(Variables!$B$16*Variables!$E$50*SUM(C335:C339)+$G$1*Variables!$B$16*Variables!$E$50*SUM(D335:D339)+$G$1*Variables!$E$50*Variables!$B$17*F339),0)</f>
        <v>0</v>
      </c>
      <c r="P339" s="64">
        <f>IF(AND(AND(B339="Autumn",SUM(D338:E339)&gt;0),NOT(H338=0)),Variables!$B$18*Variables!$E$50+Variables!$B$19*Variables!$E$50*SUM(E338:E339)+$G$1*Variables!$B$19*Variables!$E$50*SUM(D338:D339),0)</f>
        <v>0</v>
      </c>
      <c r="Q339" s="64">
        <f>IF(AND(B339="Autumn",AND((E339+E338)&lt;Variables!$B$20,(D338+D339)=0)),-Variables!$B$21*Variables!$E$50,0)</f>
        <v>0</v>
      </c>
      <c r="R339" s="64">
        <f>IF(B339="Autumn",(SUM(F338:F339)*$G$1*Variables!$B$22*Variables!$E$50),0)</f>
        <v>0</v>
      </c>
      <c r="S339" s="64">
        <f>IF(B339="Spring",($G$1*Variables!$E$50*SUM('Guts (option 2)'!F338:F339)*Variables!$B$23),0)</f>
        <v>0</v>
      </c>
      <c r="T339" s="63">
        <f>IF((H338+SUM(J339:Q339))&lt;(Variables!$B$26*Variables!$E$50),$F$1*((Variables!$B$26*Variables!$E$50)-H338-SUM(J339:Q339)),0)</f>
        <v>0</v>
      </c>
      <c r="U339" s="64">
        <f>IF(AND(AND(B339="Autumn",SUM(D336:E339)&gt;Variables!$B$27),SUM(J339:Q339)&lt;Variables!$B$28*H338),$F$1*(Variables!$B$28*H338-SUM(J339:Q339)),0)</f>
        <v>0</v>
      </c>
      <c r="V339" s="96">
        <f>IF(AND((J339+K339)=0,(Q339+T339)=0),$H$1*H339*Variables!$I$23*0.25,0)</f>
        <v>28.106946679213021</v>
      </c>
      <c r="W339" s="97">
        <f>IF(AND((K339+J339)=0,(T339+Q339)=0),$I$1*H339*Variables!$Q$23*0.25,0)</f>
        <v>29.420538746700775</v>
      </c>
      <c r="X339" s="95">
        <f>IF(AND(NOT(K339=0),(H339-H338)&gt;0),(H339-H338)*(Variables!$M$5*$H$1+Variables!$U$5*$I$1),0)+IF(AND(NOT((J339+N339+Q339)=0),(H338-H339)&gt;0),(H338-H339)*(Variables!$M$4*$H$1+Variables!$U$4*$I$1),0)</f>
        <v>0</v>
      </c>
      <c r="Y339" s="95">
        <f>IF(SUM(T339,U338:U339)&gt;0,H339*Variables!$Y$11*0.25*(1-$J$1),0)</f>
        <v>0</v>
      </c>
      <c r="Z339" s="95">
        <f>IF(T339=0,H339*$J$1*Variables!$Y$5*0.25,0)</f>
        <v>9.4807333318570244</v>
      </c>
      <c r="AA339" s="95">
        <f t="shared" si="11"/>
        <v>67.00821875777082</v>
      </c>
      <c r="AB339" s="91">
        <f>AA339/Variables!$E$49</f>
        <v>10.807777218995293</v>
      </c>
    </row>
    <row r="340" spans="1:28" x14ac:dyDescent="0.25">
      <c r="A340" s="61">
        <f>'Water runs'!C347</f>
        <v>33024</v>
      </c>
      <c r="B340" s="61" t="str">
        <f>'Water runs'!B347</f>
        <v>Autumn</v>
      </c>
      <c r="C340" s="54">
        <f>'Water runs'!D347/100</f>
        <v>3.0741250000000004</v>
      </c>
      <c r="D340" s="108">
        <f>VLOOKUP(ROW(D340)+4,'Water runs'!$BS$3:$CF$423,MATCH($B$1,Scenarios,0)+1)</f>
        <v>0.58550503171046486</v>
      </c>
      <c r="E340" s="54">
        <f>IF(B340=Variables!$D$8,C340-Variables!$E$8,IF(B340=Variables!$D$9,C340-Variables!$E$9,IF(B340=Variables!$D$10,C340-Variables!$E$10,IF(B340=Variables!$D$11,C340-Variables!$E$11,"ELSE"))))</f>
        <v>2.0794817006802724</v>
      </c>
      <c r="F340" s="108">
        <f>VLOOKUP(ROW(F340)+4,'Water runs'!$CH$3:$CU$423,MATCH($B$1,Scenarios,0)+1)</f>
        <v>0.5800837694676918</v>
      </c>
      <c r="G340" s="65">
        <f>H340/Variables!$E$49</f>
        <v>1.490057113370969</v>
      </c>
      <c r="H340" s="62">
        <f>IF((H339+I340)&gt;(1.1*Variables!$E$50),(1.1*Variables!$E$50),IF((H339+I340)&gt;0,H339+I340,0))</f>
        <v>9.2383541029000078</v>
      </c>
      <c r="I340" s="64">
        <f t="shared" si="10"/>
        <v>4.8626310266583044</v>
      </c>
      <c r="J340" s="63">
        <f>IF(SUM(E336:E339)&lt;Variables!$B$3,-H339,0)</f>
        <v>0</v>
      </c>
      <c r="K340" s="64">
        <f>IF(AND(H339&lt;Variables!$B$6*Variables!$E$50,OR(SUM(D337:D340)&gt;Variables!$B$5,SUM(E337:E340)&gt;Variables!$B$4)),Variables!$B$6*Variables!$E$50+Variables!$B$7*$G$1*Variables!$E$50*SUM(D337:D340),0)</f>
        <v>0</v>
      </c>
      <c r="L340" s="64">
        <f>IF(B340="Winter",Variables!$B$8*H339,0)</f>
        <v>0</v>
      </c>
      <c r="M340" s="64">
        <f>IF(AND(B340="Spring",AND(NOT(H339=0),H339&lt;(Variables!$B$9*Variables!$E$50))),(Variables!$B$10*Variables!$E$50+Variables!$B$11*Variables!$E$50*SUM(E337:E340)+$G$1*SUM(D339:D340)*Variables!$E$50*Variables!$B$12),0)</f>
        <v>0</v>
      </c>
      <c r="N340" s="64">
        <f>IF(AND(B340="Spring",AND(SUM(D337:D340)&gt;Variables!$B$13,SUM(D333:D336)&gt;Variables!$B$13)),-Variables!$B$14*Variables!$E$50,0)</f>
        <v>0</v>
      </c>
      <c r="O340" s="64">
        <f>IF(AND(B340="Summer",SUM(C336:D340)&gt;Variables!$B$15),(Variables!$B$16*Variables!$E$50*SUM(C336:C340)+$G$1*Variables!$B$16*Variables!$E$50*SUM(D336:D340)+$G$1*Variables!$E$50*Variables!$B$17*F340),0)</f>
        <v>0</v>
      </c>
      <c r="P340" s="64">
        <f>IF(AND(AND(B340="Autumn",SUM(D339:E340)&gt;0),NOT(H339=0)),Variables!$B$18*Variables!$E$50+Variables!$B$19*Variables!$E$50*SUM(E339:E340)+$G$1*Variables!$B$19*Variables!$E$50*SUM(D339:D340),0)</f>
        <v>4.7809022690422145</v>
      </c>
      <c r="Q340" s="64">
        <f>IF(AND(B340="Autumn",AND((E340+E339)&lt;Variables!$B$20,(D339+D340)=0)),-Variables!$B$21*Variables!$E$50,0)</f>
        <v>0</v>
      </c>
      <c r="R340" s="64">
        <f>IF(B340="Autumn",(SUM(F339:F340)*$G$1*Variables!$B$22*Variables!$E$50),0)</f>
        <v>8.1728757616090164E-2</v>
      </c>
      <c r="S340" s="64">
        <f>IF(B340="Spring",($G$1*Variables!$E$50*SUM('Guts (option 2)'!F339:F340)*Variables!$B$23),0)</f>
        <v>0</v>
      </c>
      <c r="T340" s="63">
        <f>IF((H339+SUM(J340:Q340))&lt;(Variables!$B$26*Variables!$E$50),$F$1*((Variables!$B$26*Variables!$E$50)-H339-SUM(J340:Q340)),0)</f>
        <v>0</v>
      </c>
      <c r="U340" s="64">
        <f>IF(AND(AND(B340="Autumn",SUM(D337:E340)&gt;Variables!$B$27),SUM(J340:Q340)&lt;Variables!$B$28*H339),$F$1*(Variables!$B$28*H339-SUM(J340:Q340)),0)</f>
        <v>0</v>
      </c>
      <c r="V340" s="96">
        <f>IF(AND((J340+K340)=0,(Q340+T340)=0),$H$1*H340*Variables!$I$23*0.25,0)</f>
        <v>59.341489771999534</v>
      </c>
      <c r="W340" s="97">
        <f>IF(AND((K340+J340)=0,(T340+Q340)=0),$I$1*H340*Variables!$Q$23*0.25,0)</f>
        <v>62.114843673690103</v>
      </c>
      <c r="X340" s="95">
        <f>IF(AND(NOT(K340=0),(H340-H339)&gt;0),(H340-H339)*(Variables!$M$5*$H$1+Variables!$U$5*$I$1),0)+IF(AND(NOT((J340+N340+Q340)=0),(H339-H340)&gt;0),(H339-H340)*(Variables!$M$4*$H$1+Variables!$U$4*$I$1),0)</f>
        <v>0</v>
      </c>
      <c r="Y340" s="95">
        <f>IF(SUM(T340,U339:U340)&gt;0,H340*Variables!$Y$11*0.25*(1-$J$1),0)</f>
        <v>0</v>
      </c>
      <c r="Z340" s="95">
        <f>IF(T340=0,H340*$J$1*Variables!$Y$5*0.25,0)</f>
        <v>20.016433889616685</v>
      </c>
      <c r="AA340" s="95">
        <f t="shared" si="11"/>
        <v>141.47276733530632</v>
      </c>
      <c r="AB340" s="91">
        <f>AA340/Variables!$E$49</f>
        <v>22.818188279888115</v>
      </c>
    </row>
    <row r="341" spans="1:28" x14ac:dyDescent="0.25">
      <c r="A341" s="61">
        <f>'Water runs'!C348</f>
        <v>33116</v>
      </c>
      <c r="B341" s="61" t="str">
        <f>'Water runs'!B348</f>
        <v>Winter</v>
      </c>
      <c r="C341" s="54">
        <f>'Water runs'!D348/100</f>
        <v>0.38075000000000003</v>
      </c>
      <c r="D341" s="108">
        <f>VLOOKUP(ROW(D341)+4,'Water runs'!$BS$3:$CF$423,MATCH($B$1,Scenarios,0)+1)</f>
        <v>3.4457121592411655E-2</v>
      </c>
      <c r="E341" s="54">
        <f>IF(B341=Variables!$D$8,C341-Variables!$E$8,IF(B341=Variables!$D$9,C341-Variables!$E$9,IF(B341=Variables!$D$10,C341-Variables!$E$10,IF(B341=Variables!$D$11,C341-Variables!$E$11,"ELSE"))))</f>
        <v>-0.1910176256613757</v>
      </c>
      <c r="F341" s="108">
        <f>VLOOKUP(ROW(F341)+4,'Water runs'!$CH$3:$CU$423,MATCH($B$1,Scenarios,0)+1)</f>
        <v>0</v>
      </c>
      <c r="G341" s="65">
        <f>H341/Variables!$E$49</f>
        <v>0.74809025699999732</v>
      </c>
      <c r="H341" s="62">
        <f>IF((H340+I341)&gt;(1.1*Variables!$E$50),(1.1*Variables!$E$50),IF((H340+I341)&gt;0,H340+I341,0))</f>
        <v>4.6381595933999833</v>
      </c>
      <c r="I341" s="64">
        <f t="shared" si="10"/>
        <v>-4.6001945095000245</v>
      </c>
      <c r="J341" s="63">
        <f>IF(SUM(E337:E340)&lt;Variables!$B$3,-H340,0)</f>
        <v>0</v>
      </c>
      <c r="K341" s="64">
        <f>IF(AND(H340&lt;Variables!$B$6*Variables!$E$50,OR(SUM(D338:D341)&gt;Variables!$B$5,SUM(E338:E341)&gt;Variables!$B$4)),Variables!$B$6*Variables!$E$50+Variables!$B$7*$G$1*Variables!$E$50*SUM(D338:D341),0)</f>
        <v>0</v>
      </c>
      <c r="L341" s="64">
        <f>IF(B341="Winter",Variables!$B$8*H340,0)</f>
        <v>-4.6001945095000245</v>
      </c>
      <c r="M341" s="64">
        <f>IF(AND(B341="Spring",AND(NOT(H340=0),H340&lt;(Variables!$B$9*Variables!$E$50))),(Variables!$B$10*Variables!$E$50+Variables!$B$11*Variables!$E$50*SUM(E338:E341)+$G$1*SUM(D340:D341)*Variables!$E$50*Variables!$B$12),0)</f>
        <v>0</v>
      </c>
      <c r="N341" s="64">
        <f>IF(AND(B341="Spring",AND(SUM(D338:D341)&gt;Variables!$B$13,SUM(D334:D337)&gt;Variables!$B$13)),-Variables!$B$14*Variables!$E$50,0)</f>
        <v>0</v>
      </c>
      <c r="O341" s="64">
        <f>IF(AND(B341="Summer",SUM(C337:D341)&gt;Variables!$B$15),(Variables!$B$16*Variables!$E$50*SUM(C337:C341)+$G$1*Variables!$B$16*Variables!$E$50*SUM(D337:D341)+$G$1*Variables!$E$50*Variables!$B$17*F341),0)</f>
        <v>0</v>
      </c>
      <c r="P341" s="64">
        <f>IF(AND(AND(B341="Autumn",SUM(D340:E341)&gt;0),NOT(H340=0)),Variables!$B$18*Variables!$E$50+Variables!$B$19*Variables!$E$50*SUM(E340:E341)+$G$1*Variables!$B$19*Variables!$E$50*SUM(D340:D341),0)</f>
        <v>0</v>
      </c>
      <c r="Q341" s="64">
        <f>IF(AND(B341="Autumn",AND((E341+E340)&lt;Variables!$B$20,(D340+D341)=0)),-Variables!$B$21*Variables!$E$50,0)</f>
        <v>0</v>
      </c>
      <c r="R341" s="64">
        <f>IF(B341="Autumn",(SUM(F340:F341)*$G$1*Variables!$B$22*Variables!$E$50),0)</f>
        <v>0</v>
      </c>
      <c r="S341" s="64">
        <f>IF(B341="Spring",($G$1*Variables!$E$50*SUM('Guts (option 2)'!F340:F341)*Variables!$B$23),0)</f>
        <v>0</v>
      </c>
      <c r="T341" s="63">
        <f>IF((H340+SUM(J341:Q341))&lt;(Variables!$B$26*Variables!$E$50),$F$1*((Variables!$B$26*Variables!$E$50)-H340-SUM(J341:Q341)),0)</f>
        <v>0</v>
      </c>
      <c r="U341" s="64">
        <f>IF(AND(AND(B341="Autumn",SUM(D338:E341)&gt;Variables!$B$27),SUM(J341:Q341)&lt;Variables!$B$28*H340),$F$1*(Variables!$B$28*H340-SUM(J341:Q341)),0)</f>
        <v>0</v>
      </c>
      <c r="V341" s="96">
        <f>IF(AND((J341+K341)=0,(Q341+T341)=0),$H$1*H341*Variables!$I$23*0.25,0)</f>
        <v>29.792677029585562</v>
      </c>
      <c r="W341" s="97">
        <f>IF(AND((K341+J341)=0,(T341+Q341)=0),$I$1*H341*Variables!$Q$23*0.25,0)</f>
        <v>31.185052539524232</v>
      </c>
      <c r="X341" s="95">
        <f>IF(AND(NOT(K341=0),(H341-H340)&gt;0),(H341-H340)*(Variables!$M$5*$H$1+Variables!$U$5*$I$1),0)+IF(AND(NOT((J341+N341+Q341)=0),(H340-H341)&gt;0),(H340-H341)*(Variables!$M$4*$H$1+Variables!$U$4*$I$1),0)</f>
        <v>0</v>
      </c>
      <c r="Y341" s="95">
        <f>IF(SUM(T341,U340:U341)&gt;0,H341*Variables!$Y$11*0.25*(1-$J$1),0)</f>
        <v>0</v>
      </c>
      <c r="Z341" s="95">
        <f>IF(T341=0,H341*$J$1*Variables!$Y$5*0.25,0)</f>
        <v>10.049345785699963</v>
      </c>
      <c r="AA341" s="95">
        <f t="shared" si="11"/>
        <v>71.027075354809767</v>
      </c>
      <c r="AB341" s="91">
        <f>AA341/Variables!$E$49</f>
        <v>11.455979895937059</v>
      </c>
    </row>
    <row r="342" spans="1:28" x14ac:dyDescent="0.25">
      <c r="A342" s="61">
        <f>'Water runs'!C349</f>
        <v>33207</v>
      </c>
      <c r="B342" s="61" t="str">
        <f>'Water runs'!B349</f>
        <v>Spring</v>
      </c>
      <c r="C342" s="54">
        <f>'Water runs'!D349/100</f>
        <v>0</v>
      </c>
      <c r="D342" s="108">
        <f>VLOOKUP(ROW(D342)+4,'Water runs'!$BS$3:$CF$423,MATCH($B$1,Scenarios,0)+1)</f>
        <v>0</v>
      </c>
      <c r="E342" s="54">
        <f>IF(B342=Variables!$D$8,C342-Variables!$E$8,IF(B342=Variables!$D$9,C342-Variables!$E$9,IF(B342=Variables!$D$10,C342-Variables!$E$10,IF(B342=Variables!$D$11,C342-Variables!$E$11,"ELSE"))))</f>
        <v>-0.76398220899470914</v>
      </c>
      <c r="F342" s="108">
        <f>VLOOKUP(ROW(F342)+4,'Water runs'!$CH$3:$CU$423,MATCH($B$1,Scenarios,0)+1)</f>
        <v>0</v>
      </c>
      <c r="G342" s="65">
        <f>H342/Variables!$E$49</f>
        <v>0.74809025699999732</v>
      </c>
      <c r="H342" s="62">
        <f>IF((H341+I342)&gt;(1.1*Variables!$E$50),(1.1*Variables!$E$50),IF((H341+I342)&gt;0,H341+I342,0))</f>
        <v>4.6381595933999833</v>
      </c>
      <c r="I342" s="64">
        <f t="shared" si="10"/>
        <v>0</v>
      </c>
      <c r="J342" s="63">
        <f>IF(SUM(E338:E341)&lt;Variables!$B$3,-H341,0)</f>
        <v>0</v>
      </c>
      <c r="K342" s="64">
        <f>IF(AND(H341&lt;Variables!$B$6*Variables!$E$50,OR(SUM(D339:D342)&gt;Variables!$B$5,SUM(E339:E342)&gt;Variables!$B$4)),Variables!$B$6*Variables!$E$50+Variables!$B$7*$G$1*Variables!$E$50*SUM(D339:D342),0)</f>
        <v>0</v>
      </c>
      <c r="L342" s="64">
        <f>IF(B342="Winter",Variables!$B$8*H341,0)</f>
        <v>0</v>
      </c>
      <c r="M342" s="64">
        <f>IF(AND(B342="Spring",AND(NOT(H341=0),H341&lt;(Variables!$B$9*Variables!$E$50))),(Variables!$B$10*Variables!$E$50+Variables!$B$11*Variables!$E$50*SUM(E339:E342)+$G$1*SUM(D341:D342)*Variables!$E$50*Variables!$B$12),0)</f>
        <v>0</v>
      </c>
      <c r="N342" s="64">
        <f>IF(AND(B342="Spring",AND(SUM(D339:D342)&gt;Variables!$B$13,SUM(D335:D338)&gt;Variables!$B$13)),-Variables!$B$14*Variables!$E$50,0)</f>
        <v>0</v>
      </c>
      <c r="O342" s="64">
        <f>IF(AND(B342="Summer",SUM(C338:D342)&gt;Variables!$B$15),(Variables!$B$16*Variables!$E$50*SUM(C338:C342)+$G$1*Variables!$B$16*Variables!$E$50*SUM(D338:D342)+$G$1*Variables!$E$50*Variables!$B$17*F342),0)</f>
        <v>0</v>
      </c>
      <c r="P342" s="64">
        <f>IF(AND(AND(B342="Autumn",SUM(D341:E342)&gt;0),NOT(H341=0)),Variables!$B$18*Variables!$E$50+Variables!$B$19*Variables!$E$50*SUM(E341:E342)+$G$1*Variables!$B$19*Variables!$E$50*SUM(D341:D342),0)</f>
        <v>0</v>
      </c>
      <c r="Q342" s="64">
        <f>IF(AND(B342="Autumn",AND((E342+E341)&lt;Variables!$B$20,(D341+D342)=0)),-Variables!$B$21*Variables!$E$50,0)</f>
        <v>0</v>
      </c>
      <c r="R342" s="64">
        <f>IF(B342="Autumn",(SUM(F341:F342)*$G$1*Variables!$B$22*Variables!$E$50),0)</f>
        <v>0</v>
      </c>
      <c r="S342" s="64">
        <f>IF(B342="Spring",($G$1*Variables!$E$50*SUM('Guts (option 2)'!F341:F342)*Variables!$B$23),0)</f>
        <v>0</v>
      </c>
      <c r="T342" s="63">
        <f>IF((H341+SUM(J342:Q342))&lt;(Variables!$B$26*Variables!$E$50),$F$1*((Variables!$B$26*Variables!$E$50)-H341-SUM(J342:Q342)),0)</f>
        <v>0</v>
      </c>
      <c r="U342" s="64">
        <f>IF(AND(AND(B342="Autumn",SUM(D339:E342)&gt;Variables!$B$27),SUM(J342:Q342)&lt;Variables!$B$28*H341),$F$1*(Variables!$B$28*H341-SUM(J342:Q342)),0)</f>
        <v>0</v>
      </c>
      <c r="V342" s="96">
        <f>IF(AND((J342+K342)=0,(Q342+T342)=0),$H$1*H342*Variables!$I$23*0.25,0)</f>
        <v>29.792677029585562</v>
      </c>
      <c r="W342" s="97">
        <f>IF(AND((K342+J342)=0,(T342+Q342)=0),$I$1*H342*Variables!$Q$23*0.25,0)</f>
        <v>31.185052539524232</v>
      </c>
      <c r="X342" s="95">
        <f>IF(AND(NOT(K342=0),(H342-H341)&gt;0),(H342-H341)*(Variables!$M$5*$H$1+Variables!$U$5*$I$1),0)+IF(AND(NOT((J342+N342+Q342)=0),(H341-H342)&gt;0),(H341-H342)*(Variables!$M$4*$H$1+Variables!$U$4*$I$1),0)</f>
        <v>0</v>
      </c>
      <c r="Y342" s="95">
        <f>IF(SUM(T342,U341:U342)&gt;0,H342*Variables!$Y$11*0.25*(1-$J$1),0)</f>
        <v>0</v>
      </c>
      <c r="Z342" s="95">
        <f>IF(T342=0,H342*$J$1*Variables!$Y$5*0.25,0)</f>
        <v>10.049345785699963</v>
      </c>
      <c r="AA342" s="95">
        <f t="shared" si="11"/>
        <v>71.027075354809767</v>
      </c>
      <c r="AB342" s="91">
        <f>AA342/Variables!$E$49</f>
        <v>11.455979895937059</v>
      </c>
    </row>
    <row r="343" spans="1:28" x14ac:dyDescent="0.25">
      <c r="A343" s="61">
        <f>'Water runs'!C350</f>
        <v>33297</v>
      </c>
      <c r="B343" s="61" t="str">
        <f>'Water runs'!B350</f>
        <v>Summer</v>
      </c>
      <c r="C343" s="54">
        <f>'Water runs'!D350/100</f>
        <v>1.4981249999999999</v>
      </c>
      <c r="D343" s="108">
        <f>VLOOKUP(ROW(D343)+4,'Water runs'!$BS$3:$CF$423,MATCH($B$1,Scenarios,0)+1)</f>
        <v>1.7734107158409805E-2</v>
      </c>
      <c r="E343" s="54">
        <f>IF(B343=Variables!$D$8,C343-Variables!$E$8,IF(B343=Variables!$D$9,C343-Variables!$E$9,IF(B343=Variables!$D$10,C343-Variables!$E$10,IF(B343=Variables!$D$11,C343-Variables!$E$11,"ELSE"))))</f>
        <v>0.23975486394557821</v>
      </c>
      <c r="F343" s="108">
        <f>VLOOKUP(ROW(F343)+4,'Water runs'!$CH$3:$CU$423,MATCH($B$1,Scenarios,0)+1)</f>
        <v>0</v>
      </c>
      <c r="G343" s="65">
        <f>H343/Variables!$E$49</f>
        <v>1.1238755745431603</v>
      </c>
      <c r="H343" s="62">
        <f>IF((H342+I343)&gt;(1.1*Variables!$E$50),(1.1*Variables!$E$50),IF((H342+I343)&gt;0,H342+I343,0))</f>
        <v>6.9680285621675946</v>
      </c>
      <c r="I343" s="64">
        <f t="shared" si="10"/>
        <v>2.3298689687676113</v>
      </c>
      <c r="J343" s="63">
        <f>IF(SUM(E339:E342)&lt;Variables!$B$3,-H342,0)</f>
        <v>0</v>
      </c>
      <c r="K343" s="64">
        <f>IF(AND(H342&lt;Variables!$B$6*Variables!$E$50,OR(SUM(D340:D343)&gt;Variables!$B$5,SUM(E340:E343)&gt;Variables!$B$4)),Variables!$B$6*Variables!$E$50+Variables!$B$7*$G$1*Variables!$E$50*SUM(D340:D343),0)</f>
        <v>0</v>
      </c>
      <c r="L343" s="64">
        <f>IF(B343="Winter",Variables!$B$8*H342,0)</f>
        <v>0</v>
      </c>
      <c r="M343" s="64">
        <f>IF(AND(B343="Spring",AND(NOT(H342=0),H342&lt;(Variables!$B$9*Variables!$E$50))),(Variables!$B$10*Variables!$E$50+Variables!$B$11*Variables!$E$50*SUM(E340:E343)+$G$1*SUM(D342:D343)*Variables!$E$50*Variables!$B$12),0)</f>
        <v>0</v>
      </c>
      <c r="N343" s="64">
        <f>IF(AND(B343="Spring",AND(SUM(D340:D343)&gt;Variables!$B$13,SUM(D336:D339)&gt;Variables!$B$13)),-Variables!$B$14*Variables!$E$50,0)</f>
        <v>0</v>
      </c>
      <c r="O343" s="64">
        <f>IF(AND(B343="Summer",SUM(C339:D343)&gt;Variables!$B$15),(Variables!$B$16*Variables!$E$50*SUM(C339:C343)+$G$1*Variables!$B$16*Variables!$E$50*SUM(D339:D343)+$G$1*Variables!$E$50*Variables!$B$17*F343),0)</f>
        <v>2.3298689687676113</v>
      </c>
      <c r="P343" s="64">
        <f>IF(AND(AND(B343="Autumn",SUM(D342:E343)&gt;0),NOT(H342=0)),Variables!$B$18*Variables!$E$50+Variables!$B$19*Variables!$E$50*SUM(E342:E343)+$G$1*Variables!$B$19*Variables!$E$50*SUM(D342:D343),0)</f>
        <v>0</v>
      </c>
      <c r="Q343" s="64">
        <f>IF(AND(B343="Autumn",AND((E343+E342)&lt;Variables!$B$20,(D342+D343)=0)),-Variables!$B$21*Variables!$E$50,0)</f>
        <v>0</v>
      </c>
      <c r="R343" s="64">
        <f>IF(B343="Autumn",(SUM(F342:F343)*$G$1*Variables!$B$22*Variables!$E$50),0)</f>
        <v>0</v>
      </c>
      <c r="S343" s="64">
        <f>IF(B343="Spring",($G$1*Variables!$E$50*SUM('Guts (option 2)'!F342:F343)*Variables!$B$23),0)</f>
        <v>0</v>
      </c>
      <c r="T343" s="63">
        <f>IF((H342+SUM(J343:Q343))&lt;(Variables!$B$26*Variables!$E$50),$F$1*((Variables!$B$26*Variables!$E$50)-H342-SUM(J343:Q343)),0)</f>
        <v>0</v>
      </c>
      <c r="U343" s="64">
        <f>IF(AND(AND(B343="Autumn",SUM(D340:E343)&gt;Variables!$B$27),SUM(J343:Q343)&lt;Variables!$B$28*H342),$F$1*(Variables!$B$28*H342-SUM(J343:Q343)),0)</f>
        <v>0</v>
      </c>
      <c r="V343" s="96">
        <f>IF(AND((J343+K343)=0,(Q343+T343)=0),$H$1*H343*Variables!$I$23*0.25,0)</f>
        <v>44.758318532417952</v>
      </c>
      <c r="W343" s="97">
        <f>IF(AND((K343+J343)=0,(T343+Q343)=0),$I$1*H343*Variables!$Q$23*0.25,0)</f>
        <v>46.850120706780658</v>
      </c>
      <c r="X343" s="95">
        <f>IF(AND(NOT(K343=0),(H343-H342)&gt;0),(H343-H342)*(Variables!$M$5*$H$1+Variables!$U$5*$I$1),0)+IF(AND(NOT((J343+N343+Q343)=0),(H342-H343)&gt;0),(H342-H343)*(Variables!$M$4*$H$1+Variables!$U$4*$I$1),0)</f>
        <v>0</v>
      </c>
      <c r="Y343" s="95">
        <f>IF(SUM(T343,U342:U343)&gt;0,H343*Variables!$Y$11*0.25*(1-$J$1),0)</f>
        <v>0</v>
      </c>
      <c r="Z343" s="95">
        <f>IF(T343=0,H343*$J$1*Variables!$Y$5*0.25,0)</f>
        <v>15.097395218029787</v>
      </c>
      <c r="AA343" s="95">
        <f t="shared" si="11"/>
        <v>106.70583445722841</v>
      </c>
      <c r="AB343" s="91">
        <f>AA343/Variables!$E$49</f>
        <v>17.210618460843289</v>
      </c>
    </row>
    <row r="344" spans="1:28" x14ac:dyDescent="0.25">
      <c r="A344" s="61">
        <f>'Water runs'!C351</f>
        <v>33389</v>
      </c>
      <c r="B344" s="61" t="str">
        <f>'Water runs'!B351</f>
        <v>Autumn</v>
      </c>
      <c r="C344" s="54">
        <f>'Water runs'!D351/100</f>
        <v>0.25524999999999998</v>
      </c>
      <c r="D344" s="108">
        <f>VLOOKUP(ROW(D344)+4,'Water runs'!$BS$3:$CF$423,MATCH($B$1,Scenarios,0)+1)</f>
        <v>2.7183904860687735E-2</v>
      </c>
      <c r="E344" s="54">
        <f>IF(B344=Variables!$D$8,C344-Variables!$E$8,IF(B344=Variables!$D$9,C344-Variables!$E$9,IF(B344=Variables!$D$10,C344-Variables!$E$10,IF(B344=Variables!$D$11,C344-Variables!$E$11,"ELSE"))))</f>
        <v>-0.73939329931972786</v>
      </c>
      <c r="F344" s="108">
        <f>VLOOKUP(ROW(F344)+4,'Water runs'!$CH$3:$CU$423,MATCH($B$1,Scenarios,0)+1)</f>
        <v>0</v>
      </c>
      <c r="G344" s="65">
        <f>H344/Variables!$E$49</f>
        <v>1.1238755745431603</v>
      </c>
      <c r="H344" s="62">
        <f>IF((H343+I344)&gt;(1.1*Variables!$E$50),(1.1*Variables!$E$50),IF((H343+I344)&gt;0,H343+I344,0))</f>
        <v>6.9680285621675946</v>
      </c>
      <c r="I344" s="64">
        <f t="shared" si="10"/>
        <v>0</v>
      </c>
      <c r="J344" s="63">
        <f>IF(SUM(E340:E343)&lt;Variables!$B$3,-H343,0)</f>
        <v>0</v>
      </c>
      <c r="K344" s="64">
        <f>IF(AND(H343&lt;Variables!$B$6*Variables!$E$50,OR(SUM(D341:D344)&gt;Variables!$B$5,SUM(E341:E344)&gt;Variables!$B$4)),Variables!$B$6*Variables!$E$50+Variables!$B$7*$G$1*Variables!$E$50*SUM(D341:D344),0)</f>
        <v>0</v>
      </c>
      <c r="L344" s="64">
        <f>IF(B344="Winter",Variables!$B$8*H343,0)</f>
        <v>0</v>
      </c>
      <c r="M344" s="64">
        <f>IF(AND(B344="Spring",AND(NOT(H343=0),H343&lt;(Variables!$B$9*Variables!$E$50))),(Variables!$B$10*Variables!$E$50+Variables!$B$11*Variables!$E$50*SUM(E341:E344)+$G$1*SUM(D343:D344)*Variables!$E$50*Variables!$B$12),0)</f>
        <v>0</v>
      </c>
      <c r="N344" s="64">
        <f>IF(AND(B344="Spring",AND(SUM(D341:D344)&gt;Variables!$B$13,SUM(D337:D340)&gt;Variables!$B$13)),-Variables!$B$14*Variables!$E$50,0)</f>
        <v>0</v>
      </c>
      <c r="O344" s="64">
        <f>IF(AND(B344="Summer",SUM(C340:D344)&gt;Variables!$B$15),(Variables!$B$16*Variables!$E$50*SUM(C340:C344)+$G$1*Variables!$B$16*Variables!$E$50*SUM(D340:D344)+$G$1*Variables!$E$50*Variables!$B$17*F344),0)</f>
        <v>0</v>
      </c>
      <c r="P344" s="64">
        <f>IF(AND(AND(B344="Autumn",SUM(D343:E344)&gt;0),NOT(H343=0)),Variables!$B$18*Variables!$E$50+Variables!$B$19*Variables!$E$50*SUM(E343:E344)+$G$1*Variables!$B$19*Variables!$E$50*SUM(D343:D344),0)</f>
        <v>0</v>
      </c>
      <c r="Q344" s="64">
        <f>IF(AND(B344="Autumn",AND((E344+E343)&lt;Variables!$B$20,(D343+D344)=0)),-Variables!$B$21*Variables!$E$50,0)</f>
        <v>0</v>
      </c>
      <c r="R344" s="64">
        <f>IF(B344="Autumn",(SUM(F343:F344)*$G$1*Variables!$B$22*Variables!$E$50),0)</f>
        <v>0</v>
      </c>
      <c r="S344" s="64">
        <f>IF(B344="Spring",($G$1*Variables!$E$50*SUM('Guts (option 2)'!F343:F344)*Variables!$B$23),0)</f>
        <v>0</v>
      </c>
      <c r="T344" s="63">
        <f>IF((H343+SUM(J344:Q344))&lt;(Variables!$B$26*Variables!$E$50),$F$1*((Variables!$B$26*Variables!$E$50)-H343-SUM(J344:Q344)),0)</f>
        <v>0</v>
      </c>
      <c r="U344" s="64">
        <f>IF(AND(AND(B344="Autumn",SUM(D341:E344)&gt;Variables!$B$27),SUM(J344:Q344)&lt;Variables!$B$28*H343),$F$1*(Variables!$B$28*H343-SUM(J344:Q344)),0)</f>
        <v>0</v>
      </c>
      <c r="V344" s="96">
        <f>IF(AND((J344+K344)=0,(Q344+T344)=0),$H$1*H344*Variables!$I$23*0.25,0)</f>
        <v>44.758318532417952</v>
      </c>
      <c r="W344" s="97">
        <f>IF(AND((K344+J344)=0,(T344+Q344)=0),$I$1*H344*Variables!$Q$23*0.25,0)</f>
        <v>46.850120706780658</v>
      </c>
      <c r="X344" s="95">
        <f>IF(AND(NOT(K344=0),(H344-H343)&gt;0),(H344-H343)*(Variables!$M$5*$H$1+Variables!$U$5*$I$1),0)+IF(AND(NOT((J344+N344+Q344)=0),(H343-H344)&gt;0),(H343-H344)*(Variables!$M$4*$H$1+Variables!$U$4*$I$1),0)</f>
        <v>0</v>
      </c>
      <c r="Y344" s="95">
        <f>IF(SUM(T344,U343:U344)&gt;0,H344*Variables!$Y$11*0.25*(1-$J$1),0)</f>
        <v>0</v>
      </c>
      <c r="Z344" s="95">
        <f>IF(T344=0,H344*$J$1*Variables!$Y$5*0.25,0)</f>
        <v>15.097395218029787</v>
      </c>
      <c r="AA344" s="95">
        <f t="shared" si="11"/>
        <v>106.70583445722841</v>
      </c>
      <c r="AB344" s="91">
        <f>AA344/Variables!$E$49</f>
        <v>17.210618460843289</v>
      </c>
    </row>
    <row r="345" spans="1:28" x14ac:dyDescent="0.25">
      <c r="A345" s="61">
        <f>'Water runs'!C352</f>
        <v>33481</v>
      </c>
      <c r="B345" s="61" t="str">
        <f>'Water runs'!B352</f>
        <v>Winter</v>
      </c>
      <c r="C345" s="54">
        <f>'Water runs'!D352/100</f>
        <v>0.16675000000000001</v>
      </c>
      <c r="D345" s="108">
        <f>VLOOKUP(ROW(D345)+4,'Water runs'!$BS$3:$CF$423,MATCH($B$1,Scenarios,0)+1)</f>
        <v>0</v>
      </c>
      <c r="E345" s="54">
        <f>IF(B345=Variables!$D$8,C345-Variables!$E$8,IF(B345=Variables!$D$9,C345-Variables!$E$9,IF(B345=Variables!$D$10,C345-Variables!$E$10,IF(B345=Variables!$D$11,C345-Variables!$E$11,"ELSE"))))</f>
        <v>-0.40501762566137572</v>
      </c>
      <c r="F345" s="108">
        <f>VLOOKUP(ROW(F345)+4,'Water runs'!$CH$3:$CU$423,MATCH($B$1,Scenarios,0)+1)</f>
        <v>0</v>
      </c>
      <c r="G345" s="65">
        <f>H345/Variables!$E$49</f>
        <v>0.5642470747271916</v>
      </c>
      <c r="H345" s="62">
        <f>IF((H344+I345)&gt;(1.1*Variables!$E$50),(1.1*Variables!$E$50),IF((H344+I345)&gt;0,H344+I345,0))</f>
        <v>3.498331863308588</v>
      </c>
      <c r="I345" s="64">
        <f t="shared" si="10"/>
        <v>-3.4696966988590066</v>
      </c>
      <c r="J345" s="63">
        <f>IF(SUM(E341:E344)&lt;Variables!$B$3,-H344,0)</f>
        <v>0</v>
      </c>
      <c r="K345" s="64">
        <f>IF(AND(H344&lt;Variables!$B$6*Variables!$E$50,OR(SUM(D342:D345)&gt;Variables!$B$5,SUM(E342:E345)&gt;Variables!$B$4)),Variables!$B$6*Variables!$E$50+Variables!$B$7*$G$1*Variables!$E$50*SUM(D342:D345),0)</f>
        <v>0</v>
      </c>
      <c r="L345" s="64">
        <f>IF(B345="Winter",Variables!$B$8*H344,0)</f>
        <v>-3.4696966988590066</v>
      </c>
      <c r="M345" s="64">
        <f>IF(AND(B345="Spring",AND(NOT(H344=0),H344&lt;(Variables!$B$9*Variables!$E$50))),(Variables!$B$10*Variables!$E$50+Variables!$B$11*Variables!$E$50*SUM(E342:E345)+$G$1*SUM(D344:D345)*Variables!$E$50*Variables!$B$12),0)</f>
        <v>0</v>
      </c>
      <c r="N345" s="64">
        <f>IF(AND(B345="Spring",AND(SUM(D342:D345)&gt;Variables!$B$13,SUM(D338:D341)&gt;Variables!$B$13)),-Variables!$B$14*Variables!$E$50,0)</f>
        <v>0</v>
      </c>
      <c r="O345" s="64">
        <f>IF(AND(B345="Summer",SUM(C341:D345)&gt;Variables!$B$15),(Variables!$B$16*Variables!$E$50*SUM(C341:C345)+$G$1*Variables!$B$16*Variables!$E$50*SUM(D341:D345)+$G$1*Variables!$E$50*Variables!$B$17*F345),0)</f>
        <v>0</v>
      </c>
      <c r="P345" s="64">
        <f>IF(AND(AND(B345="Autumn",SUM(D344:E345)&gt;0),NOT(H344=0)),Variables!$B$18*Variables!$E$50+Variables!$B$19*Variables!$E$50*SUM(E344:E345)+$G$1*Variables!$B$19*Variables!$E$50*SUM(D344:D345),0)</f>
        <v>0</v>
      </c>
      <c r="Q345" s="64">
        <f>IF(AND(B345="Autumn",AND((E345+E344)&lt;Variables!$B$20,(D344+D345)=0)),-Variables!$B$21*Variables!$E$50,0)</f>
        <v>0</v>
      </c>
      <c r="R345" s="64">
        <f>IF(B345="Autumn",(SUM(F344:F345)*$G$1*Variables!$B$22*Variables!$E$50),0)</f>
        <v>0</v>
      </c>
      <c r="S345" s="64">
        <f>IF(B345="Spring",($G$1*Variables!$E$50*SUM('Guts (option 2)'!F344:F345)*Variables!$B$23),0)</f>
        <v>0</v>
      </c>
      <c r="T345" s="63">
        <f>IF((H344+SUM(J345:Q345))&lt;(Variables!$B$26*Variables!$E$50),$F$1*((Variables!$B$26*Variables!$E$50)-H344-SUM(J345:Q345)),0)</f>
        <v>0</v>
      </c>
      <c r="U345" s="64">
        <f>IF(AND(AND(B345="Autumn",SUM(D342:E345)&gt;Variables!$B$27),SUM(J345:Q345)&lt;Variables!$B$28*H344),$F$1*(Variables!$B$28*H344-SUM(J345:Q345)),0)</f>
        <v>0</v>
      </c>
      <c r="V345" s="96">
        <f>IF(AND((J345+K345)=0,(Q345+T345)=0),$H$1*H345*Variables!$I$23*0.25,0)</f>
        <v>22.471126585245329</v>
      </c>
      <c r="W345" s="97">
        <f>IF(AND((K345+J345)=0,(T345+Q345)=0),$I$1*H345*Variables!$Q$23*0.25,0)</f>
        <v>23.521325810610566</v>
      </c>
      <c r="X345" s="95">
        <f>IF(AND(NOT(K345=0),(H345-H344)&gt;0),(H345-H344)*(Variables!$M$5*$H$1+Variables!$U$5*$I$1),0)+IF(AND(NOT((J345+N345+Q345)=0),(H344-H345)&gt;0),(H344-H345)*(Variables!$M$4*$H$1+Variables!$U$4*$I$1),0)</f>
        <v>0</v>
      </c>
      <c r="Y345" s="95">
        <f>IF(SUM(T345,U344:U345)&gt;0,H345*Variables!$Y$11*0.25*(1-$J$1),0)</f>
        <v>0</v>
      </c>
      <c r="Z345" s="95">
        <f>IF(T345=0,H345*$J$1*Variables!$Y$5*0.25,0)</f>
        <v>7.5797190371686076</v>
      </c>
      <c r="AA345" s="95">
        <f t="shared" si="11"/>
        <v>53.572171433024501</v>
      </c>
      <c r="AB345" s="91">
        <f>AA345/Variables!$E$49</f>
        <v>8.6406728117781455</v>
      </c>
    </row>
    <row r="346" spans="1:28" x14ac:dyDescent="0.25">
      <c r="A346" s="61">
        <f>'Water runs'!C353</f>
        <v>33572</v>
      </c>
      <c r="B346" s="61" t="str">
        <f>'Water runs'!B353</f>
        <v>Spring</v>
      </c>
      <c r="C346" s="54">
        <f>'Water runs'!D353/100</f>
        <v>0.24887499999999999</v>
      </c>
      <c r="D346" s="108">
        <f>VLOOKUP(ROW(D346)+4,'Water runs'!$BS$3:$CF$423,MATCH($B$1,Scenarios,0)+1)</f>
        <v>0</v>
      </c>
      <c r="E346" s="54">
        <f>IF(B346=Variables!$D$8,C346-Variables!$E$8,IF(B346=Variables!$D$9,C346-Variables!$E$9,IF(B346=Variables!$D$10,C346-Variables!$E$10,IF(B346=Variables!$D$11,C346-Variables!$E$11,"ELSE"))))</f>
        <v>-0.51510720899470919</v>
      </c>
      <c r="F346" s="108">
        <f>VLOOKUP(ROW(F346)+4,'Water runs'!$CH$3:$CU$423,MATCH($B$1,Scenarios,0)+1)</f>
        <v>0</v>
      </c>
      <c r="G346" s="65">
        <f>H346/Variables!$E$49</f>
        <v>0.5642470747271916</v>
      </c>
      <c r="H346" s="62">
        <f>IF((H345+I346)&gt;(1.1*Variables!$E$50),(1.1*Variables!$E$50),IF((H345+I346)&gt;0,H345+I346,0))</f>
        <v>3.498331863308588</v>
      </c>
      <c r="I346" s="64">
        <f t="shared" si="10"/>
        <v>0</v>
      </c>
      <c r="J346" s="63">
        <f>IF(SUM(E342:E345)&lt;Variables!$B$3,-H345,0)</f>
        <v>0</v>
      </c>
      <c r="K346" s="64">
        <f>IF(AND(H345&lt;Variables!$B$6*Variables!$E$50,OR(SUM(D343:D346)&gt;Variables!$B$5,SUM(E343:E346)&gt;Variables!$B$4)),Variables!$B$6*Variables!$E$50+Variables!$B$7*$G$1*Variables!$E$50*SUM(D343:D346),0)</f>
        <v>0</v>
      </c>
      <c r="L346" s="64">
        <f>IF(B346="Winter",Variables!$B$8*H345,0)</f>
        <v>0</v>
      </c>
      <c r="M346" s="64">
        <f>IF(AND(B346="Spring",AND(NOT(H345=0),H345&lt;(Variables!$B$9*Variables!$E$50))),(Variables!$B$10*Variables!$E$50+Variables!$B$11*Variables!$E$50*SUM(E343:E346)+$G$1*SUM(D345:D346)*Variables!$E$50*Variables!$B$12),0)</f>
        <v>0</v>
      </c>
      <c r="N346" s="64">
        <f>IF(AND(B346="Spring",AND(SUM(D343:D346)&gt;Variables!$B$13,SUM(D339:D342)&gt;Variables!$B$13)),-Variables!$B$14*Variables!$E$50,0)</f>
        <v>0</v>
      </c>
      <c r="O346" s="64">
        <f>IF(AND(B346="Summer",SUM(C342:D346)&gt;Variables!$B$15),(Variables!$B$16*Variables!$E$50*SUM(C342:C346)+$G$1*Variables!$B$16*Variables!$E$50*SUM(D342:D346)+$G$1*Variables!$E$50*Variables!$B$17*F346),0)</f>
        <v>0</v>
      </c>
      <c r="P346" s="64">
        <f>IF(AND(AND(B346="Autumn",SUM(D345:E346)&gt;0),NOT(H345=0)),Variables!$B$18*Variables!$E$50+Variables!$B$19*Variables!$E$50*SUM(E345:E346)+$G$1*Variables!$B$19*Variables!$E$50*SUM(D345:D346),0)</f>
        <v>0</v>
      </c>
      <c r="Q346" s="64">
        <f>IF(AND(B346="Autumn",AND((E346+E345)&lt;Variables!$B$20,(D345+D346)=0)),-Variables!$B$21*Variables!$E$50,0)</f>
        <v>0</v>
      </c>
      <c r="R346" s="64">
        <f>IF(B346="Autumn",(SUM(F345:F346)*$G$1*Variables!$B$22*Variables!$E$50),0)</f>
        <v>0</v>
      </c>
      <c r="S346" s="64">
        <f>IF(B346="Spring",($G$1*Variables!$E$50*SUM('Guts (option 2)'!F345:F346)*Variables!$B$23),0)</f>
        <v>0</v>
      </c>
      <c r="T346" s="63">
        <f>IF((H345+SUM(J346:Q346))&lt;(Variables!$B$26*Variables!$E$50),$F$1*((Variables!$B$26*Variables!$E$50)-H345-SUM(J346:Q346)),0)</f>
        <v>0</v>
      </c>
      <c r="U346" s="64">
        <f>IF(AND(AND(B346="Autumn",SUM(D343:E346)&gt;Variables!$B$27),SUM(J346:Q346)&lt;Variables!$B$28*H345),$F$1*(Variables!$B$28*H345-SUM(J346:Q346)),0)</f>
        <v>0</v>
      </c>
      <c r="V346" s="96">
        <f>IF(AND((J346+K346)=0,(Q346+T346)=0),$H$1*H346*Variables!$I$23*0.25,0)</f>
        <v>22.471126585245329</v>
      </c>
      <c r="W346" s="97">
        <f>IF(AND((K346+J346)=0,(T346+Q346)=0),$I$1*H346*Variables!$Q$23*0.25,0)</f>
        <v>23.521325810610566</v>
      </c>
      <c r="X346" s="95">
        <f>IF(AND(NOT(K346=0),(H346-H345)&gt;0),(H346-H345)*(Variables!$M$5*$H$1+Variables!$U$5*$I$1),0)+IF(AND(NOT((J346+N346+Q346)=0),(H345-H346)&gt;0),(H345-H346)*(Variables!$M$4*$H$1+Variables!$U$4*$I$1),0)</f>
        <v>0</v>
      </c>
      <c r="Y346" s="95">
        <f>IF(SUM(T346,U345:U346)&gt;0,H346*Variables!$Y$11*0.25*(1-$J$1),0)</f>
        <v>0</v>
      </c>
      <c r="Z346" s="95">
        <f>IF(T346=0,H346*$J$1*Variables!$Y$5*0.25,0)</f>
        <v>7.5797190371686076</v>
      </c>
      <c r="AA346" s="95">
        <f t="shared" si="11"/>
        <v>53.572171433024501</v>
      </c>
      <c r="AB346" s="91">
        <f>AA346/Variables!$E$49</f>
        <v>8.6406728117781455</v>
      </c>
    </row>
    <row r="347" spans="1:28" x14ac:dyDescent="0.25">
      <c r="A347" s="61">
        <f>'Water runs'!C354</f>
        <v>33662</v>
      </c>
      <c r="B347" s="61" t="str">
        <f>'Water runs'!B354</f>
        <v>Summer</v>
      </c>
      <c r="C347" s="54">
        <f>'Water runs'!D354/100</f>
        <v>1.2470000000000001</v>
      </c>
      <c r="D347" s="108">
        <f>VLOOKUP(ROW(D347)+4,'Water runs'!$BS$3:$CF$423,MATCH($B$1,Scenarios,0)+1)</f>
        <v>3.317524287603227E-4</v>
      </c>
      <c r="E347" s="54">
        <f>IF(B347=Variables!$D$8,C347-Variables!$E$8,IF(B347=Variables!$D$9,C347-Variables!$E$9,IF(B347=Variables!$D$10,C347-Variables!$E$10,IF(B347=Variables!$D$11,C347-Variables!$E$11,"ELSE"))))</f>
        <v>-1.1370136054421609E-2</v>
      </c>
      <c r="F347" s="108">
        <f>VLOOKUP(ROW(F347)+4,'Water runs'!$CH$3:$CU$423,MATCH($B$1,Scenarios,0)+1)</f>
        <v>0</v>
      </c>
      <c r="G347" s="65">
        <f>H347/Variables!$E$49</f>
        <v>0.5642470747271916</v>
      </c>
      <c r="H347" s="62">
        <f>IF((H346+I347)&gt;(1.1*Variables!$E$50),(1.1*Variables!$E$50),IF((H346+I347)&gt;0,H346+I347,0))</f>
        <v>3.498331863308588</v>
      </c>
      <c r="I347" s="64">
        <f t="shared" si="10"/>
        <v>0</v>
      </c>
      <c r="J347" s="63">
        <f>IF(SUM(E343:E346)&lt;Variables!$B$3,-H346,0)</f>
        <v>0</v>
      </c>
      <c r="K347" s="64">
        <f>IF(AND(H346&lt;Variables!$B$6*Variables!$E$50,OR(SUM(D344:D347)&gt;Variables!$B$5,SUM(E344:E347)&gt;Variables!$B$4)),Variables!$B$6*Variables!$E$50+Variables!$B$7*$G$1*Variables!$E$50*SUM(D344:D347),0)</f>
        <v>0</v>
      </c>
      <c r="L347" s="64">
        <f>IF(B347="Winter",Variables!$B$8*H346,0)</f>
        <v>0</v>
      </c>
      <c r="M347" s="64">
        <f>IF(AND(B347="Spring",AND(NOT(H346=0),H346&lt;(Variables!$B$9*Variables!$E$50))),(Variables!$B$10*Variables!$E$50+Variables!$B$11*Variables!$E$50*SUM(E344:E347)+$G$1*SUM(D346:D347)*Variables!$E$50*Variables!$B$12),0)</f>
        <v>0</v>
      </c>
      <c r="N347" s="64">
        <f>IF(AND(B347="Spring",AND(SUM(D344:D347)&gt;Variables!$B$13,SUM(D340:D343)&gt;Variables!$B$13)),-Variables!$B$14*Variables!$E$50,0)</f>
        <v>0</v>
      </c>
      <c r="O347" s="64">
        <f>IF(AND(B347="Summer",SUM(C343:D347)&gt;Variables!$B$15),(Variables!$B$16*Variables!$E$50*SUM(C343:C347)+$G$1*Variables!$B$16*Variables!$E$50*SUM(D343:D347)+$G$1*Variables!$E$50*Variables!$B$17*F347),0)</f>
        <v>0</v>
      </c>
      <c r="P347" s="64">
        <f>IF(AND(AND(B347="Autumn",SUM(D346:E347)&gt;0),NOT(H346=0)),Variables!$B$18*Variables!$E$50+Variables!$B$19*Variables!$E$50*SUM(E346:E347)+$G$1*Variables!$B$19*Variables!$E$50*SUM(D346:D347),0)</f>
        <v>0</v>
      </c>
      <c r="Q347" s="64">
        <f>IF(AND(B347="Autumn",AND((E347+E346)&lt;Variables!$B$20,(D346+D347)=0)),-Variables!$B$21*Variables!$E$50,0)</f>
        <v>0</v>
      </c>
      <c r="R347" s="64">
        <f>IF(B347="Autumn",(SUM(F346:F347)*$G$1*Variables!$B$22*Variables!$E$50),0)</f>
        <v>0</v>
      </c>
      <c r="S347" s="64">
        <f>IF(B347="Spring",($G$1*Variables!$E$50*SUM('Guts (option 2)'!F346:F347)*Variables!$B$23),0)</f>
        <v>0</v>
      </c>
      <c r="T347" s="63">
        <f>IF((H346+SUM(J347:Q347))&lt;(Variables!$B$26*Variables!$E$50),$F$1*((Variables!$B$26*Variables!$E$50)-H346-SUM(J347:Q347)),0)</f>
        <v>0</v>
      </c>
      <c r="U347" s="64">
        <f>IF(AND(AND(B347="Autumn",SUM(D344:E347)&gt;Variables!$B$27),SUM(J347:Q347)&lt;Variables!$B$28*H346),$F$1*(Variables!$B$28*H346-SUM(J347:Q347)),0)</f>
        <v>0</v>
      </c>
      <c r="V347" s="96">
        <f>IF(AND((J347+K347)=0,(Q347+T347)=0),$H$1*H347*Variables!$I$23*0.25,0)</f>
        <v>22.471126585245329</v>
      </c>
      <c r="W347" s="97">
        <f>IF(AND((K347+J347)=0,(T347+Q347)=0),$I$1*H347*Variables!$Q$23*0.25,0)</f>
        <v>23.521325810610566</v>
      </c>
      <c r="X347" s="95">
        <f>IF(AND(NOT(K347=0),(H347-H346)&gt;0),(H347-H346)*(Variables!$M$5*$H$1+Variables!$U$5*$I$1),0)+IF(AND(NOT((J347+N347+Q347)=0),(H346-H347)&gt;0),(H346-H347)*(Variables!$M$4*$H$1+Variables!$U$4*$I$1),0)</f>
        <v>0</v>
      </c>
      <c r="Y347" s="95">
        <f>IF(SUM(T347,U346:U347)&gt;0,H347*Variables!$Y$11*0.25*(1-$J$1),0)</f>
        <v>0</v>
      </c>
      <c r="Z347" s="95">
        <f>IF(T347=0,H347*$J$1*Variables!$Y$5*0.25,0)</f>
        <v>7.5797190371686076</v>
      </c>
      <c r="AA347" s="95">
        <f t="shared" si="11"/>
        <v>53.572171433024501</v>
      </c>
      <c r="AB347" s="91">
        <f>AA347/Variables!$E$49</f>
        <v>8.6406728117781455</v>
      </c>
    </row>
    <row r="348" spans="1:28" x14ac:dyDescent="0.25">
      <c r="A348" s="61">
        <f>'Water runs'!C355</f>
        <v>33755</v>
      </c>
      <c r="B348" s="61" t="str">
        <f>'Water runs'!B355</f>
        <v>Autumn</v>
      </c>
      <c r="C348" s="54">
        <f>'Water runs'!D355/100</f>
        <v>0.29575000000000001</v>
      </c>
      <c r="D348" s="108">
        <f>VLOOKUP(ROW(D348)+4,'Water runs'!$BS$3:$CF$423,MATCH($B$1,Scenarios,0)+1)</f>
        <v>0</v>
      </c>
      <c r="E348" s="54">
        <f>IF(B348=Variables!$D$8,C348-Variables!$E$8,IF(B348=Variables!$D$9,C348-Variables!$E$9,IF(B348=Variables!$D$10,C348-Variables!$E$10,IF(B348=Variables!$D$11,C348-Variables!$E$11,"ELSE"))))</f>
        <v>-0.69889329931972788</v>
      </c>
      <c r="F348" s="108">
        <f>VLOOKUP(ROW(F348)+4,'Water runs'!$CH$3:$CU$423,MATCH($B$1,Scenarios,0)+1)</f>
        <v>0</v>
      </c>
      <c r="G348" s="65">
        <f>H348/Variables!$E$49</f>
        <v>0.5642470747271916</v>
      </c>
      <c r="H348" s="62">
        <f>IF((H347+I348)&gt;(1.1*Variables!$E$50),(1.1*Variables!$E$50),IF((H347+I348)&gt;0,H347+I348,0))</f>
        <v>3.498331863308588</v>
      </c>
      <c r="I348" s="64">
        <f t="shared" si="10"/>
        <v>0</v>
      </c>
      <c r="J348" s="63">
        <f>IF(SUM(E344:E347)&lt;Variables!$B$3,-H347,0)</f>
        <v>0</v>
      </c>
      <c r="K348" s="64">
        <f>IF(AND(H347&lt;Variables!$B$6*Variables!$E$50,OR(SUM(D345:D348)&gt;Variables!$B$5,SUM(E345:E348)&gt;Variables!$B$4)),Variables!$B$6*Variables!$E$50+Variables!$B$7*$G$1*Variables!$E$50*SUM(D345:D348),0)</f>
        <v>0</v>
      </c>
      <c r="L348" s="64">
        <f>IF(B348="Winter",Variables!$B$8*H347,0)</f>
        <v>0</v>
      </c>
      <c r="M348" s="64">
        <f>IF(AND(B348="Spring",AND(NOT(H347=0),H347&lt;(Variables!$B$9*Variables!$E$50))),(Variables!$B$10*Variables!$E$50+Variables!$B$11*Variables!$E$50*SUM(E345:E348)+$G$1*SUM(D347:D348)*Variables!$E$50*Variables!$B$12),0)</f>
        <v>0</v>
      </c>
      <c r="N348" s="64">
        <f>IF(AND(B348="Spring",AND(SUM(D345:D348)&gt;Variables!$B$13,SUM(D341:D344)&gt;Variables!$B$13)),-Variables!$B$14*Variables!$E$50,0)</f>
        <v>0</v>
      </c>
      <c r="O348" s="64">
        <f>IF(AND(B348="Summer",SUM(C344:D348)&gt;Variables!$B$15),(Variables!$B$16*Variables!$E$50*SUM(C344:C348)+$G$1*Variables!$B$16*Variables!$E$50*SUM(D344:D348)+$G$1*Variables!$E$50*Variables!$B$17*F348),0)</f>
        <v>0</v>
      </c>
      <c r="P348" s="64">
        <f>IF(AND(AND(B348="Autumn",SUM(D347:E348)&gt;0),NOT(H347=0)),Variables!$B$18*Variables!$E$50+Variables!$B$19*Variables!$E$50*SUM(E347:E348)+$G$1*Variables!$B$19*Variables!$E$50*SUM(D347:D348),0)</f>
        <v>0</v>
      </c>
      <c r="Q348" s="64">
        <f>IF(AND(B348="Autumn",AND((E348+E347)&lt;Variables!$B$20,(D347+D348)=0)),-Variables!$B$21*Variables!$E$50,0)</f>
        <v>0</v>
      </c>
      <c r="R348" s="64">
        <f>IF(B348="Autumn",(SUM(F347:F348)*$G$1*Variables!$B$22*Variables!$E$50),0)</f>
        <v>0</v>
      </c>
      <c r="S348" s="64">
        <f>IF(B348="Spring",($G$1*Variables!$E$50*SUM('Guts (option 2)'!F347:F348)*Variables!$B$23),0)</f>
        <v>0</v>
      </c>
      <c r="T348" s="63">
        <f>IF((H347+SUM(J348:Q348))&lt;(Variables!$B$26*Variables!$E$50),$F$1*((Variables!$B$26*Variables!$E$50)-H347-SUM(J348:Q348)),0)</f>
        <v>0</v>
      </c>
      <c r="U348" s="64">
        <f>IF(AND(AND(B348="Autumn",SUM(D345:E348)&gt;Variables!$B$27),SUM(J348:Q348)&lt;Variables!$B$28*H347),$F$1*(Variables!$B$28*H347-SUM(J348:Q348)),0)</f>
        <v>0</v>
      </c>
      <c r="V348" s="96">
        <f>IF(AND((J348+K348)=0,(Q348+T348)=0),$H$1*H348*Variables!$I$23*0.25,0)</f>
        <v>22.471126585245329</v>
      </c>
      <c r="W348" s="97">
        <f>IF(AND((K348+J348)=0,(T348+Q348)=0),$I$1*H348*Variables!$Q$23*0.25,0)</f>
        <v>23.521325810610566</v>
      </c>
      <c r="X348" s="95">
        <f>IF(AND(NOT(K348=0),(H348-H347)&gt;0),(H348-H347)*(Variables!$M$5*$H$1+Variables!$U$5*$I$1),0)+IF(AND(NOT((J348+N348+Q348)=0),(H347-H348)&gt;0),(H347-H348)*(Variables!$M$4*$H$1+Variables!$U$4*$I$1),0)</f>
        <v>0</v>
      </c>
      <c r="Y348" s="95">
        <f>IF(SUM(T348,U347:U348)&gt;0,H348*Variables!$Y$11*0.25*(1-$J$1),0)</f>
        <v>0</v>
      </c>
      <c r="Z348" s="95">
        <f>IF(T348=0,H348*$J$1*Variables!$Y$5*0.25,0)</f>
        <v>7.5797190371686076</v>
      </c>
      <c r="AA348" s="95">
        <f t="shared" si="11"/>
        <v>53.572171433024501</v>
      </c>
      <c r="AB348" s="91">
        <f>AA348/Variables!$E$49</f>
        <v>8.6406728117781455</v>
      </c>
    </row>
    <row r="349" spans="1:28" x14ac:dyDescent="0.25">
      <c r="A349" s="61">
        <f>'Water runs'!C356</f>
        <v>33847</v>
      </c>
      <c r="B349" s="61" t="str">
        <f>'Water runs'!B356</f>
        <v>Winter</v>
      </c>
      <c r="C349" s="54">
        <f>'Water runs'!D356/100</f>
        <v>0.51787499999999997</v>
      </c>
      <c r="D349" s="108">
        <f>VLOOKUP(ROW(D349)+4,'Water runs'!$BS$3:$CF$423,MATCH($B$1,Scenarios,0)+1)</f>
        <v>0</v>
      </c>
      <c r="E349" s="54">
        <f>IF(B349=Variables!$D$8,C349-Variables!$E$8,IF(B349=Variables!$D$9,C349-Variables!$E$9,IF(B349=Variables!$D$10,C349-Variables!$E$10,IF(B349=Variables!$D$11,C349-Variables!$E$11,"ELSE"))))</f>
        <v>-5.3892625661375759E-2</v>
      </c>
      <c r="F349" s="108">
        <f>VLOOKUP(ROW(F349)+4,'Water runs'!$CH$3:$CU$423,MATCH($B$1,Scenarios,0)+1)</f>
        <v>0</v>
      </c>
      <c r="G349" s="65">
        <f>H349/Variables!$E$49</f>
        <v>0.28328292610826411</v>
      </c>
      <c r="H349" s="62">
        <f>IF((H348+I349)&gt;(1.1*Variables!$E$50),(1.1*Variables!$E$50),IF((H348+I349)&gt;0,H348+I349,0))</f>
        <v>1.7563541418712374</v>
      </c>
      <c r="I349" s="64">
        <f t="shared" si="10"/>
        <v>-1.7419777214373506</v>
      </c>
      <c r="J349" s="63">
        <f>IF(SUM(E345:E348)&lt;Variables!$B$3,-H348,0)</f>
        <v>0</v>
      </c>
      <c r="K349" s="64">
        <f>IF(AND(H348&lt;Variables!$B$6*Variables!$E$50,OR(SUM(D346:D349)&gt;Variables!$B$5,SUM(E346:E349)&gt;Variables!$B$4)),Variables!$B$6*Variables!$E$50+Variables!$B$7*$G$1*Variables!$E$50*SUM(D346:D349),0)</f>
        <v>0</v>
      </c>
      <c r="L349" s="64">
        <f>IF(B349="Winter",Variables!$B$8*H348,0)</f>
        <v>-1.7419777214373506</v>
      </c>
      <c r="M349" s="64">
        <f>IF(AND(B349="Spring",AND(NOT(H348=0),H348&lt;(Variables!$B$9*Variables!$E$50))),(Variables!$B$10*Variables!$E$50+Variables!$B$11*Variables!$E$50*SUM(E346:E349)+$G$1*SUM(D348:D349)*Variables!$E$50*Variables!$B$12),0)</f>
        <v>0</v>
      </c>
      <c r="N349" s="64">
        <f>IF(AND(B349="Spring",AND(SUM(D346:D349)&gt;Variables!$B$13,SUM(D342:D345)&gt;Variables!$B$13)),-Variables!$B$14*Variables!$E$50,0)</f>
        <v>0</v>
      </c>
      <c r="O349" s="64">
        <f>IF(AND(B349="Summer",SUM(C345:D349)&gt;Variables!$B$15),(Variables!$B$16*Variables!$E$50*SUM(C345:C349)+$G$1*Variables!$B$16*Variables!$E$50*SUM(D345:D349)+$G$1*Variables!$E$50*Variables!$B$17*F349),0)</f>
        <v>0</v>
      </c>
      <c r="P349" s="64">
        <f>IF(AND(AND(B349="Autumn",SUM(D348:E349)&gt;0),NOT(H348=0)),Variables!$B$18*Variables!$E$50+Variables!$B$19*Variables!$E$50*SUM(E348:E349)+$G$1*Variables!$B$19*Variables!$E$50*SUM(D348:D349),0)</f>
        <v>0</v>
      </c>
      <c r="Q349" s="64">
        <f>IF(AND(B349="Autumn",AND((E349+E348)&lt;Variables!$B$20,(D348+D349)=0)),-Variables!$B$21*Variables!$E$50,0)</f>
        <v>0</v>
      </c>
      <c r="R349" s="64">
        <f>IF(B349="Autumn",(SUM(F348:F349)*$G$1*Variables!$B$22*Variables!$E$50),0)</f>
        <v>0</v>
      </c>
      <c r="S349" s="64">
        <f>IF(B349="Spring",($G$1*Variables!$E$50*SUM('Guts (option 2)'!F348:F349)*Variables!$B$23),0)</f>
        <v>0</v>
      </c>
      <c r="T349" s="63">
        <f>IF((H348+SUM(J349:Q349))&lt;(Variables!$B$26*Variables!$E$50),$F$1*((Variables!$B$26*Variables!$E$50)-H348-SUM(J349:Q349)),0)</f>
        <v>0</v>
      </c>
      <c r="U349" s="64">
        <f>IF(AND(AND(B349="Autumn",SUM(D346:E349)&gt;Variables!$B$27),SUM(J349:Q349)&lt;Variables!$B$28*H348),$F$1*(Variables!$B$28*H348-SUM(J349:Q349)),0)</f>
        <v>0</v>
      </c>
      <c r="V349" s="96">
        <f>IF(AND((J349+K349)=0,(Q349+T349)=0),$H$1*H349*Variables!$I$23*0.25,0)</f>
        <v>11.281735922326675</v>
      </c>
      <c r="W349" s="97">
        <f>IF(AND((K349+J349)=0,(T349+Q349)=0),$I$1*H349*Variables!$Q$23*0.25,0)</f>
        <v>11.80899343571642</v>
      </c>
      <c r="X349" s="95">
        <f>IF(AND(NOT(K349=0),(H349-H348)&gt;0),(H349-H348)*(Variables!$M$5*$H$1+Variables!$U$5*$I$1),0)+IF(AND(NOT((J349+N349+Q349)=0),(H348-H349)&gt;0),(H348-H349)*(Variables!$M$4*$H$1+Variables!$U$4*$I$1),0)</f>
        <v>0</v>
      </c>
      <c r="Y349" s="95">
        <f>IF(SUM(T349,U348:U349)&gt;0,H349*Variables!$Y$11*0.25*(1-$J$1),0)</f>
        <v>0</v>
      </c>
      <c r="Z349" s="95">
        <f>IF(T349=0,H349*$J$1*Variables!$Y$5*0.25,0)</f>
        <v>3.8054339740543477</v>
      </c>
      <c r="AA349" s="95">
        <f t="shared" si="11"/>
        <v>26.896163332097444</v>
      </c>
      <c r="AB349" s="91">
        <f>AA349/Variables!$E$49</f>
        <v>4.3380908600157166</v>
      </c>
    </row>
    <row r="350" spans="1:28" x14ac:dyDescent="0.25">
      <c r="A350" s="61">
        <f>'Water runs'!C357</f>
        <v>33938</v>
      </c>
      <c r="B350" s="61" t="str">
        <f>'Water runs'!B357</f>
        <v>Spring</v>
      </c>
      <c r="C350" s="54">
        <f>'Water runs'!D357/100</f>
        <v>0.68575000000000008</v>
      </c>
      <c r="D350" s="108">
        <f>VLOOKUP(ROW(D350)+4,'Water runs'!$BS$3:$CF$423,MATCH($B$1,Scenarios,0)+1)</f>
        <v>0</v>
      </c>
      <c r="E350" s="54">
        <f>IF(B350=Variables!$D$8,C350-Variables!$E$8,IF(B350=Variables!$D$9,C350-Variables!$E$9,IF(B350=Variables!$D$10,C350-Variables!$E$10,IF(B350=Variables!$D$11,C350-Variables!$E$11,"ELSE"))))</f>
        <v>-7.8232208994709063E-2</v>
      </c>
      <c r="F350" s="108">
        <f>VLOOKUP(ROW(F350)+4,'Water runs'!$CH$3:$CU$423,MATCH($B$1,Scenarios,0)+1)</f>
        <v>0</v>
      </c>
      <c r="G350" s="65">
        <f>H350/Variables!$E$49</f>
        <v>0.19074770425545853</v>
      </c>
      <c r="H350" s="62">
        <f>IF((H349+I350)&gt;(1.1*Variables!$E$50),(1.1*Variables!$E$50),IF((H349+I350)&gt;0,H349+I350,0))</f>
        <v>1.1826357663838429</v>
      </c>
      <c r="I350" s="64">
        <f t="shared" si="10"/>
        <v>-0.57371837548739457</v>
      </c>
      <c r="J350" s="63">
        <f>IF(SUM(E346:E349)&lt;Variables!$B$3,-H349,0)</f>
        <v>0</v>
      </c>
      <c r="K350" s="64">
        <f>IF(AND(H349&lt;Variables!$B$6*Variables!$E$50,OR(SUM(D347:D350)&gt;Variables!$B$5,SUM(E347:E350)&gt;Variables!$B$4)),Variables!$B$6*Variables!$E$50+Variables!$B$7*$G$1*Variables!$E$50*SUM(D347:D350),0)</f>
        <v>0</v>
      </c>
      <c r="L350" s="64">
        <f>IF(B350="Winter",Variables!$B$8*H349,0)</f>
        <v>0</v>
      </c>
      <c r="M350" s="64">
        <f>IF(AND(B350="Spring",AND(NOT(H349=0),H349&lt;(Variables!$B$9*Variables!$E$50))),(Variables!$B$10*Variables!$E$50+Variables!$B$11*Variables!$E$50*SUM(E347:E350)+$G$1*SUM(D349:D350)*Variables!$E$50*Variables!$B$12),0)</f>
        <v>-0.57371837548739457</v>
      </c>
      <c r="N350" s="64">
        <f>IF(AND(B350="Spring",AND(SUM(D347:D350)&gt;Variables!$B$13,SUM(D343:D346)&gt;Variables!$B$13)),-Variables!$B$14*Variables!$E$50,0)</f>
        <v>0</v>
      </c>
      <c r="O350" s="64">
        <f>IF(AND(B350="Summer",SUM(C346:D350)&gt;Variables!$B$15),(Variables!$B$16*Variables!$E$50*SUM(C346:C350)+$G$1*Variables!$B$16*Variables!$E$50*SUM(D346:D350)+$G$1*Variables!$E$50*Variables!$B$17*F350),0)</f>
        <v>0</v>
      </c>
      <c r="P350" s="64">
        <f>IF(AND(AND(B350="Autumn",SUM(D349:E350)&gt;0),NOT(H349=0)),Variables!$B$18*Variables!$E$50+Variables!$B$19*Variables!$E$50*SUM(E349:E350)+$G$1*Variables!$B$19*Variables!$E$50*SUM(D349:D350),0)</f>
        <v>0</v>
      </c>
      <c r="Q350" s="64">
        <f>IF(AND(B350="Autumn",AND((E350+E349)&lt;Variables!$B$20,(D349+D350)=0)),-Variables!$B$21*Variables!$E$50,0)</f>
        <v>0</v>
      </c>
      <c r="R350" s="64">
        <f>IF(B350="Autumn",(SUM(F349:F350)*$G$1*Variables!$B$22*Variables!$E$50),0)</f>
        <v>0</v>
      </c>
      <c r="S350" s="64">
        <f>IF(B350="Spring",($G$1*Variables!$E$50*SUM('Guts (option 2)'!F349:F350)*Variables!$B$23),0)</f>
        <v>0</v>
      </c>
      <c r="T350" s="63">
        <f>IF((H349+SUM(J350:Q350))&lt;(Variables!$B$26*Variables!$E$50),$F$1*((Variables!$B$26*Variables!$E$50)-H349-SUM(J350:Q350)),0)</f>
        <v>0</v>
      </c>
      <c r="U350" s="64">
        <f>IF(AND(AND(B350="Autumn",SUM(D347:E350)&gt;Variables!$B$27),SUM(J350:Q350)&lt;Variables!$B$28*H349),$F$1*(Variables!$B$28*H349-SUM(J350:Q350)),0)</f>
        <v>0</v>
      </c>
      <c r="V350" s="96">
        <f>IF(AND((J350+K350)=0,(Q350+T350)=0),$H$1*H350*Variables!$I$23*0.25,0)</f>
        <v>7.596522871193871</v>
      </c>
      <c r="W350" s="97">
        <f>IF(AND((K350+J350)=0,(T350+Q350)=0),$I$1*H350*Variables!$Q$23*0.25,0)</f>
        <v>7.9515501282622996</v>
      </c>
      <c r="X350" s="95">
        <f>IF(AND(NOT(K350=0),(H350-H349)&gt;0),(H350-H349)*(Variables!$M$5*$H$1+Variables!$U$5*$I$1),0)+IF(AND(NOT((J350+N350+Q350)=0),(H349-H350)&gt;0),(H349-H350)*(Variables!$M$4*$H$1+Variables!$U$4*$I$1),0)</f>
        <v>0</v>
      </c>
      <c r="Y350" s="95">
        <f>IF(SUM(T350,U349:U350)&gt;0,H350*Variables!$Y$11*0.25*(1-$J$1),0)</f>
        <v>0</v>
      </c>
      <c r="Z350" s="95">
        <f>IF(T350=0,H350*$J$1*Variables!$Y$5*0.25,0)</f>
        <v>2.5623774938316597</v>
      </c>
      <c r="AA350" s="95">
        <f t="shared" si="11"/>
        <v>18.110450493287829</v>
      </c>
      <c r="AB350" s="91">
        <f>AA350/Variables!$E$49</f>
        <v>2.9210404021431979</v>
      </c>
    </row>
    <row r="351" spans="1:28" x14ac:dyDescent="0.25">
      <c r="A351" s="61">
        <f>'Water runs'!C358</f>
        <v>34028</v>
      </c>
      <c r="B351" s="61" t="str">
        <f>'Water runs'!B358</f>
        <v>Summer</v>
      </c>
      <c r="C351" s="54">
        <f>'Water runs'!D358/100</f>
        <v>1.4908928571428601</v>
      </c>
      <c r="D351" s="108">
        <f>VLOOKUP(ROW(D351)+4,'Water runs'!$BS$3:$CF$423,MATCH($B$1,Scenarios,0)+1)</f>
        <v>0</v>
      </c>
      <c r="E351" s="54">
        <f>IF(B351=Variables!$D$8,C351-Variables!$E$8,IF(B351=Variables!$D$9,C351-Variables!$E$9,IF(B351=Variables!$D$10,C351-Variables!$E$10,IF(B351=Variables!$D$11,C351-Variables!$E$11,"ELSE"))))</f>
        <v>0.23252272108843841</v>
      </c>
      <c r="F351" s="108">
        <f>VLOOKUP(ROW(F351)+4,'Water runs'!$CH$3:$CU$423,MATCH($B$1,Scenarios,0)+1)</f>
        <v>0</v>
      </c>
      <c r="G351" s="65">
        <f>H351/Variables!$E$49</f>
        <v>0.19074770425545853</v>
      </c>
      <c r="H351" s="62">
        <f>IF((H350+I351)&gt;(1.1*Variables!$E$50),(1.1*Variables!$E$50),IF((H350+I351)&gt;0,H350+I351,0))</f>
        <v>1.1826357663838429</v>
      </c>
      <c r="I351" s="64">
        <f t="shared" si="10"/>
        <v>0</v>
      </c>
      <c r="J351" s="63">
        <f>IF(SUM(E347:E350)&lt;Variables!$B$3,-H350,0)</f>
        <v>0</v>
      </c>
      <c r="K351" s="64">
        <f>IF(AND(H350&lt;Variables!$B$6*Variables!$E$50,OR(SUM(D348:D351)&gt;Variables!$B$5,SUM(E348:E351)&gt;Variables!$B$4)),Variables!$B$6*Variables!$E$50+Variables!$B$7*$G$1*Variables!$E$50*SUM(D348:D351),0)</f>
        <v>0</v>
      </c>
      <c r="L351" s="64">
        <f>IF(B351="Winter",Variables!$B$8*H350,0)</f>
        <v>0</v>
      </c>
      <c r="M351" s="64">
        <f>IF(AND(B351="Spring",AND(NOT(H350=0),H350&lt;(Variables!$B$9*Variables!$E$50))),(Variables!$B$10*Variables!$E$50+Variables!$B$11*Variables!$E$50*SUM(E348:E351)+$G$1*SUM(D350:D351)*Variables!$E$50*Variables!$B$12),0)</f>
        <v>0</v>
      </c>
      <c r="N351" s="64">
        <f>IF(AND(B351="Spring",AND(SUM(D348:D351)&gt;Variables!$B$13,SUM(D344:D347)&gt;Variables!$B$13)),-Variables!$B$14*Variables!$E$50,0)</f>
        <v>0</v>
      </c>
      <c r="O351" s="64">
        <f>IF(AND(B351="Summer",SUM(C347:D351)&gt;Variables!$B$15),(Variables!$B$16*Variables!$E$50*SUM(C347:C351)+$G$1*Variables!$B$16*Variables!$E$50*SUM(D347:D351)+$G$1*Variables!$E$50*Variables!$B$17*F351),0)</f>
        <v>0</v>
      </c>
      <c r="P351" s="64">
        <f>IF(AND(AND(B351="Autumn",SUM(D350:E351)&gt;0),NOT(H350=0)),Variables!$B$18*Variables!$E$50+Variables!$B$19*Variables!$E$50*SUM(E350:E351)+$G$1*Variables!$B$19*Variables!$E$50*SUM(D350:D351),0)</f>
        <v>0</v>
      </c>
      <c r="Q351" s="64">
        <f>IF(AND(B351="Autumn",AND((E351+E350)&lt;Variables!$B$20,(D350+D351)=0)),-Variables!$B$21*Variables!$E$50,0)</f>
        <v>0</v>
      </c>
      <c r="R351" s="64">
        <f>IF(B351="Autumn",(SUM(F350:F351)*$G$1*Variables!$B$22*Variables!$E$50),0)</f>
        <v>0</v>
      </c>
      <c r="S351" s="64">
        <f>IF(B351="Spring",($G$1*Variables!$E$50*SUM('Guts (option 2)'!F350:F351)*Variables!$B$23),0)</f>
        <v>0</v>
      </c>
      <c r="T351" s="63">
        <f>IF((H350+SUM(J351:Q351))&lt;(Variables!$B$26*Variables!$E$50),$F$1*((Variables!$B$26*Variables!$E$50)-H350-SUM(J351:Q351)),0)</f>
        <v>0</v>
      </c>
      <c r="U351" s="64">
        <f>IF(AND(AND(B351="Autumn",SUM(D348:E351)&gt;Variables!$B$27),SUM(J351:Q351)&lt;Variables!$B$28*H350),$F$1*(Variables!$B$28*H350-SUM(J351:Q351)),0)</f>
        <v>0</v>
      </c>
      <c r="V351" s="96">
        <f>IF(AND((J351+K351)=0,(Q351+T351)=0),$H$1*H351*Variables!$I$23*0.25,0)</f>
        <v>7.596522871193871</v>
      </c>
      <c r="W351" s="97">
        <f>IF(AND((K351+J351)=0,(T351+Q351)=0),$I$1*H351*Variables!$Q$23*0.25,0)</f>
        <v>7.9515501282622996</v>
      </c>
      <c r="X351" s="95">
        <f>IF(AND(NOT(K351=0),(H351-H350)&gt;0),(H351-H350)*(Variables!$M$5*$H$1+Variables!$U$5*$I$1),0)+IF(AND(NOT((J351+N351+Q351)=0),(H350-H351)&gt;0),(H350-H351)*(Variables!$M$4*$H$1+Variables!$U$4*$I$1),0)</f>
        <v>0</v>
      </c>
      <c r="Y351" s="95">
        <f>IF(SUM(T351,U350:U351)&gt;0,H351*Variables!$Y$11*0.25*(1-$J$1),0)</f>
        <v>0</v>
      </c>
      <c r="Z351" s="95">
        <f>IF(T351=0,H351*$J$1*Variables!$Y$5*0.25,0)</f>
        <v>2.5623774938316597</v>
      </c>
      <c r="AA351" s="95">
        <f t="shared" si="11"/>
        <v>18.110450493287829</v>
      </c>
      <c r="AB351" s="91">
        <f>AA351/Variables!$E$49</f>
        <v>2.9210404021431979</v>
      </c>
    </row>
    <row r="352" spans="1:28" x14ac:dyDescent="0.25">
      <c r="A352" s="61">
        <f>'Water runs'!C359</f>
        <v>34120</v>
      </c>
      <c r="B352" s="61" t="str">
        <f>'Water runs'!B359</f>
        <v>Autumn</v>
      </c>
      <c r="C352" s="54">
        <f>'Water runs'!D359/100</f>
        <v>0.47412500000000002</v>
      </c>
      <c r="D352" s="108">
        <f>VLOOKUP(ROW(D352)+4,'Water runs'!$BS$3:$CF$423,MATCH($B$1,Scenarios,0)+1)</f>
        <v>0</v>
      </c>
      <c r="E352" s="54">
        <f>IF(B352=Variables!$D$8,C352-Variables!$E$8,IF(B352=Variables!$D$9,C352-Variables!$E$9,IF(B352=Variables!$D$10,C352-Variables!$E$10,IF(B352=Variables!$D$11,C352-Variables!$E$11,"ELSE"))))</f>
        <v>-0.52051829931972782</v>
      </c>
      <c r="F352" s="108">
        <f>VLOOKUP(ROW(F352)+4,'Water runs'!$CH$3:$CU$423,MATCH($B$1,Scenarios,0)+1)</f>
        <v>0</v>
      </c>
      <c r="G352" s="65">
        <f>H352/Variables!$E$49</f>
        <v>0.19074770425545853</v>
      </c>
      <c r="H352" s="62">
        <f>IF((H351+I352)&gt;(1.1*Variables!$E$50),(1.1*Variables!$E$50),IF((H351+I352)&gt;0,H351+I352,0))</f>
        <v>1.1826357663838429</v>
      </c>
      <c r="I352" s="64">
        <f t="shared" si="10"/>
        <v>0</v>
      </c>
      <c r="J352" s="63">
        <f>IF(SUM(E348:E351)&lt;Variables!$B$3,-H351,0)</f>
        <v>0</v>
      </c>
      <c r="K352" s="64">
        <f>IF(AND(H351&lt;Variables!$B$6*Variables!$E$50,OR(SUM(D349:D352)&gt;Variables!$B$5,SUM(E349:E352)&gt;Variables!$B$4)),Variables!$B$6*Variables!$E$50+Variables!$B$7*$G$1*Variables!$E$50*SUM(D349:D352),0)</f>
        <v>0</v>
      </c>
      <c r="L352" s="64">
        <f>IF(B352="Winter",Variables!$B$8*H351,0)</f>
        <v>0</v>
      </c>
      <c r="M352" s="64">
        <f>IF(AND(B352="Spring",AND(NOT(H351=0),H351&lt;(Variables!$B$9*Variables!$E$50))),(Variables!$B$10*Variables!$E$50+Variables!$B$11*Variables!$E$50*SUM(E349:E352)+$G$1*SUM(D351:D352)*Variables!$E$50*Variables!$B$12),0)</f>
        <v>0</v>
      </c>
      <c r="N352" s="64">
        <f>IF(AND(B352="Spring",AND(SUM(D349:D352)&gt;Variables!$B$13,SUM(D345:D348)&gt;Variables!$B$13)),-Variables!$B$14*Variables!$E$50,0)</f>
        <v>0</v>
      </c>
      <c r="O352" s="64">
        <f>IF(AND(B352="Summer",SUM(C348:D352)&gt;Variables!$B$15),(Variables!$B$16*Variables!$E$50*SUM(C348:C352)+$G$1*Variables!$B$16*Variables!$E$50*SUM(D348:D352)+$G$1*Variables!$E$50*Variables!$B$17*F352),0)</f>
        <v>0</v>
      </c>
      <c r="P352" s="64">
        <f>IF(AND(AND(B352="Autumn",SUM(D351:E352)&gt;0),NOT(H351=0)),Variables!$B$18*Variables!$E$50+Variables!$B$19*Variables!$E$50*SUM(E351:E352)+$G$1*Variables!$B$19*Variables!$E$50*SUM(D351:D352),0)</f>
        <v>0</v>
      </c>
      <c r="Q352" s="64">
        <f>IF(AND(B352="Autumn",AND((E352+E351)&lt;Variables!$B$20,(D351+D352)=0)),-Variables!$B$21*Variables!$E$50,0)</f>
        <v>0</v>
      </c>
      <c r="R352" s="64">
        <f>IF(B352="Autumn",(SUM(F351:F352)*$G$1*Variables!$B$22*Variables!$E$50),0)</f>
        <v>0</v>
      </c>
      <c r="S352" s="64">
        <f>IF(B352="Spring",($G$1*Variables!$E$50*SUM('Guts (option 2)'!F351:F352)*Variables!$B$23),0)</f>
        <v>0</v>
      </c>
      <c r="T352" s="63">
        <f>IF((H351+SUM(J352:Q352))&lt;(Variables!$B$26*Variables!$E$50),$F$1*((Variables!$B$26*Variables!$E$50)-H351-SUM(J352:Q352)),0)</f>
        <v>0</v>
      </c>
      <c r="U352" s="64">
        <f>IF(AND(AND(B352="Autumn",SUM(D349:E352)&gt;Variables!$B$27),SUM(J352:Q352)&lt;Variables!$B$28*H351),$F$1*(Variables!$B$28*H351-SUM(J352:Q352)),0)</f>
        <v>0</v>
      </c>
      <c r="V352" s="96">
        <f>IF(AND((J352+K352)=0,(Q352+T352)=0),$H$1*H352*Variables!$I$23*0.25,0)</f>
        <v>7.596522871193871</v>
      </c>
      <c r="W352" s="97">
        <f>IF(AND((K352+J352)=0,(T352+Q352)=0),$I$1*H352*Variables!$Q$23*0.25,0)</f>
        <v>7.9515501282622996</v>
      </c>
      <c r="X352" s="95">
        <f>IF(AND(NOT(K352=0),(H352-H351)&gt;0),(H352-H351)*(Variables!$M$5*$H$1+Variables!$U$5*$I$1),0)+IF(AND(NOT((J352+N352+Q352)=0),(H351-H352)&gt;0),(H351-H352)*(Variables!$M$4*$H$1+Variables!$U$4*$I$1),0)</f>
        <v>0</v>
      </c>
      <c r="Y352" s="95">
        <f>IF(SUM(T352,U351:U352)&gt;0,H352*Variables!$Y$11*0.25*(1-$J$1),0)</f>
        <v>0</v>
      </c>
      <c r="Z352" s="95">
        <f>IF(T352=0,H352*$J$1*Variables!$Y$5*0.25,0)</f>
        <v>2.5623774938316597</v>
      </c>
      <c r="AA352" s="95">
        <f t="shared" si="11"/>
        <v>18.110450493287829</v>
      </c>
      <c r="AB352" s="91">
        <f>AA352/Variables!$E$49</f>
        <v>2.9210404021431979</v>
      </c>
    </row>
    <row r="353" spans="1:28" x14ac:dyDescent="0.25">
      <c r="A353" s="61">
        <f>'Water runs'!C360</f>
        <v>34212</v>
      </c>
      <c r="B353" s="61" t="str">
        <f>'Water runs'!B360</f>
        <v>Winter</v>
      </c>
      <c r="C353" s="54">
        <f>'Water runs'!D360/100</f>
        <v>0.828125</v>
      </c>
      <c r="D353" s="108">
        <f>VLOOKUP(ROW(D353)+4,'Water runs'!$BS$3:$CF$423,MATCH($B$1,Scenarios,0)+1)</f>
        <v>0</v>
      </c>
      <c r="E353" s="54">
        <f>IF(B353=Variables!$D$8,C353-Variables!$E$8,IF(B353=Variables!$D$9,C353-Variables!$E$9,IF(B353=Variables!$D$10,C353-Variables!$E$10,IF(B353=Variables!$D$11,C353-Variables!$E$11,"ELSE"))))</f>
        <v>0.25635737433862427</v>
      </c>
      <c r="F353" s="108">
        <f>VLOOKUP(ROW(F353)+4,'Water runs'!$CH$3:$CU$423,MATCH($B$1,Scenarios,0)+1)</f>
        <v>0</v>
      </c>
      <c r="G353" s="65">
        <f>H353/Variables!$E$49</f>
        <v>0.161</v>
      </c>
      <c r="H353" s="62">
        <f>IF((H352+I353)&gt;(1.1*Variables!$E$50),(1.1*Variables!$E$50),IF((H352+I353)&gt;0,H352+I353,0))</f>
        <v>0.99820000000000009</v>
      </c>
      <c r="I353" s="64">
        <f t="shared" si="10"/>
        <v>-0.18443576638384285</v>
      </c>
      <c r="J353" s="63">
        <f>IF(SUM(E349:E352)&lt;Variables!$B$3,-H352,0)</f>
        <v>0</v>
      </c>
      <c r="K353" s="64">
        <f>IF(AND(H352&lt;Variables!$B$6*Variables!$E$50,OR(SUM(D350:D353)&gt;Variables!$B$5,SUM(E350:E353)&gt;Variables!$B$4)),Variables!$B$6*Variables!$E$50+Variables!$B$7*$G$1*Variables!$E$50*SUM(D350:D353),0)</f>
        <v>0</v>
      </c>
      <c r="L353" s="64">
        <f>IF(B353="Winter",Variables!$B$8*H352,0)</f>
        <v>-0.58888785801677901</v>
      </c>
      <c r="M353" s="64">
        <f>IF(AND(B353="Spring",AND(NOT(H352=0),H352&lt;(Variables!$B$9*Variables!$E$50))),(Variables!$B$10*Variables!$E$50+Variables!$B$11*Variables!$E$50*SUM(E350:E353)+$G$1*SUM(D352:D353)*Variables!$E$50*Variables!$B$12),0)</f>
        <v>0</v>
      </c>
      <c r="N353" s="64">
        <f>IF(AND(B353="Spring",AND(SUM(D350:D353)&gt;Variables!$B$13,SUM(D346:D349)&gt;Variables!$B$13)),-Variables!$B$14*Variables!$E$50,0)</f>
        <v>0</v>
      </c>
      <c r="O353" s="64">
        <f>IF(AND(B353="Summer",SUM(C349:D353)&gt;Variables!$B$15),(Variables!$B$16*Variables!$E$50*SUM(C349:C353)+$G$1*Variables!$B$16*Variables!$E$50*SUM(D349:D353)+$G$1*Variables!$E$50*Variables!$B$17*F353),0)</f>
        <v>0</v>
      </c>
      <c r="P353" s="64">
        <f>IF(AND(AND(B353="Autumn",SUM(D352:E353)&gt;0),NOT(H352=0)),Variables!$B$18*Variables!$E$50+Variables!$B$19*Variables!$E$50*SUM(E352:E353)+$G$1*Variables!$B$19*Variables!$E$50*SUM(D352:D353),0)</f>
        <v>0</v>
      </c>
      <c r="Q353" s="64">
        <f>IF(AND(B353="Autumn",AND((E353+E352)&lt;Variables!$B$20,(D352+D353)=0)),-Variables!$B$21*Variables!$E$50,0)</f>
        <v>0</v>
      </c>
      <c r="R353" s="64">
        <f>IF(B353="Autumn",(SUM(F352:F353)*$G$1*Variables!$B$22*Variables!$E$50),0)</f>
        <v>0</v>
      </c>
      <c r="S353" s="64">
        <f>IF(B353="Spring",($G$1*Variables!$E$50*SUM('Guts (option 2)'!F352:F353)*Variables!$B$23),0)</f>
        <v>0</v>
      </c>
      <c r="T353" s="63">
        <f>IF((H352+SUM(J353:Q353))&lt;(Variables!$B$26*Variables!$E$50),$F$1*((Variables!$B$26*Variables!$E$50)-H352-SUM(J353:Q353)),0)</f>
        <v>0.40445209163293616</v>
      </c>
      <c r="U353" s="64">
        <f>IF(AND(AND(B353="Autumn",SUM(D350:E353)&gt;Variables!$B$27),SUM(J353:Q353)&lt;Variables!$B$28*H352),$F$1*(Variables!$B$28*H352-SUM(J353:Q353)),0)</f>
        <v>0</v>
      </c>
      <c r="V353" s="96">
        <f>IF(AND((J353+K353)=0,(Q353+T353)=0),$H$1*H353*Variables!$I$23*0.25,0)</f>
        <v>0</v>
      </c>
      <c r="W353" s="97">
        <f>IF(AND((K353+J353)=0,(T353+Q353)=0),$I$1*H353*Variables!$Q$23*0.25,0)</f>
        <v>0</v>
      </c>
      <c r="X353" s="95">
        <f>IF(AND(NOT(K353=0),(H353-H352)&gt;0),(H353-H352)*(Variables!$M$5*$H$1+Variables!$U$5*$I$1),0)+IF(AND(NOT((J353+N353+Q353)=0),(H352-H353)&gt;0),(H352-H353)*(Variables!$M$4*$H$1+Variables!$U$4*$I$1),0)</f>
        <v>0</v>
      </c>
      <c r="Y353" s="95">
        <f>IF(SUM(T353,U352:U353)&gt;0,H353*Variables!$Y$11*0.25*(1-$J$1),0)</f>
        <v>-6.9874000000000018</v>
      </c>
      <c r="Z353" s="95">
        <f>IF(T353=0,H353*$J$1*Variables!$Y$5*0.25,0)</f>
        <v>0</v>
      </c>
      <c r="AA353" s="95">
        <f t="shared" si="11"/>
        <v>-6.9874000000000018</v>
      </c>
      <c r="AB353" s="91">
        <f>AA353/Variables!$E$49</f>
        <v>-1.1270000000000002</v>
      </c>
    </row>
    <row r="354" spans="1:28" x14ac:dyDescent="0.25">
      <c r="A354" s="61">
        <f>'Water runs'!C361</f>
        <v>34303</v>
      </c>
      <c r="B354" s="61" t="str">
        <f>'Water runs'!B361</f>
        <v>Spring</v>
      </c>
      <c r="C354" s="54">
        <f>'Water runs'!D361/100</f>
        <v>1.5263749999999998</v>
      </c>
      <c r="D354" s="108">
        <f>VLOOKUP(ROW(D354)+4,'Water runs'!$BS$3:$CF$423,MATCH($B$1,Scenarios,0)+1)</f>
        <v>0</v>
      </c>
      <c r="E354" s="54">
        <f>IF(B354=Variables!$D$8,C354-Variables!$E$8,IF(B354=Variables!$D$9,C354-Variables!$E$9,IF(B354=Variables!$D$10,C354-Variables!$E$10,IF(B354=Variables!$D$11,C354-Variables!$E$11,"ELSE"))))</f>
        <v>0.76239279100529067</v>
      </c>
      <c r="F354" s="108">
        <f>VLOOKUP(ROW(F354)+4,'Water runs'!$CH$3:$CU$423,MATCH($B$1,Scenarios,0)+1)</f>
        <v>0</v>
      </c>
      <c r="G354" s="65">
        <f>H354/Variables!$E$49</f>
        <v>0.42527241148074763</v>
      </c>
      <c r="H354" s="62">
        <f>IF((H353+I354)&gt;(1.1*Variables!$E$50),(1.1*Variables!$E$50),IF((H353+I354)&gt;0,H353+I354,0))</f>
        <v>2.6366889511806355</v>
      </c>
      <c r="I354" s="64">
        <f t="shared" si="10"/>
        <v>1.6384889511806355</v>
      </c>
      <c r="J354" s="63">
        <f>IF(SUM(E350:E353)&lt;Variables!$B$3,-H353,0)</f>
        <v>0</v>
      </c>
      <c r="K354" s="64">
        <f>IF(AND(H353&lt;Variables!$B$6*Variables!$E$50,OR(SUM(D351:D354)&gt;Variables!$B$5,SUM(E351:E354)&gt;Variables!$B$4)),Variables!$B$6*Variables!$E$50+Variables!$B$7*$G$1*Variables!$E$50*SUM(D351:D354),0)</f>
        <v>1.1408</v>
      </c>
      <c r="L354" s="64">
        <f>IF(B354="Winter",Variables!$B$8*H353,0)</f>
        <v>0</v>
      </c>
      <c r="M354" s="64">
        <f>IF(AND(B354="Spring",AND(NOT(H353=0),H353&lt;(Variables!$B$9*Variables!$E$50))),(Variables!$B$10*Variables!$E$50+Variables!$B$11*Variables!$E$50*SUM(E351:E354)+$G$1*SUM(D353:D354)*Variables!$E$50*Variables!$B$12),0)</f>
        <v>0.4976889511806355</v>
      </c>
      <c r="N354" s="64">
        <f>IF(AND(B354="Spring",AND(SUM(D351:D354)&gt;Variables!$B$13,SUM(D347:D350)&gt;Variables!$B$13)),-Variables!$B$14*Variables!$E$50,0)</f>
        <v>0</v>
      </c>
      <c r="O354" s="64">
        <f>IF(AND(B354="Summer",SUM(C350:D354)&gt;Variables!$B$15),(Variables!$B$16*Variables!$E$50*SUM(C350:C354)+$G$1*Variables!$B$16*Variables!$E$50*SUM(D350:D354)+$G$1*Variables!$E$50*Variables!$B$17*F354),0)</f>
        <v>0</v>
      </c>
      <c r="P354" s="64">
        <f>IF(AND(AND(B354="Autumn",SUM(D353:E354)&gt;0),NOT(H353=0)),Variables!$B$18*Variables!$E$50+Variables!$B$19*Variables!$E$50*SUM(E353:E354)+$G$1*Variables!$B$19*Variables!$E$50*SUM(D353:D354),0)</f>
        <v>0</v>
      </c>
      <c r="Q354" s="64">
        <f>IF(AND(B354="Autumn",AND((E354+E353)&lt;Variables!$B$20,(D353+D354)=0)),-Variables!$B$21*Variables!$E$50,0)</f>
        <v>0</v>
      </c>
      <c r="R354" s="64">
        <f>IF(B354="Autumn",(SUM(F353:F354)*$G$1*Variables!$B$22*Variables!$E$50),0)</f>
        <v>0</v>
      </c>
      <c r="S354" s="64">
        <f>IF(B354="Spring",($G$1*Variables!$E$50*SUM('Guts (option 2)'!F353:F354)*Variables!$B$23),0)</f>
        <v>0</v>
      </c>
      <c r="T354" s="63">
        <f>IF((H353+SUM(J354:Q354))&lt;(Variables!$B$26*Variables!$E$50),$F$1*((Variables!$B$26*Variables!$E$50)-H353-SUM(J354:Q354)),0)</f>
        <v>0</v>
      </c>
      <c r="U354" s="64">
        <f>IF(AND(AND(B354="Autumn",SUM(D351:E354)&gt;Variables!$B$27),SUM(J354:Q354)&lt;Variables!$B$28*H353),$F$1*(Variables!$B$28*H353-SUM(J354:Q354)),0)</f>
        <v>0</v>
      </c>
      <c r="V354" s="96">
        <f>IF(AND((J354+K354)=0,(Q354+T354)=0),$H$1*H354*Variables!$I$23*0.25,0)</f>
        <v>0</v>
      </c>
      <c r="W354" s="97">
        <f>IF(AND((K354+J354)=0,(T354+Q354)=0),$I$1*H354*Variables!$Q$23*0.25,0)</f>
        <v>0</v>
      </c>
      <c r="X354" s="95">
        <f>IF(AND(NOT(K354=0),(H354-H353)&gt;0),(H354-H353)*(Variables!$M$5*$H$1+Variables!$U$5*$I$1),0)+IF(AND(NOT((J354+N354+Q354)=0),(H353-H354)&gt;0),(H353-H354)*(Variables!$M$4*$H$1+Variables!$U$4*$I$1),0)</f>
        <v>-136.54074593171961</v>
      </c>
      <c r="Y354" s="95">
        <f>IF(SUM(T354,U353:U354)&gt;0,H354*Variables!$Y$11*0.25*(1-$J$1),0)</f>
        <v>0</v>
      </c>
      <c r="Z354" s="95">
        <f>IF(T354=0,H354*$J$1*Variables!$Y$5*0.25,0)</f>
        <v>5.7128260608913761</v>
      </c>
      <c r="AA354" s="95">
        <f t="shared" si="11"/>
        <v>-130.82791987082823</v>
      </c>
      <c r="AB354" s="91">
        <f>AA354/Variables!$E$49</f>
        <v>-21.101277398520679</v>
      </c>
    </row>
    <row r="355" spans="1:28" x14ac:dyDescent="0.25">
      <c r="A355" s="61">
        <f>'Water runs'!C362</f>
        <v>34393</v>
      </c>
      <c r="B355" s="61" t="str">
        <f>'Water runs'!B362</f>
        <v>Summer</v>
      </c>
      <c r="C355" s="54">
        <f>'Water runs'!D362/100</f>
        <v>0.85724999999999996</v>
      </c>
      <c r="D355" s="108">
        <f>VLOOKUP(ROW(D355)+4,'Water runs'!$BS$3:$CF$423,MATCH($B$1,Scenarios,0)+1)</f>
        <v>7.3238109565396406E-2</v>
      </c>
      <c r="E355" s="54">
        <f>IF(B355=Variables!$D$8,C355-Variables!$E$8,IF(B355=Variables!$D$9,C355-Variables!$E$9,IF(B355=Variables!$D$10,C355-Variables!$E$10,IF(B355=Variables!$D$11,C355-Variables!$E$11,"ELSE"))))</f>
        <v>-0.40112013605442176</v>
      </c>
      <c r="F355" s="108">
        <f>VLOOKUP(ROW(F355)+4,'Water runs'!$CH$3:$CU$423,MATCH($B$1,Scenarios,0)+1)</f>
        <v>3.3344682063991007E-2</v>
      </c>
      <c r="G355" s="65">
        <f>H355/Variables!$E$49</f>
        <v>0.42527241148074763</v>
      </c>
      <c r="H355" s="62">
        <f>IF((H354+I355)&gt;(1.1*Variables!$E$50),(1.1*Variables!$E$50),IF((H354+I355)&gt;0,H354+I355,0))</f>
        <v>2.6366889511806355</v>
      </c>
      <c r="I355" s="64">
        <f t="shared" si="10"/>
        <v>0</v>
      </c>
      <c r="J355" s="63">
        <f>IF(SUM(E351:E354)&lt;Variables!$B$3,-H354,0)</f>
        <v>0</v>
      </c>
      <c r="K355" s="64">
        <f>IF(AND(H354&lt;Variables!$B$6*Variables!$E$50,OR(SUM(D352:D355)&gt;Variables!$B$5,SUM(E352:E355)&gt;Variables!$B$4)),Variables!$B$6*Variables!$E$50+Variables!$B$7*$G$1*Variables!$E$50*SUM(D352:D355),0)</f>
        <v>0</v>
      </c>
      <c r="L355" s="64">
        <f>IF(B355="Winter",Variables!$B$8*H354,0)</f>
        <v>0</v>
      </c>
      <c r="M355" s="64">
        <f>IF(AND(B355="Spring",AND(NOT(H354=0),H354&lt;(Variables!$B$9*Variables!$E$50))),(Variables!$B$10*Variables!$E$50+Variables!$B$11*Variables!$E$50*SUM(E352:E355)+$G$1*SUM(D354:D355)*Variables!$E$50*Variables!$B$12),0)</f>
        <v>0</v>
      </c>
      <c r="N355" s="64">
        <f>IF(AND(B355="Spring",AND(SUM(D352:D355)&gt;Variables!$B$13,SUM(D348:D351)&gt;Variables!$B$13)),-Variables!$B$14*Variables!$E$50,0)</f>
        <v>0</v>
      </c>
      <c r="O355" s="64">
        <f>IF(AND(B355="Summer",SUM(C351:D355)&gt;Variables!$B$15),(Variables!$B$16*Variables!$E$50*SUM(C351:C355)+$G$1*Variables!$B$16*Variables!$E$50*SUM(D351:D355)+$G$1*Variables!$E$50*Variables!$B$17*F355),0)</f>
        <v>0</v>
      </c>
      <c r="P355" s="64">
        <f>IF(AND(AND(B355="Autumn",SUM(D354:E355)&gt;0),NOT(H354=0)),Variables!$B$18*Variables!$E$50+Variables!$B$19*Variables!$E$50*SUM(E354:E355)+$G$1*Variables!$B$19*Variables!$E$50*SUM(D354:D355),0)</f>
        <v>0</v>
      </c>
      <c r="Q355" s="64">
        <f>IF(AND(B355="Autumn",AND((E355+E354)&lt;Variables!$B$20,(D354+D355)=0)),-Variables!$B$21*Variables!$E$50,0)</f>
        <v>0</v>
      </c>
      <c r="R355" s="64">
        <f>IF(B355="Autumn",(SUM(F354:F355)*$G$1*Variables!$B$22*Variables!$E$50),0)</f>
        <v>0</v>
      </c>
      <c r="S355" s="64">
        <f>IF(B355="Spring",($G$1*Variables!$E$50*SUM('Guts (option 2)'!F354:F355)*Variables!$B$23),0)</f>
        <v>0</v>
      </c>
      <c r="T355" s="63">
        <f>IF((H354+SUM(J355:Q355))&lt;(Variables!$B$26*Variables!$E$50),$F$1*((Variables!$B$26*Variables!$E$50)-H354-SUM(J355:Q355)),0)</f>
        <v>0</v>
      </c>
      <c r="U355" s="64">
        <f>IF(AND(AND(B355="Autumn",SUM(D352:E355)&gt;Variables!$B$27),SUM(J355:Q355)&lt;Variables!$B$28*H354),$F$1*(Variables!$B$28*H354-SUM(J355:Q355)),0)</f>
        <v>0</v>
      </c>
      <c r="V355" s="96">
        <f>IF(AND((J355+K355)=0,(Q355+T355)=0),$H$1*H355*Variables!$I$23*0.25,0)</f>
        <v>16.93646386419784</v>
      </c>
      <c r="W355" s="97">
        <f>IF(AND((K355+J355)=0,(T355+Q355)=0),$I$1*H355*Variables!$Q$23*0.25,0)</f>
        <v>17.727997887342266</v>
      </c>
      <c r="X355" s="95">
        <f>IF(AND(NOT(K355=0),(H355-H354)&gt;0),(H355-H354)*(Variables!$M$5*$H$1+Variables!$U$5*$I$1),0)+IF(AND(NOT((J355+N355+Q355)=0),(H354-H355)&gt;0),(H354-H355)*(Variables!$M$4*$H$1+Variables!$U$4*$I$1),0)</f>
        <v>0</v>
      </c>
      <c r="Y355" s="95">
        <f>IF(SUM(T355,U354:U355)&gt;0,H355*Variables!$Y$11*0.25*(1-$J$1),0)</f>
        <v>0</v>
      </c>
      <c r="Z355" s="95">
        <f>IF(T355=0,H355*$J$1*Variables!$Y$5*0.25,0)</f>
        <v>5.7128260608913761</v>
      </c>
      <c r="AA355" s="95">
        <f t="shared" si="11"/>
        <v>40.377287812431476</v>
      </c>
      <c r="AB355" s="91">
        <f>AA355/Variables!$E$49</f>
        <v>6.5124657761986251</v>
      </c>
    </row>
    <row r="356" spans="1:28" x14ac:dyDescent="0.25">
      <c r="A356" s="61">
        <f>'Water runs'!C363</f>
        <v>34485</v>
      </c>
      <c r="B356" s="61" t="str">
        <f>'Water runs'!B363</f>
        <v>Autumn</v>
      </c>
      <c r="C356" s="54">
        <f>'Water runs'!D363/100</f>
        <v>0.51037500000000002</v>
      </c>
      <c r="D356" s="108">
        <f>VLOOKUP(ROW(D356)+4,'Water runs'!$BS$3:$CF$423,MATCH($B$1,Scenarios,0)+1)</f>
        <v>0.23799317492616728</v>
      </c>
      <c r="E356" s="54">
        <f>IF(B356=Variables!$D$8,C356-Variables!$E$8,IF(B356=Variables!$D$9,C356-Variables!$E$9,IF(B356=Variables!$D$10,C356-Variables!$E$10,IF(B356=Variables!$D$11,C356-Variables!$E$11,"ELSE"))))</f>
        <v>-0.48426829931972781</v>
      </c>
      <c r="F356" s="108">
        <f>VLOOKUP(ROW(F356)+4,'Water runs'!$CH$3:$CU$423,MATCH($B$1,Scenarios,0)+1)</f>
        <v>0.21876420240857014</v>
      </c>
      <c r="G356" s="65">
        <f>H356/Variables!$E$49</f>
        <v>0.43100143551431275</v>
      </c>
      <c r="H356" s="62">
        <f>IF((H355+I356)&gt;(1.1*Variables!$E$50),(1.1*Variables!$E$50),IF((H355+I356)&gt;0,H355+I356,0))</f>
        <v>2.672208900188739</v>
      </c>
      <c r="I356" s="64">
        <f t="shared" si="10"/>
        <v>3.5519949008103409E-2</v>
      </c>
      <c r="J356" s="63">
        <f>IF(SUM(E352:E355)&lt;Variables!$B$3,-H355,0)</f>
        <v>0</v>
      </c>
      <c r="K356" s="64">
        <f>IF(AND(H355&lt;Variables!$B$6*Variables!$E$50,OR(SUM(D353:D356)&gt;Variables!$B$5,SUM(E353:E356)&gt;Variables!$B$4)),Variables!$B$6*Variables!$E$50+Variables!$B$7*$G$1*Variables!$E$50*SUM(D353:D356),0)</f>
        <v>0</v>
      </c>
      <c r="L356" s="64">
        <f>IF(B356="Winter",Variables!$B$8*H355,0)</f>
        <v>0</v>
      </c>
      <c r="M356" s="64">
        <f>IF(AND(B356="Spring",AND(NOT(H355=0),H355&lt;(Variables!$B$9*Variables!$E$50))),(Variables!$B$10*Variables!$E$50+Variables!$B$11*Variables!$E$50*SUM(E353:E356)+$G$1*SUM(D355:D356)*Variables!$E$50*Variables!$B$12),0)</f>
        <v>0</v>
      </c>
      <c r="N356" s="64">
        <f>IF(AND(B356="Spring",AND(SUM(D353:D356)&gt;Variables!$B$13,SUM(D349:D352)&gt;Variables!$B$13)),-Variables!$B$14*Variables!$E$50,0)</f>
        <v>0</v>
      </c>
      <c r="O356" s="64">
        <f>IF(AND(B356="Summer",SUM(C352:D356)&gt;Variables!$B$15),(Variables!$B$16*Variables!$E$50*SUM(C352:C356)+$G$1*Variables!$B$16*Variables!$E$50*SUM(D352:D356)+$G$1*Variables!$E$50*Variables!$B$17*F356),0)</f>
        <v>0</v>
      </c>
      <c r="P356" s="64">
        <f>IF(AND(AND(B356="Autumn",SUM(D355:E356)&gt;0),NOT(H355=0)),Variables!$B$18*Variables!$E$50+Variables!$B$19*Variables!$E$50*SUM(E355:E356)+$G$1*Variables!$B$19*Variables!$E$50*SUM(D355:D356),0)</f>
        <v>0</v>
      </c>
      <c r="Q356" s="64">
        <f>IF(AND(B356="Autumn",AND((E356+E355)&lt;Variables!$B$20,(D355+D356)=0)),-Variables!$B$21*Variables!$E$50,0)</f>
        <v>0</v>
      </c>
      <c r="R356" s="64">
        <f>IF(B356="Autumn",(SUM(F355:F356)*$G$1*Variables!$B$22*Variables!$E$50),0)</f>
        <v>3.5519949008103409E-2</v>
      </c>
      <c r="S356" s="64">
        <f>IF(B356="Spring",($G$1*Variables!$E$50*SUM('Guts (option 2)'!F355:F356)*Variables!$B$23),0)</f>
        <v>0</v>
      </c>
      <c r="T356" s="63">
        <f>IF((H355+SUM(J356:Q356))&lt;(Variables!$B$26*Variables!$E$50),$F$1*((Variables!$B$26*Variables!$E$50)-H355-SUM(J356:Q356)),0)</f>
        <v>0</v>
      </c>
      <c r="U356" s="64">
        <f>IF(AND(AND(B356="Autumn",SUM(D353:E356)&gt;Variables!$B$27),SUM(J356:Q356)&lt;Variables!$B$28*H355),$F$1*(Variables!$B$28*H355-SUM(J356:Q356)),0)</f>
        <v>0</v>
      </c>
      <c r="V356" s="96">
        <f>IF(AND((J356+K356)=0,(Q356+T356)=0),$H$1*H356*Variables!$I$23*0.25,0)</f>
        <v>17.164622112657341</v>
      </c>
      <c r="W356" s="97">
        <f>IF(AND((K356+J356)=0,(T356+Q356)=0),$I$1*H356*Variables!$Q$23*0.25,0)</f>
        <v>17.966819224493999</v>
      </c>
      <c r="X356" s="95">
        <f>IF(AND(NOT(K356=0),(H356-H355)&gt;0),(H356-H355)*(Variables!$M$5*$H$1+Variables!$U$5*$I$1),0)+IF(AND(NOT((J356+N356+Q356)=0),(H355-H356)&gt;0),(H355-H356)*(Variables!$M$4*$H$1+Variables!$U$4*$I$1),0)</f>
        <v>0</v>
      </c>
      <c r="Y356" s="95">
        <f>IF(SUM(T356,U355:U356)&gt;0,H356*Variables!$Y$11*0.25*(1-$J$1),0)</f>
        <v>0</v>
      </c>
      <c r="Z356" s="95">
        <f>IF(T356=0,H356*$J$1*Variables!$Y$5*0.25,0)</f>
        <v>5.789785950408934</v>
      </c>
      <c r="AA356" s="95">
        <f t="shared" si="11"/>
        <v>40.921227287560278</v>
      </c>
      <c r="AB356" s="91">
        <f>AA356/Variables!$E$49</f>
        <v>6.6001979496064962</v>
      </c>
    </row>
    <row r="357" spans="1:28" x14ac:dyDescent="0.25">
      <c r="A357" s="61">
        <f>'Water runs'!C364</f>
        <v>34577</v>
      </c>
      <c r="B357" s="61" t="str">
        <f>'Water runs'!B364</f>
        <v>Winter</v>
      </c>
      <c r="C357" s="54">
        <f>'Water runs'!D364/100</f>
        <v>0</v>
      </c>
      <c r="D357" s="108">
        <f>VLOOKUP(ROW(D357)+4,'Water runs'!$BS$3:$CF$423,MATCH($B$1,Scenarios,0)+1)</f>
        <v>0</v>
      </c>
      <c r="E357" s="54">
        <f>IF(B357=Variables!$D$8,C357-Variables!$E$8,IF(B357=Variables!$D$9,C357-Variables!$E$9,IF(B357=Variables!$D$10,C357-Variables!$E$10,IF(B357=Variables!$D$11,C357-Variables!$E$11,"ELSE"))))</f>
        <v>-0.57176762566137573</v>
      </c>
      <c r="F357" s="108">
        <f>VLOOKUP(ROW(F357)+4,'Water runs'!$CH$3:$CU$423,MATCH($B$1,Scenarios,0)+1)</f>
        <v>0</v>
      </c>
      <c r="G357" s="65">
        <f>H357/Variables!$E$49</f>
        <v>0.21638631953632867</v>
      </c>
      <c r="H357" s="62">
        <f>IF((H356+I357)&gt;(1.1*Variables!$E$50),(1.1*Variables!$E$50),IF((H356+I357)&gt;0,H356+I357,0))</f>
        <v>1.3415951811252378</v>
      </c>
      <c r="I357" s="64">
        <f t="shared" si="10"/>
        <v>-1.3306137190635012</v>
      </c>
      <c r="J357" s="63">
        <f>IF(SUM(E353:E356)&lt;Variables!$B$3,-H356,0)</f>
        <v>0</v>
      </c>
      <c r="K357" s="64">
        <f>IF(AND(H356&lt;Variables!$B$6*Variables!$E$50,OR(SUM(D354:D357)&gt;Variables!$B$5,SUM(E354:E357)&gt;Variables!$B$4)),Variables!$B$6*Variables!$E$50+Variables!$B$7*$G$1*Variables!$E$50*SUM(D354:D357),0)</f>
        <v>0</v>
      </c>
      <c r="L357" s="64">
        <f>IF(B357="Winter",Variables!$B$8*H356,0)</f>
        <v>-1.3306137190635012</v>
      </c>
      <c r="M357" s="64">
        <f>IF(AND(B357="Spring",AND(NOT(H356=0),H356&lt;(Variables!$B$9*Variables!$E$50))),(Variables!$B$10*Variables!$E$50+Variables!$B$11*Variables!$E$50*SUM(E354:E357)+$G$1*SUM(D356:D357)*Variables!$E$50*Variables!$B$12),0)</f>
        <v>0</v>
      </c>
      <c r="N357" s="64">
        <f>IF(AND(B357="Spring",AND(SUM(D354:D357)&gt;Variables!$B$13,SUM(D350:D353)&gt;Variables!$B$13)),-Variables!$B$14*Variables!$E$50,0)</f>
        <v>0</v>
      </c>
      <c r="O357" s="64">
        <f>IF(AND(B357="Summer",SUM(C353:D357)&gt;Variables!$B$15),(Variables!$B$16*Variables!$E$50*SUM(C353:C357)+$G$1*Variables!$B$16*Variables!$E$50*SUM(D353:D357)+$G$1*Variables!$E$50*Variables!$B$17*F357),0)</f>
        <v>0</v>
      </c>
      <c r="P357" s="64">
        <f>IF(AND(AND(B357="Autumn",SUM(D356:E357)&gt;0),NOT(H356=0)),Variables!$B$18*Variables!$E$50+Variables!$B$19*Variables!$E$50*SUM(E356:E357)+$G$1*Variables!$B$19*Variables!$E$50*SUM(D356:D357),0)</f>
        <v>0</v>
      </c>
      <c r="Q357" s="64">
        <f>IF(AND(B357="Autumn",AND((E357+E356)&lt;Variables!$B$20,(D356+D357)=0)),-Variables!$B$21*Variables!$E$50,0)</f>
        <v>0</v>
      </c>
      <c r="R357" s="64">
        <f>IF(B357="Autumn",(SUM(F356:F357)*$G$1*Variables!$B$22*Variables!$E$50),0)</f>
        <v>0</v>
      </c>
      <c r="S357" s="64">
        <f>IF(B357="Spring",($G$1*Variables!$E$50*SUM('Guts (option 2)'!F356:F357)*Variables!$B$23),0)</f>
        <v>0</v>
      </c>
      <c r="T357" s="63">
        <f>IF((H356+SUM(J357:Q357))&lt;(Variables!$B$26*Variables!$E$50),$F$1*((Variables!$B$26*Variables!$E$50)-H356-SUM(J357:Q357)),0)</f>
        <v>0</v>
      </c>
      <c r="U357" s="64">
        <f>IF(AND(AND(B357="Autumn",SUM(D354:E357)&gt;Variables!$B$27),SUM(J357:Q357)&lt;Variables!$B$28*H356),$F$1*(Variables!$B$28*H356-SUM(J357:Q357)),0)</f>
        <v>0</v>
      </c>
      <c r="V357" s="96">
        <f>IF(AND((J357+K357)=0,(Q357+T357)=0),$H$1*H357*Variables!$I$23*0.25,0)</f>
        <v>8.617580126520167</v>
      </c>
      <c r="W357" s="97">
        <f>IF(AND((K357+J357)=0,(T357+Q357)=0),$I$1*H357*Variables!$Q$23*0.25,0)</f>
        <v>9.0203269998939621</v>
      </c>
      <c r="X357" s="95">
        <f>IF(AND(NOT(K357=0),(H357-H356)&gt;0),(H357-H356)*(Variables!$M$5*$H$1+Variables!$U$5*$I$1),0)+IF(AND(NOT((J357+N357+Q357)=0),(H356-H357)&gt;0),(H356-H357)*(Variables!$M$4*$H$1+Variables!$U$4*$I$1),0)</f>
        <v>0</v>
      </c>
      <c r="Y357" s="95">
        <f>IF(SUM(T357,U356:U357)&gt;0,H357*Variables!$Y$11*0.25*(1-$J$1),0)</f>
        <v>0</v>
      </c>
      <c r="Z357" s="95">
        <f>IF(T357=0,H357*$J$1*Variables!$Y$5*0.25,0)</f>
        <v>2.906789559104682</v>
      </c>
      <c r="AA357" s="95">
        <f t="shared" si="11"/>
        <v>20.544696685518808</v>
      </c>
      <c r="AB357" s="91">
        <f>AA357/Variables!$E$49</f>
        <v>3.31366075572884</v>
      </c>
    </row>
    <row r="358" spans="1:28" x14ac:dyDescent="0.25">
      <c r="A358" s="61">
        <f>'Water runs'!C365</f>
        <v>34668</v>
      </c>
      <c r="B358" s="61" t="str">
        <f>'Water runs'!B365</f>
        <v>Spring</v>
      </c>
      <c r="C358" s="54">
        <f>'Water runs'!D365/100</f>
        <v>0.64426785714285695</v>
      </c>
      <c r="D358" s="108">
        <f>VLOOKUP(ROW(D358)+4,'Water runs'!$BS$3:$CF$423,MATCH($B$1,Scenarios,0)+1)</f>
        <v>0</v>
      </c>
      <c r="E358" s="54">
        <f>IF(B358=Variables!$D$8,C358-Variables!$E$8,IF(B358=Variables!$D$9,C358-Variables!$E$9,IF(B358=Variables!$D$10,C358-Variables!$E$10,IF(B358=Variables!$D$11,C358-Variables!$E$11,"ELSE"))))</f>
        <v>-0.1197143518518522</v>
      </c>
      <c r="F358" s="108">
        <f>VLOOKUP(ROW(F358)+4,'Water runs'!$CH$3:$CU$423,MATCH($B$1,Scenarios,0)+1)</f>
        <v>0</v>
      </c>
      <c r="G358" s="65">
        <f>H358/Variables!$E$49</f>
        <v>0.161</v>
      </c>
      <c r="H358" s="62">
        <f>IF((H357+I358)&gt;(1.1*Variables!$E$50),(1.1*Variables!$E$50),IF((H357+I358)&gt;0,H357+I358,0))</f>
        <v>0.99820000000000009</v>
      </c>
      <c r="I358" s="64">
        <f t="shared" si="10"/>
        <v>-0.3433951811252377</v>
      </c>
      <c r="J358" s="63">
        <f>IF(SUM(E354:E357)&lt;Variables!$B$3,-H357,0)</f>
        <v>0</v>
      </c>
      <c r="K358" s="64">
        <f>IF(AND(H357&lt;Variables!$B$6*Variables!$E$50,OR(SUM(D355:D358)&gt;Variables!$B$5,SUM(E355:E358)&gt;Variables!$B$4)),Variables!$B$6*Variables!$E$50+Variables!$B$7*$G$1*Variables!$E$50*SUM(D355:D358),0)</f>
        <v>0</v>
      </c>
      <c r="L358" s="64">
        <f>IF(B358="Winter",Variables!$B$8*H357,0)</f>
        <v>0</v>
      </c>
      <c r="M358" s="64">
        <f>IF(AND(B358="Spring",AND(NOT(H357=0),H357&lt;(Variables!$B$9*Variables!$E$50))),(Variables!$B$10*Variables!$E$50+Variables!$B$11*Variables!$E$50*SUM(E355:E358)+$G$1*SUM(D357:D358)*Variables!$E$50*Variables!$B$12),0)</f>
        <v>-1.0739460220682007</v>
      </c>
      <c r="N358" s="64">
        <f>IF(AND(B358="Spring",AND(SUM(D355:D358)&gt;Variables!$B$13,SUM(D351:D354)&gt;Variables!$B$13)),-Variables!$B$14*Variables!$E$50,0)</f>
        <v>0</v>
      </c>
      <c r="O358" s="64">
        <f>IF(AND(B358="Summer",SUM(C354:D358)&gt;Variables!$B$15),(Variables!$B$16*Variables!$E$50*SUM(C354:C358)+$G$1*Variables!$B$16*Variables!$E$50*SUM(D354:D358)+$G$1*Variables!$E$50*Variables!$B$17*F358),0)</f>
        <v>0</v>
      </c>
      <c r="P358" s="64">
        <f>IF(AND(AND(B358="Autumn",SUM(D357:E358)&gt;0),NOT(H357=0)),Variables!$B$18*Variables!$E$50+Variables!$B$19*Variables!$E$50*SUM(E357:E358)+$G$1*Variables!$B$19*Variables!$E$50*SUM(D357:D358),0)</f>
        <v>0</v>
      </c>
      <c r="Q358" s="64">
        <f>IF(AND(B358="Autumn",AND((E358+E357)&lt;Variables!$B$20,(D357+D358)=0)),-Variables!$B$21*Variables!$E$50,0)</f>
        <v>0</v>
      </c>
      <c r="R358" s="64">
        <f>IF(B358="Autumn",(SUM(F357:F358)*$G$1*Variables!$B$22*Variables!$E$50),0)</f>
        <v>0</v>
      </c>
      <c r="S358" s="64">
        <f>IF(B358="Spring",($G$1*Variables!$E$50*SUM('Guts (option 2)'!F357:F358)*Variables!$B$23),0)</f>
        <v>0</v>
      </c>
      <c r="T358" s="63">
        <f>IF((H357+SUM(J358:Q358))&lt;(Variables!$B$26*Variables!$E$50),$F$1*((Variables!$B$26*Variables!$E$50)-H357-SUM(J358:Q358)),0)</f>
        <v>0.73055084094296296</v>
      </c>
      <c r="U358" s="64">
        <f>IF(AND(AND(B358="Autumn",SUM(D355:E358)&gt;Variables!$B$27),SUM(J358:Q358)&lt;Variables!$B$28*H357),$F$1*(Variables!$B$28*H357-SUM(J358:Q358)),0)</f>
        <v>0</v>
      </c>
      <c r="V358" s="96">
        <f>IF(AND((J358+K358)=0,(Q358+T358)=0),$H$1*H358*Variables!$I$23*0.25,0)</f>
        <v>0</v>
      </c>
      <c r="W358" s="97">
        <f>IF(AND((K358+J358)=0,(T358+Q358)=0),$I$1*H358*Variables!$Q$23*0.25,0)</f>
        <v>0</v>
      </c>
      <c r="X358" s="95">
        <f>IF(AND(NOT(K358=0),(H358-H357)&gt;0),(H358-H357)*(Variables!$M$5*$H$1+Variables!$U$5*$I$1),0)+IF(AND(NOT((J358+N358+Q358)=0),(H357-H358)&gt;0),(H357-H358)*(Variables!$M$4*$H$1+Variables!$U$4*$I$1),0)</f>
        <v>0</v>
      </c>
      <c r="Y358" s="95">
        <f>IF(SUM(T358,U357:U358)&gt;0,H358*Variables!$Y$11*0.25*(1-$J$1),0)</f>
        <v>-6.9874000000000018</v>
      </c>
      <c r="Z358" s="95">
        <f>IF(T358=0,H358*$J$1*Variables!$Y$5*0.25,0)</f>
        <v>0</v>
      </c>
      <c r="AA358" s="95">
        <f t="shared" si="11"/>
        <v>-6.9874000000000018</v>
      </c>
      <c r="AB358" s="91">
        <f>AA358/Variables!$E$49</f>
        <v>-1.1270000000000002</v>
      </c>
    </row>
    <row r="359" spans="1:28" x14ac:dyDescent="0.25">
      <c r="A359" s="61">
        <f>'Water runs'!C366</f>
        <v>34758</v>
      </c>
      <c r="B359" s="61" t="str">
        <f>'Water runs'!B366</f>
        <v>Summer</v>
      </c>
      <c r="C359" s="54">
        <f>'Water runs'!D366/100</f>
        <v>1.9843500000000001</v>
      </c>
      <c r="D359" s="108">
        <f>VLOOKUP(ROW(D359)+4,'Water runs'!$BS$3:$CF$423,MATCH($B$1,Scenarios,0)+1)</f>
        <v>0</v>
      </c>
      <c r="E359" s="54">
        <f>IF(B359=Variables!$D$8,C359-Variables!$E$8,IF(B359=Variables!$D$9,C359-Variables!$E$9,IF(B359=Variables!$D$10,C359-Variables!$E$10,IF(B359=Variables!$D$11,C359-Variables!$E$11,"ELSE"))))</f>
        <v>0.72597986394557834</v>
      </c>
      <c r="F359" s="108">
        <f>VLOOKUP(ROW(F359)+4,'Water runs'!$CH$3:$CU$423,MATCH($B$1,Scenarios,0)+1)</f>
        <v>0</v>
      </c>
      <c r="G359" s="65">
        <f>H359/Variables!$E$49</f>
        <v>0.34702532191862168</v>
      </c>
      <c r="H359" s="62">
        <f>IF((H358+I359)&gt;(1.1*Variables!$E$50),(1.1*Variables!$E$50),IF((H358+I359)&gt;0,H358+I359,0))</f>
        <v>2.1515569958954543</v>
      </c>
      <c r="I359" s="64">
        <f t="shared" si="10"/>
        <v>1.1533569958954544</v>
      </c>
      <c r="J359" s="63">
        <f>IF(SUM(E355:E358)&lt;Variables!$B$3,-H358,0)</f>
        <v>0</v>
      </c>
      <c r="K359" s="64">
        <f>IF(AND(H358&lt;Variables!$B$6*Variables!$E$50,OR(SUM(D356:D359)&gt;Variables!$B$5,SUM(E356:E359)&gt;Variables!$B$4)),Variables!$B$6*Variables!$E$50+Variables!$B$7*$G$1*Variables!$E$50*SUM(D356:D359),0)</f>
        <v>1.1533569958954544</v>
      </c>
      <c r="L359" s="64">
        <f>IF(B359="Winter",Variables!$B$8*H358,0)</f>
        <v>0</v>
      </c>
      <c r="M359" s="64">
        <f>IF(AND(B359="Spring",AND(NOT(H358=0),H358&lt;(Variables!$B$9*Variables!$E$50))),(Variables!$B$10*Variables!$E$50+Variables!$B$11*Variables!$E$50*SUM(E356:E359)+$G$1*SUM(D358:D359)*Variables!$E$50*Variables!$B$12),0)</f>
        <v>0</v>
      </c>
      <c r="N359" s="64">
        <f>IF(AND(B359="Spring",AND(SUM(D356:D359)&gt;Variables!$B$13,SUM(D352:D355)&gt;Variables!$B$13)),-Variables!$B$14*Variables!$E$50,0)</f>
        <v>0</v>
      </c>
      <c r="O359" s="64">
        <f>IF(AND(B359="Summer",SUM(C355:D359)&gt;Variables!$B$15),(Variables!$B$16*Variables!$E$50*SUM(C355:C359)+$G$1*Variables!$B$16*Variables!$E$50*SUM(D355:D359)+$G$1*Variables!$E$50*Variables!$B$17*F359),0)</f>
        <v>0</v>
      </c>
      <c r="P359" s="64">
        <f>IF(AND(AND(B359="Autumn",SUM(D358:E359)&gt;0),NOT(H358=0)),Variables!$B$18*Variables!$E$50+Variables!$B$19*Variables!$E$50*SUM(E358:E359)+$G$1*Variables!$B$19*Variables!$E$50*SUM(D358:D359),0)</f>
        <v>0</v>
      </c>
      <c r="Q359" s="64">
        <f>IF(AND(B359="Autumn",AND((E359+E358)&lt;Variables!$B$20,(D358+D359)=0)),-Variables!$B$21*Variables!$E$50,0)</f>
        <v>0</v>
      </c>
      <c r="R359" s="64">
        <f>IF(B359="Autumn",(SUM(F358:F359)*$G$1*Variables!$B$22*Variables!$E$50),0)</f>
        <v>0</v>
      </c>
      <c r="S359" s="64">
        <f>IF(B359="Spring",($G$1*Variables!$E$50*SUM('Guts (option 2)'!F358:F359)*Variables!$B$23),0)</f>
        <v>0</v>
      </c>
      <c r="T359" s="63">
        <f>IF((H358+SUM(J359:Q359))&lt;(Variables!$B$26*Variables!$E$50),$F$1*((Variables!$B$26*Variables!$E$50)-H358-SUM(J359:Q359)),0)</f>
        <v>0</v>
      </c>
      <c r="U359" s="64">
        <f>IF(AND(AND(B359="Autumn",SUM(D356:E359)&gt;Variables!$B$27),SUM(J359:Q359)&lt;Variables!$B$28*H358),$F$1*(Variables!$B$28*H358-SUM(J359:Q359)),0)</f>
        <v>0</v>
      </c>
      <c r="V359" s="96">
        <f>IF(AND((J359+K359)=0,(Q359+T359)=0),$H$1*H359*Variables!$I$23*0.25,0)</f>
        <v>0</v>
      </c>
      <c r="W359" s="97">
        <f>IF(AND((K359+J359)=0,(T359+Q359)=0),$I$1*H359*Variables!$Q$23*0.25,0)</f>
        <v>0</v>
      </c>
      <c r="X359" s="95">
        <f>IF(AND(NOT(K359=0),(H359-H358)&gt;0),(H359-H358)*(Variables!$M$5*$H$1+Variables!$U$5*$I$1),0)+IF(AND(NOT((J359+N359+Q359)=0),(H358-H359)&gt;0),(H358-H359)*(Variables!$M$4*$H$1+Variables!$U$4*$I$1),0)</f>
        <v>-96.11308299128784</v>
      </c>
      <c r="Y359" s="95">
        <f>IF(SUM(T359,U358:U359)&gt;0,H359*Variables!$Y$11*0.25*(1-$J$1),0)</f>
        <v>0</v>
      </c>
      <c r="Z359" s="95">
        <f>IF(T359=0,H359*$J$1*Variables!$Y$5*0.25,0)</f>
        <v>4.6617068244401505</v>
      </c>
      <c r="AA359" s="95">
        <f t="shared" si="11"/>
        <v>-91.451376166847695</v>
      </c>
      <c r="AB359" s="91">
        <f>AA359/Variables!$E$49</f>
        <v>-14.750221962394789</v>
      </c>
    </row>
    <row r="360" spans="1:28" x14ac:dyDescent="0.25">
      <c r="A360" s="61">
        <f>'Water runs'!C367</f>
        <v>34850</v>
      </c>
      <c r="B360" s="61" t="str">
        <f>'Water runs'!B367</f>
        <v>Autumn</v>
      </c>
      <c r="C360" s="54">
        <f>'Water runs'!D367/100</f>
        <v>1.040875</v>
      </c>
      <c r="D360" s="108">
        <f>VLOOKUP(ROW(D360)+4,'Water runs'!$BS$3:$CF$423,MATCH($B$1,Scenarios,0)+1)</f>
        <v>3.6761969611794234E-3</v>
      </c>
      <c r="E360" s="54">
        <f>IF(B360=Variables!$D$8,C360-Variables!$E$8,IF(B360=Variables!$D$9,C360-Variables!$E$9,IF(B360=Variables!$D$10,C360-Variables!$E$10,IF(B360=Variables!$D$11,C360-Variables!$E$11,"ELSE"))))</f>
        <v>4.6231700680272159E-2</v>
      </c>
      <c r="F360" s="108">
        <f>VLOOKUP(ROW(F360)+4,'Water runs'!$CH$3:$CU$423,MATCH($B$1,Scenarios,0)+1)</f>
        <v>0</v>
      </c>
      <c r="G360" s="65">
        <f>H360/Variables!$E$49</f>
        <v>0.67944151356550642</v>
      </c>
      <c r="H360" s="62">
        <f>IF((H359+I360)&gt;(1.1*Variables!$E$50),(1.1*Variables!$E$50),IF((H359+I360)&gt;0,H359+I360,0))</f>
        <v>4.21253738410614</v>
      </c>
      <c r="I360" s="64">
        <f t="shared" si="10"/>
        <v>2.0609803882106852</v>
      </c>
      <c r="J360" s="63">
        <f>IF(SUM(E356:E359)&lt;Variables!$B$3,-H359,0)</f>
        <v>0</v>
      </c>
      <c r="K360" s="64">
        <f>IF(AND(H359&lt;Variables!$B$6*Variables!$E$50,OR(SUM(D357:D360)&gt;Variables!$B$5,SUM(E357:E360)&gt;Variables!$B$4)),Variables!$B$6*Variables!$E$50+Variables!$B$7*$G$1*Variables!$E$50*SUM(D357:D360),0)</f>
        <v>0</v>
      </c>
      <c r="L360" s="64">
        <f>IF(B360="Winter",Variables!$B$8*H359,0)</f>
        <v>0</v>
      </c>
      <c r="M360" s="64">
        <f>IF(AND(B360="Spring",AND(NOT(H359=0),H359&lt;(Variables!$B$9*Variables!$E$50))),(Variables!$B$10*Variables!$E$50+Variables!$B$11*Variables!$E$50*SUM(E357:E360)+$G$1*SUM(D359:D360)*Variables!$E$50*Variables!$B$12),0)</f>
        <v>0</v>
      </c>
      <c r="N360" s="64">
        <f>IF(AND(B360="Spring",AND(SUM(D357:D360)&gt;Variables!$B$13,SUM(D353:D356)&gt;Variables!$B$13)),-Variables!$B$14*Variables!$E$50,0)</f>
        <v>0</v>
      </c>
      <c r="O360" s="64">
        <f>IF(AND(B360="Summer",SUM(C356:D360)&gt;Variables!$B$15),(Variables!$B$16*Variables!$E$50*SUM(C356:C360)+$G$1*Variables!$B$16*Variables!$E$50*SUM(D356:D360)+$G$1*Variables!$E$50*Variables!$B$17*F360),0)</f>
        <v>0</v>
      </c>
      <c r="P360" s="64">
        <f>IF(AND(AND(B360="Autumn",SUM(D359:E360)&gt;0),NOT(H359=0)),Variables!$B$18*Variables!$E$50+Variables!$B$19*Variables!$E$50*SUM(E359:E360)+$G$1*Variables!$B$19*Variables!$E$50*SUM(D359:D360),0)</f>
        <v>2.0609803882106852</v>
      </c>
      <c r="Q360" s="64">
        <f>IF(AND(B360="Autumn",AND((E360+E359)&lt;Variables!$B$20,(D359+D360)=0)),-Variables!$B$21*Variables!$E$50,0)</f>
        <v>0</v>
      </c>
      <c r="R360" s="64">
        <f>IF(B360="Autumn",(SUM(F359:F360)*$G$1*Variables!$B$22*Variables!$E$50),0)</f>
        <v>0</v>
      </c>
      <c r="S360" s="64">
        <f>IF(B360="Spring",($G$1*Variables!$E$50*SUM('Guts (option 2)'!F359:F360)*Variables!$B$23),0)</f>
        <v>0</v>
      </c>
      <c r="T360" s="63">
        <f>IF((H359+SUM(J360:Q360))&lt;(Variables!$B$26*Variables!$E$50),$F$1*((Variables!$B$26*Variables!$E$50)-H359-SUM(J360:Q360)),0)</f>
        <v>0</v>
      </c>
      <c r="U360" s="64">
        <f>IF(AND(AND(B360="Autumn",SUM(D357:E360)&gt;Variables!$B$27),SUM(J360:Q360)&lt;Variables!$B$28*H359),$F$1*(Variables!$B$28*H359-SUM(J360:Q360)),0)</f>
        <v>0</v>
      </c>
      <c r="V360" s="96">
        <f>IF(AND((J360+K360)=0,(Q360+T360)=0),$H$1*H360*Variables!$I$23*0.25,0)</f>
        <v>27.058742424110978</v>
      </c>
      <c r="W360" s="97">
        <f>IF(AND((K360+J360)=0,(T360+Q360)=0),$I$1*H360*Variables!$Q$23*0.25,0)</f>
        <v>28.323346146819638</v>
      </c>
      <c r="X360" s="95">
        <f>IF(AND(NOT(K360=0),(H360-H359)&gt;0),(H360-H359)*(Variables!$M$5*$H$1+Variables!$U$5*$I$1),0)+IF(AND(NOT((J360+N360+Q360)=0),(H359-H360)&gt;0),(H359-H360)*(Variables!$M$4*$H$1+Variables!$U$4*$I$1),0)</f>
        <v>0</v>
      </c>
      <c r="Y360" s="95">
        <f>IF(SUM(T360,U359:U360)&gt;0,H360*Variables!$Y$11*0.25*(1-$J$1),0)</f>
        <v>0</v>
      </c>
      <c r="Z360" s="95">
        <f>IF(T360=0,H360*$J$1*Variables!$Y$5*0.25,0)</f>
        <v>9.1271643322299703</v>
      </c>
      <c r="AA360" s="95">
        <f t="shared" si="11"/>
        <v>64.509252903160586</v>
      </c>
      <c r="AB360" s="91">
        <f>AA360/Variables!$E$49</f>
        <v>10.404718210187191</v>
      </c>
    </row>
    <row r="361" spans="1:28" x14ac:dyDescent="0.25">
      <c r="A361" s="61">
        <f>'Water runs'!C368</f>
        <v>34942</v>
      </c>
      <c r="B361" s="61" t="str">
        <f>'Water runs'!B368</f>
        <v>Winter</v>
      </c>
      <c r="C361" s="54">
        <f>'Water runs'!D368/100</f>
        <v>0.24350000000000002</v>
      </c>
      <c r="D361" s="108">
        <f>VLOOKUP(ROW(D361)+4,'Water runs'!$BS$3:$CF$423,MATCH($B$1,Scenarios,0)+1)</f>
        <v>0</v>
      </c>
      <c r="E361" s="54">
        <f>IF(B361=Variables!$D$8,C361-Variables!$E$8,IF(B361=Variables!$D$9,C361-Variables!$E$9,IF(B361=Variables!$D$10,C361-Variables!$E$10,IF(B361=Variables!$D$11,C361-Variables!$E$11,"ELSE"))))</f>
        <v>-0.32826762566137568</v>
      </c>
      <c r="F361" s="108">
        <f>VLOOKUP(ROW(F361)+4,'Water runs'!$CH$3:$CU$423,MATCH($B$1,Scenarios,0)+1)</f>
        <v>0</v>
      </c>
      <c r="G361" s="65">
        <f>H361/Variables!$E$49</f>
        <v>0.34111684172279311</v>
      </c>
      <c r="H361" s="62">
        <f>IF((H360+I361)&gt;(1.1*Variables!$E$50),(1.1*Variables!$E$50),IF((H360+I361)&gt;0,H360+I361,0))</f>
        <v>2.1149244186813174</v>
      </c>
      <c r="I361" s="64">
        <f t="shared" si="10"/>
        <v>-2.0976129654248226</v>
      </c>
      <c r="J361" s="63">
        <f>IF(SUM(E357:E360)&lt;Variables!$B$3,-H360,0)</f>
        <v>0</v>
      </c>
      <c r="K361" s="64">
        <f>IF(AND(H360&lt;Variables!$B$6*Variables!$E$50,OR(SUM(D358:D361)&gt;Variables!$B$5,SUM(E358:E361)&gt;Variables!$B$4)),Variables!$B$6*Variables!$E$50+Variables!$B$7*$G$1*Variables!$E$50*SUM(D358:D361),0)</f>
        <v>0</v>
      </c>
      <c r="L361" s="64">
        <f>IF(B361="Winter",Variables!$B$8*H360,0)</f>
        <v>-2.0976129654248226</v>
      </c>
      <c r="M361" s="64">
        <f>IF(AND(B361="Spring",AND(NOT(H360=0),H360&lt;(Variables!$B$9*Variables!$E$50))),(Variables!$B$10*Variables!$E$50+Variables!$B$11*Variables!$E$50*SUM(E358:E361)+$G$1*SUM(D360:D361)*Variables!$E$50*Variables!$B$12),0)</f>
        <v>0</v>
      </c>
      <c r="N361" s="64">
        <f>IF(AND(B361="Spring",AND(SUM(D358:D361)&gt;Variables!$B$13,SUM(D354:D357)&gt;Variables!$B$13)),-Variables!$B$14*Variables!$E$50,0)</f>
        <v>0</v>
      </c>
      <c r="O361" s="64">
        <f>IF(AND(B361="Summer",SUM(C357:D361)&gt;Variables!$B$15),(Variables!$B$16*Variables!$E$50*SUM(C357:C361)+$G$1*Variables!$B$16*Variables!$E$50*SUM(D357:D361)+$G$1*Variables!$E$50*Variables!$B$17*F361),0)</f>
        <v>0</v>
      </c>
      <c r="P361" s="64">
        <f>IF(AND(AND(B361="Autumn",SUM(D360:E361)&gt;0),NOT(H360=0)),Variables!$B$18*Variables!$E$50+Variables!$B$19*Variables!$E$50*SUM(E360:E361)+$G$1*Variables!$B$19*Variables!$E$50*SUM(D360:D361),0)</f>
        <v>0</v>
      </c>
      <c r="Q361" s="64">
        <f>IF(AND(B361="Autumn",AND((E361+E360)&lt;Variables!$B$20,(D360+D361)=0)),-Variables!$B$21*Variables!$E$50,0)</f>
        <v>0</v>
      </c>
      <c r="R361" s="64">
        <f>IF(B361="Autumn",(SUM(F360:F361)*$G$1*Variables!$B$22*Variables!$E$50),0)</f>
        <v>0</v>
      </c>
      <c r="S361" s="64">
        <f>IF(B361="Spring",($G$1*Variables!$E$50*SUM('Guts (option 2)'!F360:F361)*Variables!$B$23),0)</f>
        <v>0</v>
      </c>
      <c r="T361" s="63">
        <f>IF((H360+SUM(J361:Q361))&lt;(Variables!$B$26*Variables!$E$50),$F$1*((Variables!$B$26*Variables!$E$50)-H360-SUM(J361:Q361)),0)</f>
        <v>0</v>
      </c>
      <c r="U361" s="64">
        <f>IF(AND(AND(B361="Autumn",SUM(D358:E361)&gt;Variables!$B$27),SUM(J361:Q361)&lt;Variables!$B$28*H360),$F$1*(Variables!$B$28*H360-SUM(J361:Q361)),0)</f>
        <v>0</v>
      </c>
      <c r="V361" s="96">
        <f>IF(AND((J361+K361)=0,(Q361+T361)=0),$H$1*H361*Variables!$I$23*0.25,0)</f>
        <v>13.584970262217261</v>
      </c>
      <c r="W361" s="97">
        <f>IF(AND((K361+J361)=0,(T361+Q361)=0),$I$1*H361*Variables!$Q$23*0.25,0)</f>
        <v>14.219870572705391</v>
      </c>
      <c r="X361" s="95">
        <f>IF(AND(NOT(K361=0),(H361-H360)&gt;0),(H361-H360)*(Variables!$M$5*$H$1+Variables!$U$5*$I$1),0)+IF(AND(NOT((J361+N361+Q361)=0),(H360-H361)&gt;0),(H360-H361)*(Variables!$M$4*$H$1+Variables!$U$4*$I$1),0)</f>
        <v>0</v>
      </c>
      <c r="Y361" s="95">
        <f>IF(SUM(T361,U360:U361)&gt;0,H361*Variables!$Y$11*0.25*(1-$J$1),0)</f>
        <v>0</v>
      </c>
      <c r="Z361" s="95">
        <f>IF(T361=0,H361*$J$1*Variables!$Y$5*0.25,0)</f>
        <v>4.5823362404761872</v>
      </c>
      <c r="AA361" s="95">
        <f t="shared" si="11"/>
        <v>32.387177075398839</v>
      </c>
      <c r="AB361" s="91">
        <f>AA361/Variables!$E$49</f>
        <v>5.2237382379675541</v>
      </c>
    </row>
    <row r="362" spans="1:28" x14ac:dyDescent="0.25">
      <c r="A362" s="61">
        <f>'Water runs'!C369</f>
        <v>35033</v>
      </c>
      <c r="B362" s="61" t="str">
        <f>'Water runs'!B369</f>
        <v>Spring</v>
      </c>
      <c r="C362" s="54">
        <f>'Water runs'!D369/100</f>
        <v>0.84187500000000004</v>
      </c>
      <c r="D362" s="108">
        <f>VLOOKUP(ROW(D362)+4,'Water runs'!$BS$3:$CF$423,MATCH($B$1,Scenarios,0)+1)</f>
        <v>0</v>
      </c>
      <c r="E362" s="54">
        <f>IF(B362=Variables!$D$8,C362-Variables!$E$8,IF(B362=Variables!$D$9,C362-Variables!$E$9,IF(B362=Variables!$D$10,C362-Variables!$E$10,IF(B362=Variables!$D$11,C362-Variables!$E$11,"ELSE"))))</f>
        <v>7.7892791005290896E-2</v>
      </c>
      <c r="F362" s="108">
        <f>VLOOKUP(ROW(F362)+4,'Water runs'!$CH$3:$CU$423,MATCH($B$1,Scenarios,0)+1)</f>
        <v>0</v>
      </c>
      <c r="G362" s="65">
        <f>H362/Variables!$E$49</f>
        <v>0.39843990674714558</v>
      </c>
      <c r="H362" s="62">
        <f>IF((H361+I362)&gt;(1.1*Variables!$E$50),(1.1*Variables!$E$50),IF((H361+I362)&gt;0,H361+I362,0))</f>
        <v>2.4703274218323026</v>
      </c>
      <c r="I362" s="64">
        <f t="shared" si="10"/>
        <v>0.355403003150985</v>
      </c>
      <c r="J362" s="63">
        <f>IF(SUM(E358:E361)&lt;Variables!$B$3,-H361,0)</f>
        <v>0</v>
      </c>
      <c r="K362" s="64">
        <f>IF(AND(H361&lt;Variables!$B$6*Variables!$E$50,OR(SUM(D359:D362)&gt;Variables!$B$5,SUM(E359:E362)&gt;Variables!$B$4)),Variables!$B$6*Variables!$E$50+Variables!$B$7*$G$1*Variables!$E$50*SUM(D359:D362),0)</f>
        <v>0</v>
      </c>
      <c r="L362" s="64">
        <f>IF(B362="Winter",Variables!$B$8*H361,0)</f>
        <v>0</v>
      </c>
      <c r="M362" s="64">
        <f>IF(AND(B362="Spring",AND(NOT(H361=0),H361&lt;(Variables!$B$9*Variables!$E$50))),(Variables!$B$10*Variables!$E$50+Variables!$B$11*Variables!$E$50*SUM(E359:E362)+$G$1*SUM(D361:D362)*Variables!$E$50*Variables!$B$12),0)</f>
        <v>0.355403003150985</v>
      </c>
      <c r="N362" s="64">
        <f>IF(AND(B362="Spring",AND(SUM(D359:D362)&gt;Variables!$B$13,SUM(D355:D358)&gt;Variables!$B$13)),-Variables!$B$14*Variables!$E$50,0)</f>
        <v>0</v>
      </c>
      <c r="O362" s="64">
        <f>IF(AND(B362="Summer",SUM(C358:D362)&gt;Variables!$B$15),(Variables!$B$16*Variables!$E$50*SUM(C358:C362)+$G$1*Variables!$B$16*Variables!$E$50*SUM(D358:D362)+$G$1*Variables!$E$50*Variables!$B$17*F362),0)</f>
        <v>0</v>
      </c>
      <c r="P362" s="64">
        <f>IF(AND(AND(B362="Autumn",SUM(D361:E362)&gt;0),NOT(H361=0)),Variables!$B$18*Variables!$E$50+Variables!$B$19*Variables!$E$50*SUM(E361:E362)+$G$1*Variables!$B$19*Variables!$E$50*SUM(D361:D362),0)</f>
        <v>0</v>
      </c>
      <c r="Q362" s="64">
        <f>IF(AND(B362="Autumn",AND((E362+E361)&lt;Variables!$B$20,(D361+D362)=0)),-Variables!$B$21*Variables!$E$50,0)</f>
        <v>0</v>
      </c>
      <c r="R362" s="64">
        <f>IF(B362="Autumn",(SUM(F361:F362)*$G$1*Variables!$B$22*Variables!$E$50),0)</f>
        <v>0</v>
      </c>
      <c r="S362" s="64">
        <f>IF(B362="Spring",($G$1*Variables!$E$50*SUM('Guts (option 2)'!F361:F362)*Variables!$B$23),0)</f>
        <v>0</v>
      </c>
      <c r="T362" s="63">
        <f>IF((H361+SUM(J362:Q362))&lt;(Variables!$B$26*Variables!$E$50),$F$1*((Variables!$B$26*Variables!$E$50)-H361-SUM(J362:Q362)),0)</f>
        <v>0</v>
      </c>
      <c r="U362" s="64">
        <f>IF(AND(AND(B362="Autumn",SUM(D359:E362)&gt;Variables!$B$27),SUM(J362:Q362)&lt;Variables!$B$28*H361),$F$1*(Variables!$B$28*H361-SUM(J362:Q362)),0)</f>
        <v>0</v>
      </c>
      <c r="V362" s="96">
        <f>IF(AND((J362+K362)=0,(Q362+T362)=0),$H$1*H362*Variables!$I$23*0.25,0)</f>
        <v>15.867859989273915</v>
      </c>
      <c r="W362" s="97">
        <f>IF(AND((K362+J362)=0,(T362+Q362)=0),$I$1*H362*Variables!$Q$23*0.25,0)</f>
        <v>16.60945228130797</v>
      </c>
      <c r="X362" s="95">
        <f>IF(AND(NOT(K362=0),(H362-H361)&gt;0),(H362-H361)*(Variables!$M$5*$H$1+Variables!$U$5*$I$1),0)+IF(AND(NOT((J362+N362+Q362)=0),(H361-H362)&gt;0),(H361-H362)*(Variables!$M$4*$H$1+Variables!$U$4*$I$1),0)</f>
        <v>0</v>
      </c>
      <c r="Y362" s="95">
        <f>IF(SUM(T362,U361:U362)&gt;0,H362*Variables!$Y$11*0.25*(1-$J$1),0)</f>
        <v>0</v>
      </c>
      <c r="Z362" s="95">
        <f>IF(T362=0,H362*$J$1*Variables!$Y$5*0.25,0)</f>
        <v>5.352376080636656</v>
      </c>
      <c r="AA362" s="95">
        <f t="shared" si="11"/>
        <v>37.829688351218536</v>
      </c>
      <c r="AB362" s="91">
        <f>AA362/Variables!$E$49</f>
        <v>6.1015626372933118</v>
      </c>
    </row>
    <row r="363" spans="1:28" x14ac:dyDescent="0.25">
      <c r="A363" s="61">
        <f>'Water runs'!C370</f>
        <v>35123</v>
      </c>
      <c r="B363" s="61" t="str">
        <f>'Water runs'!B370</f>
        <v>Summer</v>
      </c>
      <c r="C363" s="54">
        <f>'Water runs'!D370/100</f>
        <v>1.0483750000000001</v>
      </c>
      <c r="D363" s="108">
        <f>VLOOKUP(ROW(D363)+4,'Water runs'!$BS$3:$CF$423,MATCH($B$1,Scenarios,0)+1)</f>
        <v>1.0331039834044609</v>
      </c>
      <c r="E363" s="54">
        <f>IF(B363=Variables!$D$8,C363-Variables!$E$8,IF(B363=Variables!$D$9,C363-Variables!$E$9,IF(B363=Variables!$D$10,C363-Variables!$E$10,IF(B363=Variables!$D$11,C363-Variables!$E$11,"ELSE"))))</f>
        <v>-0.20999513605442166</v>
      </c>
      <c r="F363" s="108">
        <f>VLOOKUP(ROW(F363)+4,'Water runs'!$CH$3:$CU$423,MATCH($B$1,Scenarios,0)+1)</f>
        <v>2.2682934940102455</v>
      </c>
      <c r="G363" s="65">
        <f>H363/Variables!$E$49</f>
        <v>0.39843990674714558</v>
      </c>
      <c r="H363" s="62">
        <f>IF((H362+I363)&gt;(1.1*Variables!$E$50),(1.1*Variables!$E$50),IF((H362+I363)&gt;0,H362+I363,0))</f>
        <v>2.4703274218323026</v>
      </c>
      <c r="I363" s="64">
        <f t="shared" si="10"/>
        <v>0</v>
      </c>
      <c r="J363" s="63">
        <f>IF(SUM(E359:E362)&lt;Variables!$B$3,-H362,0)</f>
        <v>0</v>
      </c>
      <c r="K363" s="64">
        <f>IF(AND(H362&lt;Variables!$B$6*Variables!$E$50,OR(SUM(D360:D363)&gt;Variables!$B$5,SUM(E360:E363)&gt;Variables!$B$4)),Variables!$B$6*Variables!$E$50+Variables!$B$7*$G$1*Variables!$E$50*SUM(D360:D363),0)</f>
        <v>0</v>
      </c>
      <c r="L363" s="64">
        <f>IF(B363="Winter",Variables!$B$8*H362,0)</f>
        <v>0</v>
      </c>
      <c r="M363" s="64">
        <f>IF(AND(B363="Spring",AND(NOT(H362=0),H362&lt;(Variables!$B$9*Variables!$E$50))),(Variables!$B$10*Variables!$E$50+Variables!$B$11*Variables!$E$50*SUM(E360:E363)+$G$1*SUM(D362:D363)*Variables!$E$50*Variables!$B$12),0)</f>
        <v>0</v>
      </c>
      <c r="N363" s="64">
        <f>IF(AND(B363="Spring",AND(SUM(D360:D363)&gt;Variables!$B$13,SUM(D356:D359)&gt;Variables!$B$13)),-Variables!$B$14*Variables!$E$50,0)</f>
        <v>0</v>
      </c>
      <c r="O363" s="64">
        <f>IF(AND(B363="Summer",SUM(C359:D363)&gt;Variables!$B$15),(Variables!$B$16*Variables!$E$50*SUM(C359:C363)+$G$1*Variables!$B$16*Variables!$E$50*SUM(D359:D363)+$G$1*Variables!$E$50*Variables!$B$17*F363),0)</f>
        <v>0</v>
      </c>
      <c r="P363" s="64">
        <f>IF(AND(AND(B363="Autumn",SUM(D362:E363)&gt;0),NOT(H362=0)),Variables!$B$18*Variables!$E$50+Variables!$B$19*Variables!$E$50*SUM(E362:E363)+$G$1*Variables!$B$19*Variables!$E$50*SUM(D362:D363),0)</f>
        <v>0</v>
      </c>
      <c r="Q363" s="64">
        <f>IF(AND(B363="Autumn",AND((E363+E362)&lt;Variables!$B$20,(D362+D363)=0)),-Variables!$B$21*Variables!$E$50,0)</f>
        <v>0</v>
      </c>
      <c r="R363" s="64">
        <f>IF(B363="Autumn",(SUM(F362:F363)*$G$1*Variables!$B$22*Variables!$E$50),0)</f>
        <v>0</v>
      </c>
      <c r="S363" s="64">
        <f>IF(B363="Spring",($G$1*Variables!$E$50*SUM('Guts (option 2)'!F362:F363)*Variables!$B$23),0)</f>
        <v>0</v>
      </c>
      <c r="T363" s="63">
        <f>IF((H362+SUM(J363:Q363))&lt;(Variables!$B$26*Variables!$E$50),$F$1*((Variables!$B$26*Variables!$E$50)-H362-SUM(J363:Q363)),0)</f>
        <v>0</v>
      </c>
      <c r="U363" s="64">
        <f>IF(AND(AND(B363="Autumn",SUM(D360:E363)&gt;Variables!$B$27),SUM(J363:Q363)&lt;Variables!$B$28*H362),$F$1*(Variables!$B$28*H362-SUM(J363:Q363)),0)</f>
        <v>0</v>
      </c>
      <c r="V363" s="96">
        <f>IF(AND((J363+K363)=0,(Q363+T363)=0),$H$1*H363*Variables!$I$23*0.25,0)</f>
        <v>15.867859989273915</v>
      </c>
      <c r="W363" s="97">
        <f>IF(AND((K363+J363)=0,(T363+Q363)=0),$I$1*H363*Variables!$Q$23*0.25,0)</f>
        <v>16.60945228130797</v>
      </c>
      <c r="X363" s="95">
        <f>IF(AND(NOT(K363=0),(H363-H362)&gt;0),(H363-H362)*(Variables!$M$5*$H$1+Variables!$U$5*$I$1),0)+IF(AND(NOT((J363+N363+Q363)=0),(H362-H363)&gt;0),(H362-H363)*(Variables!$M$4*$H$1+Variables!$U$4*$I$1),0)</f>
        <v>0</v>
      </c>
      <c r="Y363" s="95">
        <f>IF(SUM(T363,U362:U363)&gt;0,H363*Variables!$Y$11*0.25*(1-$J$1),0)</f>
        <v>0</v>
      </c>
      <c r="Z363" s="95">
        <f>IF(T363=0,H363*$J$1*Variables!$Y$5*0.25,0)</f>
        <v>5.352376080636656</v>
      </c>
      <c r="AA363" s="95">
        <f t="shared" si="11"/>
        <v>37.829688351218536</v>
      </c>
      <c r="AB363" s="91">
        <f>AA363/Variables!$E$49</f>
        <v>6.1015626372933118</v>
      </c>
    </row>
    <row r="364" spans="1:28" x14ac:dyDescent="0.25">
      <c r="A364" s="61">
        <f>'Water runs'!C371</f>
        <v>35216</v>
      </c>
      <c r="B364" s="61" t="str">
        <f>'Water runs'!B371</f>
        <v>Autumn</v>
      </c>
      <c r="C364" s="54">
        <f>'Water runs'!D371/100</f>
        <v>1.6425000000000001</v>
      </c>
      <c r="D364" s="108">
        <f>VLOOKUP(ROW(D364)+4,'Water runs'!$BS$3:$CF$423,MATCH($B$1,Scenarios,0)+1)</f>
        <v>0.66656901479821695</v>
      </c>
      <c r="E364" s="54">
        <f>IF(B364=Variables!$D$8,C364-Variables!$E$8,IF(B364=Variables!$D$9,C364-Variables!$E$9,IF(B364=Variables!$D$10,C364-Variables!$E$10,IF(B364=Variables!$D$11,C364-Variables!$E$11,"ELSE"))))</f>
        <v>0.64785670068027224</v>
      </c>
      <c r="F364" s="108">
        <f>VLOOKUP(ROW(F364)+4,'Water runs'!$CH$3:$CU$423,MATCH($B$1,Scenarios,0)+1)</f>
        <v>0</v>
      </c>
      <c r="G364" s="65">
        <f>H364/Variables!$E$49</f>
        <v>1.1071339061080738</v>
      </c>
      <c r="H364" s="62">
        <f>IF((H363+I364)&gt;(1.1*Variables!$E$50),(1.1*Variables!$E$50),IF((H363+I364)&gt;0,H363+I364,0))</f>
        <v>6.864230217870058</v>
      </c>
      <c r="I364" s="64">
        <f t="shared" si="10"/>
        <v>4.3939027960377555</v>
      </c>
      <c r="J364" s="63">
        <f>IF(SUM(E360:E363)&lt;Variables!$B$3,-H363,0)</f>
        <v>0</v>
      </c>
      <c r="K364" s="64">
        <f>IF(AND(H363&lt;Variables!$B$6*Variables!$E$50,OR(SUM(D361:D364)&gt;Variables!$B$5,SUM(E361:E364)&gt;Variables!$B$4)),Variables!$B$6*Variables!$E$50+Variables!$B$7*$G$1*Variables!$E$50*SUM(D361:D364),0)</f>
        <v>0</v>
      </c>
      <c r="L364" s="64">
        <f>IF(B364="Winter",Variables!$B$8*H363,0)</f>
        <v>0</v>
      </c>
      <c r="M364" s="64">
        <f>IF(AND(B364="Spring",AND(NOT(H363=0),H363&lt;(Variables!$B$9*Variables!$E$50))),(Variables!$B$10*Variables!$E$50+Variables!$B$11*Variables!$E$50*SUM(E361:E364)+$G$1*SUM(D363:D364)*Variables!$E$50*Variables!$B$12),0)</f>
        <v>0</v>
      </c>
      <c r="N364" s="64">
        <f>IF(AND(B364="Spring",AND(SUM(D361:D364)&gt;Variables!$B$13,SUM(D357:D360)&gt;Variables!$B$13)),-Variables!$B$14*Variables!$E$50,0)</f>
        <v>0</v>
      </c>
      <c r="O364" s="64">
        <f>IF(AND(B364="Summer",SUM(C360:D364)&gt;Variables!$B$15),(Variables!$B$16*Variables!$E$50*SUM(C360:C364)+$G$1*Variables!$B$16*Variables!$E$50*SUM(D360:D364)+$G$1*Variables!$E$50*Variables!$B$17*F364),0)</f>
        <v>0</v>
      </c>
      <c r="P364" s="64">
        <f>IF(AND(AND(B364="Autumn",SUM(D363:E364)&gt;0),NOT(H363=0)),Variables!$B$18*Variables!$E$50+Variables!$B$19*Variables!$E$50*SUM(E363:E364)+$G$1*Variables!$B$19*Variables!$E$50*SUM(D363:D364),0)</f>
        <v>4.0743199720876317</v>
      </c>
      <c r="Q364" s="64">
        <f>IF(AND(B364="Autumn",AND((E364+E363)&lt;Variables!$B$20,(D363+D364)=0)),-Variables!$B$21*Variables!$E$50,0)</f>
        <v>0</v>
      </c>
      <c r="R364" s="64">
        <f>IF(B364="Autumn",(SUM(F363:F364)*$G$1*Variables!$B$22*Variables!$E$50),0)</f>
        <v>0.31958282395012394</v>
      </c>
      <c r="S364" s="64">
        <f>IF(B364="Spring",($G$1*Variables!$E$50*SUM('Guts (option 2)'!F363:F364)*Variables!$B$23),0)</f>
        <v>0</v>
      </c>
      <c r="T364" s="63">
        <f>IF((H363+SUM(J364:Q364))&lt;(Variables!$B$26*Variables!$E$50),$F$1*((Variables!$B$26*Variables!$E$50)-H363-SUM(J364:Q364)),0)</f>
        <v>0</v>
      </c>
      <c r="U364" s="64">
        <f>IF(AND(AND(B364="Autumn",SUM(D361:E364)&gt;Variables!$B$27),SUM(J364:Q364)&lt;Variables!$B$28*H363),$F$1*(Variables!$B$28*H363-SUM(J364:Q364)),0)</f>
        <v>0</v>
      </c>
      <c r="V364" s="96">
        <f>IF(AND((J364+K364)=0,(Q364+T364)=0),$H$1*H364*Variables!$I$23*0.25,0)</f>
        <v>44.091581977629566</v>
      </c>
      <c r="W364" s="97">
        <f>IF(AND((K364+J364)=0,(T364+Q364)=0),$I$1*H364*Variables!$Q$23*0.25,0)</f>
        <v>46.152223889034154</v>
      </c>
      <c r="X364" s="95">
        <f>IF(AND(NOT(K364=0),(H364-H363)&gt;0),(H364-H363)*(Variables!$M$5*$H$1+Variables!$U$5*$I$1),0)+IF(AND(NOT((J364+N364+Q364)=0),(H363-H364)&gt;0),(H363-H364)*(Variables!$M$4*$H$1+Variables!$U$4*$I$1),0)</f>
        <v>0</v>
      </c>
      <c r="Y364" s="95">
        <f>IF(SUM(T364,U363:U364)&gt;0,H364*Variables!$Y$11*0.25*(1-$J$1),0)</f>
        <v>0</v>
      </c>
      <c r="Z364" s="95">
        <f>IF(T364=0,H364*$J$1*Variables!$Y$5*0.25,0)</f>
        <v>14.872498805385124</v>
      </c>
      <c r="AA364" s="95">
        <f t="shared" si="11"/>
        <v>105.11630467204884</v>
      </c>
      <c r="AB364" s="91">
        <f>AA364/Variables!$E$49</f>
        <v>16.954242689040136</v>
      </c>
    </row>
    <row r="365" spans="1:28" x14ac:dyDescent="0.25">
      <c r="A365" s="61">
        <f>'Water runs'!C372</f>
        <v>35308</v>
      </c>
      <c r="B365" s="61" t="str">
        <f>'Water runs'!B372</f>
        <v>Winter</v>
      </c>
      <c r="C365" s="54">
        <f>'Water runs'!D372/100</f>
        <v>1.0081249999999999</v>
      </c>
      <c r="D365" s="108">
        <f>VLOOKUP(ROW(D365)+4,'Water runs'!$BS$3:$CF$423,MATCH($B$1,Scenarios,0)+1)</f>
        <v>0.14581588136089754</v>
      </c>
      <c r="E365" s="54">
        <f>IF(B365=Variables!$D$8,C365-Variables!$E$8,IF(B365=Variables!$D$9,C365-Variables!$E$9,IF(B365=Variables!$D$10,C365-Variables!$E$10,IF(B365=Variables!$D$11,C365-Variables!$E$11,"ELSE"))))</f>
        <v>0.4363573743386242</v>
      </c>
      <c r="F365" s="108">
        <f>VLOOKUP(ROW(F365)+4,'Water runs'!$CH$3:$CU$423,MATCH($B$1,Scenarios,0)+1)</f>
        <v>0.76081362481096448</v>
      </c>
      <c r="G365" s="65">
        <f>H365/Variables!$E$49</f>
        <v>0.5558418405050759</v>
      </c>
      <c r="H365" s="62">
        <f>IF((H364+I365)&gt;(1.1*Variables!$E$50),(1.1*Variables!$E$50),IF((H364+I365)&gt;0,H364+I365,0))</f>
        <v>3.4462194111314703</v>
      </c>
      <c r="I365" s="64">
        <f>SUM(J365:U365)</f>
        <v>-3.4180108067385877</v>
      </c>
      <c r="J365" s="63">
        <f>IF(SUM(E361:E364)&lt;Variables!$B$3,-H364,0)</f>
        <v>0</v>
      </c>
      <c r="K365" s="64">
        <f>IF(AND(H364&lt;Variables!$B$6*Variables!$E$50,OR(SUM(D362:D365)&gt;Variables!$B$5,SUM(E362:E365)&gt;Variables!$B$4)),Variables!$B$6*Variables!$E$50+Variables!$B$7*$G$1*Variables!$E$50*SUM(D362:D365),0)</f>
        <v>0</v>
      </c>
      <c r="L365" s="64">
        <f>IF(B365="Winter",Variables!$B$8*H364,0)</f>
        <v>-3.4180108067385877</v>
      </c>
      <c r="M365" s="64">
        <f>IF(AND(B365="Spring",AND(NOT(H364=0),H364&lt;(Variables!$B$9*Variables!$E$50))),(Variables!$B$10*Variables!$E$50+Variables!$B$11*Variables!$E$50*SUM(E362:E365)+$G$1*SUM(D364:D365)*Variables!$E$50*Variables!$B$12),0)</f>
        <v>0</v>
      </c>
      <c r="N365" s="64">
        <f>IF(AND(B365="Spring",AND(SUM(D362:D365)&gt;Variables!$B$13,SUM(D358:D361)&gt;Variables!$B$13)),-Variables!$B$14*Variables!$E$50,0)</f>
        <v>0</v>
      </c>
      <c r="O365" s="64">
        <f>IF(AND(B365="Summer",SUM(C361:D365)&gt;Variables!$B$15),(Variables!$B$16*Variables!$E$50*SUM(C361:C365)+$G$1*Variables!$B$16*Variables!$E$50*SUM(D361:D365)+$G$1*Variables!$E$50*Variables!$B$17*F365),0)</f>
        <v>0</v>
      </c>
      <c r="P365" s="64">
        <f>IF(AND(AND(B365="Autumn",SUM(D364:E365)&gt;0),NOT(H364=0)),Variables!$B$18*Variables!$E$50+Variables!$B$19*Variables!$E$50*SUM(E364:E365)+$G$1*Variables!$B$19*Variables!$E$50*SUM(D364:D365),0)</f>
        <v>0</v>
      </c>
      <c r="Q365" s="64">
        <f>IF(AND(B365="Autumn",AND((E365+E364)&lt;Variables!$B$20,(D364+D365)=0)),-Variables!$B$21*Variables!$E$50,0)</f>
        <v>0</v>
      </c>
      <c r="R365" s="64">
        <f>IF(B365="Autumn",(SUM(F364:F365)*$G$1*Variables!$B$22*Variables!$E$50),0)</f>
        <v>0</v>
      </c>
      <c r="S365" s="64">
        <f>IF(B365="Spring",($G$1*Variables!$E$50*SUM('Guts (option 2)'!F364:F365)*Variables!$B$23),0)</f>
        <v>0</v>
      </c>
      <c r="T365" s="63">
        <f>IF((H364+SUM(J365:Q365))&lt;(Variables!$B$26*Variables!$E$50),$F$1*((Variables!$B$26*Variables!$E$50)-H364-SUM(J365:Q365)),0)</f>
        <v>0</v>
      </c>
      <c r="U365" s="64">
        <f>IF(AND(AND(B365="Autumn",SUM(D362:E365)&gt;Variables!$B$27),SUM(J365:Q365)&lt;Variables!$B$28*H364),$F$1*(Variables!$B$28*H364-SUM(J365:Q365)),0)</f>
        <v>0</v>
      </c>
      <c r="V365" s="96">
        <f>IF(AND((J365+K365)=0,(Q365+T365)=0),$H$1*H365*Variables!$I$23*0.25,0)</f>
        <v>22.136388328471703</v>
      </c>
      <c r="W365" s="97">
        <f>IF(AND((K365+J365)=0,(T365+Q365)=0),$I$1*H365*Variables!$Q$23*0.25,0)</f>
        <v>23.170943395693367</v>
      </c>
      <c r="X365" s="95">
        <f>IF(AND(NOT(K365=0),(H365-H364)&gt;0),(H365-H364)*(Variables!$M$5*$H$1+Variables!$U$5*$I$1),0)+IF(AND(NOT((J365+N365+Q365)=0),(H364-H365)&gt;0),(H364-H365)*(Variables!$M$4*$H$1+Variables!$U$4*$I$1),0)</f>
        <v>0</v>
      </c>
      <c r="Y365" s="95">
        <f>IF(SUM(T365,U364:U365)&gt;0,H365*Variables!$Y$11*0.25*(1-$J$1),0)</f>
        <v>0</v>
      </c>
      <c r="Z365" s="95">
        <f>IF(T365=0,H365*$J$1*Variables!$Y$5*0.25,0)</f>
        <v>7.4668087241181862</v>
      </c>
      <c r="AA365" s="95">
        <f t="shared" si="11"/>
        <v>52.774140448283255</v>
      </c>
      <c r="AB365" s="91">
        <f>AA365/Variables!$E$49</f>
        <v>8.5119581368198798</v>
      </c>
    </row>
    <row r="366" spans="1:28" x14ac:dyDescent="0.25">
      <c r="A366" s="61">
        <f>'Water runs'!C373</f>
        <v>35399</v>
      </c>
      <c r="B366" s="61" t="str">
        <f>'Water runs'!B373</f>
        <v>Spring</v>
      </c>
      <c r="C366" s="54">
        <f>'Water runs'!D373/100</f>
        <v>0.61517857142857102</v>
      </c>
      <c r="D366" s="108">
        <f>VLOOKUP(ROW(D366)+4,'Water runs'!$BS$3:$CF$423,MATCH($B$1,Scenarios,0)+1)</f>
        <v>0</v>
      </c>
      <c r="E366" s="54">
        <f>IF(B366=Variables!$D$8,C366-Variables!$E$8,IF(B366=Variables!$D$9,C366-Variables!$E$9,IF(B366=Variables!$D$10,C366-Variables!$E$10,IF(B366=Variables!$D$11,C366-Variables!$E$11,"ELSE"))))</f>
        <v>-0.14880363756613812</v>
      </c>
      <c r="F366" s="108">
        <f>VLOOKUP(ROW(F366)+4,'Water runs'!$CH$3:$CU$423,MATCH($B$1,Scenarios,0)+1)</f>
        <v>0</v>
      </c>
      <c r="G366" s="65">
        <f>H366/Variables!$E$49</f>
        <v>0.57154422070406585</v>
      </c>
      <c r="H366" s="62">
        <f>IF((H365+I366)&gt;(1.1*Variables!$E$50),(1.1*Variables!$E$50),IF((H365+I366)&gt;0,H365+I366,0))</f>
        <v>3.5435741683652084</v>
      </c>
      <c r="I366" s="64">
        <f t="shared" ref="I366:I417" si="12">SUM(J366:U366)</f>
        <v>9.7354757233737876E-2</v>
      </c>
      <c r="J366" s="63">
        <f>IF(SUM(E362:E365)&lt;Variables!$B$3,-H365,0)</f>
        <v>0</v>
      </c>
      <c r="K366" s="64">
        <f>IF(AND(H365&lt;Variables!$B$6*Variables!$E$50,OR(SUM(D363:D366)&gt;Variables!$B$5,SUM(E363:E366)&gt;Variables!$B$4)),Variables!$B$6*Variables!$E$50+Variables!$B$7*$G$1*Variables!$E$50*SUM(D363:D366),0)</f>
        <v>0</v>
      </c>
      <c r="L366" s="64">
        <f>IF(B366="Winter",Variables!$B$8*H365,0)</f>
        <v>0</v>
      </c>
      <c r="M366" s="64">
        <f>IF(AND(B366="Spring",AND(NOT(H365=0),H365&lt;(Variables!$B$9*Variables!$E$50))),(Variables!$B$10*Variables!$E$50+Variables!$B$11*Variables!$E$50*SUM(E363:E366)+$G$1*SUM(D365:D366)*Variables!$E$50*Variables!$B$12),0)</f>
        <v>0</v>
      </c>
      <c r="N366" s="64">
        <f>IF(AND(B366="Spring",AND(SUM(D363:D366)&gt;Variables!$B$13,SUM(D359:D362)&gt;Variables!$B$13)),-Variables!$B$14*Variables!$E$50,0)</f>
        <v>0</v>
      </c>
      <c r="O366" s="64">
        <f>IF(AND(B366="Summer",SUM(C362:D366)&gt;Variables!$B$15),(Variables!$B$16*Variables!$E$50*SUM(C362:C366)+$G$1*Variables!$B$16*Variables!$E$50*SUM(D362:D366)+$G$1*Variables!$E$50*Variables!$B$17*F366),0)</f>
        <v>0</v>
      </c>
      <c r="P366" s="64">
        <f>IF(AND(AND(B366="Autumn",SUM(D365:E366)&gt;0),NOT(H365=0)),Variables!$B$18*Variables!$E$50+Variables!$B$19*Variables!$E$50*SUM(E365:E366)+$G$1*Variables!$B$19*Variables!$E$50*SUM(D365:D366),0)</f>
        <v>0</v>
      </c>
      <c r="Q366" s="64">
        <f>IF(AND(B366="Autumn",AND((E366+E365)&lt;Variables!$B$20,(D365+D366)=0)),-Variables!$B$21*Variables!$E$50,0)</f>
        <v>0</v>
      </c>
      <c r="R366" s="64">
        <f>IF(B366="Autumn",(SUM(F365:F366)*$G$1*Variables!$B$22*Variables!$E$50),0)</f>
        <v>0</v>
      </c>
      <c r="S366" s="64">
        <f>IF(B366="Spring",($G$1*Variables!$E$50*SUM('Guts (option 2)'!F365:F366)*Variables!$B$23),0)</f>
        <v>9.7354757233737876E-2</v>
      </c>
      <c r="T366" s="63">
        <f>IF((H365+SUM(J366:Q366))&lt;(Variables!$B$26*Variables!$E$50),$F$1*((Variables!$B$26*Variables!$E$50)-H365-SUM(J366:Q366)),0)</f>
        <v>0</v>
      </c>
      <c r="U366" s="64">
        <f>IF(AND(AND(B366="Autumn",SUM(D363:E366)&gt;Variables!$B$27),SUM(J366:Q366)&lt;Variables!$B$28*H365),$F$1*(Variables!$B$28*H365-SUM(J366:Q366)),0)</f>
        <v>0</v>
      </c>
      <c r="V366" s="96">
        <f>IF(AND((J366+K366)=0,(Q366+T366)=0),$H$1*H366*Variables!$I$23*0.25,0)</f>
        <v>22.761735253507606</v>
      </c>
      <c r="W366" s="97">
        <f>IF(AND((K366+J366)=0,(T366+Q366)=0),$I$1*H366*Variables!$Q$23*0.25,0)</f>
        <v>23.82551621885084</v>
      </c>
      <c r="X366" s="95">
        <f>IF(AND(NOT(K366=0),(H366-H365)&gt;0),(H366-H365)*(Variables!$M$5*$H$1+Variables!$U$5*$I$1),0)+IF(AND(NOT((J366+N366+Q366)=0),(H365-H366)&gt;0),(H365-H366)*(Variables!$M$4*$H$1+Variables!$U$4*$I$1),0)</f>
        <v>0</v>
      </c>
      <c r="Y366" s="95">
        <f>IF(SUM(T366,U365:U366)&gt;0,H366*Variables!$Y$11*0.25*(1-$J$1),0)</f>
        <v>0</v>
      </c>
      <c r="Z366" s="95">
        <f>IF(T366=0,H366*$J$1*Variables!$Y$5*0.25,0)</f>
        <v>7.6777440314579515</v>
      </c>
      <c r="AA366" s="95">
        <f t="shared" si="11"/>
        <v>54.264995503816394</v>
      </c>
      <c r="AB366" s="91">
        <f>AA366/Variables!$E$49</f>
        <v>8.7524186296478046</v>
      </c>
    </row>
    <row r="367" spans="1:28" x14ac:dyDescent="0.25">
      <c r="A367" s="61">
        <f>'Water runs'!C374</f>
        <v>35489</v>
      </c>
      <c r="B367" s="61" t="str">
        <f>'Water runs'!B374</f>
        <v>Summer</v>
      </c>
      <c r="C367" s="54">
        <f>'Water runs'!D374/100</f>
        <v>1.3169999999999999</v>
      </c>
      <c r="D367" s="108">
        <f>VLOOKUP(ROW(D367)+4,'Water runs'!$BS$3:$CF$423,MATCH($B$1,Scenarios,0)+1)</f>
        <v>7.9711636671707609E-2</v>
      </c>
      <c r="E367" s="54">
        <f>IF(B367=Variables!$D$8,C367-Variables!$E$8,IF(B367=Variables!$D$9,C367-Variables!$E$9,IF(B367=Variables!$D$10,C367-Variables!$E$10,IF(B367=Variables!$D$11,C367-Variables!$E$11,"ELSE"))))</f>
        <v>5.8629863945578231E-2</v>
      </c>
      <c r="F367" s="108">
        <f>VLOOKUP(ROW(F367)+4,'Water runs'!$CH$3:$CU$423,MATCH($B$1,Scenarios,0)+1)</f>
        <v>0</v>
      </c>
      <c r="G367" s="65">
        <f>H367/Variables!$E$49</f>
        <v>0.9999447904794071</v>
      </c>
      <c r="H367" s="62">
        <f>IF((H366+I367)&gt;(1.1*Variables!$E$50),(1.1*Variables!$E$50),IF((H366+I367)&gt;0,H366+I367,0))</f>
        <v>6.1996577009723239</v>
      </c>
      <c r="I367" s="64">
        <f t="shared" si="12"/>
        <v>2.6560835326071155</v>
      </c>
      <c r="J367" s="63">
        <f>IF(SUM(E363:E366)&lt;Variables!$B$3,-H366,0)</f>
        <v>0</v>
      </c>
      <c r="K367" s="64">
        <f>IF(AND(H366&lt;Variables!$B$6*Variables!$E$50,OR(SUM(D364:D367)&gt;Variables!$B$5,SUM(E364:E367)&gt;Variables!$B$4)),Variables!$B$6*Variables!$E$50+Variables!$B$7*$G$1*Variables!$E$50*SUM(D364:D367),0)</f>
        <v>0</v>
      </c>
      <c r="L367" s="64">
        <f>IF(B367="Winter",Variables!$B$8*H366,0)</f>
        <v>0</v>
      </c>
      <c r="M367" s="64">
        <f>IF(AND(B367="Spring",AND(NOT(H366=0),H366&lt;(Variables!$B$9*Variables!$E$50))),(Variables!$B$10*Variables!$E$50+Variables!$B$11*Variables!$E$50*SUM(E364:E367)+$G$1*SUM(D366:D367)*Variables!$E$50*Variables!$B$12),0)</f>
        <v>0</v>
      </c>
      <c r="N367" s="64">
        <f>IF(AND(B367="Spring",AND(SUM(D364:D367)&gt;Variables!$B$13,SUM(D360:D363)&gt;Variables!$B$13)),-Variables!$B$14*Variables!$E$50,0)</f>
        <v>0</v>
      </c>
      <c r="O367" s="64">
        <f>IF(AND(B367="Summer",SUM(C363:D367)&gt;Variables!$B$15),(Variables!$B$16*Variables!$E$50*SUM(C363:C367)+$G$1*Variables!$B$16*Variables!$E$50*SUM(D363:D367)+$G$1*Variables!$E$50*Variables!$B$17*F367),0)</f>
        <v>2.6560835326071155</v>
      </c>
      <c r="P367" s="64">
        <f>IF(AND(AND(B367="Autumn",SUM(D366:E367)&gt;0),NOT(H366=0)),Variables!$B$18*Variables!$E$50+Variables!$B$19*Variables!$E$50*SUM(E366:E367)+$G$1*Variables!$B$19*Variables!$E$50*SUM(D366:D367),0)</f>
        <v>0</v>
      </c>
      <c r="Q367" s="64">
        <f>IF(AND(B367="Autumn",AND((E367+E366)&lt;Variables!$B$20,(D366+D367)=0)),-Variables!$B$21*Variables!$E$50,0)</f>
        <v>0</v>
      </c>
      <c r="R367" s="64">
        <f>IF(B367="Autumn",(SUM(F366:F367)*$G$1*Variables!$B$22*Variables!$E$50),0)</f>
        <v>0</v>
      </c>
      <c r="S367" s="64">
        <f>IF(B367="Spring",($G$1*Variables!$E$50*SUM('Guts (option 2)'!F366:F367)*Variables!$B$23),0)</f>
        <v>0</v>
      </c>
      <c r="T367" s="63">
        <f>IF((H366+SUM(J367:Q367))&lt;(Variables!$B$26*Variables!$E$50),$F$1*((Variables!$B$26*Variables!$E$50)-H366-SUM(J367:Q367)),0)</f>
        <v>0</v>
      </c>
      <c r="U367" s="64">
        <f>IF(AND(AND(B367="Autumn",SUM(D364:E367)&gt;Variables!$B$27),SUM(J367:Q367)&lt;Variables!$B$28*H366),$F$1*(Variables!$B$28*H366-SUM(J367:Q367)),0)</f>
        <v>0</v>
      </c>
      <c r="V367" s="96">
        <f>IF(AND((J367+K367)=0,(Q367+T367)=0),$H$1*H367*Variables!$I$23*0.25,0)</f>
        <v>39.822777948797274</v>
      </c>
      <c r="W367" s="97">
        <f>IF(AND((K367+J367)=0,(T367+Q367)=0),$I$1*H367*Variables!$Q$23*0.25,0)</f>
        <v>41.683915190629158</v>
      </c>
      <c r="X367" s="95">
        <f>IF(AND(NOT(K367=0),(H367-H366)&gt;0),(H367-H366)*(Variables!$M$5*$H$1+Variables!$U$5*$I$1),0)+IF(AND(NOT((J367+N367+Q367)=0),(H366-H367)&gt;0),(H366-H367)*(Variables!$M$4*$H$1+Variables!$U$4*$I$1),0)</f>
        <v>0</v>
      </c>
      <c r="Y367" s="95">
        <f>IF(SUM(T367,U366:U367)&gt;0,H367*Variables!$Y$11*0.25*(1-$J$1),0)</f>
        <v>0</v>
      </c>
      <c r="Z367" s="95">
        <f>IF(T367=0,H367*$J$1*Variables!$Y$5*0.25,0)</f>
        <v>13.432591685440034</v>
      </c>
      <c r="AA367" s="95">
        <f t="shared" si="11"/>
        <v>94.939284824866462</v>
      </c>
      <c r="AB367" s="91">
        <f>AA367/Variables!$E$49</f>
        <v>15.312787874978461</v>
      </c>
    </row>
    <row r="368" spans="1:28" x14ac:dyDescent="0.25">
      <c r="A368" s="61">
        <f>'Water runs'!C375</f>
        <v>35581</v>
      </c>
      <c r="B368" s="61" t="str">
        <f>'Water runs'!B375</f>
        <v>Autumn</v>
      </c>
      <c r="C368" s="54">
        <f>'Water runs'!D375/100</f>
        <v>0.87762499999999999</v>
      </c>
      <c r="D368" s="108">
        <f>VLOOKUP(ROW(D368)+4,'Water runs'!$BS$3:$CF$423,MATCH($B$1,Scenarios,0)+1)</f>
        <v>0.1740085036302742</v>
      </c>
      <c r="E368" s="54">
        <f>IF(B368=Variables!$D$8,C368-Variables!$E$8,IF(B368=Variables!$D$9,C368-Variables!$E$9,IF(B368=Variables!$D$10,C368-Variables!$E$10,IF(B368=Variables!$D$11,C368-Variables!$E$11,"ELSE"))))</f>
        <v>-0.11701829931972785</v>
      </c>
      <c r="F368" s="108">
        <f>VLOOKUP(ROW(F368)+4,'Water runs'!$CH$3:$CU$423,MATCH($B$1,Scenarios,0)+1)</f>
        <v>0.37016682634066778</v>
      </c>
      <c r="G368" s="65">
        <f>H368/Variables!$E$49</f>
        <v>1.1130771809465378</v>
      </c>
      <c r="H368" s="62">
        <f>IF((H367+I368)&gt;(1.1*Variables!$E$50),(1.1*Variables!$E$50),IF((H367+I368)&gt;0,H367+I368,0))</f>
        <v>6.9010785218685351</v>
      </c>
      <c r="I368" s="64">
        <f t="shared" si="12"/>
        <v>0.70142082089621138</v>
      </c>
      <c r="J368" s="63">
        <f>IF(SUM(E364:E367)&lt;Variables!$B$3,-H367,0)</f>
        <v>0</v>
      </c>
      <c r="K368" s="64">
        <f>IF(AND(H367&lt;Variables!$B$6*Variables!$E$50,OR(SUM(D365:D368)&gt;Variables!$B$5,SUM(E365:E368)&gt;Variables!$B$4)),Variables!$B$6*Variables!$E$50+Variables!$B$7*$G$1*Variables!$E$50*SUM(D365:D368),0)</f>
        <v>0</v>
      </c>
      <c r="L368" s="64">
        <f>IF(B368="Winter",Variables!$B$8*H367,0)</f>
        <v>0</v>
      </c>
      <c r="M368" s="64">
        <f>IF(AND(B368="Spring",AND(NOT(H367=0),H367&lt;(Variables!$B$9*Variables!$E$50))),(Variables!$B$10*Variables!$E$50+Variables!$B$11*Variables!$E$50*SUM(E365:E368)+$G$1*SUM(D367:D368)*Variables!$E$50*Variables!$B$12),0)</f>
        <v>0</v>
      </c>
      <c r="N368" s="64">
        <f>IF(AND(B368="Spring",AND(SUM(D365:D368)&gt;Variables!$B$13,SUM(D361:D364)&gt;Variables!$B$13)),-Variables!$B$14*Variables!$E$50,0)</f>
        <v>0</v>
      </c>
      <c r="O368" s="64">
        <f>IF(AND(B368="Summer",SUM(C364:D368)&gt;Variables!$B$15),(Variables!$B$16*Variables!$E$50*SUM(C364:C368)+$G$1*Variables!$B$16*Variables!$E$50*SUM(D364:D368)+$G$1*Variables!$E$50*Variables!$B$17*F368),0)</f>
        <v>0</v>
      </c>
      <c r="P368" s="64">
        <f>IF(AND(AND(B368="Autumn",SUM(D367:E368)&gt;0),NOT(H367=0)),Variables!$B$18*Variables!$E$50+Variables!$B$19*Variables!$E$50*SUM(E367:E368)+$G$1*Variables!$B$19*Variables!$E$50*SUM(D367:D368),0)</f>
        <v>0.64926753473329146</v>
      </c>
      <c r="Q368" s="64">
        <f>IF(AND(B368="Autumn",AND((E368+E367)&lt;Variables!$B$20,(D367+D368)=0)),-Variables!$B$21*Variables!$E$50,0)</f>
        <v>0</v>
      </c>
      <c r="R368" s="64">
        <f>IF(B368="Autumn",(SUM(F367:F368)*$G$1*Variables!$B$22*Variables!$E$50),0)</f>
        <v>5.2153286162919872E-2</v>
      </c>
      <c r="S368" s="64">
        <f>IF(B368="Spring",($G$1*Variables!$E$50*SUM('Guts (option 2)'!F367:F368)*Variables!$B$23),0)</f>
        <v>0</v>
      </c>
      <c r="T368" s="63">
        <f>IF((H367+SUM(J368:Q368))&lt;(Variables!$B$26*Variables!$E$50),$F$1*((Variables!$B$26*Variables!$E$50)-H367-SUM(J368:Q368)),0)</f>
        <v>0</v>
      </c>
      <c r="U368" s="64">
        <f>IF(AND(AND(B368="Autumn",SUM(D365:E368)&gt;Variables!$B$27),SUM(J368:Q368)&lt;Variables!$B$28*H367),$F$1*(Variables!$B$28*H367-SUM(J368:Q368)),0)</f>
        <v>0</v>
      </c>
      <c r="V368" s="96">
        <f>IF(AND((J368+K368)=0,(Q368+T368)=0),$H$1*H368*Variables!$I$23*0.25,0)</f>
        <v>44.328272759394984</v>
      </c>
      <c r="W368" s="97">
        <f>IF(AND((K368+J368)=0,(T368+Q368)=0),$I$1*H368*Variables!$Q$23*0.25,0)</f>
        <v>46.39997653165991</v>
      </c>
      <c r="X368" s="95">
        <f>IF(AND(NOT(K368=0),(H368-H367)&gt;0),(H368-H367)*(Variables!$M$5*$H$1+Variables!$U$5*$I$1),0)+IF(AND(NOT((J368+N368+Q368)=0),(H367-H368)&gt;0),(H367-H368)*(Variables!$M$4*$H$1+Variables!$U$4*$I$1),0)</f>
        <v>0</v>
      </c>
      <c r="Y368" s="95">
        <f>IF(SUM(T368,U367:U368)&gt;0,H368*Variables!$Y$11*0.25*(1-$J$1),0)</f>
        <v>0</v>
      </c>
      <c r="Z368" s="95">
        <f>IF(T368=0,H368*$J$1*Variables!$Y$5*0.25,0)</f>
        <v>14.952336797381825</v>
      </c>
      <c r="AA368" s="95">
        <f t="shared" si="11"/>
        <v>105.68058608843671</v>
      </c>
      <c r="AB368" s="91">
        <f>AA368/Variables!$E$49</f>
        <v>17.0452558207156</v>
      </c>
    </row>
    <row r="369" spans="1:28" x14ac:dyDescent="0.25">
      <c r="A369" s="61">
        <f>'Water runs'!C376</f>
        <v>35673</v>
      </c>
      <c r="B369" s="61" t="str">
        <f>'Water runs'!B376</f>
        <v>Winter</v>
      </c>
      <c r="C369" s="54">
        <f>'Water runs'!D376/100</f>
        <v>0.25662499999999999</v>
      </c>
      <c r="D369" s="108">
        <f>VLOOKUP(ROW(D369)+4,'Water runs'!$BS$3:$CF$423,MATCH($B$1,Scenarios,0)+1)</f>
        <v>0</v>
      </c>
      <c r="E369" s="54">
        <f>IF(B369=Variables!$D$8,C369-Variables!$E$8,IF(B369=Variables!$D$9,C369-Variables!$E$9,IF(B369=Variables!$D$10,C369-Variables!$E$10,IF(B369=Variables!$D$11,C369-Variables!$E$11,"ELSE"))))</f>
        <v>-0.31514262566137574</v>
      </c>
      <c r="F369" s="108">
        <f>VLOOKUP(ROW(F369)+4,'Water runs'!$CH$3:$CU$423,MATCH($B$1,Scenarios,0)+1)</f>
        <v>0</v>
      </c>
      <c r="G369" s="65">
        <f>H369/Variables!$E$49</f>
        <v>0.55882568989006332</v>
      </c>
      <c r="H369" s="62">
        <f>IF((H368+I369)&gt;(1.1*Variables!$E$50),(1.1*Variables!$E$50),IF((H368+I369)&gt;0,H368+I369,0))</f>
        <v>3.4647192773183928</v>
      </c>
      <c r="I369" s="64">
        <f t="shared" si="12"/>
        <v>-3.4363592445501423</v>
      </c>
      <c r="J369" s="63">
        <f>IF(SUM(E365:E368)&lt;Variables!$B$3,-H368,0)</f>
        <v>0</v>
      </c>
      <c r="K369" s="64">
        <f>IF(AND(H368&lt;Variables!$B$6*Variables!$E$50,OR(SUM(D366:D369)&gt;Variables!$B$5,SUM(E366:E369)&gt;Variables!$B$4)),Variables!$B$6*Variables!$E$50+Variables!$B$7*$G$1*Variables!$E$50*SUM(D366:D369),0)</f>
        <v>0</v>
      </c>
      <c r="L369" s="64">
        <f>IF(B369="Winter",Variables!$B$8*H368,0)</f>
        <v>-3.4363592445501423</v>
      </c>
      <c r="M369" s="64">
        <f>IF(AND(B369="Spring",AND(NOT(H368=0),H368&lt;(Variables!$B$9*Variables!$E$50))),(Variables!$B$10*Variables!$E$50+Variables!$B$11*Variables!$E$50*SUM(E366:E369)+$G$1*SUM(D368:D369)*Variables!$E$50*Variables!$B$12),0)</f>
        <v>0</v>
      </c>
      <c r="N369" s="64">
        <f>IF(AND(B369="Spring",AND(SUM(D366:D369)&gt;Variables!$B$13,SUM(D362:D365)&gt;Variables!$B$13)),-Variables!$B$14*Variables!$E$50,0)</f>
        <v>0</v>
      </c>
      <c r="O369" s="64">
        <f>IF(AND(B369="Summer",SUM(C365:D369)&gt;Variables!$B$15),(Variables!$B$16*Variables!$E$50*SUM(C365:C369)+$G$1*Variables!$B$16*Variables!$E$50*SUM(D365:D369)+$G$1*Variables!$E$50*Variables!$B$17*F369),0)</f>
        <v>0</v>
      </c>
      <c r="P369" s="64">
        <f>IF(AND(AND(B369="Autumn",SUM(D368:E369)&gt;0),NOT(H368=0)),Variables!$B$18*Variables!$E$50+Variables!$B$19*Variables!$E$50*SUM(E368:E369)+$G$1*Variables!$B$19*Variables!$E$50*SUM(D368:D369),0)</f>
        <v>0</v>
      </c>
      <c r="Q369" s="64">
        <f>IF(AND(B369="Autumn",AND((E369+E368)&lt;Variables!$B$20,(D368+D369)=0)),-Variables!$B$21*Variables!$E$50,0)</f>
        <v>0</v>
      </c>
      <c r="R369" s="64">
        <f>IF(B369="Autumn",(SUM(F368:F369)*$G$1*Variables!$B$22*Variables!$E$50),0)</f>
        <v>0</v>
      </c>
      <c r="S369" s="64">
        <f>IF(B369="Spring",($G$1*Variables!$E$50*SUM('Guts (option 2)'!F368:F369)*Variables!$B$23),0)</f>
        <v>0</v>
      </c>
      <c r="T369" s="63">
        <f>IF((H368+SUM(J369:Q369))&lt;(Variables!$B$26*Variables!$E$50),$F$1*((Variables!$B$26*Variables!$E$50)-H368-SUM(J369:Q369)),0)</f>
        <v>0</v>
      </c>
      <c r="U369" s="64">
        <f>IF(AND(AND(B369="Autumn",SUM(D366:E369)&gt;Variables!$B$27),SUM(J369:Q369)&lt;Variables!$B$28*H368),$F$1*(Variables!$B$28*H368-SUM(J369:Q369)),0)</f>
        <v>0</v>
      </c>
      <c r="V369" s="96">
        <f>IF(AND((J369+K369)=0,(Q369+T369)=0),$H$1*H369*Variables!$I$23*0.25,0)</f>
        <v>22.255220060605673</v>
      </c>
      <c r="W369" s="97">
        <f>IF(AND((K369+J369)=0,(T369+Q369)=0),$I$1*H369*Variables!$Q$23*0.25,0)</f>
        <v>23.295328787656651</v>
      </c>
      <c r="X369" s="95">
        <f>IF(AND(NOT(K369=0),(H369-H368)&gt;0),(H369-H368)*(Variables!$M$5*$H$1+Variables!$U$5*$I$1),0)+IF(AND(NOT((J369+N369+Q369)=0),(H368-H369)&gt;0),(H368-H369)*(Variables!$M$4*$H$1+Variables!$U$4*$I$1),0)</f>
        <v>0</v>
      </c>
      <c r="Y369" s="95">
        <f>IF(SUM(T369,U368:U369)&gt;0,H369*Variables!$Y$11*0.25*(1-$J$1),0)</f>
        <v>0</v>
      </c>
      <c r="Z369" s="95">
        <f>IF(T369=0,H369*$J$1*Variables!$Y$5*0.25,0)</f>
        <v>7.5068917675231832</v>
      </c>
      <c r="AA369" s="95">
        <f t="shared" si="11"/>
        <v>53.057440615785509</v>
      </c>
      <c r="AB369" s="91">
        <f>AA369/Variables!$E$49</f>
        <v>8.5576517122234694</v>
      </c>
    </row>
    <row r="370" spans="1:28" x14ac:dyDescent="0.25">
      <c r="A370" s="61">
        <f>'Water runs'!C377</f>
        <v>35764</v>
      </c>
      <c r="B370" s="61" t="str">
        <f>'Water runs'!B377</f>
        <v>Spring</v>
      </c>
      <c r="C370" s="54">
        <f>'Water runs'!D377/100</f>
        <v>0.93275000000000008</v>
      </c>
      <c r="D370" s="108">
        <f>VLOOKUP(ROW(D370)+4,'Water runs'!$BS$3:$CF$423,MATCH($B$1,Scenarios,0)+1)</f>
        <v>0</v>
      </c>
      <c r="E370" s="54">
        <f>IF(B370=Variables!$D$8,C370-Variables!$E$8,IF(B370=Variables!$D$9,C370-Variables!$E$9,IF(B370=Variables!$D$10,C370-Variables!$E$10,IF(B370=Variables!$D$11,C370-Variables!$E$11,"ELSE"))))</f>
        <v>0.16876779100529093</v>
      </c>
      <c r="F370" s="108">
        <f>VLOOKUP(ROW(F370)+4,'Water runs'!$CH$3:$CU$423,MATCH($B$1,Scenarios,0)+1)</f>
        <v>0</v>
      </c>
      <c r="G370" s="65">
        <f>H370/Variables!$E$49</f>
        <v>0.55882568989006332</v>
      </c>
      <c r="H370" s="62">
        <f>IF((H369+I370)&gt;(1.1*Variables!$E$50),(1.1*Variables!$E$50),IF((H369+I370)&gt;0,H369+I370,0))</f>
        <v>3.4647192773183928</v>
      </c>
      <c r="I370" s="64">
        <f t="shared" si="12"/>
        <v>0</v>
      </c>
      <c r="J370" s="63">
        <f>IF(SUM(E366:E369)&lt;Variables!$B$3,-H369,0)</f>
        <v>0</v>
      </c>
      <c r="K370" s="64">
        <f>IF(AND(H369&lt;Variables!$B$6*Variables!$E$50,OR(SUM(D367:D370)&gt;Variables!$B$5,SUM(E367:E370)&gt;Variables!$B$4)),Variables!$B$6*Variables!$E$50+Variables!$B$7*$G$1*Variables!$E$50*SUM(D367:D370),0)</f>
        <v>0</v>
      </c>
      <c r="L370" s="64">
        <f>IF(B370="Winter",Variables!$B$8*H369,0)</f>
        <v>0</v>
      </c>
      <c r="M370" s="64">
        <f>IF(AND(B370="Spring",AND(NOT(H369=0),H369&lt;(Variables!$B$9*Variables!$E$50))),(Variables!$B$10*Variables!$E$50+Variables!$B$11*Variables!$E$50*SUM(E367:E370)+$G$1*SUM(D369:D370)*Variables!$E$50*Variables!$B$12),0)</f>
        <v>0</v>
      </c>
      <c r="N370" s="64">
        <f>IF(AND(B370="Spring",AND(SUM(D367:D370)&gt;Variables!$B$13,SUM(D363:D366)&gt;Variables!$B$13)),-Variables!$B$14*Variables!$E$50,0)</f>
        <v>0</v>
      </c>
      <c r="O370" s="64">
        <f>IF(AND(B370="Summer",SUM(C366:D370)&gt;Variables!$B$15),(Variables!$B$16*Variables!$E$50*SUM(C366:C370)+$G$1*Variables!$B$16*Variables!$E$50*SUM(D366:D370)+$G$1*Variables!$E$50*Variables!$B$17*F370),0)</f>
        <v>0</v>
      </c>
      <c r="P370" s="64">
        <f>IF(AND(AND(B370="Autumn",SUM(D369:E370)&gt;0),NOT(H369=0)),Variables!$B$18*Variables!$E$50+Variables!$B$19*Variables!$E$50*SUM(E369:E370)+$G$1*Variables!$B$19*Variables!$E$50*SUM(D369:D370),0)</f>
        <v>0</v>
      </c>
      <c r="Q370" s="64">
        <f>IF(AND(B370="Autumn",AND((E370+E369)&lt;Variables!$B$20,(D369+D370)=0)),-Variables!$B$21*Variables!$E$50,0)</f>
        <v>0</v>
      </c>
      <c r="R370" s="64">
        <f>IF(B370="Autumn",(SUM(F369:F370)*$G$1*Variables!$B$22*Variables!$E$50),0)</f>
        <v>0</v>
      </c>
      <c r="S370" s="64">
        <f>IF(B370="Spring",($G$1*Variables!$E$50*SUM('Guts (option 2)'!F369:F370)*Variables!$B$23),0)</f>
        <v>0</v>
      </c>
      <c r="T370" s="63">
        <f>IF((H369+SUM(J370:Q370))&lt;(Variables!$B$26*Variables!$E$50),$F$1*((Variables!$B$26*Variables!$E$50)-H369-SUM(J370:Q370)),0)</f>
        <v>0</v>
      </c>
      <c r="U370" s="64">
        <f>IF(AND(AND(B370="Autumn",SUM(D367:E370)&gt;Variables!$B$27),SUM(J370:Q370)&lt;Variables!$B$28*H369),$F$1*(Variables!$B$28*H369-SUM(J370:Q370)),0)</f>
        <v>0</v>
      </c>
      <c r="V370" s="96">
        <f>IF(AND((J370+K370)=0,(Q370+T370)=0),$H$1*H370*Variables!$I$23*0.25,0)</f>
        <v>22.255220060605673</v>
      </c>
      <c r="W370" s="97">
        <f>IF(AND((K370+J370)=0,(T370+Q370)=0),$I$1*H370*Variables!$Q$23*0.25,0)</f>
        <v>23.295328787656651</v>
      </c>
      <c r="X370" s="95">
        <f>IF(AND(NOT(K370=0),(H370-H369)&gt;0),(H370-H369)*(Variables!$M$5*$H$1+Variables!$U$5*$I$1),0)+IF(AND(NOT((J370+N370+Q370)=0),(H369-H370)&gt;0),(H369-H370)*(Variables!$M$4*$H$1+Variables!$U$4*$I$1),0)</f>
        <v>0</v>
      </c>
      <c r="Y370" s="95">
        <f>IF(SUM(T370,U369:U370)&gt;0,H370*Variables!$Y$11*0.25*(1-$J$1),0)</f>
        <v>0</v>
      </c>
      <c r="Z370" s="95">
        <f>IF(T370=0,H370*$J$1*Variables!$Y$5*0.25,0)</f>
        <v>7.5068917675231832</v>
      </c>
      <c r="AA370" s="95">
        <f t="shared" si="11"/>
        <v>53.057440615785509</v>
      </c>
      <c r="AB370" s="91">
        <f>AA370/Variables!$E$49</f>
        <v>8.5576517122234694</v>
      </c>
    </row>
    <row r="371" spans="1:28" x14ac:dyDescent="0.25">
      <c r="A371" s="61">
        <f>'Water runs'!C378</f>
        <v>35854</v>
      </c>
      <c r="B371" s="61" t="str">
        <f>'Water runs'!B378</f>
        <v>Summer</v>
      </c>
      <c r="C371" s="54">
        <f>'Water runs'!D378/100</f>
        <v>1.7602500000000001</v>
      </c>
      <c r="D371" s="108">
        <f>VLOOKUP(ROW(D371)+4,'Water runs'!$BS$3:$CF$423,MATCH($B$1,Scenarios,0)+1)</f>
        <v>4.9989311079264284E-2</v>
      </c>
      <c r="E371" s="54">
        <f>IF(B371=Variables!$D$8,C371-Variables!$E$8,IF(B371=Variables!$D$9,C371-Variables!$E$9,IF(B371=Variables!$D$10,C371-Variables!$E$10,IF(B371=Variables!$D$11,C371-Variables!$E$11,"ELSE"))))</f>
        <v>0.50187986394557837</v>
      </c>
      <c r="F371" s="108">
        <f>VLOOKUP(ROW(F371)+4,'Water runs'!$CH$3:$CU$423,MATCH($B$1,Scenarios,0)+1)</f>
        <v>0</v>
      </c>
      <c r="G371" s="65">
        <f>H371/Variables!$E$49</f>
        <v>0.55882568989006332</v>
      </c>
      <c r="H371" s="62">
        <f>IF((H370+I371)&gt;(1.1*Variables!$E$50),(1.1*Variables!$E$50),IF((H370+I371)&gt;0,H370+I371,0))</f>
        <v>3.4647192773183928</v>
      </c>
      <c r="I371" s="64">
        <f t="shared" si="12"/>
        <v>0</v>
      </c>
      <c r="J371" s="63">
        <f>IF(SUM(E367:E370)&lt;Variables!$B$3,-H370,0)</f>
        <v>0</v>
      </c>
      <c r="K371" s="64">
        <f>IF(AND(H370&lt;Variables!$B$6*Variables!$E$50,OR(SUM(D368:D371)&gt;Variables!$B$5,SUM(E368:E371)&gt;Variables!$B$4)),Variables!$B$6*Variables!$E$50+Variables!$B$7*$G$1*Variables!$E$50*SUM(D368:D371),0)</f>
        <v>0</v>
      </c>
      <c r="L371" s="64">
        <f>IF(B371="Winter",Variables!$B$8*H370,0)</f>
        <v>0</v>
      </c>
      <c r="M371" s="64">
        <f>IF(AND(B371="Spring",AND(NOT(H370=0),H370&lt;(Variables!$B$9*Variables!$E$50))),(Variables!$B$10*Variables!$E$50+Variables!$B$11*Variables!$E$50*SUM(E368:E371)+$G$1*SUM(D370:D371)*Variables!$E$50*Variables!$B$12),0)</f>
        <v>0</v>
      </c>
      <c r="N371" s="64">
        <f>IF(AND(B371="Spring",AND(SUM(D368:D371)&gt;Variables!$B$13,SUM(D364:D367)&gt;Variables!$B$13)),-Variables!$B$14*Variables!$E$50,0)</f>
        <v>0</v>
      </c>
      <c r="O371" s="64">
        <f>IF(AND(B371="Summer",SUM(C367:D371)&gt;Variables!$B$15),(Variables!$B$16*Variables!$E$50*SUM(C367:C371)+$G$1*Variables!$B$16*Variables!$E$50*SUM(D367:D371)+$G$1*Variables!$E$50*Variables!$B$17*F371),0)</f>
        <v>0</v>
      </c>
      <c r="P371" s="64">
        <f>IF(AND(AND(B371="Autumn",SUM(D370:E371)&gt;0),NOT(H370=0)),Variables!$B$18*Variables!$E$50+Variables!$B$19*Variables!$E$50*SUM(E370:E371)+$G$1*Variables!$B$19*Variables!$E$50*SUM(D370:D371),0)</f>
        <v>0</v>
      </c>
      <c r="Q371" s="64">
        <f>IF(AND(B371="Autumn",AND((E371+E370)&lt;Variables!$B$20,(D370+D371)=0)),-Variables!$B$21*Variables!$E$50,0)</f>
        <v>0</v>
      </c>
      <c r="R371" s="64">
        <f>IF(B371="Autumn",(SUM(F370:F371)*$G$1*Variables!$B$22*Variables!$E$50),0)</f>
        <v>0</v>
      </c>
      <c r="S371" s="64">
        <f>IF(B371="Spring",($G$1*Variables!$E$50*SUM('Guts (option 2)'!F370:F371)*Variables!$B$23),0)</f>
        <v>0</v>
      </c>
      <c r="T371" s="63">
        <f>IF((H370+SUM(J371:Q371))&lt;(Variables!$B$26*Variables!$E$50),$F$1*((Variables!$B$26*Variables!$E$50)-H370-SUM(J371:Q371)),0)</f>
        <v>0</v>
      </c>
      <c r="U371" s="64">
        <f>IF(AND(AND(B371="Autumn",SUM(D368:E371)&gt;Variables!$B$27),SUM(J371:Q371)&lt;Variables!$B$28*H370),$F$1*(Variables!$B$28*H370-SUM(J371:Q371)),0)</f>
        <v>0</v>
      </c>
      <c r="V371" s="96">
        <f>IF(AND((J371+K371)=0,(Q371+T371)=0),$H$1*H371*Variables!$I$23*0.25,0)</f>
        <v>22.255220060605673</v>
      </c>
      <c r="W371" s="97">
        <f>IF(AND((K371+J371)=0,(T371+Q371)=0),$I$1*H371*Variables!$Q$23*0.25,0)</f>
        <v>23.295328787656651</v>
      </c>
      <c r="X371" s="95">
        <f>IF(AND(NOT(K371=0),(H371-H370)&gt;0),(H371-H370)*(Variables!$M$5*$H$1+Variables!$U$5*$I$1),0)+IF(AND(NOT((J371+N371+Q371)=0),(H370-H371)&gt;0),(H370-H371)*(Variables!$M$4*$H$1+Variables!$U$4*$I$1),0)</f>
        <v>0</v>
      </c>
      <c r="Y371" s="95">
        <f>IF(SUM(T371,U370:U371)&gt;0,H371*Variables!$Y$11*0.25*(1-$J$1),0)</f>
        <v>0</v>
      </c>
      <c r="Z371" s="95">
        <f>IF(T371=0,H371*$J$1*Variables!$Y$5*0.25,0)</f>
        <v>7.5068917675231832</v>
      </c>
      <c r="AA371" s="95">
        <f t="shared" si="11"/>
        <v>53.057440615785509</v>
      </c>
      <c r="AB371" s="91">
        <f>AA371/Variables!$E$49</f>
        <v>8.5576517122234694</v>
      </c>
    </row>
    <row r="372" spans="1:28" x14ac:dyDescent="0.25">
      <c r="A372" s="61">
        <f>'Water runs'!C379</f>
        <v>35946</v>
      </c>
      <c r="B372" s="61" t="str">
        <f>'Water runs'!B379</f>
        <v>Autumn</v>
      </c>
      <c r="C372" s="54">
        <f>'Water runs'!D379/100</f>
        <v>1.0687500000000001</v>
      </c>
      <c r="D372" s="108">
        <f>VLOOKUP(ROW(D372)+4,'Water runs'!$BS$3:$CF$423,MATCH($B$1,Scenarios,0)+1)</f>
        <v>4.608350026524359E-2</v>
      </c>
      <c r="E372" s="54">
        <f>IF(B372=Variables!$D$8,C372-Variables!$E$8,IF(B372=Variables!$D$9,C372-Variables!$E$9,IF(B372=Variables!$D$10,C372-Variables!$E$10,IF(B372=Variables!$D$11,C372-Variables!$E$11,"ELSE"))))</f>
        <v>7.4106700680272253E-2</v>
      </c>
      <c r="F372" s="108">
        <f>VLOOKUP(ROW(F372)+4,'Water runs'!$CH$3:$CU$423,MATCH($B$1,Scenarios,0)+1)</f>
        <v>0</v>
      </c>
      <c r="G372" s="65">
        <f>H372/Variables!$E$49</f>
        <v>0.84614786922928464</v>
      </c>
      <c r="H372" s="62">
        <f>IF((H371+I372)&gt;(1.1*Variables!$E$50),(1.1*Variables!$E$50),IF((H371+I372)&gt;0,H371+I372,0))</f>
        <v>5.2461167892215652</v>
      </c>
      <c r="I372" s="64">
        <f t="shared" si="12"/>
        <v>1.781397511903172</v>
      </c>
      <c r="J372" s="63">
        <f>IF(SUM(E368:E371)&lt;Variables!$B$3,-H371,0)</f>
        <v>0</v>
      </c>
      <c r="K372" s="64">
        <f>IF(AND(H371&lt;Variables!$B$6*Variables!$E$50,OR(SUM(D369:D372)&gt;Variables!$B$5,SUM(E369:E372)&gt;Variables!$B$4)),Variables!$B$6*Variables!$E$50+Variables!$B$7*$G$1*Variables!$E$50*SUM(D369:D372),0)</f>
        <v>0</v>
      </c>
      <c r="L372" s="64">
        <f>IF(B372="Winter",Variables!$B$8*H371,0)</f>
        <v>0</v>
      </c>
      <c r="M372" s="64">
        <f>IF(AND(B372="Spring",AND(NOT(H371=0),H371&lt;(Variables!$B$9*Variables!$E$50))),(Variables!$B$10*Variables!$E$50+Variables!$B$11*Variables!$E$50*SUM(E369:E372)+$G$1*SUM(D371:D372)*Variables!$E$50*Variables!$B$12),0)</f>
        <v>0</v>
      </c>
      <c r="N372" s="64">
        <f>IF(AND(B372="Spring",AND(SUM(D369:D372)&gt;Variables!$B$13,SUM(D365:D368)&gt;Variables!$B$13)),-Variables!$B$14*Variables!$E$50,0)</f>
        <v>0</v>
      </c>
      <c r="O372" s="64">
        <f>IF(AND(B372="Summer",SUM(C368:D372)&gt;Variables!$B$15),(Variables!$B$16*Variables!$E$50*SUM(C368:C372)+$G$1*Variables!$B$16*Variables!$E$50*SUM(D368:D372)+$G$1*Variables!$E$50*Variables!$B$17*F372),0)</f>
        <v>0</v>
      </c>
      <c r="P372" s="64">
        <f>IF(AND(AND(B372="Autumn",SUM(D371:E372)&gt;0),NOT(H371=0)),Variables!$B$18*Variables!$E$50+Variables!$B$19*Variables!$E$50*SUM(E371:E372)+$G$1*Variables!$B$19*Variables!$E$50*SUM(D371:D372),0)</f>
        <v>1.781397511903172</v>
      </c>
      <c r="Q372" s="64">
        <f>IF(AND(B372="Autumn",AND((E372+E371)&lt;Variables!$B$20,(D371+D372)=0)),-Variables!$B$21*Variables!$E$50,0)</f>
        <v>0</v>
      </c>
      <c r="R372" s="64">
        <f>IF(B372="Autumn",(SUM(F371:F372)*$G$1*Variables!$B$22*Variables!$E$50),0)</f>
        <v>0</v>
      </c>
      <c r="S372" s="64">
        <f>IF(B372="Spring",($G$1*Variables!$E$50*SUM('Guts (option 2)'!F371:F372)*Variables!$B$23),0)</f>
        <v>0</v>
      </c>
      <c r="T372" s="63">
        <f>IF((H371+SUM(J372:Q372))&lt;(Variables!$B$26*Variables!$E$50),$F$1*((Variables!$B$26*Variables!$E$50)-H371-SUM(J372:Q372)),0)</f>
        <v>0</v>
      </c>
      <c r="U372" s="64">
        <f>IF(AND(AND(B372="Autumn",SUM(D369:E372)&gt;Variables!$B$27),SUM(J372:Q372)&lt;Variables!$B$28*H371),$F$1*(Variables!$B$28*H371-SUM(J372:Q372)),0)</f>
        <v>0</v>
      </c>
      <c r="V372" s="96">
        <f>IF(AND((J372+K372)=0,(Q372+T372)=0),$H$1*H372*Variables!$I$23*0.25,0)</f>
        <v>33.69781914860598</v>
      </c>
      <c r="W372" s="97">
        <f>IF(AND((K372+J372)=0,(T372+Q372)=0),$I$1*H372*Variables!$Q$23*0.25,0)</f>
        <v>35.272703408730287</v>
      </c>
      <c r="X372" s="95">
        <f>IF(AND(NOT(K372=0),(H372-H371)&gt;0),(H372-H371)*(Variables!$M$5*$H$1+Variables!$U$5*$I$1),0)+IF(AND(NOT((J372+N372+Q372)=0),(H371-H372)&gt;0),(H371-H372)*(Variables!$M$4*$H$1+Variables!$U$4*$I$1),0)</f>
        <v>0</v>
      </c>
      <c r="Y372" s="95">
        <f>IF(SUM(T372,U371:U372)&gt;0,H372*Variables!$Y$11*0.25*(1-$J$1),0)</f>
        <v>0</v>
      </c>
      <c r="Z372" s="95">
        <f>IF(T372=0,H372*$J$1*Variables!$Y$5*0.25,0)</f>
        <v>11.366586376646724</v>
      </c>
      <c r="AA372" s="95">
        <f t="shared" si="11"/>
        <v>80.337108933982989</v>
      </c>
      <c r="AB372" s="91">
        <f>AA372/Variables!$E$49</f>
        <v>12.957598215158546</v>
      </c>
    </row>
    <row r="373" spans="1:28" x14ac:dyDescent="0.25">
      <c r="A373" s="61">
        <f>'Water runs'!C380</f>
        <v>36038</v>
      </c>
      <c r="B373" s="61" t="str">
        <f>'Water runs'!B380</f>
        <v>Winter</v>
      </c>
      <c r="C373" s="54">
        <f>'Water runs'!D380/100</f>
        <v>2.0202142857142902</v>
      </c>
      <c r="D373" s="108">
        <f>VLOOKUP(ROW(D373)+4,'Water runs'!$BS$3:$CF$423,MATCH($B$1,Scenarios,0)+1)</f>
        <v>0</v>
      </c>
      <c r="E373" s="54">
        <f>IF(B373=Variables!$D$8,C373-Variables!$E$8,IF(B373=Variables!$D$9,C373-Variables!$E$9,IF(B373=Variables!$D$10,C373-Variables!$E$10,IF(B373=Variables!$D$11,C373-Variables!$E$11,"ELSE"))))</f>
        <v>1.4484466600529144</v>
      </c>
      <c r="F373" s="108">
        <f>VLOOKUP(ROW(F373)+4,'Water runs'!$CH$3:$CU$423,MATCH($B$1,Scenarios,0)+1)</f>
        <v>0</v>
      </c>
      <c r="G373" s="65">
        <f>H373/Variables!$E$49</f>
        <v>0.42481256004993373</v>
      </c>
      <c r="H373" s="62">
        <f>IF((H372+I373)&gt;(1.1*Variables!$E$50),(1.1*Variables!$E$50),IF((H372+I373)&gt;0,H372+I373,0))</f>
        <v>2.6338378723095892</v>
      </c>
      <c r="I373" s="64">
        <f t="shared" si="12"/>
        <v>-2.612278916911976</v>
      </c>
      <c r="J373" s="63">
        <f>IF(SUM(E369:E372)&lt;Variables!$B$3,-H372,0)</f>
        <v>0</v>
      </c>
      <c r="K373" s="64">
        <f>IF(AND(H372&lt;Variables!$B$6*Variables!$E$50,OR(SUM(D370:D373)&gt;Variables!$B$5,SUM(E370:E373)&gt;Variables!$B$4)),Variables!$B$6*Variables!$E$50+Variables!$B$7*$G$1*Variables!$E$50*SUM(D370:D373),0)</f>
        <v>0</v>
      </c>
      <c r="L373" s="64">
        <f>IF(B373="Winter",Variables!$B$8*H372,0)</f>
        <v>-2.612278916911976</v>
      </c>
      <c r="M373" s="64">
        <f>IF(AND(B373="Spring",AND(NOT(H372=0),H372&lt;(Variables!$B$9*Variables!$E$50))),(Variables!$B$10*Variables!$E$50+Variables!$B$11*Variables!$E$50*SUM(E370:E373)+$G$1*SUM(D372:D373)*Variables!$E$50*Variables!$B$12),0)</f>
        <v>0</v>
      </c>
      <c r="N373" s="64">
        <f>IF(AND(B373="Spring",AND(SUM(D370:D373)&gt;Variables!$B$13,SUM(D366:D369)&gt;Variables!$B$13)),-Variables!$B$14*Variables!$E$50,0)</f>
        <v>0</v>
      </c>
      <c r="O373" s="64">
        <f>IF(AND(B373="Summer",SUM(C369:D373)&gt;Variables!$B$15),(Variables!$B$16*Variables!$E$50*SUM(C369:C373)+$G$1*Variables!$B$16*Variables!$E$50*SUM(D369:D373)+$G$1*Variables!$E$50*Variables!$B$17*F373),0)</f>
        <v>0</v>
      </c>
      <c r="P373" s="64">
        <f>IF(AND(AND(B373="Autumn",SUM(D372:E373)&gt;0),NOT(H372=0)),Variables!$B$18*Variables!$E$50+Variables!$B$19*Variables!$E$50*SUM(E372:E373)+$G$1*Variables!$B$19*Variables!$E$50*SUM(D372:D373),0)</f>
        <v>0</v>
      </c>
      <c r="Q373" s="64">
        <f>IF(AND(B373="Autumn",AND((E373+E372)&lt;Variables!$B$20,(D372+D373)=0)),-Variables!$B$21*Variables!$E$50,0)</f>
        <v>0</v>
      </c>
      <c r="R373" s="64">
        <f>IF(B373="Autumn",(SUM(F372:F373)*$G$1*Variables!$B$22*Variables!$E$50),0)</f>
        <v>0</v>
      </c>
      <c r="S373" s="64">
        <f>IF(B373="Spring",($G$1*Variables!$E$50*SUM('Guts (option 2)'!F372:F373)*Variables!$B$23),0)</f>
        <v>0</v>
      </c>
      <c r="T373" s="63">
        <f>IF((H372+SUM(J373:Q373))&lt;(Variables!$B$26*Variables!$E$50),$F$1*((Variables!$B$26*Variables!$E$50)-H372-SUM(J373:Q373)),0)</f>
        <v>0</v>
      </c>
      <c r="U373" s="64">
        <f>IF(AND(AND(B373="Autumn",SUM(D370:E373)&gt;Variables!$B$27),SUM(J373:Q373)&lt;Variables!$B$28*H372),$F$1*(Variables!$B$28*H372-SUM(J373:Q373)),0)</f>
        <v>0</v>
      </c>
      <c r="V373" s="96">
        <f>IF(AND((J373+K373)=0,(Q373+T373)=0),$H$1*H373*Variables!$I$23*0.25,0)</f>
        <v>16.918150291695543</v>
      </c>
      <c r="W373" s="97">
        <f>IF(AND((K373+J373)=0,(T373+Q373)=0),$I$1*H373*Variables!$Q$23*0.25,0)</f>
        <v>17.708828420962881</v>
      </c>
      <c r="X373" s="95">
        <f>IF(AND(NOT(K373=0),(H373-H372)&gt;0),(H373-H372)*(Variables!$M$5*$H$1+Variables!$U$5*$I$1),0)+IF(AND(NOT((J373+N373+Q373)=0),(H372-H373)&gt;0),(H372-H373)*(Variables!$M$4*$H$1+Variables!$U$4*$I$1),0)</f>
        <v>0</v>
      </c>
      <c r="Y373" s="95">
        <f>IF(SUM(T373,U372:U373)&gt;0,H373*Variables!$Y$11*0.25*(1-$J$1),0)</f>
        <v>0</v>
      </c>
      <c r="Z373" s="95">
        <f>IF(T373=0,H373*$J$1*Variables!$Y$5*0.25,0)</f>
        <v>5.7066487233374428</v>
      </c>
      <c r="AA373" s="95">
        <f t="shared" si="11"/>
        <v>40.333627435995872</v>
      </c>
      <c r="AB373" s="91">
        <f>AA373/Variables!$E$49</f>
        <v>6.505423779999334</v>
      </c>
    </row>
    <row r="374" spans="1:28" x14ac:dyDescent="0.25">
      <c r="A374" s="61">
        <f>'Water runs'!C381</f>
        <v>36129</v>
      </c>
      <c r="B374" s="61" t="str">
        <f>'Water runs'!B381</f>
        <v>Spring</v>
      </c>
      <c r="C374" s="54">
        <f>'Water runs'!D381/100</f>
        <v>1.59775</v>
      </c>
      <c r="D374" s="108">
        <f>VLOOKUP(ROW(D374)+4,'Water runs'!$BS$3:$CF$423,MATCH($B$1,Scenarios,0)+1)</f>
        <v>0.44180238956761336</v>
      </c>
      <c r="E374" s="54">
        <f>IF(B374=Variables!$D$8,C374-Variables!$E$8,IF(B374=Variables!$D$9,C374-Variables!$E$9,IF(B374=Variables!$D$10,C374-Variables!$E$10,IF(B374=Variables!$D$11,C374-Variables!$E$11,"ELSE"))))</f>
        <v>0.83376779100529086</v>
      </c>
      <c r="F374" s="108">
        <f>VLOOKUP(ROW(F374)+4,'Water runs'!$CH$3:$CU$423,MATCH($B$1,Scenarios,0)+1)</f>
        <v>1.0068868320414255</v>
      </c>
      <c r="G374" s="65">
        <f>H374/Variables!$E$49</f>
        <v>0.44559362828855703</v>
      </c>
      <c r="H374" s="62">
        <f>IF((H373+I374)&gt;(1.1*Variables!$E$50),(1.1*Variables!$E$50),IF((H373+I374)&gt;0,H373+I374,0))</f>
        <v>2.7626804953890538</v>
      </c>
      <c r="I374" s="64">
        <f t="shared" si="12"/>
        <v>0.12884262307946473</v>
      </c>
      <c r="J374" s="63">
        <f>IF(SUM(E370:E373)&lt;Variables!$B$3,-H373,0)</f>
        <v>0</v>
      </c>
      <c r="K374" s="64">
        <f>IF(AND(H373&lt;Variables!$B$6*Variables!$E$50,OR(SUM(D371:D374)&gt;Variables!$B$5,SUM(E371:E374)&gt;Variables!$B$4)),Variables!$B$6*Variables!$E$50+Variables!$B$7*$G$1*Variables!$E$50*SUM(D371:D374),0)</f>
        <v>0</v>
      </c>
      <c r="L374" s="64">
        <f>IF(B374="Winter",Variables!$B$8*H373,0)</f>
        <v>0</v>
      </c>
      <c r="M374" s="64">
        <f>IF(AND(B374="Spring",AND(NOT(H373=0),H373&lt;(Variables!$B$9*Variables!$E$50))),(Variables!$B$10*Variables!$E$50+Variables!$B$11*Variables!$E$50*SUM(E371:E374)+$G$1*SUM(D373:D374)*Variables!$E$50*Variables!$B$12),0)</f>
        <v>0</v>
      </c>
      <c r="N374" s="64">
        <f>IF(AND(B374="Spring",AND(SUM(D371:D374)&gt;Variables!$B$13,SUM(D367:D370)&gt;Variables!$B$13)),-Variables!$B$14*Variables!$E$50,0)</f>
        <v>0</v>
      </c>
      <c r="O374" s="64">
        <f>IF(AND(B374="Summer",SUM(C370:D374)&gt;Variables!$B$15),(Variables!$B$16*Variables!$E$50*SUM(C370:C374)+$G$1*Variables!$B$16*Variables!$E$50*SUM(D370:D374)+$G$1*Variables!$E$50*Variables!$B$17*F374),0)</f>
        <v>0</v>
      </c>
      <c r="P374" s="64">
        <f>IF(AND(AND(B374="Autumn",SUM(D373:E374)&gt;0),NOT(H373=0)),Variables!$B$18*Variables!$E$50+Variables!$B$19*Variables!$E$50*SUM(E373:E374)+$G$1*Variables!$B$19*Variables!$E$50*SUM(D373:D374),0)</f>
        <v>0</v>
      </c>
      <c r="Q374" s="64">
        <f>IF(AND(B374="Autumn",AND((E374+E373)&lt;Variables!$B$20,(D373+D374)=0)),-Variables!$B$21*Variables!$E$50,0)</f>
        <v>0</v>
      </c>
      <c r="R374" s="64">
        <f>IF(B374="Autumn",(SUM(F373:F374)*$G$1*Variables!$B$22*Variables!$E$50),0)</f>
        <v>0</v>
      </c>
      <c r="S374" s="64">
        <f>IF(B374="Spring",($G$1*Variables!$E$50*SUM('Guts (option 2)'!F373:F374)*Variables!$B$23),0)</f>
        <v>0.12884262307946473</v>
      </c>
      <c r="T374" s="63">
        <f>IF((H373+SUM(J374:Q374))&lt;(Variables!$B$26*Variables!$E$50),$F$1*((Variables!$B$26*Variables!$E$50)-H373-SUM(J374:Q374)),0)</f>
        <v>0</v>
      </c>
      <c r="U374" s="64">
        <f>IF(AND(AND(B374="Autumn",SUM(D371:E374)&gt;Variables!$B$27),SUM(J374:Q374)&lt;Variables!$B$28*H373),$F$1*(Variables!$B$28*H373-SUM(J374:Q374)),0)</f>
        <v>0</v>
      </c>
      <c r="V374" s="96">
        <f>IF(AND((J374+K374)=0,(Q374+T374)=0),$H$1*H374*Variables!$I$23*0.25,0)</f>
        <v>17.745755849407125</v>
      </c>
      <c r="W374" s="97">
        <f>IF(AND((K374+J374)=0,(T374+Q374)=0),$I$1*H374*Variables!$Q$23*0.25,0)</f>
        <v>18.575112534122919</v>
      </c>
      <c r="X374" s="95">
        <f>IF(AND(NOT(K374=0),(H374-H373)&gt;0),(H374-H373)*(Variables!$M$5*$H$1+Variables!$U$5*$I$1),0)+IF(AND(NOT((J374+N374+Q374)=0),(H373-H374)&gt;0),(H373-H374)*(Variables!$M$4*$H$1+Variables!$U$4*$I$1),0)</f>
        <v>0</v>
      </c>
      <c r="Y374" s="95">
        <f>IF(SUM(T374,U373:U374)&gt;0,H374*Variables!$Y$11*0.25*(1-$J$1),0)</f>
        <v>0</v>
      </c>
      <c r="Z374" s="95">
        <f>IF(T374=0,H374*$J$1*Variables!$Y$5*0.25,0)</f>
        <v>5.9858077400096166</v>
      </c>
      <c r="AA374" s="95">
        <f t="shared" si="11"/>
        <v>42.30667612353966</v>
      </c>
      <c r="AB374" s="91">
        <f>AA374/Variables!$E$49</f>
        <v>6.8236574392805904</v>
      </c>
    </row>
    <row r="375" spans="1:28" x14ac:dyDescent="0.25">
      <c r="A375" s="61">
        <f>'Water runs'!C382</f>
        <v>36219</v>
      </c>
      <c r="B375" s="61" t="str">
        <f>'Water runs'!B382</f>
        <v>Summer</v>
      </c>
      <c r="C375" s="54">
        <f>'Water runs'!D382/100</f>
        <v>1.153</v>
      </c>
      <c r="D375" s="108">
        <f>VLOOKUP(ROW(D375)+4,'Water runs'!$BS$3:$CF$423,MATCH($B$1,Scenarios,0)+1)</f>
        <v>9.8330153049509497E-2</v>
      </c>
      <c r="E375" s="54">
        <f>IF(B375=Variables!$D$8,C375-Variables!$E$8,IF(B375=Variables!$D$9,C375-Variables!$E$9,IF(B375=Variables!$D$10,C375-Variables!$E$10,IF(B375=Variables!$D$11,C375-Variables!$E$11,"ELSE"))))</f>
        <v>-0.10537013605442169</v>
      </c>
      <c r="F375" s="108">
        <f>VLOOKUP(ROW(F375)+4,'Water runs'!$CH$3:$CU$423,MATCH($B$1,Scenarios,0)+1)</f>
        <v>0.28378490724392119</v>
      </c>
      <c r="G375" s="65">
        <f>H375/Variables!$E$49</f>
        <v>0.98761062542957589</v>
      </c>
      <c r="H375" s="62">
        <f>IF((H374+I375)&gt;(1.1*Variables!$E$50),(1.1*Variables!$E$50),IF((H374+I375)&gt;0,H374+I375,0))</f>
        <v>6.1231858776633707</v>
      </c>
      <c r="I375" s="64">
        <f t="shared" si="12"/>
        <v>3.3605053822743165</v>
      </c>
      <c r="J375" s="63">
        <f>IF(SUM(E371:E374)&lt;Variables!$B$3,-H374,0)</f>
        <v>0</v>
      </c>
      <c r="K375" s="64">
        <f>IF(AND(H374&lt;Variables!$B$6*Variables!$E$50,OR(SUM(D372:D375)&gt;Variables!$B$5,SUM(E372:E375)&gt;Variables!$B$4)),Variables!$B$6*Variables!$E$50+Variables!$B$7*$G$1*Variables!$E$50*SUM(D372:D375),0)</f>
        <v>0</v>
      </c>
      <c r="L375" s="64">
        <f>IF(B375="Winter",Variables!$B$8*H374,0)</f>
        <v>0</v>
      </c>
      <c r="M375" s="64">
        <f>IF(AND(B375="Spring",AND(NOT(H374=0),H374&lt;(Variables!$B$9*Variables!$E$50))),(Variables!$B$10*Variables!$E$50+Variables!$B$11*Variables!$E$50*SUM(E372:E375)+$G$1*SUM(D374:D375)*Variables!$E$50*Variables!$B$12),0)</f>
        <v>0</v>
      </c>
      <c r="N375" s="64">
        <f>IF(AND(B375="Spring",AND(SUM(D372:D375)&gt;Variables!$B$13,SUM(D368:D371)&gt;Variables!$B$13)),-Variables!$B$14*Variables!$E$50,0)</f>
        <v>0</v>
      </c>
      <c r="O375" s="64">
        <f>IF(AND(B375="Summer",SUM(C371:D375)&gt;Variables!$B$15),(Variables!$B$16*Variables!$E$50*SUM(C371:C375)+$G$1*Variables!$B$16*Variables!$E$50*SUM(D371:D375)+$G$1*Variables!$E$50*Variables!$B$17*F375),0)</f>
        <v>3.3605053822743165</v>
      </c>
      <c r="P375" s="64">
        <f>IF(AND(AND(B375="Autumn",SUM(D374:E375)&gt;0),NOT(H374=0)),Variables!$B$18*Variables!$E$50+Variables!$B$19*Variables!$E$50*SUM(E374:E375)+$G$1*Variables!$B$19*Variables!$E$50*SUM(D374:D375),0)</f>
        <v>0</v>
      </c>
      <c r="Q375" s="64">
        <f>IF(AND(B375="Autumn",AND((E375+E374)&lt;Variables!$B$20,(D374+D375)=0)),-Variables!$B$21*Variables!$E$50,0)</f>
        <v>0</v>
      </c>
      <c r="R375" s="64">
        <f>IF(B375="Autumn",(SUM(F374:F375)*$G$1*Variables!$B$22*Variables!$E$50),0)</f>
        <v>0</v>
      </c>
      <c r="S375" s="64">
        <f>IF(B375="Spring",($G$1*Variables!$E$50*SUM('Guts (option 2)'!F374:F375)*Variables!$B$23),0)</f>
        <v>0</v>
      </c>
      <c r="T375" s="63">
        <f>IF((H374+SUM(J375:Q375))&lt;(Variables!$B$26*Variables!$E$50),$F$1*((Variables!$B$26*Variables!$E$50)-H374-SUM(J375:Q375)),0)</f>
        <v>0</v>
      </c>
      <c r="U375" s="64">
        <f>IF(AND(AND(B375="Autumn",SUM(D372:E375)&gt;Variables!$B$27),SUM(J375:Q375)&lt;Variables!$B$28*H374),$F$1*(Variables!$B$28*H374-SUM(J375:Q375)),0)</f>
        <v>0</v>
      </c>
      <c r="V375" s="96">
        <f>IF(AND((J375+K375)=0,(Q375+T375)=0),$H$1*H375*Variables!$I$23*0.25,0)</f>
        <v>39.331570113484936</v>
      </c>
      <c r="W375" s="97">
        <f>IF(AND((K375+J375)=0,(T375+Q375)=0),$I$1*H375*Variables!$Q$23*0.25,0)</f>
        <v>41.169750513959471</v>
      </c>
      <c r="X375" s="95">
        <f>IF(AND(NOT(K375=0),(H375-H374)&gt;0),(H375-H374)*(Variables!$M$5*$H$1+Variables!$U$5*$I$1),0)+IF(AND(NOT((J375+N375+Q375)=0),(H374-H375)&gt;0),(H374-H375)*(Variables!$M$4*$H$1+Variables!$U$4*$I$1),0)</f>
        <v>0</v>
      </c>
      <c r="Y375" s="95">
        <f>IF(SUM(T375,U374:U375)&gt;0,H375*Variables!$Y$11*0.25*(1-$J$1),0)</f>
        <v>0</v>
      </c>
      <c r="Z375" s="95">
        <f>IF(T375=0,H375*$J$1*Variables!$Y$5*0.25,0)</f>
        <v>13.266902734937302</v>
      </c>
      <c r="AA375" s="95">
        <f t="shared" si="11"/>
        <v>93.768223362381718</v>
      </c>
      <c r="AB375" s="91">
        <f>AA375/Variables!$E$49</f>
        <v>15.123906993932534</v>
      </c>
    </row>
    <row r="376" spans="1:28" x14ac:dyDescent="0.25">
      <c r="A376" s="61">
        <f>'Water runs'!C383</f>
        <v>36311</v>
      </c>
      <c r="B376" s="61" t="str">
        <f>'Water runs'!B383</f>
        <v>Autumn</v>
      </c>
      <c r="C376" s="54">
        <f>'Water runs'!D383/100</f>
        <v>1.0974107142857101</v>
      </c>
      <c r="D376" s="108">
        <f>VLOOKUP(ROW(D376)+4,'Water runs'!$BS$3:$CF$423,MATCH($B$1,Scenarios,0)+1)</f>
        <v>0.1958883284903285</v>
      </c>
      <c r="E376" s="54">
        <f>IF(B376=Variables!$D$8,C376-Variables!$E$8,IF(B376=Variables!$D$9,C376-Variables!$E$9,IF(B376=Variables!$D$10,C376-Variables!$E$10,IF(B376=Variables!$D$11,C376-Variables!$E$11,"ELSE"))))</f>
        <v>0.1027674149659823</v>
      </c>
      <c r="F376" s="108">
        <f>VLOOKUP(ROW(F376)+4,'Water runs'!$CH$3:$CU$423,MATCH($B$1,Scenarios,0)+1)</f>
        <v>0.28378490724392119</v>
      </c>
      <c r="G376" s="65">
        <f>H376/Variables!$E$49</f>
        <v>1.444933092389719</v>
      </c>
      <c r="H376" s="62">
        <f>IF((H375+I376)&gt;(1.1*Variables!$E$50),(1.1*Variables!$E$50),IF((H375+I376)&gt;0,H375+I376,0))</f>
        <v>8.9585851728162584</v>
      </c>
      <c r="I376" s="64">
        <f t="shared" si="12"/>
        <v>2.8353992951528872</v>
      </c>
      <c r="J376" s="63">
        <f>IF(SUM(E372:E375)&lt;Variables!$B$3,-H375,0)</f>
        <v>0</v>
      </c>
      <c r="K376" s="64">
        <f>IF(AND(H375&lt;Variables!$B$6*Variables!$E$50,OR(SUM(D373:D376)&gt;Variables!$B$5,SUM(E373:E376)&gt;Variables!$B$4)),Variables!$B$6*Variables!$E$50+Variables!$B$7*$G$1*Variables!$E$50*SUM(D373:D376),0)</f>
        <v>0</v>
      </c>
      <c r="L376" s="64">
        <f>IF(B376="Winter",Variables!$B$8*H375,0)</f>
        <v>0</v>
      </c>
      <c r="M376" s="64">
        <f>IF(AND(B376="Spring",AND(NOT(H375=0),H375&lt;(Variables!$B$9*Variables!$E$50))),(Variables!$B$10*Variables!$E$50+Variables!$B$11*Variables!$E$50*SUM(E373:E376)+$G$1*SUM(D375:D376)*Variables!$E$50*Variables!$B$12),0)</f>
        <v>0</v>
      </c>
      <c r="N376" s="64">
        <f>IF(AND(B376="Spring",AND(SUM(D373:D376)&gt;Variables!$B$13,SUM(D369:D372)&gt;Variables!$B$13)),-Variables!$B$14*Variables!$E$50,0)</f>
        <v>0</v>
      </c>
      <c r="O376" s="64">
        <f>IF(AND(B376="Summer",SUM(C372:D376)&gt;Variables!$B$15),(Variables!$B$16*Variables!$E$50*SUM(C372:C376)+$G$1*Variables!$B$16*Variables!$E$50*SUM(D372:D376)+$G$1*Variables!$E$50*Variables!$B$17*F376),0)</f>
        <v>0</v>
      </c>
      <c r="P376" s="64">
        <f>IF(AND(AND(B376="Autumn",SUM(D375:E376)&gt;0),NOT(H375=0)),Variables!$B$18*Variables!$E$50+Variables!$B$19*Variables!$E$50*SUM(E375:E376)+$G$1*Variables!$B$19*Variables!$E$50*SUM(D375:D376),0)</f>
        <v>0.83679357136053456</v>
      </c>
      <c r="Q376" s="64">
        <f>IF(AND(B376="Autumn",AND((E376+E375)&lt;Variables!$B$20,(D375+D376)=0)),-Variables!$B$21*Variables!$E$50,0)</f>
        <v>0</v>
      </c>
      <c r="R376" s="64">
        <f>IF(B376="Autumn",(SUM(F375:F376)*$G$1*Variables!$B$22*Variables!$E$50),0)</f>
        <v>7.9965650204370478E-2</v>
      </c>
      <c r="S376" s="64">
        <f>IF(B376="Spring",($G$1*Variables!$E$50*SUM('Guts (option 2)'!F375:F376)*Variables!$B$23),0)</f>
        <v>0</v>
      </c>
      <c r="T376" s="63">
        <f>IF((H375+SUM(J376:Q376))&lt;(Variables!$B$26*Variables!$E$50),$F$1*((Variables!$B$26*Variables!$E$50)-H375-SUM(J376:Q376)),0)</f>
        <v>0</v>
      </c>
      <c r="U376" s="64">
        <f>IF(AND(AND(B376="Autumn",SUM(D373:E376)&gt;Variables!$B$27),SUM(J376:Q376)&lt;Variables!$B$28*H375),$F$1*(Variables!$B$28*H375-SUM(J376:Q376)),0)</f>
        <v>1.9186400735879823</v>
      </c>
      <c r="V376" s="96">
        <f>IF(AND((J376+K376)=0,(Q376+T376)=0),$H$1*H376*Variables!$I$23*0.25,0)</f>
        <v>57.544426689315074</v>
      </c>
      <c r="W376" s="97">
        <f>IF(AND((K376+J376)=0,(T376+Q376)=0),$I$1*H376*Variables!$Q$23*0.25,0)</f>
        <v>60.233793958194511</v>
      </c>
      <c r="X376" s="95">
        <f>IF(AND(NOT(K376=0),(H376-H375)&gt;0),(H376-H375)*(Variables!$M$5*$H$1+Variables!$U$5*$I$1),0)+IF(AND(NOT((J376+N376+Q376)=0),(H375-H376)&gt;0),(H375-H376)*(Variables!$M$4*$H$1+Variables!$U$4*$I$1),0)</f>
        <v>0</v>
      </c>
      <c r="Y376" s="95">
        <f>IF(SUM(T376,U375:U376)&gt;0,H376*Variables!$Y$11*0.25*(1-$J$1),0)</f>
        <v>-62.710096209713818</v>
      </c>
      <c r="Z376" s="95">
        <f>IF(T376=0,H376*$J$1*Variables!$Y$5*0.25,0)</f>
        <v>19.410267874435227</v>
      </c>
      <c r="AA376" s="95">
        <f t="shared" si="11"/>
        <v>74.478392312230994</v>
      </c>
      <c r="AB376" s="91">
        <f>AA376/Variables!$E$49</f>
        <v>12.01264392132758</v>
      </c>
    </row>
    <row r="377" spans="1:28" x14ac:dyDescent="0.25">
      <c r="A377" s="61">
        <f>'Water runs'!C384</f>
        <v>36403</v>
      </c>
      <c r="B377" s="61" t="str">
        <f>'Water runs'!B384</f>
        <v>Winter</v>
      </c>
      <c r="C377" s="54">
        <f>'Water runs'!D384/100</f>
        <v>0.66562500000000002</v>
      </c>
      <c r="D377" s="108">
        <f>VLOOKUP(ROW(D377)+4,'Water runs'!$BS$3:$CF$423,MATCH($B$1,Scenarios,0)+1)</f>
        <v>0</v>
      </c>
      <c r="E377" s="54">
        <f>IF(B377=Variables!$D$8,C377-Variables!$E$8,IF(B377=Variables!$D$9,C377-Variables!$E$9,IF(B377=Variables!$D$10,C377-Variables!$E$10,IF(B377=Variables!$D$11,C377-Variables!$E$11,"ELSE"))))</f>
        <v>9.3857374338624289E-2</v>
      </c>
      <c r="F377" s="108">
        <f>VLOOKUP(ROW(F377)+4,'Water runs'!$CH$3:$CU$423,MATCH($B$1,Scenarios,0)+1)</f>
        <v>0</v>
      </c>
      <c r="G377" s="65">
        <f>H377/Variables!$E$49</f>
        <v>0.72543552776188902</v>
      </c>
      <c r="H377" s="62">
        <f>IF((H376+I377)&gt;(1.1*Variables!$E$50),(1.1*Variables!$E$50),IF((H376+I377)&gt;0,H376+I377,0))</f>
        <v>4.497700272123712</v>
      </c>
      <c r="I377" s="64">
        <f t="shared" si="12"/>
        <v>-4.4608849006925464</v>
      </c>
      <c r="J377" s="63">
        <f>IF(SUM(E373:E376)&lt;Variables!$B$3,-H376,0)</f>
        <v>0</v>
      </c>
      <c r="K377" s="64">
        <f>IF(AND(H376&lt;Variables!$B$6*Variables!$E$50,OR(SUM(D374:D377)&gt;Variables!$B$5,SUM(E374:E377)&gt;Variables!$B$4)),Variables!$B$6*Variables!$E$50+Variables!$B$7*$G$1*Variables!$E$50*SUM(D374:D377),0)</f>
        <v>0</v>
      </c>
      <c r="L377" s="64">
        <f>IF(B377="Winter",Variables!$B$8*H376,0)</f>
        <v>-4.4608849006925464</v>
      </c>
      <c r="M377" s="64">
        <f>IF(AND(B377="Spring",AND(NOT(H376=0),H376&lt;(Variables!$B$9*Variables!$E$50))),(Variables!$B$10*Variables!$E$50+Variables!$B$11*Variables!$E$50*SUM(E374:E377)+$G$1*SUM(D376:D377)*Variables!$E$50*Variables!$B$12),0)</f>
        <v>0</v>
      </c>
      <c r="N377" s="64">
        <f>IF(AND(B377="Spring",AND(SUM(D374:D377)&gt;Variables!$B$13,SUM(D370:D373)&gt;Variables!$B$13)),-Variables!$B$14*Variables!$E$50,0)</f>
        <v>0</v>
      </c>
      <c r="O377" s="64">
        <f>IF(AND(B377="Summer",SUM(C373:D377)&gt;Variables!$B$15),(Variables!$B$16*Variables!$E$50*SUM(C373:C377)+$G$1*Variables!$B$16*Variables!$E$50*SUM(D373:D377)+$G$1*Variables!$E$50*Variables!$B$17*F377),0)</f>
        <v>0</v>
      </c>
      <c r="P377" s="64">
        <f>IF(AND(AND(B377="Autumn",SUM(D376:E377)&gt;0),NOT(H376=0)),Variables!$B$18*Variables!$E$50+Variables!$B$19*Variables!$E$50*SUM(E376:E377)+$G$1*Variables!$B$19*Variables!$E$50*SUM(D376:D377),0)</f>
        <v>0</v>
      </c>
      <c r="Q377" s="64">
        <f>IF(AND(B377="Autumn",AND((E377+E376)&lt;Variables!$B$20,(D376+D377)=0)),-Variables!$B$21*Variables!$E$50,0)</f>
        <v>0</v>
      </c>
      <c r="R377" s="64">
        <f>IF(B377="Autumn",(SUM(F376:F377)*$G$1*Variables!$B$22*Variables!$E$50),0)</f>
        <v>0</v>
      </c>
      <c r="S377" s="64">
        <f>IF(B377="Spring",($G$1*Variables!$E$50*SUM('Guts (option 2)'!F376:F377)*Variables!$B$23),0)</f>
        <v>0</v>
      </c>
      <c r="T377" s="63">
        <f>IF((H376+SUM(J377:Q377))&lt;(Variables!$B$26*Variables!$E$50),$F$1*((Variables!$B$26*Variables!$E$50)-H376-SUM(J377:Q377)),0)</f>
        <v>0</v>
      </c>
      <c r="U377" s="64">
        <f>IF(AND(AND(B377="Autumn",SUM(D374:E377)&gt;Variables!$B$27),SUM(J377:Q377)&lt;Variables!$B$28*H376),$F$1*(Variables!$B$28*H376-SUM(J377:Q377)),0)</f>
        <v>0</v>
      </c>
      <c r="V377" s="96">
        <f>IF(AND((J377+K377)=0,(Q377+T377)=0),$H$1*H377*Variables!$I$23*0.25,0)</f>
        <v>28.890452966288251</v>
      </c>
      <c r="W377" s="97">
        <f>IF(AND((K377+J377)=0,(T377+Q377)=0),$I$1*H377*Variables!$Q$23*0.25,0)</f>
        <v>30.240662587979784</v>
      </c>
      <c r="X377" s="95">
        <f>IF(AND(NOT(K377=0),(H377-H376)&gt;0),(H377-H376)*(Variables!$M$5*$H$1+Variables!$U$5*$I$1),0)+IF(AND(NOT((J377+N377+Q377)=0),(H376-H377)&gt;0),(H376-H377)*(Variables!$M$4*$H$1+Variables!$U$4*$I$1),0)</f>
        <v>0</v>
      </c>
      <c r="Y377" s="95">
        <f>IF(SUM(T377,U376:U377)&gt;0,H377*Variables!$Y$11*0.25*(1-$J$1),0)</f>
        <v>-31.483901904865988</v>
      </c>
      <c r="Z377" s="95">
        <f>IF(T377=0,H377*$J$1*Variables!$Y$5*0.25,0)</f>
        <v>9.7450172562680422</v>
      </c>
      <c r="AA377" s="95">
        <f t="shared" si="11"/>
        <v>37.39223090567009</v>
      </c>
      <c r="AB377" s="91">
        <f>AA377/Variables!$E$49</f>
        <v>6.0310049847854978</v>
      </c>
    </row>
    <row r="378" spans="1:28" x14ac:dyDescent="0.25">
      <c r="A378" s="61">
        <f>'Water runs'!C385</f>
        <v>36494</v>
      </c>
      <c r="B378" s="61" t="str">
        <f>'Water runs'!B385</f>
        <v>Spring</v>
      </c>
      <c r="C378" s="54">
        <f>'Water runs'!D385/100</f>
        <v>1.4424107142857099</v>
      </c>
      <c r="D378" s="108">
        <f>VLOOKUP(ROW(D378)+4,'Water runs'!$BS$3:$CF$423,MATCH($B$1,Scenarios,0)+1)</f>
        <v>1.3555135036698628E-3</v>
      </c>
      <c r="E378" s="54">
        <f>IF(B378=Variables!$D$8,C378-Variables!$E$8,IF(B378=Variables!$D$9,C378-Variables!$E$9,IF(B378=Variables!$D$10,C378-Variables!$E$10,IF(B378=Variables!$D$11,C378-Variables!$E$11,"ELSE"))))</f>
        <v>0.67842850529100074</v>
      </c>
      <c r="F378" s="108">
        <f>VLOOKUP(ROW(F378)+4,'Water runs'!$CH$3:$CU$423,MATCH($B$1,Scenarios,0)+1)</f>
        <v>0</v>
      </c>
      <c r="G378" s="65">
        <f>H378/Variables!$E$49</f>
        <v>0.72543552776188902</v>
      </c>
      <c r="H378" s="62">
        <f>IF((H377+I378)&gt;(1.1*Variables!$E$50),(1.1*Variables!$E$50),IF((H377+I378)&gt;0,H377+I378,0))</f>
        <v>4.497700272123712</v>
      </c>
      <c r="I378" s="64">
        <f t="shared" si="12"/>
        <v>0</v>
      </c>
      <c r="J378" s="63">
        <f>IF(SUM(E374:E377)&lt;Variables!$B$3,-H377,0)</f>
        <v>0</v>
      </c>
      <c r="K378" s="64">
        <f>IF(AND(H377&lt;Variables!$B$6*Variables!$E$50,OR(SUM(D375:D378)&gt;Variables!$B$5,SUM(E375:E378)&gt;Variables!$B$4)),Variables!$B$6*Variables!$E$50+Variables!$B$7*$G$1*Variables!$E$50*SUM(D375:D378),0)</f>
        <v>0</v>
      </c>
      <c r="L378" s="64">
        <f>IF(B378="Winter",Variables!$B$8*H377,0)</f>
        <v>0</v>
      </c>
      <c r="M378" s="64">
        <f>IF(AND(B378="Spring",AND(NOT(H377=0),H377&lt;(Variables!$B$9*Variables!$E$50))),(Variables!$B$10*Variables!$E$50+Variables!$B$11*Variables!$E$50*SUM(E375:E378)+$G$1*SUM(D377:D378)*Variables!$E$50*Variables!$B$12),0)</f>
        <v>0</v>
      </c>
      <c r="N378" s="64">
        <f>IF(AND(B378="Spring",AND(SUM(D375:D378)&gt;Variables!$B$13,SUM(D371:D374)&gt;Variables!$B$13)),-Variables!$B$14*Variables!$E$50,0)</f>
        <v>0</v>
      </c>
      <c r="O378" s="64">
        <f>IF(AND(B378="Summer",SUM(C374:D378)&gt;Variables!$B$15),(Variables!$B$16*Variables!$E$50*SUM(C374:C378)+$G$1*Variables!$B$16*Variables!$E$50*SUM(D374:D378)+$G$1*Variables!$E$50*Variables!$B$17*F378),0)</f>
        <v>0</v>
      </c>
      <c r="P378" s="64">
        <f>IF(AND(AND(B378="Autumn",SUM(D377:E378)&gt;0),NOT(H377=0)),Variables!$B$18*Variables!$E$50+Variables!$B$19*Variables!$E$50*SUM(E377:E378)+$G$1*Variables!$B$19*Variables!$E$50*SUM(D377:D378),0)</f>
        <v>0</v>
      </c>
      <c r="Q378" s="64">
        <f>IF(AND(B378="Autumn",AND((E378+E377)&lt;Variables!$B$20,(D377+D378)=0)),-Variables!$B$21*Variables!$E$50,0)</f>
        <v>0</v>
      </c>
      <c r="R378" s="64">
        <f>IF(B378="Autumn",(SUM(F377:F378)*$G$1*Variables!$B$22*Variables!$E$50),0)</f>
        <v>0</v>
      </c>
      <c r="S378" s="64">
        <f>IF(B378="Spring",($G$1*Variables!$E$50*SUM('Guts (option 2)'!F377:F378)*Variables!$B$23),0)</f>
        <v>0</v>
      </c>
      <c r="T378" s="63">
        <f>IF((H377+SUM(J378:Q378))&lt;(Variables!$B$26*Variables!$E$50),$F$1*((Variables!$B$26*Variables!$E$50)-H377-SUM(J378:Q378)),0)</f>
        <v>0</v>
      </c>
      <c r="U378" s="64">
        <f>IF(AND(AND(B378="Autumn",SUM(D375:E378)&gt;Variables!$B$27),SUM(J378:Q378)&lt;Variables!$B$28*H377),$F$1*(Variables!$B$28*H377-SUM(J378:Q378)),0)</f>
        <v>0</v>
      </c>
      <c r="V378" s="96">
        <f>IF(AND((J378+K378)=0,(Q378+T378)=0),$H$1*H378*Variables!$I$23*0.25,0)</f>
        <v>28.890452966288251</v>
      </c>
      <c r="W378" s="97">
        <f>IF(AND((K378+J378)=0,(T378+Q378)=0),$I$1*H378*Variables!$Q$23*0.25,0)</f>
        <v>30.240662587979784</v>
      </c>
      <c r="X378" s="95">
        <f>IF(AND(NOT(K378=0),(H378-H377)&gt;0),(H378-H377)*(Variables!$M$5*$H$1+Variables!$U$5*$I$1),0)+IF(AND(NOT((J378+N378+Q378)=0),(H377-H378)&gt;0),(H377-H378)*(Variables!$M$4*$H$1+Variables!$U$4*$I$1),0)</f>
        <v>0</v>
      </c>
      <c r="Y378" s="95">
        <f>IF(SUM(T378,U377:U378)&gt;0,H378*Variables!$Y$11*0.25*(1-$J$1),0)</f>
        <v>0</v>
      </c>
      <c r="Z378" s="95">
        <f>IF(T378=0,H378*$J$1*Variables!$Y$5*0.25,0)</f>
        <v>9.7450172562680422</v>
      </c>
      <c r="AA378" s="95">
        <f t="shared" si="11"/>
        <v>68.876132810536077</v>
      </c>
      <c r="AB378" s="91">
        <f>AA378/Variables!$E$49</f>
        <v>11.109053679118722</v>
      </c>
    </row>
    <row r="379" spans="1:28" x14ac:dyDescent="0.25">
      <c r="A379" s="61">
        <f>'Water runs'!C386</f>
        <v>36584</v>
      </c>
      <c r="B379" s="61" t="str">
        <f>'Water runs'!B386</f>
        <v>Summer</v>
      </c>
      <c r="C379" s="54">
        <f>'Water runs'!D386/100</f>
        <v>1.7723988095238099</v>
      </c>
      <c r="D379" s="108">
        <f>VLOOKUP(ROW(D379)+4,'Water runs'!$BS$3:$CF$423,MATCH($B$1,Scenarios,0)+1)</f>
        <v>2.421713552759721E-2</v>
      </c>
      <c r="E379" s="54">
        <f>IF(B379=Variables!$D$8,C379-Variables!$E$8,IF(B379=Variables!$D$9,C379-Variables!$E$9,IF(B379=Variables!$D$10,C379-Variables!$E$10,IF(B379=Variables!$D$11,C379-Variables!$E$11,"ELSE"))))</f>
        <v>0.51402867346938819</v>
      </c>
      <c r="F379" s="108">
        <f>VLOOKUP(ROW(F379)+4,'Water runs'!$CH$3:$CU$423,MATCH($B$1,Scenarios,0)+1)</f>
        <v>0</v>
      </c>
      <c r="G379" s="65">
        <f>H379/Variables!$E$49</f>
        <v>1.1120431714991452</v>
      </c>
      <c r="H379" s="62">
        <f>IF((H378+I379)&gt;(1.1*Variables!$E$50),(1.1*Variables!$E$50),IF((H378+I379)&gt;0,H378+I379,0))</f>
        <v>6.8946676632947002</v>
      </c>
      <c r="I379" s="64">
        <f t="shared" si="12"/>
        <v>2.3969673911709881</v>
      </c>
      <c r="J379" s="63">
        <f>IF(SUM(E375:E378)&lt;Variables!$B$3,-H378,0)</f>
        <v>0</v>
      </c>
      <c r="K379" s="64">
        <f>IF(AND(H378&lt;Variables!$B$6*Variables!$E$50,OR(SUM(D376:D379)&gt;Variables!$B$5,SUM(E376:E379)&gt;Variables!$B$4)),Variables!$B$6*Variables!$E$50+Variables!$B$7*$G$1*Variables!$E$50*SUM(D376:D379),0)</f>
        <v>0</v>
      </c>
      <c r="L379" s="64">
        <f>IF(B379="Winter",Variables!$B$8*H378,0)</f>
        <v>0</v>
      </c>
      <c r="M379" s="64">
        <f>IF(AND(B379="Spring",AND(NOT(H378=0),H378&lt;(Variables!$B$9*Variables!$E$50))),(Variables!$B$10*Variables!$E$50+Variables!$B$11*Variables!$E$50*SUM(E376:E379)+$G$1*SUM(D378:D379)*Variables!$E$50*Variables!$B$12),0)</f>
        <v>0</v>
      </c>
      <c r="N379" s="64">
        <f>IF(AND(B379="Spring",AND(SUM(D376:D379)&gt;Variables!$B$13,SUM(D372:D375)&gt;Variables!$B$13)),-Variables!$B$14*Variables!$E$50,0)</f>
        <v>0</v>
      </c>
      <c r="O379" s="64">
        <f>IF(AND(B379="Summer",SUM(C375:D379)&gt;Variables!$B$15),(Variables!$B$16*Variables!$E$50*SUM(C375:C379)+$G$1*Variables!$B$16*Variables!$E$50*SUM(D375:D379)+$G$1*Variables!$E$50*Variables!$B$17*F379),0)</f>
        <v>2.3969673911709881</v>
      </c>
      <c r="P379" s="64">
        <f>IF(AND(AND(B379="Autumn",SUM(D378:E379)&gt;0),NOT(H378=0)),Variables!$B$18*Variables!$E$50+Variables!$B$19*Variables!$E$50*SUM(E378:E379)+$G$1*Variables!$B$19*Variables!$E$50*SUM(D378:D379),0)</f>
        <v>0</v>
      </c>
      <c r="Q379" s="64">
        <f>IF(AND(B379="Autumn",AND((E379+E378)&lt;Variables!$B$20,(D378+D379)=0)),-Variables!$B$21*Variables!$E$50,0)</f>
        <v>0</v>
      </c>
      <c r="R379" s="64">
        <f>IF(B379="Autumn",(SUM(F378:F379)*$G$1*Variables!$B$22*Variables!$E$50),0)</f>
        <v>0</v>
      </c>
      <c r="S379" s="64">
        <f>IF(B379="Spring",($G$1*Variables!$E$50*SUM('Guts (option 2)'!F378:F379)*Variables!$B$23),0)</f>
        <v>0</v>
      </c>
      <c r="T379" s="63">
        <f>IF((H378+SUM(J379:Q379))&lt;(Variables!$B$26*Variables!$E$50),$F$1*((Variables!$B$26*Variables!$E$50)-H378-SUM(J379:Q379)),0)</f>
        <v>0</v>
      </c>
      <c r="U379" s="64">
        <f>IF(AND(AND(B379="Autumn",SUM(D376:E379)&gt;Variables!$B$27),SUM(J379:Q379)&lt;Variables!$B$28*H378),$F$1*(Variables!$B$28*H378-SUM(J379:Q379)),0)</f>
        <v>0</v>
      </c>
      <c r="V379" s="96">
        <f>IF(AND((J379+K379)=0,(Q379+T379)=0),$H$1*H379*Variables!$I$23*0.25,0)</f>
        <v>44.287093357279453</v>
      </c>
      <c r="W379" s="97">
        <f>IF(AND((K379+J379)=0,(T379+Q379)=0),$I$1*H379*Variables!$Q$23*0.25,0)</f>
        <v>46.356872589800517</v>
      </c>
      <c r="X379" s="95">
        <f>IF(AND(NOT(K379=0),(H379-H378)&gt;0),(H379-H378)*(Variables!$M$5*$H$1+Variables!$U$5*$I$1),0)+IF(AND(NOT((J379+N379+Q379)=0),(H378-H379)&gt;0),(H378-H379)*(Variables!$M$4*$H$1+Variables!$U$4*$I$1),0)</f>
        <v>0</v>
      </c>
      <c r="Y379" s="95">
        <f>IF(SUM(T379,U378:U379)&gt;0,H379*Variables!$Y$11*0.25*(1-$J$1),0)</f>
        <v>0</v>
      </c>
      <c r="Z379" s="95">
        <f>IF(T379=0,H379*$J$1*Variables!$Y$5*0.25,0)</f>
        <v>14.938446603805183</v>
      </c>
      <c r="AA379" s="95">
        <f t="shared" si="11"/>
        <v>105.58241255088515</v>
      </c>
      <c r="AB379" s="91">
        <f>AA379/Variables!$E$49</f>
        <v>17.029421379175023</v>
      </c>
    </row>
    <row r="380" spans="1:28" x14ac:dyDescent="0.25">
      <c r="A380" s="61">
        <f>'Water runs'!C387</f>
        <v>36677</v>
      </c>
      <c r="B380" s="61" t="str">
        <f>'Water runs'!B387</f>
        <v>Autumn</v>
      </c>
      <c r="C380" s="54">
        <f>'Water runs'!D387/100</f>
        <v>2.34517857142857</v>
      </c>
      <c r="D380" s="108">
        <f>VLOOKUP(ROW(D380)+4,'Water runs'!$BS$3:$CF$423,MATCH($B$1,Scenarios,0)+1)</f>
        <v>9.8733956721747595E-4</v>
      </c>
      <c r="E380" s="54">
        <f>IF(B380=Variables!$D$8,C380-Variables!$E$8,IF(B380=Variables!$D$9,C380-Variables!$E$9,IF(B380=Variables!$D$10,C380-Variables!$E$10,IF(B380=Variables!$D$11,C380-Variables!$E$11,"ELSE"))))</f>
        <v>1.3505352721088422</v>
      </c>
      <c r="F380" s="108">
        <f>VLOOKUP(ROW(F380)+4,'Water runs'!$CH$3:$CU$423,MATCH($B$1,Scenarios,0)+1)</f>
        <v>0</v>
      </c>
      <c r="G380" s="65">
        <f>H380/Variables!$E$49</f>
        <v>1.835357702095032</v>
      </c>
      <c r="H380" s="62">
        <f>IF((H379+I380)&gt;(1.1*Variables!$E$50),(1.1*Variables!$E$50),IF((H379+I380)&gt;0,H379+I380,0))</f>
        <v>11.379217752989199</v>
      </c>
      <c r="I380" s="64">
        <f t="shared" si="12"/>
        <v>4.4845500896944985</v>
      </c>
      <c r="J380" s="63">
        <f>IF(SUM(E376:E379)&lt;Variables!$B$3,-H379,0)</f>
        <v>0</v>
      </c>
      <c r="K380" s="64">
        <f>IF(AND(H379&lt;Variables!$B$6*Variables!$E$50,OR(SUM(D377:D380)&gt;Variables!$B$5,SUM(E377:E380)&gt;Variables!$B$4)),Variables!$B$6*Variables!$E$50+Variables!$B$7*$G$1*Variables!$E$50*SUM(D377:D380),0)</f>
        <v>0</v>
      </c>
      <c r="L380" s="64">
        <f>IF(B380="Winter",Variables!$B$8*H379,0)</f>
        <v>0</v>
      </c>
      <c r="M380" s="64">
        <f>IF(AND(B380="Spring",AND(NOT(H379=0),H379&lt;(Variables!$B$9*Variables!$E$50))),(Variables!$B$10*Variables!$E$50+Variables!$B$11*Variables!$E$50*SUM(E377:E380)+$G$1*SUM(D379:D380)*Variables!$E$50*Variables!$B$12),0)</f>
        <v>0</v>
      </c>
      <c r="N380" s="64">
        <f>IF(AND(B380="Spring",AND(SUM(D377:D380)&gt;Variables!$B$13,SUM(D373:D376)&gt;Variables!$B$13)),-Variables!$B$14*Variables!$E$50,0)</f>
        <v>0</v>
      </c>
      <c r="O380" s="64">
        <f>IF(AND(B380="Summer",SUM(C376:D380)&gt;Variables!$B$15),(Variables!$B$16*Variables!$E$50*SUM(C376:C380)+$G$1*Variables!$B$16*Variables!$E$50*SUM(D376:D380)+$G$1*Variables!$E$50*Variables!$B$17*F380),0)</f>
        <v>0</v>
      </c>
      <c r="P380" s="64">
        <f>IF(AND(AND(B380="Autumn",SUM(D379:E380)&gt;0),NOT(H379=0)),Variables!$B$18*Variables!$E$50+Variables!$B$19*Variables!$E$50*SUM(E379:E380)+$G$1*Variables!$B$19*Variables!$E$50*SUM(D379:D380),0)</f>
        <v>4.4845500896944985</v>
      </c>
      <c r="Q380" s="64">
        <f>IF(AND(B380="Autumn",AND((E380+E379)&lt;Variables!$B$20,(D379+D380)=0)),-Variables!$B$21*Variables!$E$50,0)</f>
        <v>0</v>
      </c>
      <c r="R380" s="64">
        <f>IF(B380="Autumn",(SUM(F379:F380)*$G$1*Variables!$B$22*Variables!$E$50),0)</f>
        <v>0</v>
      </c>
      <c r="S380" s="64">
        <f>IF(B380="Spring",($G$1*Variables!$E$50*SUM('Guts (option 2)'!F379:F380)*Variables!$B$23),0)</f>
        <v>0</v>
      </c>
      <c r="T380" s="63">
        <f>IF((H379+SUM(J380:Q380))&lt;(Variables!$B$26*Variables!$E$50),$F$1*((Variables!$B$26*Variables!$E$50)-H379-SUM(J380:Q380)),0)</f>
        <v>0</v>
      </c>
      <c r="U380" s="64">
        <f>IF(AND(AND(B380="Autumn",SUM(D377:E380)&gt;Variables!$B$27),SUM(J380:Q380)&lt;Variables!$B$28*H379),$F$1*(Variables!$B$28*H379-SUM(J380:Q380)),0)</f>
        <v>0</v>
      </c>
      <c r="V380" s="96">
        <f>IF(AND((J380+K380)=0,(Q380+T380)=0),$H$1*H380*Variables!$I$23*0.25,0)</f>
        <v>73.093077660921594</v>
      </c>
      <c r="W380" s="97">
        <f>IF(AND((K380+J380)=0,(T380+Q380)=0),$I$1*H380*Variables!$Q$23*0.25,0)</f>
        <v>76.509118830368948</v>
      </c>
      <c r="X380" s="95">
        <f>IF(AND(NOT(K380=0),(H380-H379)&gt;0),(H380-H379)*(Variables!$M$5*$H$1+Variables!$U$5*$I$1),0)+IF(AND(NOT((J380+N380+Q380)=0),(H379-H380)&gt;0),(H379-H380)*(Variables!$M$4*$H$1+Variables!$U$4*$I$1),0)</f>
        <v>0</v>
      </c>
      <c r="Y380" s="95">
        <f>IF(SUM(T380,U379:U380)&gt;0,H380*Variables!$Y$11*0.25*(1-$J$1),0)</f>
        <v>0</v>
      </c>
      <c r="Z380" s="95">
        <f>IF(T380=0,H380*$J$1*Variables!$Y$5*0.25,0)</f>
        <v>24.654971798143261</v>
      </c>
      <c r="AA380" s="95">
        <f t="shared" si="11"/>
        <v>174.25716828943382</v>
      </c>
      <c r="AB380" s="91">
        <f>AA380/Variables!$E$49</f>
        <v>28.105994885392551</v>
      </c>
    </row>
    <row r="381" spans="1:28" x14ac:dyDescent="0.25">
      <c r="A381" s="61">
        <f>'Water runs'!C388</f>
        <v>36769</v>
      </c>
      <c r="B381" s="61" t="str">
        <f>'Water runs'!B388</f>
        <v>Winter</v>
      </c>
      <c r="C381" s="54">
        <f>'Water runs'!D388/100</f>
        <v>0.21137499999999998</v>
      </c>
      <c r="D381" s="108">
        <f>VLOOKUP(ROW(D381)+4,'Water runs'!$BS$3:$CF$423,MATCH($B$1,Scenarios,0)+1)</f>
        <v>0</v>
      </c>
      <c r="E381" s="54">
        <f>IF(B381=Variables!$D$8,C381-Variables!$E$8,IF(B381=Variables!$D$9,C381-Variables!$E$9,IF(B381=Variables!$D$10,C381-Variables!$E$10,IF(B381=Variables!$D$11,C381-Variables!$E$11,"ELSE"))))</f>
        <v>-0.36039262566137575</v>
      </c>
      <c r="F381" s="108">
        <f>VLOOKUP(ROW(F381)+4,'Water runs'!$CH$3:$CU$423,MATCH($B$1,Scenarios,0)+1)</f>
        <v>0</v>
      </c>
      <c r="G381" s="65">
        <f>H381/Variables!$E$49</f>
        <v>0.92145005901217947</v>
      </c>
      <c r="H381" s="62">
        <f>IF((H380+I381)&gt;(1.1*Variables!$E$50),(1.1*Variables!$E$50),IF((H380+I381)&gt;0,H380+I381,0))</f>
        <v>5.7129903658755126</v>
      </c>
      <c r="I381" s="64">
        <f t="shared" si="12"/>
        <v>-5.6662273871136861</v>
      </c>
      <c r="J381" s="63">
        <f>IF(SUM(E377:E380)&lt;Variables!$B$3,-H380,0)</f>
        <v>0</v>
      </c>
      <c r="K381" s="64">
        <f>IF(AND(H380&lt;Variables!$B$6*Variables!$E$50,OR(SUM(D378:D381)&gt;Variables!$B$5,SUM(E378:E381)&gt;Variables!$B$4)),Variables!$B$6*Variables!$E$50+Variables!$B$7*$G$1*Variables!$E$50*SUM(D378:D381),0)</f>
        <v>0</v>
      </c>
      <c r="L381" s="64">
        <f>IF(B381="Winter",Variables!$B$8*H380,0)</f>
        <v>-5.6662273871136861</v>
      </c>
      <c r="M381" s="64">
        <f>IF(AND(B381="Spring",AND(NOT(H380=0),H380&lt;(Variables!$B$9*Variables!$E$50))),(Variables!$B$10*Variables!$E$50+Variables!$B$11*Variables!$E$50*SUM(E378:E381)+$G$1*SUM(D380:D381)*Variables!$E$50*Variables!$B$12),0)</f>
        <v>0</v>
      </c>
      <c r="N381" s="64">
        <f>IF(AND(B381="Spring",AND(SUM(D378:D381)&gt;Variables!$B$13,SUM(D374:D377)&gt;Variables!$B$13)),-Variables!$B$14*Variables!$E$50,0)</f>
        <v>0</v>
      </c>
      <c r="O381" s="64">
        <f>IF(AND(B381="Summer",SUM(C377:D381)&gt;Variables!$B$15),(Variables!$B$16*Variables!$E$50*SUM(C377:C381)+$G$1*Variables!$B$16*Variables!$E$50*SUM(D377:D381)+$G$1*Variables!$E$50*Variables!$B$17*F381),0)</f>
        <v>0</v>
      </c>
      <c r="P381" s="64">
        <f>IF(AND(AND(B381="Autumn",SUM(D380:E381)&gt;0),NOT(H380=0)),Variables!$B$18*Variables!$E$50+Variables!$B$19*Variables!$E$50*SUM(E380:E381)+$G$1*Variables!$B$19*Variables!$E$50*SUM(D380:D381),0)</f>
        <v>0</v>
      </c>
      <c r="Q381" s="64">
        <f>IF(AND(B381="Autumn",AND((E381+E380)&lt;Variables!$B$20,(D380+D381)=0)),-Variables!$B$21*Variables!$E$50,0)</f>
        <v>0</v>
      </c>
      <c r="R381" s="64">
        <f>IF(B381="Autumn",(SUM(F380:F381)*$G$1*Variables!$B$22*Variables!$E$50),0)</f>
        <v>0</v>
      </c>
      <c r="S381" s="64">
        <f>IF(B381="Spring",($G$1*Variables!$E$50*SUM('Guts (option 2)'!F380:F381)*Variables!$B$23),0)</f>
        <v>0</v>
      </c>
      <c r="T381" s="63">
        <f>IF((H380+SUM(J381:Q381))&lt;(Variables!$B$26*Variables!$E$50),$F$1*((Variables!$B$26*Variables!$E$50)-H380-SUM(J381:Q381)),0)</f>
        <v>0</v>
      </c>
      <c r="U381" s="64">
        <f>IF(AND(AND(B381="Autumn",SUM(D378:E381)&gt;Variables!$B$27),SUM(J381:Q381)&lt;Variables!$B$28*H380),$F$1*(Variables!$B$28*H380-SUM(J381:Q381)),0)</f>
        <v>0</v>
      </c>
      <c r="V381" s="96">
        <f>IF(AND((J381+K381)=0,(Q381+T381)=0),$H$1*H381*Variables!$I$23*0.25,0)</f>
        <v>36.696727099658666</v>
      </c>
      <c r="W381" s="97">
        <f>IF(AND((K381+J381)=0,(T381+Q381)=0),$I$1*H381*Variables!$Q$23*0.25,0)</f>
        <v>38.411766807494494</v>
      </c>
      <c r="X381" s="95">
        <f>IF(AND(NOT(K381=0),(H381-H380)&gt;0),(H381-H380)*(Variables!$M$5*$H$1+Variables!$U$5*$I$1),0)+IF(AND(NOT((J381+N381+Q381)=0),(H380-H381)&gt;0),(H380-H381)*(Variables!$M$4*$H$1+Variables!$U$4*$I$1),0)</f>
        <v>0</v>
      </c>
      <c r="Y381" s="95">
        <f>IF(SUM(T381,U380:U381)&gt;0,H381*Variables!$Y$11*0.25*(1-$J$1),0)</f>
        <v>0</v>
      </c>
      <c r="Z381" s="95">
        <f>IF(T381=0,H381*$J$1*Variables!$Y$5*0.25,0)</f>
        <v>12.378145792730276</v>
      </c>
      <c r="AA381" s="95">
        <f t="shared" si="11"/>
        <v>87.48663969988344</v>
      </c>
      <c r="AB381" s="91">
        <f>AA381/Variables!$E$49</f>
        <v>14.110748338690877</v>
      </c>
    </row>
    <row r="382" spans="1:28" x14ac:dyDescent="0.25">
      <c r="A382" s="61">
        <f>'Water runs'!C389</f>
        <v>36860</v>
      </c>
      <c r="B382" s="61" t="str">
        <f>'Water runs'!B389</f>
        <v>Spring</v>
      </c>
      <c r="C382" s="54">
        <f>'Water runs'!D389/100</f>
        <v>1.8658214285714301</v>
      </c>
      <c r="D382" s="108">
        <f>VLOOKUP(ROW(D382)+4,'Water runs'!$BS$3:$CF$423,MATCH($B$1,Scenarios,0)+1)</f>
        <v>1.0424468918993816E-2</v>
      </c>
      <c r="E382" s="54">
        <f>IF(B382=Variables!$D$8,C382-Variables!$E$8,IF(B382=Variables!$D$9,C382-Variables!$E$9,IF(B382=Variables!$D$10,C382-Variables!$E$10,IF(B382=Variables!$D$11,C382-Variables!$E$11,"ELSE"))))</f>
        <v>1.1018392195767208</v>
      </c>
      <c r="F382" s="108">
        <f>VLOOKUP(ROW(F382)+4,'Water runs'!$CH$3:$CU$423,MATCH($B$1,Scenarios,0)+1)</f>
        <v>0</v>
      </c>
      <c r="G382" s="65">
        <f>H382/Variables!$E$49</f>
        <v>0.92145005901217947</v>
      </c>
      <c r="H382" s="62">
        <f>IF((H381+I382)&gt;(1.1*Variables!$E$50),(1.1*Variables!$E$50),IF((H381+I382)&gt;0,H381+I382,0))</f>
        <v>5.7129903658755126</v>
      </c>
      <c r="I382" s="64">
        <f t="shared" si="12"/>
        <v>0</v>
      </c>
      <c r="J382" s="63">
        <f>IF(SUM(E378:E381)&lt;Variables!$B$3,-H381,0)</f>
        <v>0</v>
      </c>
      <c r="K382" s="64">
        <f>IF(AND(H381&lt;Variables!$B$6*Variables!$E$50,OR(SUM(D379:D382)&gt;Variables!$B$5,SUM(E379:E382)&gt;Variables!$B$4)),Variables!$B$6*Variables!$E$50+Variables!$B$7*$G$1*Variables!$E$50*SUM(D379:D382),0)</f>
        <v>0</v>
      </c>
      <c r="L382" s="64">
        <f>IF(B382="Winter",Variables!$B$8*H381,0)</f>
        <v>0</v>
      </c>
      <c r="M382" s="64">
        <f>IF(AND(B382="Spring",AND(NOT(H381=0),H381&lt;(Variables!$B$9*Variables!$E$50))),(Variables!$B$10*Variables!$E$50+Variables!$B$11*Variables!$E$50*SUM(E379:E382)+$G$1*SUM(D381:D382)*Variables!$E$50*Variables!$B$12),0)</f>
        <v>0</v>
      </c>
      <c r="N382" s="64">
        <f>IF(AND(B382="Spring",AND(SUM(D379:D382)&gt;Variables!$B$13,SUM(D375:D378)&gt;Variables!$B$13)),-Variables!$B$14*Variables!$E$50,0)</f>
        <v>0</v>
      </c>
      <c r="O382" s="64">
        <f>IF(AND(B382="Summer",SUM(C378:D382)&gt;Variables!$B$15),(Variables!$B$16*Variables!$E$50*SUM(C378:C382)+$G$1*Variables!$B$16*Variables!$E$50*SUM(D378:D382)+$G$1*Variables!$E$50*Variables!$B$17*F382),0)</f>
        <v>0</v>
      </c>
      <c r="P382" s="64">
        <f>IF(AND(AND(B382="Autumn",SUM(D381:E382)&gt;0),NOT(H381=0)),Variables!$B$18*Variables!$E$50+Variables!$B$19*Variables!$E$50*SUM(E381:E382)+$G$1*Variables!$B$19*Variables!$E$50*SUM(D381:D382),0)</f>
        <v>0</v>
      </c>
      <c r="Q382" s="64">
        <f>IF(AND(B382="Autumn",AND((E382+E381)&lt;Variables!$B$20,(D381+D382)=0)),-Variables!$B$21*Variables!$E$50,0)</f>
        <v>0</v>
      </c>
      <c r="R382" s="64">
        <f>IF(B382="Autumn",(SUM(F381:F382)*$G$1*Variables!$B$22*Variables!$E$50),0)</f>
        <v>0</v>
      </c>
      <c r="S382" s="64">
        <f>IF(B382="Spring",($G$1*Variables!$E$50*SUM('Guts (option 2)'!F381:F382)*Variables!$B$23),0)</f>
        <v>0</v>
      </c>
      <c r="T382" s="63">
        <f>IF((H381+SUM(J382:Q382))&lt;(Variables!$B$26*Variables!$E$50),$F$1*((Variables!$B$26*Variables!$E$50)-H381-SUM(J382:Q382)),0)</f>
        <v>0</v>
      </c>
      <c r="U382" s="64">
        <f>IF(AND(AND(B382="Autumn",SUM(D379:E382)&gt;Variables!$B$27),SUM(J382:Q382)&lt;Variables!$B$28*H381),$F$1*(Variables!$B$28*H381-SUM(J382:Q382)),0)</f>
        <v>0</v>
      </c>
      <c r="V382" s="96">
        <f>IF(AND((J382+K382)=0,(Q382+T382)=0),$H$1*H382*Variables!$I$23*0.25,0)</f>
        <v>36.696727099658666</v>
      </c>
      <c r="W382" s="97">
        <f>IF(AND((K382+J382)=0,(T382+Q382)=0),$I$1*H382*Variables!$Q$23*0.25,0)</f>
        <v>38.411766807494494</v>
      </c>
      <c r="X382" s="95">
        <f>IF(AND(NOT(K382=0),(H382-H381)&gt;0),(H382-H381)*(Variables!$M$5*$H$1+Variables!$U$5*$I$1),0)+IF(AND(NOT((J382+N382+Q382)=0),(H381-H382)&gt;0),(H381-H382)*(Variables!$M$4*$H$1+Variables!$U$4*$I$1),0)</f>
        <v>0</v>
      </c>
      <c r="Y382" s="95">
        <f>IF(SUM(T382,U381:U382)&gt;0,H382*Variables!$Y$11*0.25*(1-$J$1),0)</f>
        <v>0</v>
      </c>
      <c r="Z382" s="95">
        <f>IF(T382=0,H382*$J$1*Variables!$Y$5*0.25,0)</f>
        <v>12.378145792730276</v>
      </c>
      <c r="AA382" s="95">
        <f t="shared" si="11"/>
        <v>87.48663969988344</v>
      </c>
      <c r="AB382" s="91">
        <f>AA382/Variables!$E$49</f>
        <v>14.110748338690877</v>
      </c>
    </row>
    <row r="383" spans="1:28" x14ac:dyDescent="0.25">
      <c r="A383" s="61">
        <f>'Water runs'!C390</f>
        <v>36950</v>
      </c>
      <c r="B383" s="61" t="str">
        <f>'Water runs'!B390</f>
        <v>Summer</v>
      </c>
      <c r="C383" s="54">
        <f>'Water runs'!D390/100</f>
        <v>0.59728571428571398</v>
      </c>
      <c r="D383" s="108">
        <f>VLOOKUP(ROW(D383)+4,'Water runs'!$BS$3:$CF$423,MATCH($B$1,Scenarios,0)+1)</f>
        <v>4.4075566710741969E-2</v>
      </c>
      <c r="E383" s="54">
        <f>IF(B383=Variables!$D$8,C383-Variables!$E$8,IF(B383=Variables!$D$9,C383-Variables!$E$9,IF(B383=Variables!$D$10,C383-Variables!$E$10,IF(B383=Variables!$D$11,C383-Variables!$E$11,"ELSE"))))</f>
        <v>-0.66108442176870774</v>
      </c>
      <c r="F383" s="108">
        <f>VLOOKUP(ROW(F383)+4,'Water runs'!$CH$3:$CU$423,MATCH($B$1,Scenarios,0)+1)</f>
        <v>0</v>
      </c>
      <c r="G383" s="65">
        <f>H383/Variables!$E$49</f>
        <v>1.3374168660345593</v>
      </c>
      <c r="H383" s="62">
        <f>IF((H382+I383)&gt;(1.1*Variables!$E$50),(1.1*Variables!$E$50),IF((H382+I383)&gt;0,H382+I383,0))</f>
        <v>8.291984569414268</v>
      </c>
      <c r="I383" s="64">
        <f t="shared" si="12"/>
        <v>2.5789942035387554</v>
      </c>
      <c r="J383" s="63">
        <f>IF(SUM(E379:E382)&lt;Variables!$B$3,-H382,0)</f>
        <v>0</v>
      </c>
      <c r="K383" s="64">
        <f>IF(AND(H382&lt;Variables!$B$6*Variables!$E$50,OR(SUM(D380:D383)&gt;Variables!$B$5,SUM(E380:E383)&gt;Variables!$B$4)),Variables!$B$6*Variables!$E$50+Variables!$B$7*$G$1*Variables!$E$50*SUM(D380:D383),0)</f>
        <v>0</v>
      </c>
      <c r="L383" s="64">
        <f>IF(B383="Winter",Variables!$B$8*H382,0)</f>
        <v>0</v>
      </c>
      <c r="M383" s="64">
        <f>IF(AND(B383="Spring",AND(NOT(H382=0),H382&lt;(Variables!$B$9*Variables!$E$50))),(Variables!$B$10*Variables!$E$50+Variables!$B$11*Variables!$E$50*SUM(E380:E383)+$G$1*SUM(D382:D383)*Variables!$E$50*Variables!$B$12),0)</f>
        <v>0</v>
      </c>
      <c r="N383" s="64">
        <f>IF(AND(B383="Spring",AND(SUM(D380:D383)&gt;Variables!$B$13,SUM(D376:D379)&gt;Variables!$B$13)),-Variables!$B$14*Variables!$E$50,0)</f>
        <v>0</v>
      </c>
      <c r="O383" s="64">
        <f>IF(AND(B383="Summer",SUM(C379:D383)&gt;Variables!$B$15),(Variables!$B$16*Variables!$E$50*SUM(C379:C383)+$G$1*Variables!$B$16*Variables!$E$50*SUM(D379:D383)+$G$1*Variables!$E$50*Variables!$B$17*F383),0)</f>
        <v>2.5789942035387554</v>
      </c>
      <c r="P383" s="64">
        <f>IF(AND(AND(B383="Autumn",SUM(D382:E383)&gt;0),NOT(H382=0)),Variables!$B$18*Variables!$E$50+Variables!$B$19*Variables!$E$50*SUM(E382:E383)+$G$1*Variables!$B$19*Variables!$E$50*SUM(D382:D383),0)</f>
        <v>0</v>
      </c>
      <c r="Q383" s="64">
        <f>IF(AND(B383="Autumn",AND((E383+E382)&lt;Variables!$B$20,(D382+D383)=0)),-Variables!$B$21*Variables!$E$50,0)</f>
        <v>0</v>
      </c>
      <c r="R383" s="64">
        <f>IF(B383="Autumn",(SUM(F382:F383)*$G$1*Variables!$B$22*Variables!$E$50),0)</f>
        <v>0</v>
      </c>
      <c r="S383" s="64">
        <f>IF(B383="Spring",($G$1*Variables!$E$50*SUM('Guts (option 2)'!F382:F383)*Variables!$B$23),0)</f>
        <v>0</v>
      </c>
      <c r="T383" s="63">
        <f>IF((H382+SUM(J383:Q383))&lt;(Variables!$B$26*Variables!$E$50),$F$1*((Variables!$B$26*Variables!$E$50)-H382-SUM(J383:Q383)),0)</f>
        <v>0</v>
      </c>
      <c r="U383" s="64">
        <f>IF(AND(AND(B383="Autumn",SUM(D380:E383)&gt;Variables!$B$27),SUM(J383:Q383)&lt;Variables!$B$28*H382),$F$1*(Variables!$B$28*H382-SUM(J383:Q383)),0)</f>
        <v>0</v>
      </c>
      <c r="V383" s="96">
        <f>IF(AND((J383+K383)=0,(Q383+T383)=0),$H$1*H383*Variables!$I$23*0.25,0)</f>
        <v>53.262595483432783</v>
      </c>
      <c r="W383" s="97">
        <f>IF(AND((K383+J383)=0,(T383+Q383)=0),$I$1*H383*Variables!$Q$23*0.25,0)</f>
        <v>55.751849251170938</v>
      </c>
      <c r="X383" s="95">
        <f>IF(AND(NOT(K383=0),(H383-H382)&gt;0),(H383-H382)*(Variables!$M$5*$H$1+Variables!$U$5*$I$1),0)+IF(AND(NOT((J383+N383+Q383)=0),(H382-H383)&gt;0),(H382-H383)*(Variables!$M$4*$H$1+Variables!$U$4*$I$1),0)</f>
        <v>0</v>
      </c>
      <c r="Y383" s="95">
        <f>IF(SUM(T383,U382:U383)&gt;0,H383*Variables!$Y$11*0.25*(1-$J$1),0)</f>
        <v>0</v>
      </c>
      <c r="Z383" s="95">
        <f>IF(T383=0,H383*$J$1*Variables!$Y$5*0.25,0)</f>
        <v>17.965966567064246</v>
      </c>
      <c r="AA383" s="95">
        <f t="shared" si="11"/>
        <v>126.98041130166797</v>
      </c>
      <c r="AB383" s="91">
        <f>AA383/Variables!$E$49</f>
        <v>20.480711500269027</v>
      </c>
    </row>
    <row r="384" spans="1:28" x14ac:dyDescent="0.25">
      <c r="A384" s="61">
        <f>'Water runs'!C391</f>
        <v>37042</v>
      </c>
      <c r="B384" s="61" t="str">
        <f>'Water runs'!B391</f>
        <v>Autumn</v>
      </c>
      <c r="C384" s="54">
        <f>'Water runs'!D391/100</f>
        <v>0.30503571428571402</v>
      </c>
      <c r="D384" s="108">
        <f>VLOOKUP(ROW(D384)+4,'Water runs'!$BS$3:$CF$423,MATCH($B$1,Scenarios,0)+1)</f>
        <v>0</v>
      </c>
      <c r="E384" s="54">
        <f>IF(B384=Variables!$D$8,C384-Variables!$E$8,IF(B384=Variables!$D$9,C384-Variables!$E$9,IF(B384=Variables!$D$10,C384-Variables!$E$10,IF(B384=Variables!$D$11,C384-Variables!$E$11,"ELSE"))))</f>
        <v>-0.68960758503401376</v>
      </c>
      <c r="F384" s="108">
        <f>VLOOKUP(ROW(F384)+4,'Water runs'!$CH$3:$CU$423,MATCH($B$1,Scenarios,0)+1)</f>
        <v>0</v>
      </c>
      <c r="G384" s="65">
        <f>H384/Variables!$E$49</f>
        <v>1.3374168660345593</v>
      </c>
      <c r="H384" s="62">
        <f>IF((H383+I384)&gt;(1.1*Variables!$E$50),(1.1*Variables!$E$50),IF((H383+I384)&gt;0,H383+I384,0))</f>
        <v>8.291984569414268</v>
      </c>
      <c r="I384" s="64">
        <f t="shared" si="12"/>
        <v>0</v>
      </c>
      <c r="J384" s="63">
        <f>IF(SUM(E380:E383)&lt;Variables!$B$3,-H383,0)</f>
        <v>0</v>
      </c>
      <c r="K384" s="64">
        <f>IF(AND(H383&lt;Variables!$B$6*Variables!$E$50,OR(SUM(D381:D384)&gt;Variables!$B$5,SUM(E381:E384)&gt;Variables!$B$4)),Variables!$B$6*Variables!$E$50+Variables!$B$7*$G$1*Variables!$E$50*SUM(D381:D384),0)</f>
        <v>0</v>
      </c>
      <c r="L384" s="64">
        <f>IF(B384="Winter",Variables!$B$8*H383,0)</f>
        <v>0</v>
      </c>
      <c r="M384" s="64">
        <f>IF(AND(B384="Spring",AND(NOT(H383=0),H383&lt;(Variables!$B$9*Variables!$E$50))),(Variables!$B$10*Variables!$E$50+Variables!$B$11*Variables!$E$50*SUM(E381:E384)+$G$1*SUM(D383:D384)*Variables!$E$50*Variables!$B$12),0)</f>
        <v>0</v>
      </c>
      <c r="N384" s="64">
        <f>IF(AND(B384="Spring",AND(SUM(D381:D384)&gt;Variables!$B$13,SUM(D377:D380)&gt;Variables!$B$13)),-Variables!$B$14*Variables!$E$50,0)</f>
        <v>0</v>
      </c>
      <c r="O384" s="64">
        <f>IF(AND(B384="Summer",SUM(C380:D384)&gt;Variables!$B$15),(Variables!$B$16*Variables!$E$50*SUM(C380:C384)+$G$1*Variables!$B$16*Variables!$E$50*SUM(D380:D384)+$G$1*Variables!$E$50*Variables!$B$17*F384),0)</f>
        <v>0</v>
      </c>
      <c r="P384" s="64">
        <f>IF(AND(AND(B384="Autumn",SUM(D383:E384)&gt;0),NOT(H383=0)),Variables!$B$18*Variables!$E$50+Variables!$B$19*Variables!$E$50*SUM(E383:E384)+$G$1*Variables!$B$19*Variables!$E$50*SUM(D383:D384),0)</f>
        <v>0</v>
      </c>
      <c r="Q384" s="64">
        <f>IF(AND(B384="Autumn",AND((E384+E383)&lt;Variables!$B$20,(D383+D384)=0)),-Variables!$B$21*Variables!$E$50,0)</f>
        <v>0</v>
      </c>
      <c r="R384" s="64">
        <f>IF(B384="Autumn",(SUM(F383:F384)*$G$1*Variables!$B$22*Variables!$E$50),0)</f>
        <v>0</v>
      </c>
      <c r="S384" s="64">
        <f>IF(B384="Spring",($G$1*Variables!$E$50*SUM('Guts (option 2)'!F383:F384)*Variables!$B$23),0)</f>
        <v>0</v>
      </c>
      <c r="T384" s="63">
        <f>IF((H383+SUM(J384:Q384))&lt;(Variables!$B$26*Variables!$E$50),$F$1*((Variables!$B$26*Variables!$E$50)-H383-SUM(J384:Q384)),0)</f>
        <v>0</v>
      </c>
      <c r="U384" s="64">
        <f>IF(AND(AND(B384="Autumn",SUM(D381:E384)&gt;Variables!$B$27),SUM(J384:Q384)&lt;Variables!$B$28*H383),$F$1*(Variables!$B$28*H383-SUM(J384:Q384)),0)</f>
        <v>0</v>
      </c>
      <c r="V384" s="96">
        <f>IF(AND((J384+K384)=0,(Q384+T384)=0),$H$1*H384*Variables!$I$23*0.25,0)</f>
        <v>53.262595483432783</v>
      </c>
      <c r="W384" s="97">
        <f>IF(AND((K384+J384)=0,(T384+Q384)=0),$I$1*H384*Variables!$Q$23*0.25,0)</f>
        <v>55.751849251170938</v>
      </c>
      <c r="X384" s="95">
        <f>IF(AND(NOT(K384=0),(H384-H383)&gt;0),(H384-H383)*(Variables!$M$5*$H$1+Variables!$U$5*$I$1),0)+IF(AND(NOT((J384+N384+Q384)=0),(H383-H384)&gt;0),(H383-H384)*(Variables!$M$4*$H$1+Variables!$U$4*$I$1),0)</f>
        <v>0</v>
      </c>
      <c r="Y384" s="95">
        <f>IF(SUM(T384,U383:U384)&gt;0,H384*Variables!$Y$11*0.25*(1-$J$1),0)</f>
        <v>0</v>
      </c>
      <c r="Z384" s="95">
        <f>IF(T384=0,H384*$J$1*Variables!$Y$5*0.25,0)</f>
        <v>17.965966567064246</v>
      </c>
      <c r="AA384" s="95">
        <f t="shared" si="11"/>
        <v>126.98041130166797</v>
      </c>
      <c r="AB384" s="91">
        <f>AA384/Variables!$E$49</f>
        <v>20.480711500269027</v>
      </c>
    </row>
    <row r="385" spans="1:28" x14ac:dyDescent="0.25">
      <c r="A385" s="61">
        <f>'Water runs'!C392</f>
        <v>37134</v>
      </c>
      <c r="B385" s="61" t="str">
        <f>'Water runs'!B392</f>
        <v>Winter</v>
      </c>
      <c r="C385" s="54">
        <f>'Water runs'!D392/100</f>
        <v>0.64875000000000005</v>
      </c>
      <c r="D385" s="108">
        <f>VLOOKUP(ROW(D385)+4,'Water runs'!$BS$3:$CF$423,MATCH($B$1,Scenarios,0)+1)</f>
        <v>0</v>
      </c>
      <c r="E385" s="54">
        <f>IF(B385=Variables!$D$8,C385-Variables!$E$8,IF(B385=Variables!$D$9,C385-Variables!$E$9,IF(B385=Variables!$D$10,C385-Variables!$E$10,IF(B385=Variables!$D$11,C385-Variables!$E$11,"ELSE"))))</f>
        <v>7.6982374338624315E-2</v>
      </c>
      <c r="F385" s="108">
        <f>VLOOKUP(ROW(F385)+4,'Water runs'!$CH$3:$CU$423,MATCH($B$1,Scenarios,0)+1)</f>
        <v>0</v>
      </c>
      <c r="G385" s="65">
        <f>H385/Variables!$E$49</f>
        <v>0.67145649522417661</v>
      </c>
      <c r="H385" s="62">
        <f>IF((H384+I385)&gt;(1.1*Variables!$E$50),(1.1*Variables!$E$50),IF((H384+I385)&gt;0,H384+I385,0))</f>
        <v>4.1630302703898954</v>
      </c>
      <c r="I385" s="64">
        <f t="shared" si="12"/>
        <v>-4.1289542990243726</v>
      </c>
      <c r="J385" s="63">
        <f>IF(SUM(E381:E384)&lt;Variables!$B$3,-H384,0)</f>
        <v>0</v>
      </c>
      <c r="K385" s="64">
        <f>IF(AND(H384&lt;Variables!$B$6*Variables!$E$50,OR(SUM(D382:D385)&gt;Variables!$B$5,SUM(E382:E385)&gt;Variables!$B$4)),Variables!$B$6*Variables!$E$50+Variables!$B$7*$G$1*Variables!$E$50*SUM(D382:D385),0)</f>
        <v>0</v>
      </c>
      <c r="L385" s="64">
        <f>IF(B385="Winter",Variables!$B$8*H384,0)</f>
        <v>-4.1289542990243726</v>
      </c>
      <c r="M385" s="64">
        <f>IF(AND(B385="Spring",AND(NOT(H384=0),H384&lt;(Variables!$B$9*Variables!$E$50))),(Variables!$B$10*Variables!$E$50+Variables!$B$11*Variables!$E$50*SUM(E382:E385)+$G$1*SUM(D384:D385)*Variables!$E$50*Variables!$B$12),0)</f>
        <v>0</v>
      </c>
      <c r="N385" s="64">
        <f>IF(AND(B385="Spring",AND(SUM(D382:D385)&gt;Variables!$B$13,SUM(D378:D381)&gt;Variables!$B$13)),-Variables!$B$14*Variables!$E$50,0)</f>
        <v>0</v>
      </c>
      <c r="O385" s="64">
        <f>IF(AND(B385="Summer",SUM(C381:D385)&gt;Variables!$B$15),(Variables!$B$16*Variables!$E$50*SUM(C381:C385)+$G$1*Variables!$B$16*Variables!$E$50*SUM(D381:D385)+$G$1*Variables!$E$50*Variables!$B$17*F385),0)</f>
        <v>0</v>
      </c>
      <c r="P385" s="64">
        <f>IF(AND(AND(B385="Autumn",SUM(D384:E385)&gt;0),NOT(H384=0)),Variables!$B$18*Variables!$E$50+Variables!$B$19*Variables!$E$50*SUM(E384:E385)+$G$1*Variables!$B$19*Variables!$E$50*SUM(D384:D385),0)</f>
        <v>0</v>
      </c>
      <c r="Q385" s="64">
        <f>IF(AND(B385="Autumn",AND((E385+E384)&lt;Variables!$B$20,(D384+D385)=0)),-Variables!$B$21*Variables!$E$50,0)</f>
        <v>0</v>
      </c>
      <c r="R385" s="64">
        <f>IF(B385="Autumn",(SUM(F384:F385)*$G$1*Variables!$B$22*Variables!$E$50),0)</f>
        <v>0</v>
      </c>
      <c r="S385" s="64">
        <f>IF(B385="Spring",($G$1*Variables!$E$50*SUM('Guts (option 2)'!F384:F385)*Variables!$B$23),0)</f>
        <v>0</v>
      </c>
      <c r="T385" s="63">
        <f>IF((H384+SUM(J385:Q385))&lt;(Variables!$B$26*Variables!$E$50),$F$1*((Variables!$B$26*Variables!$E$50)-H384-SUM(J385:Q385)),0)</f>
        <v>0</v>
      </c>
      <c r="U385" s="64">
        <f>IF(AND(AND(B385="Autumn",SUM(D382:E385)&gt;Variables!$B$27),SUM(J385:Q385)&lt;Variables!$B$28*H384),$F$1*(Variables!$B$28*H384-SUM(J385:Q385)),0)</f>
        <v>0</v>
      </c>
      <c r="V385" s="96">
        <f>IF(AND((J385+K385)=0,(Q385+T385)=0),$H$1*H385*Variables!$I$23*0.25,0)</f>
        <v>26.740739254984614</v>
      </c>
      <c r="W385" s="97">
        <f>IF(AND((K385+J385)=0,(T385+Q385)=0),$I$1*H385*Variables!$Q$23*0.25,0)</f>
        <v>27.990480942155656</v>
      </c>
      <c r="X385" s="95">
        <f>IF(AND(NOT(K385=0),(H385-H384)&gt;0),(H385-H384)*(Variables!$M$5*$H$1+Variables!$U$5*$I$1),0)+IF(AND(NOT((J385+N385+Q385)=0),(H384-H385)&gt;0),(H384-H385)*(Variables!$M$4*$H$1+Variables!$U$4*$I$1),0)</f>
        <v>0</v>
      </c>
      <c r="Y385" s="95">
        <f>IF(SUM(T385,U384:U385)&gt;0,H385*Variables!$Y$11*0.25*(1-$J$1),0)</f>
        <v>0</v>
      </c>
      <c r="Z385" s="95">
        <f>IF(T385=0,H385*$J$1*Variables!$Y$5*0.25,0)</f>
        <v>9.0198989191781056</v>
      </c>
      <c r="AA385" s="95">
        <f t="shared" si="11"/>
        <v>63.751119116318378</v>
      </c>
      <c r="AB385" s="91">
        <f>AA385/Variables!$E$49</f>
        <v>10.282438567148125</v>
      </c>
    </row>
    <row r="386" spans="1:28" x14ac:dyDescent="0.25">
      <c r="A386" s="61">
        <f>'Water runs'!C393</f>
        <v>37225</v>
      </c>
      <c r="B386" s="61" t="str">
        <f>'Water runs'!B393</f>
        <v>Spring</v>
      </c>
      <c r="C386" s="54">
        <f>'Water runs'!D393/100</f>
        <v>0.70080952380952399</v>
      </c>
      <c r="D386" s="108">
        <f>VLOOKUP(ROW(D386)+4,'Water runs'!$BS$3:$CF$423,MATCH($B$1,Scenarios,0)+1)</f>
        <v>0</v>
      </c>
      <c r="E386" s="54">
        <f>IF(B386=Variables!$D$8,C386-Variables!$E$8,IF(B386=Variables!$D$9,C386-Variables!$E$9,IF(B386=Variables!$D$10,C386-Variables!$E$10,IF(B386=Variables!$D$11,C386-Variables!$E$11,"ELSE"))))</f>
        <v>-6.3172685185185151E-2</v>
      </c>
      <c r="F386" s="108">
        <f>VLOOKUP(ROW(F386)+4,'Water runs'!$CH$3:$CU$423,MATCH($B$1,Scenarios,0)+1)</f>
        <v>0</v>
      </c>
      <c r="G386" s="65">
        <f>H386/Variables!$E$49</f>
        <v>0.67145649522417661</v>
      </c>
      <c r="H386" s="62">
        <f>IF((H385+I386)&gt;(1.1*Variables!$E$50),(1.1*Variables!$E$50),IF((H385+I386)&gt;0,H385+I386,0))</f>
        <v>4.1630302703898954</v>
      </c>
      <c r="I386" s="64">
        <f t="shared" si="12"/>
        <v>0</v>
      </c>
      <c r="J386" s="63">
        <f>IF(SUM(E382:E385)&lt;Variables!$B$3,-H385,0)</f>
        <v>0</v>
      </c>
      <c r="K386" s="64">
        <f>IF(AND(H385&lt;Variables!$B$6*Variables!$E$50,OR(SUM(D383:D386)&gt;Variables!$B$5,SUM(E383:E386)&gt;Variables!$B$4)),Variables!$B$6*Variables!$E$50+Variables!$B$7*$G$1*Variables!$E$50*SUM(D383:D386),0)</f>
        <v>0</v>
      </c>
      <c r="L386" s="64">
        <f>IF(B386="Winter",Variables!$B$8*H385,0)</f>
        <v>0</v>
      </c>
      <c r="M386" s="64">
        <f>IF(AND(B386="Spring",AND(NOT(H385=0),H385&lt;(Variables!$B$9*Variables!$E$50))),(Variables!$B$10*Variables!$E$50+Variables!$B$11*Variables!$E$50*SUM(E383:E386)+$G$1*SUM(D385:D386)*Variables!$E$50*Variables!$B$12),0)</f>
        <v>0</v>
      </c>
      <c r="N386" s="64">
        <f>IF(AND(B386="Spring",AND(SUM(D383:D386)&gt;Variables!$B$13,SUM(D379:D382)&gt;Variables!$B$13)),-Variables!$B$14*Variables!$E$50,0)</f>
        <v>0</v>
      </c>
      <c r="O386" s="64">
        <f>IF(AND(B386="Summer",SUM(C382:D386)&gt;Variables!$B$15),(Variables!$B$16*Variables!$E$50*SUM(C382:C386)+$G$1*Variables!$B$16*Variables!$E$50*SUM(D382:D386)+$G$1*Variables!$E$50*Variables!$B$17*F386),0)</f>
        <v>0</v>
      </c>
      <c r="P386" s="64">
        <f>IF(AND(AND(B386="Autumn",SUM(D385:E386)&gt;0),NOT(H385=0)),Variables!$B$18*Variables!$E$50+Variables!$B$19*Variables!$E$50*SUM(E385:E386)+$G$1*Variables!$B$19*Variables!$E$50*SUM(D385:D386),0)</f>
        <v>0</v>
      </c>
      <c r="Q386" s="64">
        <f>IF(AND(B386="Autumn",AND((E386+E385)&lt;Variables!$B$20,(D385+D386)=0)),-Variables!$B$21*Variables!$E$50,0)</f>
        <v>0</v>
      </c>
      <c r="R386" s="64">
        <f>IF(B386="Autumn",(SUM(F385:F386)*$G$1*Variables!$B$22*Variables!$E$50),0)</f>
        <v>0</v>
      </c>
      <c r="S386" s="64">
        <f>IF(B386="Spring",($G$1*Variables!$E$50*SUM('Guts (option 2)'!F385:F386)*Variables!$B$23),0)</f>
        <v>0</v>
      </c>
      <c r="T386" s="63">
        <f>IF((H385+SUM(J386:Q386))&lt;(Variables!$B$26*Variables!$E$50),$F$1*((Variables!$B$26*Variables!$E$50)-H385-SUM(J386:Q386)),0)</f>
        <v>0</v>
      </c>
      <c r="U386" s="64">
        <f>IF(AND(AND(B386="Autumn",SUM(D383:E386)&gt;Variables!$B$27),SUM(J386:Q386)&lt;Variables!$B$28*H385),$F$1*(Variables!$B$28*H385-SUM(J386:Q386)),0)</f>
        <v>0</v>
      </c>
      <c r="V386" s="96">
        <f>IF(AND((J386+K386)=0,(Q386+T386)=0),$H$1*H386*Variables!$I$23*0.25,0)</f>
        <v>26.740739254984614</v>
      </c>
      <c r="W386" s="97">
        <f>IF(AND((K386+J386)=0,(T386+Q386)=0),$I$1*H386*Variables!$Q$23*0.25,0)</f>
        <v>27.990480942155656</v>
      </c>
      <c r="X386" s="95">
        <f>IF(AND(NOT(K386=0),(H386-H385)&gt;0),(H386-H385)*(Variables!$M$5*$H$1+Variables!$U$5*$I$1),0)+IF(AND(NOT((J386+N386+Q386)=0),(H385-H386)&gt;0),(H385-H386)*(Variables!$M$4*$H$1+Variables!$U$4*$I$1),0)</f>
        <v>0</v>
      </c>
      <c r="Y386" s="95">
        <f>IF(SUM(T386,U385:U386)&gt;0,H386*Variables!$Y$11*0.25*(1-$J$1),0)</f>
        <v>0</v>
      </c>
      <c r="Z386" s="95">
        <f>IF(T386=0,H386*$J$1*Variables!$Y$5*0.25,0)</f>
        <v>9.0198989191781056</v>
      </c>
      <c r="AA386" s="95">
        <f t="shared" si="11"/>
        <v>63.751119116318378</v>
      </c>
      <c r="AB386" s="91">
        <f>AA386/Variables!$E$49</f>
        <v>10.282438567148125</v>
      </c>
    </row>
    <row r="387" spans="1:28" x14ac:dyDescent="0.25">
      <c r="A387" s="61">
        <f>'Water runs'!C394</f>
        <v>37315</v>
      </c>
      <c r="B387" s="61" t="str">
        <f>'Water runs'!B394</f>
        <v>Summer</v>
      </c>
      <c r="C387" s="54">
        <f>'Water runs'!D394/100</f>
        <v>0.63683333333333303</v>
      </c>
      <c r="D387" s="108">
        <f>VLOOKUP(ROW(D387)+4,'Water runs'!$BS$3:$CF$423,MATCH($B$1,Scenarios,0)+1)</f>
        <v>0</v>
      </c>
      <c r="E387" s="54">
        <f>IF(B387=Variables!$D$8,C387-Variables!$E$8,IF(B387=Variables!$D$9,C387-Variables!$E$9,IF(B387=Variables!$D$10,C387-Variables!$E$10,IF(B387=Variables!$D$11,C387-Variables!$E$11,"ELSE"))))</f>
        <v>-0.62153680272108869</v>
      </c>
      <c r="F387" s="108">
        <f>VLOOKUP(ROW(F387)+4,'Water runs'!$CH$3:$CU$423,MATCH($B$1,Scenarios,0)+1)</f>
        <v>0</v>
      </c>
      <c r="G387" s="65">
        <f>H387/Variables!$E$49</f>
        <v>0.67145649522417661</v>
      </c>
      <c r="H387" s="62">
        <f>IF((H386+I387)&gt;(1.1*Variables!$E$50),(1.1*Variables!$E$50),IF((H386+I387)&gt;0,H386+I387,0))</f>
        <v>4.1630302703898954</v>
      </c>
      <c r="I387" s="64">
        <f t="shared" si="12"/>
        <v>0</v>
      </c>
      <c r="J387" s="63">
        <f>IF(SUM(E383:E386)&lt;Variables!$B$3,-H386,0)</f>
        <v>0</v>
      </c>
      <c r="K387" s="64">
        <f>IF(AND(H386&lt;Variables!$B$6*Variables!$E$50,OR(SUM(D384:D387)&gt;Variables!$B$5,SUM(E384:E387)&gt;Variables!$B$4)),Variables!$B$6*Variables!$E$50+Variables!$B$7*$G$1*Variables!$E$50*SUM(D384:D387),0)</f>
        <v>0</v>
      </c>
      <c r="L387" s="64">
        <f>IF(B387="Winter",Variables!$B$8*H386,0)</f>
        <v>0</v>
      </c>
      <c r="M387" s="64">
        <f>IF(AND(B387="Spring",AND(NOT(H386=0),H386&lt;(Variables!$B$9*Variables!$E$50))),(Variables!$B$10*Variables!$E$50+Variables!$B$11*Variables!$E$50*SUM(E384:E387)+$G$1*SUM(D386:D387)*Variables!$E$50*Variables!$B$12),0)</f>
        <v>0</v>
      </c>
      <c r="N387" s="64">
        <f>IF(AND(B387="Spring",AND(SUM(D384:D387)&gt;Variables!$B$13,SUM(D380:D383)&gt;Variables!$B$13)),-Variables!$B$14*Variables!$E$50,0)</f>
        <v>0</v>
      </c>
      <c r="O387" s="64">
        <f>IF(AND(B387="Summer",SUM(C383:D387)&gt;Variables!$B$15),(Variables!$B$16*Variables!$E$50*SUM(C383:C387)+$G$1*Variables!$B$16*Variables!$E$50*SUM(D383:D387)+$G$1*Variables!$E$50*Variables!$B$17*F387),0)</f>
        <v>0</v>
      </c>
      <c r="P387" s="64">
        <f>IF(AND(AND(B387="Autumn",SUM(D386:E387)&gt;0),NOT(H386=0)),Variables!$B$18*Variables!$E$50+Variables!$B$19*Variables!$E$50*SUM(E386:E387)+$G$1*Variables!$B$19*Variables!$E$50*SUM(D386:D387),0)</f>
        <v>0</v>
      </c>
      <c r="Q387" s="64">
        <f>IF(AND(B387="Autumn",AND((E387+E386)&lt;Variables!$B$20,(D386+D387)=0)),-Variables!$B$21*Variables!$E$50,0)</f>
        <v>0</v>
      </c>
      <c r="R387" s="64">
        <f>IF(B387="Autumn",(SUM(F386:F387)*$G$1*Variables!$B$22*Variables!$E$50),0)</f>
        <v>0</v>
      </c>
      <c r="S387" s="64">
        <f>IF(B387="Spring",($G$1*Variables!$E$50*SUM('Guts (option 2)'!F386:F387)*Variables!$B$23),0)</f>
        <v>0</v>
      </c>
      <c r="T387" s="63">
        <f>IF((H386+SUM(J387:Q387))&lt;(Variables!$B$26*Variables!$E$50),$F$1*((Variables!$B$26*Variables!$E$50)-H386-SUM(J387:Q387)),0)</f>
        <v>0</v>
      </c>
      <c r="U387" s="64">
        <f>IF(AND(AND(B387="Autumn",SUM(D384:E387)&gt;Variables!$B$27),SUM(J387:Q387)&lt;Variables!$B$28*H386),$F$1*(Variables!$B$28*H386-SUM(J387:Q387)),0)</f>
        <v>0</v>
      </c>
      <c r="V387" s="96">
        <f>IF(AND((J387+K387)=0,(Q387+T387)=0),$H$1*H387*Variables!$I$23*0.25,0)</f>
        <v>26.740739254984614</v>
      </c>
      <c r="W387" s="97">
        <f>IF(AND((K387+J387)=0,(T387+Q387)=0),$I$1*H387*Variables!$Q$23*0.25,0)</f>
        <v>27.990480942155656</v>
      </c>
      <c r="X387" s="95">
        <f>IF(AND(NOT(K387=0),(H387-H386)&gt;0),(H387-H386)*(Variables!$M$5*$H$1+Variables!$U$5*$I$1),0)+IF(AND(NOT((J387+N387+Q387)=0),(H386-H387)&gt;0),(H386-H387)*(Variables!$M$4*$H$1+Variables!$U$4*$I$1),0)</f>
        <v>0</v>
      </c>
      <c r="Y387" s="95">
        <f>IF(SUM(T387,U386:U387)&gt;0,H387*Variables!$Y$11*0.25*(1-$J$1),0)</f>
        <v>0</v>
      </c>
      <c r="Z387" s="95">
        <f>IF(T387=0,H387*$J$1*Variables!$Y$5*0.25,0)</f>
        <v>9.0198989191781056</v>
      </c>
      <c r="AA387" s="95">
        <f t="shared" si="11"/>
        <v>63.751119116318378</v>
      </c>
      <c r="AB387" s="91">
        <f>AA387/Variables!$E$49</f>
        <v>10.282438567148125</v>
      </c>
    </row>
    <row r="388" spans="1:28" x14ac:dyDescent="0.25">
      <c r="A388" s="61">
        <f>'Water runs'!C395</f>
        <v>37407</v>
      </c>
      <c r="B388" s="61" t="str">
        <f>'Water runs'!B395</f>
        <v>Autumn</v>
      </c>
      <c r="C388" s="54">
        <f>'Water runs'!D395/100</f>
        <v>0.31503571428571403</v>
      </c>
      <c r="D388" s="108">
        <f>VLOOKUP(ROW(D388)+4,'Water runs'!$BS$3:$CF$423,MATCH($B$1,Scenarios,0)+1)</f>
        <v>0</v>
      </c>
      <c r="E388" s="54">
        <f>IF(B388=Variables!$D$8,C388-Variables!$E$8,IF(B388=Variables!$D$9,C388-Variables!$E$9,IF(B388=Variables!$D$10,C388-Variables!$E$10,IF(B388=Variables!$D$11,C388-Variables!$E$11,"ELSE"))))</f>
        <v>-0.67960758503401375</v>
      </c>
      <c r="F388" s="108">
        <f>VLOOKUP(ROW(F388)+4,'Water runs'!$CH$3:$CU$423,MATCH($B$1,Scenarios,0)+1)</f>
        <v>0</v>
      </c>
      <c r="G388" s="65">
        <f>H388/Variables!$E$49</f>
        <v>0.67145649522417661</v>
      </c>
      <c r="H388" s="62">
        <f>IF((H387+I388)&gt;(1.1*Variables!$E$50),(1.1*Variables!$E$50),IF((H387+I388)&gt;0,H387+I388,0))</f>
        <v>4.1630302703898954</v>
      </c>
      <c r="I388" s="64">
        <f t="shared" si="12"/>
        <v>0</v>
      </c>
      <c r="J388" s="63">
        <f>IF(SUM(E384:E387)&lt;Variables!$B$3,-H387,0)</f>
        <v>0</v>
      </c>
      <c r="K388" s="64">
        <f>IF(AND(H387&lt;Variables!$B$6*Variables!$E$50,OR(SUM(D385:D388)&gt;Variables!$B$5,SUM(E385:E388)&gt;Variables!$B$4)),Variables!$B$6*Variables!$E$50+Variables!$B$7*$G$1*Variables!$E$50*SUM(D385:D388),0)</f>
        <v>0</v>
      </c>
      <c r="L388" s="64">
        <f>IF(B388="Winter",Variables!$B$8*H387,0)</f>
        <v>0</v>
      </c>
      <c r="M388" s="64">
        <f>IF(AND(B388="Spring",AND(NOT(H387=0),H387&lt;(Variables!$B$9*Variables!$E$50))),(Variables!$B$10*Variables!$E$50+Variables!$B$11*Variables!$E$50*SUM(E385:E388)+$G$1*SUM(D387:D388)*Variables!$E$50*Variables!$B$12),0)</f>
        <v>0</v>
      </c>
      <c r="N388" s="64">
        <f>IF(AND(B388="Spring",AND(SUM(D385:D388)&gt;Variables!$B$13,SUM(D381:D384)&gt;Variables!$B$13)),-Variables!$B$14*Variables!$E$50,0)</f>
        <v>0</v>
      </c>
      <c r="O388" s="64">
        <f>IF(AND(B388="Summer",SUM(C384:D388)&gt;Variables!$B$15),(Variables!$B$16*Variables!$E$50*SUM(C384:C388)+$G$1*Variables!$B$16*Variables!$E$50*SUM(D384:D388)+$G$1*Variables!$E$50*Variables!$B$17*F388),0)</f>
        <v>0</v>
      </c>
      <c r="P388" s="64">
        <f>IF(AND(AND(B388="Autumn",SUM(D387:E388)&gt;0),NOT(H387=0)),Variables!$B$18*Variables!$E$50+Variables!$B$19*Variables!$E$50*SUM(E387:E388)+$G$1*Variables!$B$19*Variables!$E$50*SUM(D387:D388),0)</f>
        <v>0</v>
      </c>
      <c r="Q388" s="64">
        <f>IF(AND(B388="Autumn",AND((E388+E387)&lt;Variables!$B$20,(D387+D388)=0)),-Variables!$B$21*Variables!$E$50,0)</f>
        <v>0</v>
      </c>
      <c r="R388" s="64">
        <f>IF(B388="Autumn",(SUM(F387:F388)*$G$1*Variables!$B$22*Variables!$E$50),0)</f>
        <v>0</v>
      </c>
      <c r="S388" s="64">
        <f>IF(B388="Spring",($G$1*Variables!$E$50*SUM('Guts (option 2)'!F387:F388)*Variables!$B$23),0)</f>
        <v>0</v>
      </c>
      <c r="T388" s="63">
        <f>IF((H387+SUM(J388:Q388))&lt;(Variables!$B$26*Variables!$E$50),$F$1*((Variables!$B$26*Variables!$E$50)-H387-SUM(J388:Q388)),0)</f>
        <v>0</v>
      </c>
      <c r="U388" s="64">
        <f>IF(AND(AND(B388="Autumn",SUM(D385:E388)&gt;Variables!$B$27),SUM(J388:Q388)&lt;Variables!$B$28*H387),$F$1*(Variables!$B$28*H387-SUM(J388:Q388)),0)</f>
        <v>0</v>
      </c>
      <c r="V388" s="96">
        <f>IF(AND((J388+K388)=0,(Q388+T388)=0),$H$1*H388*Variables!$I$23*0.25,0)</f>
        <v>26.740739254984614</v>
      </c>
      <c r="W388" s="97">
        <f>IF(AND((K388+J388)=0,(T388+Q388)=0),$I$1*H388*Variables!$Q$23*0.25,0)</f>
        <v>27.990480942155656</v>
      </c>
      <c r="X388" s="95">
        <f>IF(AND(NOT(K388=0),(H388-H387)&gt;0),(H388-H387)*(Variables!$M$5*$H$1+Variables!$U$5*$I$1),0)+IF(AND(NOT((J388+N388+Q388)=0),(H387-H388)&gt;0),(H387-H388)*(Variables!$M$4*$H$1+Variables!$U$4*$I$1),0)</f>
        <v>0</v>
      </c>
      <c r="Y388" s="95">
        <f>IF(SUM(T388,U387:U388)&gt;0,H388*Variables!$Y$11*0.25*(1-$J$1),0)</f>
        <v>0</v>
      </c>
      <c r="Z388" s="95">
        <f>IF(T388=0,H388*$J$1*Variables!$Y$5*0.25,0)</f>
        <v>9.0198989191781056</v>
      </c>
      <c r="AA388" s="95">
        <f t="shared" si="11"/>
        <v>63.751119116318378</v>
      </c>
      <c r="AB388" s="91">
        <f>AA388/Variables!$E$49</f>
        <v>10.282438567148125</v>
      </c>
    </row>
    <row r="389" spans="1:28" x14ac:dyDescent="0.25">
      <c r="A389" s="61">
        <f>'Water runs'!C396</f>
        <v>37499</v>
      </c>
      <c r="B389" s="61" t="str">
        <f>'Water runs'!B396</f>
        <v>Winter</v>
      </c>
      <c r="C389" s="54">
        <f>'Water runs'!D396/100</f>
        <v>7.6999999999999999E-2</v>
      </c>
      <c r="D389" s="108">
        <f>VLOOKUP(ROW(D389)+4,'Water runs'!$BS$3:$CF$423,MATCH($B$1,Scenarios,0)+1)</f>
        <v>0</v>
      </c>
      <c r="E389" s="54">
        <f>IF(B389=Variables!$D$8,C389-Variables!$E$8,IF(B389=Variables!$D$9,C389-Variables!$E$9,IF(B389=Variables!$D$10,C389-Variables!$E$10,IF(B389=Variables!$D$11,C389-Variables!$E$11,"ELSE"))))</f>
        <v>-0.49476762566137572</v>
      </c>
      <c r="F389" s="108">
        <f>VLOOKUP(ROW(F389)+4,'Water runs'!$CH$3:$CU$423,MATCH($B$1,Scenarios,0)+1)</f>
        <v>0</v>
      </c>
      <c r="G389" s="65">
        <f>H389/Variables!$E$49</f>
        <v>0.33710792530642769</v>
      </c>
      <c r="H389" s="62">
        <f>IF((H388+I389)&gt;(1.1*Variables!$E$50),(1.1*Variables!$E$50),IF((H388+I389)&gt;0,H388+I389,0))</f>
        <v>2.0900691368998516</v>
      </c>
      <c r="I389" s="64">
        <f t="shared" si="12"/>
        <v>-2.0729611334900437</v>
      </c>
      <c r="J389" s="63">
        <f>IF(SUM(E385:E388)&lt;Variables!$B$3,-H388,0)</f>
        <v>0</v>
      </c>
      <c r="K389" s="64">
        <f>IF(AND(H388&lt;Variables!$B$6*Variables!$E$50,OR(SUM(D386:D389)&gt;Variables!$B$5,SUM(E386:E389)&gt;Variables!$B$4)),Variables!$B$6*Variables!$E$50+Variables!$B$7*$G$1*Variables!$E$50*SUM(D386:D389),0)</f>
        <v>0</v>
      </c>
      <c r="L389" s="64">
        <f>IF(B389="Winter",Variables!$B$8*H388,0)</f>
        <v>-2.0729611334900437</v>
      </c>
      <c r="M389" s="64">
        <f>IF(AND(B389="Spring",AND(NOT(H388=0),H388&lt;(Variables!$B$9*Variables!$E$50))),(Variables!$B$10*Variables!$E$50+Variables!$B$11*Variables!$E$50*SUM(E386:E389)+$G$1*SUM(D388:D389)*Variables!$E$50*Variables!$B$12),0)</f>
        <v>0</v>
      </c>
      <c r="N389" s="64">
        <f>IF(AND(B389="Spring",AND(SUM(D386:D389)&gt;Variables!$B$13,SUM(D382:D385)&gt;Variables!$B$13)),-Variables!$B$14*Variables!$E$50,0)</f>
        <v>0</v>
      </c>
      <c r="O389" s="64">
        <f>IF(AND(B389="Summer",SUM(C385:D389)&gt;Variables!$B$15),(Variables!$B$16*Variables!$E$50*SUM(C385:C389)+$G$1*Variables!$B$16*Variables!$E$50*SUM(D385:D389)+$G$1*Variables!$E$50*Variables!$B$17*F389),0)</f>
        <v>0</v>
      </c>
      <c r="P389" s="64">
        <f>IF(AND(AND(B389="Autumn",SUM(D388:E389)&gt;0),NOT(H388=0)),Variables!$B$18*Variables!$E$50+Variables!$B$19*Variables!$E$50*SUM(E388:E389)+$G$1*Variables!$B$19*Variables!$E$50*SUM(D388:D389),0)</f>
        <v>0</v>
      </c>
      <c r="Q389" s="64">
        <f>IF(AND(B389="Autumn",AND((E389+E388)&lt;Variables!$B$20,(D388+D389)=0)),-Variables!$B$21*Variables!$E$50,0)</f>
        <v>0</v>
      </c>
      <c r="R389" s="64">
        <f>IF(B389="Autumn",(SUM(F388:F389)*$G$1*Variables!$B$22*Variables!$E$50),0)</f>
        <v>0</v>
      </c>
      <c r="S389" s="64">
        <f>IF(B389="Spring",($G$1*Variables!$E$50*SUM('Guts (option 2)'!F388:F389)*Variables!$B$23),0)</f>
        <v>0</v>
      </c>
      <c r="T389" s="63">
        <f>IF((H388+SUM(J389:Q389))&lt;(Variables!$B$26*Variables!$E$50),$F$1*((Variables!$B$26*Variables!$E$50)-H388-SUM(J389:Q389)),0)</f>
        <v>0</v>
      </c>
      <c r="U389" s="64">
        <f>IF(AND(AND(B389="Autumn",SUM(D386:E389)&gt;Variables!$B$27),SUM(J389:Q389)&lt;Variables!$B$28*H388),$F$1*(Variables!$B$28*H388-SUM(J389:Q389)),0)</f>
        <v>0</v>
      </c>
      <c r="V389" s="96">
        <f>IF(AND((J389+K389)=0,(Q389+T389)=0),$H$1*H389*Variables!$I$23*0.25,0)</f>
        <v>13.425315259476891</v>
      </c>
      <c r="W389" s="97">
        <f>IF(AND((K389+J389)=0,(T389+Q389)=0),$I$1*H389*Variables!$Q$23*0.25,0)</f>
        <v>14.052754014374225</v>
      </c>
      <c r="X389" s="95">
        <f>IF(AND(NOT(K389=0),(H389-H388)&gt;0),(H389-H388)*(Variables!$M$5*$H$1+Variables!$U$5*$I$1),0)+IF(AND(NOT((J389+N389+Q389)=0),(H388-H389)&gt;0),(H388-H389)*(Variables!$M$4*$H$1+Variables!$U$4*$I$1),0)</f>
        <v>0</v>
      </c>
      <c r="Y389" s="95">
        <f>IF(SUM(T389,U388:U389)&gt;0,H389*Variables!$Y$11*0.25*(1-$J$1),0)</f>
        <v>0</v>
      </c>
      <c r="Z389" s="95">
        <f>IF(T389=0,H389*$J$1*Variables!$Y$5*0.25,0)</f>
        <v>4.5284831299496782</v>
      </c>
      <c r="AA389" s="95">
        <f t="shared" si="11"/>
        <v>32.006552403800796</v>
      </c>
      <c r="AB389" s="91">
        <f>AA389/Variables!$E$49</f>
        <v>5.1623471619033543</v>
      </c>
    </row>
    <row r="390" spans="1:28" x14ac:dyDescent="0.25">
      <c r="A390" s="61">
        <f>'Water runs'!C397</f>
        <v>37590</v>
      </c>
      <c r="B390" s="61" t="str">
        <f>'Water runs'!B397</f>
        <v>Spring</v>
      </c>
      <c r="C390" s="54">
        <f>'Water runs'!D397/100</f>
        <v>0.113</v>
      </c>
      <c r="D390" s="108">
        <f>VLOOKUP(ROW(D390)+4,'Water runs'!$BS$3:$CF$423,MATCH($B$1,Scenarios,0)+1)</f>
        <v>0</v>
      </c>
      <c r="E390" s="54">
        <f>IF(B390=Variables!$D$8,C390-Variables!$E$8,IF(B390=Variables!$D$9,C390-Variables!$E$9,IF(B390=Variables!$D$10,C390-Variables!$E$10,IF(B390=Variables!$D$11,C390-Variables!$E$11,"ELSE"))))</f>
        <v>-0.65098220899470916</v>
      </c>
      <c r="F390" s="108">
        <f>VLOOKUP(ROW(F390)+4,'Water runs'!$CH$3:$CU$423,MATCH($B$1,Scenarios,0)+1)</f>
        <v>0</v>
      </c>
      <c r="G390" s="65">
        <f>H390/Variables!$E$49</f>
        <v>0.16100000000000003</v>
      </c>
      <c r="H390" s="62">
        <f>IF((H389+I390)&gt;(1.1*Variables!$E$50),(1.1*Variables!$E$50),IF((H389+I390)&gt;0,H389+I390,0))</f>
        <v>0.9982000000000002</v>
      </c>
      <c r="I390" s="64">
        <f t="shared" si="12"/>
        <v>-1.0918691368998514</v>
      </c>
      <c r="J390" s="63">
        <f>IF(SUM(E386:E389)&lt;Variables!$B$3,-H389,0)</f>
        <v>-2.0900691368998516</v>
      </c>
      <c r="K390" s="64">
        <f>IF(AND(H389&lt;Variables!$B$6*Variables!$E$50,OR(SUM(D387:D390)&gt;Variables!$B$5,SUM(E387:E390)&gt;Variables!$B$4)),Variables!$B$6*Variables!$E$50+Variables!$B$7*$G$1*Variables!$E$50*SUM(D387:D390),0)</f>
        <v>0</v>
      </c>
      <c r="L390" s="64">
        <f>IF(B390="Winter",Variables!$B$8*H389,0)</f>
        <v>0</v>
      </c>
      <c r="M390" s="64">
        <f>IF(AND(B390="Spring",AND(NOT(H389=0),H389&lt;(Variables!$B$9*Variables!$E$50))),(Variables!$B$10*Variables!$E$50+Variables!$B$11*Variables!$E$50*SUM(E387:E390)+$G$1*SUM(D389:D390)*Variables!$E$50*Variables!$B$12),0)</f>
        <v>-1.6664859046777241</v>
      </c>
      <c r="N390" s="64">
        <f>IF(AND(B390="Spring",AND(SUM(D387:D390)&gt;Variables!$B$13,SUM(D383:D386)&gt;Variables!$B$13)),-Variables!$B$14*Variables!$E$50,0)</f>
        <v>0</v>
      </c>
      <c r="O390" s="64">
        <f>IF(AND(B390="Summer",SUM(C386:D390)&gt;Variables!$B$15),(Variables!$B$16*Variables!$E$50*SUM(C386:C390)+$G$1*Variables!$B$16*Variables!$E$50*SUM(D386:D390)+$G$1*Variables!$E$50*Variables!$B$17*F390),0)</f>
        <v>0</v>
      </c>
      <c r="P390" s="64">
        <f>IF(AND(AND(B390="Autumn",SUM(D389:E390)&gt;0),NOT(H389=0)),Variables!$B$18*Variables!$E$50+Variables!$B$19*Variables!$E$50*SUM(E389:E390)+$G$1*Variables!$B$19*Variables!$E$50*SUM(D389:D390),0)</f>
        <v>0</v>
      </c>
      <c r="Q390" s="64">
        <f>IF(AND(B390="Autumn",AND((E390+E389)&lt;Variables!$B$20,(D389+D390)=0)),-Variables!$B$21*Variables!$E$50,0)</f>
        <v>0</v>
      </c>
      <c r="R390" s="64">
        <f>IF(B390="Autumn",(SUM(F389:F390)*$G$1*Variables!$B$22*Variables!$E$50),0)</f>
        <v>0</v>
      </c>
      <c r="S390" s="64">
        <f>IF(B390="Spring",($G$1*Variables!$E$50*SUM('Guts (option 2)'!F389:F390)*Variables!$B$23),0)</f>
        <v>0</v>
      </c>
      <c r="T390" s="63">
        <f>IF((H389+SUM(J390:Q390))&lt;(Variables!$B$26*Variables!$E$50),$F$1*((Variables!$B$26*Variables!$E$50)-H389-SUM(J390:Q390)),0)</f>
        <v>2.6646859046777243</v>
      </c>
      <c r="U390" s="64">
        <f>IF(AND(AND(B390="Autumn",SUM(D387:E390)&gt;Variables!$B$27),SUM(J390:Q390)&lt;Variables!$B$28*H389),$F$1*(Variables!$B$28*H389-SUM(J390:Q390)),0)</f>
        <v>0</v>
      </c>
      <c r="V390" s="96">
        <f>IF(AND((J390+K390)=0,(Q390+T390)=0),$H$1*H390*Variables!$I$23*0.25,0)</f>
        <v>0</v>
      </c>
      <c r="W390" s="97">
        <f>IF(AND((K390+J390)=0,(T390+Q390)=0),$I$1*H390*Variables!$Q$23*0.25,0)</f>
        <v>0</v>
      </c>
      <c r="X390" s="95">
        <f>IF(AND(NOT(K390=0),(H390-H389)&gt;0),(H390-H389)*(Variables!$M$5*$H$1+Variables!$U$5*$I$1),0)+IF(AND(NOT((J390+N390+Q390)=0),(H389-H390)&gt;0),(H389-H390)*(Variables!$M$4*$H$1+Variables!$U$4*$I$1),0)</f>
        <v>45.494547370827142</v>
      </c>
      <c r="Y390" s="95">
        <f>IF(SUM(T390,U389:U390)&gt;0,H390*Variables!$Y$11*0.25*(1-$J$1),0)</f>
        <v>-6.9874000000000018</v>
      </c>
      <c r="Z390" s="95">
        <f>IF(T390=0,H390*$J$1*Variables!$Y$5*0.25,0)</f>
        <v>0</v>
      </c>
      <c r="AA390" s="95">
        <f t="shared" si="11"/>
        <v>38.507147370827141</v>
      </c>
      <c r="AB390" s="91">
        <f>AA390/Variables!$E$49</f>
        <v>6.2108302211011512</v>
      </c>
    </row>
    <row r="391" spans="1:28" x14ac:dyDescent="0.25">
      <c r="A391" s="61">
        <f>'Water runs'!C398</f>
        <v>37680</v>
      </c>
      <c r="B391" s="61" t="str">
        <f>'Water runs'!B398</f>
        <v>Summer</v>
      </c>
      <c r="C391" s="54">
        <f>'Water runs'!D398/100</f>
        <v>0.56835714285714301</v>
      </c>
      <c r="D391" s="108">
        <f>VLOOKUP(ROW(D391)+4,'Water runs'!$BS$3:$CF$423,MATCH($B$1,Scenarios,0)+1)</f>
        <v>0</v>
      </c>
      <c r="E391" s="54">
        <f>IF(B391=Variables!$D$8,C391-Variables!$E$8,IF(B391=Variables!$D$9,C391-Variables!$E$9,IF(B391=Variables!$D$10,C391-Variables!$E$10,IF(B391=Variables!$D$11,C391-Variables!$E$11,"ELSE"))))</f>
        <v>-0.69001299319727871</v>
      </c>
      <c r="F391" s="108">
        <f>VLOOKUP(ROW(F391)+4,'Water runs'!$CH$3:$CU$423,MATCH($B$1,Scenarios,0)+1)</f>
        <v>0</v>
      </c>
      <c r="G391" s="65">
        <f>H391/Variables!$E$49</f>
        <v>0.161</v>
      </c>
      <c r="H391" s="62">
        <f>IF((H390+I391)&gt;(1.1*Variables!$E$50),(1.1*Variables!$E$50),IF((H390+I391)&gt;0,H390+I391,0))</f>
        <v>0.99820000000000009</v>
      </c>
      <c r="I391" s="64">
        <f t="shared" si="12"/>
        <v>-1.1102230246251565E-16</v>
      </c>
      <c r="J391" s="63">
        <f>IF(SUM(E387:E390)&lt;Variables!$B$3,-H390,0)</f>
        <v>-0.9982000000000002</v>
      </c>
      <c r="K391" s="64">
        <f>IF(AND(H390&lt;Variables!$B$6*Variables!$E$50,OR(SUM(D388:D391)&gt;Variables!$B$5,SUM(E388:E391)&gt;Variables!$B$4)),Variables!$B$6*Variables!$E$50+Variables!$B$7*$G$1*Variables!$E$50*SUM(D388:D391),0)</f>
        <v>0</v>
      </c>
      <c r="L391" s="64">
        <f>IF(B391="Winter",Variables!$B$8*H390,0)</f>
        <v>0</v>
      </c>
      <c r="M391" s="64">
        <f>IF(AND(B391="Spring",AND(NOT(H390=0),H390&lt;(Variables!$B$9*Variables!$E$50))),(Variables!$B$10*Variables!$E$50+Variables!$B$11*Variables!$E$50*SUM(E388:E391)+$G$1*SUM(D390:D391)*Variables!$E$50*Variables!$B$12),0)</f>
        <v>0</v>
      </c>
      <c r="N391" s="64">
        <f>IF(AND(B391="Spring",AND(SUM(D388:D391)&gt;Variables!$B$13,SUM(D384:D387)&gt;Variables!$B$13)),-Variables!$B$14*Variables!$E$50,0)</f>
        <v>0</v>
      </c>
      <c r="O391" s="64">
        <f>IF(AND(B391="Summer",SUM(C387:D391)&gt;Variables!$B$15),(Variables!$B$16*Variables!$E$50*SUM(C387:C391)+$G$1*Variables!$B$16*Variables!$E$50*SUM(D387:D391)+$G$1*Variables!$E$50*Variables!$B$17*F391),0)</f>
        <v>0</v>
      </c>
      <c r="P391" s="64">
        <f>IF(AND(AND(B391="Autumn",SUM(D390:E391)&gt;0),NOT(H390=0)),Variables!$B$18*Variables!$E$50+Variables!$B$19*Variables!$E$50*SUM(E390:E391)+$G$1*Variables!$B$19*Variables!$E$50*SUM(D390:D391),0)</f>
        <v>0</v>
      </c>
      <c r="Q391" s="64">
        <f>IF(AND(B391="Autumn",AND((E391+E390)&lt;Variables!$B$20,(D390+D391)=0)),-Variables!$B$21*Variables!$E$50,0)</f>
        <v>0</v>
      </c>
      <c r="R391" s="64">
        <f>IF(B391="Autumn",(SUM(F390:F391)*$G$1*Variables!$B$22*Variables!$E$50),0)</f>
        <v>0</v>
      </c>
      <c r="S391" s="64">
        <f>IF(B391="Spring",($G$1*Variables!$E$50*SUM('Guts (option 2)'!F390:F391)*Variables!$B$23),0)</f>
        <v>0</v>
      </c>
      <c r="T391" s="63">
        <f>IF((H390+SUM(J391:Q391))&lt;(Variables!$B$26*Variables!$E$50),$F$1*((Variables!$B$26*Variables!$E$50)-H390-SUM(J391:Q391)),0)</f>
        <v>0.99820000000000009</v>
      </c>
      <c r="U391" s="64">
        <f>IF(AND(AND(B391="Autumn",SUM(D388:E391)&gt;Variables!$B$27),SUM(J391:Q391)&lt;Variables!$B$28*H390),$F$1*(Variables!$B$28*H390-SUM(J391:Q391)),0)</f>
        <v>0</v>
      </c>
      <c r="V391" s="96">
        <f>IF(AND((J391+K391)=0,(Q391+T391)=0),$H$1*H391*Variables!$I$23*0.25,0)</f>
        <v>0</v>
      </c>
      <c r="W391" s="97">
        <f>IF(AND((K391+J391)=0,(T391+Q391)=0),$I$1*H391*Variables!$Q$23*0.25,0)</f>
        <v>0</v>
      </c>
      <c r="X391" s="95">
        <f>IF(AND(NOT(K391=0),(H391-H390)&gt;0),(H391-H390)*(Variables!$M$5*$H$1+Variables!$U$5*$I$1),0)+IF(AND(NOT((J391+N391+Q391)=0),(H390-H391)&gt;0),(H390-H391)*(Variables!$M$4*$H$1+Variables!$U$4*$I$1),0)</f>
        <v>4.6259292692714853E-15</v>
      </c>
      <c r="Y391" s="95">
        <f>IF(SUM(T391,U390:U391)&gt;0,H391*Variables!$Y$11*0.25*(1-$J$1),0)</f>
        <v>-6.9874000000000018</v>
      </c>
      <c r="Z391" s="95">
        <f>IF(T391=0,H391*$J$1*Variables!$Y$5*0.25,0)</f>
        <v>0</v>
      </c>
      <c r="AA391" s="95">
        <f t="shared" si="11"/>
        <v>-6.9873999999999974</v>
      </c>
      <c r="AB391" s="91">
        <f>AA391/Variables!$E$49</f>
        <v>-1.1269999999999996</v>
      </c>
    </row>
    <row r="392" spans="1:28" x14ac:dyDescent="0.25">
      <c r="A392" s="61">
        <f>'Water runs'!C399</f>
        <v>37772</v>
      </c>
      <c r="B392" s="61" t="str">
        <f>'Water runs'!B399</f>
        <v>Autumn</v>
      </c>
      <c r="C392" s="54">
        <f>'Water runs'!D399/100</f>
        <v>0.95849999999999991</v>
      </c>
      <c r="D392" s="108">
        <f>VLOOKUP(ROW(D392)+4,'Water runs'!$BS$3:$CF$423,MATCH($B$1,Scenarios,0)+1)</f>
        <v>1.8251925985162194E-2</v>
      </c>
      <c r="E392" s="54">
        <f>IF(B392=Variables!$D$8,C392-Variables!$E$8,IF(B392=Variables!$D$9,C392-Variables!$E$9,IF(B392=Variables!$D$10,C392-Variables!$E$10,IF(B392=Variables!$D$11,C392-Variables!$E$11,"ELSE"))))</f>
        <v>-3.6143299319727928E-2</v>
      </c>
      <c r="F392" s="108">
        <f>VLOOKUP(ROW(F392)+4,'Water runs'!$CH$3:$CU$423,MATCH($B$1,Scenarios,0)+1)</f>
        <v>0</v>
      </c>
      <c r="G392" s="65">
        <f>H392/Variables!$E$49</f>
        <v>0.161</v>
      </c>
      <c r="H392" s="62">
        <f>IF((H391+I392)&gt;(1.1*Variables!$E$50),(1.1*Variables!$E$50),IF((H391+I392)&gt;0,H391+I392,0))</f>
        <v>0.99820000000000009</v>
      </c>
      <c r="I392" s="64">
        <f t="shared" si="12"/>
        <v>0</v>
      </c>
      <c r="J392" s="63">
        <f>IF(SUM(E388:E391)&lt;Variables!$B$3,-H391,0)</f>
        <v>-0.99820000000000009</v>
      </c>
      <c r="K392" s="64">
        <f>IF(AND(H391&lt;Variables!$B$6*Variables!$E$50,OR(SUM(D389:D392)&gt;Variables!$B$5,SUM(E389:E392)&gt;Variables!$B$4)),Variables!$B$6*Variables!$E$50+Variables!$B$7*$G$1*Variables!$E$50*SUM(D389:D392),0)</f>
        <v>0</v>
      </c>
      <c r="L392" s="64">
        <f>IF(B392="Winter",Variables!$B$8*H391,0)</f>
        <v>0</v>
      </c>
      <c r="M392" s="64">
        <f>IF(AND(B392="Spring",AND(NOT(H391=0),H391&lt;(Variables!$B$9*Variables!$E$50))),(Variables!$B$10*Variables!$E$50+Variables!$B$11*Variables!$E$50*SUM(E389:E392)+$G$1*SUM(D391:D392)*Variables!$E$50*Variables!$B$12),0)</f>
        <v>0</v>
      </c>
      <c r="N392" s="64">
        <f>IF(AND(B392="Spring",AND(SUM(D389:D392)&gt;Variables!$B$13,SUM(D385:D388)&gt;Variables!$B$13)),-Variables!$B$14*Variables!$E$50,0)</f>
        <v>0</v>
      </c>
      <c r="O392" s="64">
        <f>IF(AND(B392="Summer",SUM(C388:D392)&gt;Variables!$B$15),(Variables!$B$16*Variables!$E$50*SUM(C388:C392)+$G$1*Variables!$B$16*Variables!$E$50*SUM(D388:D392)+$G$1*Variables!$E$50*Variables!$B$17*F392),0)</f>
        <v>0</v>
      </c>
      <c r="P392" s="64">
        <f>IF(AND(AND(B392="Autumn",SUM(D391:E392)&gt;0),NOT(H391=0)),Variables!$B$18*Variables!$E$50+Variables!$B$19*Variables!$E$50*SUM(E391:E392)+$G$1*Variables!$B$19*Variables!$E$50*SUM(D391:D392),0)</f>
        <v>0</v>
      </c>
      <c r="Q392" s="64">
        <f>IF(AND(B392="Autumn",AND((E392+E391)&lt;Variables!$B$20,(D391+D392)=0)),-Variables!$B$21*Variables!$E$50,0)</f>
        <v>0</v>
      </c>
      <c r="R392" s="64">
        <f>IF(B392="Autumn",(SUM(F391:F392)*$G$1*Variables!$B$22*Variables!$E$50),0)</f>
        <v>0</v>
      </c>
      <c r="S392" s="64">
        <f>IF(B392="Spring",($G$1*Variables!$E$50*SUM('Guts (option 2)'!F391:F392)*Variables!$B$23),0)</f>
        <v>0</v>
      </c>
      <c r="T392" s="63">
        <f>IF((H391+SUM(J392:Q392))&lt;(Variables!$B$26*Variables!$E$50),$F$1*((Variables!$B$26*Variables!$E$50)-H391-SUM(J392:Q392)),0)</f>
        <v>0.99820000000000009</v>
      </c>
      <c r="U392" s="64">
        <f>IF(AND(AND(B392="Autumn",SUM(D389:E392)&gt;Variables!$B$27),SUM(J392:Q392)&lt;Variables!$B$28*H391),$F$1*(Variables!$B$28*H391-SUM(J392:Q392)),0)</f>
        <v>0</v>
      </c>
      <c r="V392" s="96">
        <f>IF(AND((J392+K392)=0,(Q392+T392)=0),$H$1*H392*Variables!$I$23*0.25,0)</f>
        <v>0</v>
      </c>
      <c r="W392" s="97">
        <f>IF(AND((K392+J392)=0,(T392+Q392)=0),$I$1*H392*Variables!$Q$23*0.25,0)</f>
        <v>0</v>
      </c>
      <c r="X392" s="95">
        <f>IF(AND(NOT(K392=0),(H392-H391)&gt;0),(H392-H391)*(Variables!$M$5*$H$1+Variables!$U$5*$I$1),0)+IF(AND(NOT((J392+N392+Q392)=0),(H391-H392)&gt;0),(H391-H392)*(Variables!$M$4*$H$1+Variables!$U$4*$I$1),0)</f>
        <v>0</v>
      </c>
      <c r="Y392" s="95">
        <f>IF(SUM(T392,U391:U392)&gt;0,H392*Variables!$Y$11*0.25*(1-$J$1),0)</f>
        <v>-6.9874000000000018</v>
      </c>
      <c r="Z392" s="95">
        <f>IF(T392=0,H392*$J$1*Variables!$Y$5*0.25,0)</f>
        <v>0</v>
      </c>
      <c r="AA392" s="95">
        <f t="shared" si="11"/>
        <v>-6.9874000000000018</v>
      </c>
      <c r="AB392" s="91">
        <f>AA392/Variables!$E$49</f>
        <v>-1.1270000000000002</v>
      </c>
    </row>
    <row r="393" spans="1:28" x14ac:dyDescent="0.25">
      <c r="A393" s="61">
        <f>'Water runs'!C400</f>
        <v>37864</v>
      </c>
      <c r="B393" s="61" t="str">
        <f>'Water runs'!B400</f>
        <v>Winter</v>
      </c>
      <c r="C393" s="54">
        <f>'Water runs'!D400/100</f>
        <v>0.50375000000000003</v>
      </c>
      <c r="D393" s="108">
        <f>VLOOKUP(ROW(D393)+4,'Water runs'!$BS$3:$CF$423,MATCH($B$1,Scenarios,0)+1)</f>
        <v>0</v>
      </c>
      <c r="E393" s="54">
        <f>IF(B393=Variables!$D$8,C393-Variables!$E$8,IF(B393=Variables!$D$9,C393-Variables!$E$9,IF(B393=Variables!$D$10,C393-Variables!$E$10,IF(B393=Variables!$D$11,C393-Variables!$E$11,"ELSE"))))</f>
        <v>-6.8017625661375702E-2</v>
      </c>
      <c r="F393" s="108">
        <f>VLOOKUP(ROW(F393)+4,'Water runs'!$CH$3:$CU$423,MATCH($B$1,Scenarios,0)+1)</f>
        <v>0</v>
      </c>
      <c r="G393" s="65">
        <f>H393/Variables!$E$49</f>
        <v>0.161</v>
      </c>
      <c r="H393" s="62">
        <f>IF((H392+I393)&gt;(1.1*Variables!$E$50),(1.1*Variables!$E$50),IF((H392+I393)&gt;0,H392+I393,0))</f>
        <v>0.99820000000000009</v>
      </c>
      <c r="I393" s="64">
        <f t="shared" si="12"/>
        <v>0</v>
      </c>
      <c r="J393" s="63">
        <f>IF(SUM(E389:E392)&lt;Variables!$B$3,-H392,0)</f>
        <v>-0.99820000000000009</v>
      </c>
      <c r="K393" s="64">
        <f>IF(AND(H392&lt;Variables!$B$6*Variables!$E$50,OR(SUM(D390:D393)&gt;Variables!$B$5,SUM(E390:E393)&gt;Variables!$B$4)),Variables!$B$6*Variables!$E$50+Variables!$B$7*$G$1*Variables!$E$50*SUM(D390:D393),0)</f>
        <v>0</v>
      </c>
      <c r="L393" s="64">
        <f>IF(B393="Winter",Variables!$B$8*H392,0)</f>
        <v>-0.49704894489176149</v>
      </c>
      <c r="M393" s="64">
        <f>IF(AND(B393="Spring",AND(NOT(H392=0),H392&lt;(Variables!$B$9*Variables!$E$50))),(Variables!$B$10*Variables!$E$50+Variables!$B$11*Variables!$E$50*SUM(E390:E393)+$G$1*SUM(D392:D393)*Variables!$E$50*Variables!$B$12),0)</f>
        <v>0</v>
      </c>
      <c r="N393" s="64">
        <f>IF(AND(B393="Spring",AND(SUM(D390:D393)&gt;Variables!$B$13,SUM(D386:D389)&gt;Variables!$B$13)),-Variables!$B$14*Variables!$E$50,0)</f>
        <v>0</v>
      </c>
      <c r="O393" s="64">
        <f>IF(AND(B393="Summer",SUM(C389:D393)&gt;Variables!$B$15),(Variables!$B$16*Variables!$E$50*SUM(C389:C393)+$G$1*Variables!$B$16*Variables!$E$50*SUM(D389:D393)+$G$1*Variables!$E$50*Variables!$B$17*F393),0)</f>
        <v>0</v>
      </c>
      <c r="P393" s="64">
        <f>IF(AND(AND(B393="Autumn",SUM(D392:E393)&gt;0),NOT(H392=0)),Variables!$B$18*Variables!$E$50+Variables!$B$19*Variables!$E$50*SUM(E392:E393)+$G$1*Variables!$B$19*Variables!$E$50*SUM(D392:D393),0)</f>
        <v>0</v>
      </c>
      <c r="Q393" s="64">
        <f>IF(AND(B393="Autumn",AND((E393+E392)&lt;Variables!$B$20,(D392+D393)=0)),-Variables!$B$21*Variables!$E$50,0)</f>
        <v>0</v>
      </c>
      <c r="R393" s="64">
        <f>IF(B393="Autumn",(SUM(F392:F393)*$G$1*Variables!$B$22*Variables!$E$50),0)</f>
        <v>0</v>
      </c>
      <c r="S393" s="64">
        <f>IF(B393="Spring",($G$1*Variables!$E$50*SUM('Guts (option 2)'!F392:F393)*Variables!$B$23),0)</f>
        <v>0</v>
      </c>
      <c r="T393" s="63">
        <f>IF((H392+SUM(J393:Q393))&lt;(Variables!$B$26*Variables!$E$50),$F$1*((Variables!$B$26*Variables!$E$50)-H392-SUM(J393:Q393)),0)</f>
        <v>1.4952489448917616</v>
      </c>
      <c r="U393" s="64">
        <f>IF(AND(AND(B393="Autumn",SUM(D390:E393)&gt;Variables!$B$27),SUM(J393:Q393)&lt;Variables!$B$28*H392),$F$1*(Variables!$B$28*H392-SUM(J393:Q393)),0)</f>
        <v>0</v>
      </c>
      <c r="V393" s="96">
        <f>IF(AND((J393+K393)=0,(Q393+T393)=0),$H$1*H393*Variables!$I$23*0.25,0)</f>
        <v>0</v>
      </c>
      <c r="W393" s="97">
        <f>IF(AND((K393+J393)=0,(T393+Q393)=0),$I$1*H393*Variables!$Q$23*0.25,0)</f>
        <v>0</v>
      </c>
      <c r="X393" s="95">
        <f>IF(AND(NOT(K393=0),(H393-H392)&gt;0),(H393-H392)*(Variables!$M$5*$H$1+Variables!$U$5*$I$1),0)+IF(AND(NOT((J393+N393+Q393)=0),(H392-H393)&gt;0),(H392-H393)*(Variables!$M$4*$H$1+Variables!$U$4*$I$1),0)</f>
        <v>0</v>
      </c>
      <c r="Y393" s="95">
        <f>IF(SUM(T393,U392:U393)&gt;0,H393*Variables!$Y$11*0.25*(1-$J$1),0)</f>
        <v>-6.9874000000000018</v>
      </c>
      <c r="Z393" s="95">
        <f>IF(T393=0,H393*$J$1*Variables!$Y$5*0.25,0)</f>
        <v>0</v>
      </c>
      <c r="AA393" s="95">
        <f t="shared" si="11"/>
        <v>-6.9874000000000018</v>
      </c>
      <c r="AB393" s="91">
        <f>AA393/Variables!$E$49</f>
        <v>-1.1270000000000002</v>
      </c>
    </row>
    <row r="394" spans="1:28" x14ac:dyDescent="0.25">
      <c r="A394" s="61">
        <f>'Water runs'!C401</f>
        <v>37955</v>
      </c>
      <c r="B394" s="61" t="str">
        <f>'Water runs'!B401</f>
        <v>Spring</v>
      </c>
      <c r="C394" s="54">
        <f>'Water runs'!D401/100</f>
        <v>0.23874999999999999</v>
      </c>
      <c r="D394" s="108">
        <f>VLOOKUP(ROW(D394)+4,'Water runs'!$BS$3:$CF$423,MATCH($B$1,Scenarios,0)+1)</f>
        <v>0</v>
      </c>
      <c r="E394" s="54">
        <f>IF(B394=Variables!$D$8,C394-Variables!$E$8,IF(B394=Variables!$D$9,C394-Variables!$E$9,IF(B394=Variables!$D$10,C394-Variables!$E$10,IF(B394=Variables!$D$11,C394-Variables!$E$11,"ELSE"))))</f>
        <v>-0.52523220899470913</v>
      </c>
      <c r="F394" s="108">
        <f>VLOOKUP(ROW(F394)+4,'Water runs'!$CH$3:$CU$423,MATCH($B$1,Scenarios,0)+1)</f>
        <v>0</v>
      </c>
      <c r="G394" s="65">
        <f>H394/Variables!$E$49</f>
        <v>0.161</v>
      </c>
      <c r="H394" s="62">
        <f>IF((H393+I394)&gt;(1.1*Variables!$E$50),(1.1*Variables!$E$50),IF((H393+I394)&gt;0,H393+I394,0))</f>
        <v>0.99820000000000009</v>
      </c>
      <c r="I394" s="64">
        <f t="shared" si="12"/>
        <v>0</v>
      </c>
      <c r="J394" s="63">
        <f>IF(SUM(E390:E393)&lt;Variables!$B$3,-H393,0)</f>
        <v>0</v>
      </c>
      <c r="K394" s="64">
        <f>IF(AND(H393&lt;Variables!$B$6*Variables!$E$50,OR(SUM(D391:D394)&gt;Variables!$B$5,SUM(E391:E394)&gt;Variables!$B$4)),Variables!$B$6*Variables!$E$50+Variables!$B$7*$G$1*Variables!$E$50*SUM(D391:D394),0)</f>
        <v>0</v>
      </c>
      <c r="L394" s="64">
        <f>IF(B394="Winter",Variables!$B$8*H393,0)</f>
        <v>0</v>
      </c>
      <c r="M394" s="64">
        <f>IF(AND(B394="Spring",AND(NOT(H393=0),H393&lt;(Variables!$B$9*Variables!$E$50))),(Variables!$B$10*Variables!$E$50+Variables!$B$11*Variables!$E$50*SUM(E391:E394)+$G$1*SUM(D393:D394)*Variables!$E$50*Variables!$B$12),0)</f>
        <v>-0.89859696154445767</v>
      </c>
      <c r="N394" s="64">
        <f>IF(AND(B394="Spring",AND(SUM(D391:D394)&gt;Variables!$B$13,SUM(D387:D390)&gt;Variables!$B$13)),-Variables!$B$14*Variables!$E$50,0)</f>
        <v>0</v>
      </c>
      <c r="O394" s="64">
        <f>IF(AND(B394="Summer",SUM(C390:D394)&gt;Variables!$B$15),(Variables!$B$16*Variables!$E$50*SUM(C390:C394)+$G$1*Variables!$B$16*Variables!$E$50*SUM(D390:D394)+$G$1*Variables!$E$50*Variables!$B$17*F394),0)</f>
        <v>0</v>
      </c>
      <c r="P394" s="64">
        <f>IF(AND(AND(B394="Autumn",SUM(D393:E394)&gt;0),NOT(H393=0)),Variables!$B$18*Variables!$E$50+Variables!$B$19*Variables!$E$50*SUM(E393:E394)+$G$1*Variables!$B$19*Variables!$E$50*SUM(D393:D394),0)</f>
        <v>0</v>
      </c>
      <c r="Q394" s="64">
        <f>IF(AND(B394="Autumn",AND((E394+E393)&lt;Variables!$B$20,(D393+D394)=0)),-Variables!$B$21*Variables!$E$50,0)</f>
        <v>0</v>
      </c>
      <c r="R394" s="64">
        <f>IF(B394="Autumn",(SUM(F393:F394)*$G$1*Variables!$B$22*Variables!$E$50),0)</f>
        <v>0</v>
      </c>
      <c r="S394" s="64">
        <f>IF(B394="Spring",($G$1*Variables!$E$50*SUM('Guts (option 2)'!F393:F394)*Variables!$B$23),0)</f>
        <v>0</v>
      </c>
      <c r="T394" s="63">
        <f>IF((H393+SUM(J394:Q394))&lt;(Variables!$B$26*Variables!$E$50),$F$1*((Variables!$B$26*Variables!$E$50)-H393-SUM(J394:Q394)),0)</f>
        <v>0.89859696154445767</v>
      </c>
      <c r="U394" s="64">
        <f>IF(AND(AND(B394="Autumn",SUM(D391:E394)&gt;Variables!$B$27),SUM(J394:Q394)&lt;Variables!$B$28*H393),$F$1*(Variables!$B$28*H393-SUM(J394:Q394)),0)</f>
        <v>0</v>
      </c>
      <c r="V394" s="96">
        <f>IF(AND((J394+K394)=0,(Q394+T394)=0),$H$1*H394*Variables!$I$23*0.25,0)</f>
        <v>0</v>
      </c>
      <c r="W394" s="97">
        <f>IF(AND((K394+J394)=0,(T394+Q394)=0),$I$1*H394*Variables!$Q$23*0.25,0)</f>
        <v>0</v>
      </c>
      <c r="X394" s="95">
        <f>IF(AND(NOT(K394=0),(H394-H393)&gt;0),(H394-H393)*(Variables!$M$5*$H$1+Variables!$U$5*$I$1),0)+IF(AND(NOT((J394+N394+Q394)=0),(H393-H394)&gt;0),(H393-H394)*(Variables!$M$4*$H$1+Variables!$U$4*$I$1),0)</f>
        <v>0</v>
      </c>
      <c r="Y394" s="95">
        <f>IF(SUM(T394,U393:U394)&gt;0,H394*Variables!$Y$11*0.25*(1-$J$1),0)</f>
        <v>-6.9874000000000018</v>
      </c>
      <c r="Z394" s="95">
        <f>IF(T394=0,H394*$J$1*Variables!$Y$5*0.25,0)</f>
        <v>0</v>
      </c>
      <c r="AA394" s="95">
        <f t="shared" si="11"/>
        <v>-6.9874000000000018</v>
      </c>
      <c r="AB394" s="91">
        <f>AA394/Variables!$E$49</f>
        <v>-1.1270000000000002</v>
      </c>
    </row>
    <row r="395" spans="1:28" x14ac:dyDescent="0.25">
      <c r="A395" s="61">
        <f>'Water runs'!C402</f>
        <v>38045</v>
      </c>
      <c r="B395" s="61" t="str">
        <f>'Water runs'!B402</f>
        <v>Summer</v>
      </c>
      <c r="C395" s="54">
        <f>'Water runs'!D402/100</f>
        <v>1.51981428571429</v>
      </c>
      <c r="D395" s="108">
        <f>VLOOKUP(ROW(D395)+4,'Water runs'!$BS$3:$CF$423,MATCH($B$1,Scenarios,0)+1)</f>
        <v>0.26415411048385179</v>
      </c>
      <c r="E395" s="54">
        <f>IF(B395=Variables!$D$8,C395-Variables!$E$8,IF(B395=Variables!$D$9,C395-Variables!$E$9,IF(B395=Variables!$D$10,C395-Variables!$E$10,IF(B395=Variables!$D$11,C395-Variables!$E$11,"ELSE"))))</f>
        <v>0.26144414965986829</v>
      </c>
      <c r="F395" s="108">
        <f>VLOOKUP(ROW(F395)+4,'Water runs'!$CH$3:$CU$423,MATCH($B$1,Scenarios,0)+1)</f>
        <v>0.23688429837132519</v>
      </c>
      <c r="G395" s="65">
        <f>H395/Variables!$E$49</f>
        <v>0.34740327537035137</v>
      </c>
      <c r="H395" s="62">
        <f>IF((H394+I395)&gt;(1.1*Variables!$E$50),(1.1*Variables!$E$50),IF((H394+I395)&gt;0,H394+I395,0))</f>
        <v>2.1539003072961784</v>
      </c>
      <c r="I395" s="64">
        <f t="shared" si="12"/>
        <v>1.1557003072961782</v>
      </c>
      <c r="J395" s="63">
        <f>IF(SUM(E391:E394)&lt;Variables!$B$3,-H394,0)</f>
        <v>0</v>
      </c>
      <c r="K395" s="64">
        <f>IF(AND(H394&lt;Variables!$B$6*Variables!$E$50,OR(SUM(D392:D395)&gt;Variables!$B$5,SUM(E392:E395)&gt;Variables!$B$4)),Variables!$B$6*Variables!$E$50+Variables!$B$7*$G$1*Variables!$E$50*SUM(D392:D395),0)</f>
        <v>1.1557003072961782</v>
      </c>
      <c r="L395" s="64">
        <f>IF(B395="Winter",Variables!$B$8*H394,0)</f>
        <v>0</v>
      </c>
      <c r="M395" s="64">
        <f>IF(AND(B395="Spring",AND(NOT(H394=0),H394&lt;(Variables!$B$9*Variables!$E$50))),(Variables!$B$10*Variables!$E$50+Variables!$B$11*Variables!$E$50*SUM(E392:E395)+$G$1*SUM(D394:D395)*Variables!$E$50*Variables!$B$12),0)</f>
        <v>0</v>
      </c>
      <c r="N395" s="64">
        <f>IF(AND(B395="Spring",AND(SUM(D392:D395)&gt;Variables!$B$13,SUM(D388:D391)&gt;Variables!$B$13)),-Variables!$B$14*Variables!$E$50,0)</f>
        <v>0</v>
      </c>
      <c r="O395" s="64">
        <f>IF(AND(B395="Summer",SUM(C391:D395)&gt;Variables!$B$15),(Variables!$B$16*Variables!$E$50*SUM(C391:C395)+$G$1*Variables!$B$16*Variables!$E$50*SUM(D391:D395)+$G$1*Variables!$E$50*Variables!$B$17*F395),0)</f>
        <v>0</v>
      </c>
      <c r="P395" s="64">
        <f>IF(AND(AND(B395="Autumn",SUM(D394:E395)&gt;0),NOT(H394=0)),Variables!$B$18*Variables!$E$50+Variables!$B$19*Variables!$E$50*SUM(E394:E395)+$G$1*Variables!$B$19*Variables!$E$50*SUM(D394:D395),0)</f>
        <v>0</v>
      </c>
      <c r="Q395" s="64">
        <f>IF(AND(B395="Autumn",AND((E395+E394)&lt;Variables!$B$20,(D394+D395)=0)),-Variables!$B$21*Variables!$E$50,0)</f>
        <v>0</v>
      </c>
      <c r="R395" s="64">
        <f>IF(B395="Autumn",(SUM(F394:F395)*$G$1*Variables!$B$22*Variables!$E$50),0)</f>
        <v>0</v>
      </c>
      <c r="S395" s="64">
        <f>IF(B395="Spring",($G$1*Variables!$E$50*SUM('Guts (option 2)'!F394:F395)*Variables!$B$23),0)</f>
        <v>0</v>
      </c>
      <c r="T395" s="63">
        <f>IF((H394+SUM(J395:Q395))&lt;(Variables!$B$26*Variables!$E$50),$F$1*((Variables!$B$26*Variables!$E$50)-H394-SUM(J395:Q395)),0)</f>
        <v>0</v>
      </c>
      <c r="U395" s="64">
        <f>IF(AND(AND(B395="Autumn",SUM(D392:E395)&gt;Variables!$B$27),SUM(J395:Q395)&lt;Variables!$B$28*H394),$F$1*(Variables!$B$28*H394-SUM(J395:Q395)),0)</f>
        <v>0</v>
      </c>
      <c r="V395" s="96">
        <f>IF(AND((J395+K395)=0,(Q395+T395)=0),$H$1*H395*Variables!$I$23*0.25,0)</f>
        <v>0</v>
      </c>
      <c r="W395" s="97">
        <f>IF(AND((K395+J395)=0,(T395+Q395)=0),$I$1*H395*Variables!$Q$23*0.25,0)</f>
        <v>0</v>
      </c>
      <c r="X395" s="95">
        <f>IF(AND(NOT(K395=0),(H395-H394)&gt;0),(H395-H394)*(Variables!$M$5*$H$1+Variables!$U$5*$I$1),0)+IF(AND(NOT((J395+N395+Q395)=0),(H394-H395)&gt;0),(H394-H395)*(Variables!$M$4*$H$1+Variables!$U$4*$I$1),0)</f>
        <v>-96.308358941348175</v>
      </c>
      <c r="Y395" s="95">
        <f>IF(SUM(T395,U394:U395)&gt;0,H395*Variables!$Y$11*0.25*(1-$J$1),0)</f>
        <v>0</v>
      </c>
      <c r="Z395" s="95">
        <f>IF(T395=0,H395*$J$1*Variables!$Y$5*0.25,0)</f>
        <v>4.6667839991417202</v>
      </c>
      <c r="AA395" s="95">
        <f t="shared" si="11"/>
        <v>-91.641574942206461</v>
      </c>
      <c r="AB395" s="91">
        <f>AA395/Variables!$E$49</f>
        <v>-14.780899184226849</v>
      </c>
    </row>
    <row r="396" spans="1:28" x14ac:dyDescent="0.25">
      <c r="A396" s="61">
        <f>'Water runs'!C403</f>
        <v>38138</v>
      </c>
      <c r="B396" s="61" t="str">
        <f>'Water runs'!B403</f>
        <v>Autumn</v>
      </c>
      <c r="C396" s="54">
        <f>'Water runs'!D403/100</f>
        <v>1.46086904761905</v>
      </c>
      <c r="D396" s="108">
        <f>VLOOKUP(ROW(D396)+4,'Water runs'!$BS$3:$CF$423,MATCH($B$1,Scenarios,0)+1)</f>
        <v>1.2166367112962097E-2</v>
      </c>
      <c r="E396" s="54">
        <f>IF(B396=Variables!$D$8,C396-Variables!$E$8,IF(B396=Variables!$D$9,C396-Variables!$E$9,IF(B396=Variables!$D$10,C396-Variables!$E$10,IF(B396=Variables!$D$11,C396-Variables!$E$11,"ELSE"))))</f>
        <v>0.46622574829932217</v>
      </c>
      <c r="F396" s="108">
        <f>VLOOKUP(ROW(F396)+4,'Water runs'!$CH$3:$CU$423,MATCH($B$1,Scenarios,0)+1)</f>
        <v>0</v>
      </c>
      <c r="G396" s="65">
        <f>H396/Variables!$E$49</f>
        <v>0.74065325450947184</v>
      </c>
      <c r="H396" s="62">
        <f>IF((H395+I396)&gt;(1.1*Variables!$E$50),(1.1*Variables!$E$50),IF((H395+I396)&gt;0,H395+I396,0))</f>
        <v>4.5920501779587255</v>
      </c>
      <c r="I396" s="64">
        <f t="shared" si="12"/>
        <v>2.4381498706625466</v>
      </c>
      <c r="J396" s="63">
        <f>IF(SUM(E392:E395)&lt;Variables!$B$3,-H395,0)</f>
        <v>0</v>
      </c>
      <c r="K396" s="64">
        <f>IF(AND(H395&lt;Variables!$B$6*Variables!$E$50,OR(SUM(D393:D396)&gt;Variables!$B$5,SUM(E393:E396)&gt;Variables!$B$4)),Variables!$B$6*Variables!$E$50+Variables!$B$7*$G$1*Variables!$E$50*SUM(D393:D396),0)</f>
        <v>0</v>
      </c>
      <c r="L396" s="64">
        <f>IF(B396="Winter",Variables!$B$8*H395,0)</f>
        <v>0</v>
      </c>
      <c r="M396" s="64">
        <f>IF(AND(B396="Spring",AND(NOT(H395=0),H395&lt;(Variables!$B$9*Variables!$E$50))),(Variables!$B$10*Variables!$E$50+Variables!$B$11*Variables!$E$50*SUM(E393:E396)+$G$1*SUM(D395:D396)*Variables!$E$50*Variables!$B$12),0)</f>
        <v>0</v>
      </c>
      <c r="N396" s="64">
        <f>IF(AND(B396="Spring",AND(SUM(D393:D396)&gt;Variables!$B$13,SUM(D389:D392)&gt;Variables!$B$13)),-Variables!$B$14*Variables!$E$50,0)</f>
        <v>0</v>
      </c>
      <c r="O396" s="64">
        <f>IF(AND(B396="Summer",SUM(C392:D396)&gt;Variables!$B$15),(Variables!$B$16*Variables!$E$50*SUM(C392:C396)+$G$1*Variables!$B$16*Variables!$E$50*SUM(D392:D396)+$G$1*Variables!$E$50*Variables!$B$17*F396),0)</f>
        <v>0</v>
      </c>
      <c r="P396" s="64">
        <f>IF(AND(AND(B396="Autumn",SUM(D395:E396)&gt;0),NOT(H395=0)),Variables!$B$18*Variables!$E$50+Variables!$B$19*Variables!$E$50*SUM(E395:E396)+$G$1*Variables!$B$19*Variables!$E$50*SUM(D395:D396),0)</f>
        <v>2.4047749334144086</v>
      </c>
      <c r="Q396" s="64">
        <f>IF(AND(B396="Autumn",AND((E396+E395)&lt;Variables!$B$20,(D395+D396)=0)),-Variables!$B$21*Variables!$E$50,0)</f>
        <v>0</v>
      </c>
      <c r="R396" s="64">
        <f>IF(B396="Autumn",(SUM(F395:F396)*$G$1*Variables!$B$22*Variables!$E$50),0)</f>
        <v>3.3374937248138094E-2</v>
      </c>
      <c r="S396" s="64">
        <f>IF(B396="Spring",($G$1*Variables!$E$50*SUM('Guts (option 2)'!F395:F396)*Variables!$B$23),0)</f>
        <v>0</v>
      </c>
      <c r="T396" s="63">
        <f>IF((H395+SUM(J396:Q396))&lt;(Variables!$B$26*Variables!$E$50),$F$1*((Variables!$B$26*Variables!$E$50)-H395-SUM(J396:Q396)),0)</f>
        <v>0</v>
      </c>
      <c r="U396" s="64">
        <f>IF(AND(AND(B396="Autumn",SUM(D393:E396)&gt;Variables!$B$27),SUM(J396:Q396)&lt;Variables!$B$28*H395),$F$1*(Variables!$B$28*H395-SUM(J396:Q396)),0)</f>
        <v>0</v>
      </c>
      <c r="V396" s="96">
        <f>IF(AND((J396+K396)=0,(Q396+T396)=0),$H$1*H396*Variables!$I$23*0.25,0)</f>
        <v>29.496498578930446</v>
      </c>
      <c r="W396" s="97">
        <f>IF(AND((K396+J396)=0,(T396+Q396)=0),$I$1*H396*Variables!$Q$23*0.25,0)</f>
        <v>30.875032042353649</v>
      </c>
      <c r="X396" s="95">
        <f>IF(AND(NOT(K396=0),(H396-H395)&gt;0),(H396-H395)*(Variables!$M$5*$H$1+Variables!$U$5*$I$1),0)+IF(AND(NOT((J396+N396+Q396)=0),(H395-H396)&gt;0),(H395-H396)*(Variables!$M$4*$H$1+Variables!$U$4*$I$1),0)</f>
        <v>0</v>
      </c>
      <c r="Y396" s="95">
        <f>IF(SUM(T396,U395:U396)&gt;0,H396*Variables!$Y$11*0.25*(1-$J$1),0)</f>
        <v>0</v>
      </c>
      <c r="Z396" s="95">
        <f>IF(T396=0,H396*$J$1*Variables!$Y$5*0.25,0)</f>
        <v>9.9494420522439047</v>
      </c>
      <c r="AA396" s="95">
        <f t="shared" si="11"/>
        <v>70.320972673528004</v>
      </c>
      <c r="AB396" s="91">
        <f>AA396/Variables!$E$49</f>
        <v>11.342092366698065</v>
      </c>
    </row>
    <row r="397" spans="1:28" x14ac:dyDescent="0.25">
      <c r="A397" s="61">
        <f>'Water runs'!C404</f>
        <v>38230</v>
      </c>
      <c r="B397" s="61" t="str">
        <f>'Water runs'!B404</f>
        <v>Winter</v>
      </c>
      <c r="C397" s="54">
        <f>'Water runs'!D404/100</f>
        <v>0.30658333333333299</v>
      </c>
      <c r="D397" s="108">
        <f>VLOOKUP(ROW(D397)+4,'Water runs'!$BS$3:$CF$423,MATCH($B$1,Scenarios,0)+1)</f>
        <v>0</v>
      </c>
      <c r="E397" s="54">
        <f>IF(B397=Variables!$D$8,C397-Variables!$E$8,IF(B397=Variables!$D$9,C397-Variables!$E$9,IF(B397=Variables!$D$10,C397-Variables!$E$10,IF(B397=Variables!$D$11,C397-Variables!$E$11,"ELSE"))))</f>
        <v>-0.26518429232804275</v>
      </c>
      <c r="F397" s="108">
        <f>VLOOKUP(ROW(F397)+4,'Water runs'!$CH$3:$CU$423,MATCH($B$1,Scenarios,0)+1)</f>
        <v>0</v>
      </c>
      <c r="G397" s="65">
        <f>H397/Variables!$E$49</f>
        <v>0.37184848724381148</v>
      </c>
      <c r="H397" s="62">
        <f>IF((H396+I397)&gt;(1.1*Variables!$E$50),(1.1*Variables!$E$50),IF((H396+I397)&gt;0,H396+I397,0))</f>
        <v>2.3054606209116311</v>
      </c>
      <c r="I397" s="64">
        <f t="shared" si="12"/>
        <v>-2.2865895570470944</v>
      </c>
      <c r="J397" s="63">
        <f>IF(SUM(E393:E396)&lt;Variables!$B$3,-H396,0)</f>
        <v>0</v>
      </c>
      <c r="K397" s="64">
        <f>IF(AND(H396&lt;Variables!$B$6*Variables!$E$50,OR(SUM(D394:D397)&gt;Variables!$B$5,SUM(E394:E397)&gt;Variables!$B$4)),Variables!$B$6*Variables!$E$50+Variables!$B$7*$G$1*Variables!$E$50*SUM(D394:D397),0)</f>
        <v>0</v>
      </c>
      <c r="L397" s="64">
        <f>IF(B397="Winter",Variables!$B$8*H396,0)</f>
        <v>-2.2865895570470944</v>
      </c>
      <c r="M397" s="64">
        <f>IF(AND(B397="Spring",AND(NOT(H396=0),H396&lt;(Variables!$B$9*Variables!$E$50))),(Variables!$B$10*Variables!$E$50+Variables!$B$11*Variables!$E$50*SUM(E394:E397)+$G$1*SUM(D396:D397)*Variables!$E$50*Variables!$B$12),0)</f>
        <v>0</v>
      </c>
      <c r="N397" s="64">
        <f>IF(AND(B397="Spring",AND(SUM(D394:D397)&gt;Variables!$B$13,SUM(D390:D393)&gt;Variables!$B$13)),-Variables!$B$14*Variables!$E$50,0)</f>
        <v>0</v>
      </c>
      <c r="O397" s="64">
        <f>IF(AND(B397="Summer",SUM(C393:D397)&gt;Variables!$B$15),(Variables!$B$16*Variables!$E$50*SUM(C393:C397)+$G$1*Variables!$B$16*Variables!$E$50*SUM(D393:D397)+$G$1*Variables!$E$50*Variables!$B$17*F397),0)</f>
        <v>0</v>
      </c>
      <c r="P397" s="64">
        <f>IF(AND(AND(B397="Autumn",SUM(D396:E397)&gt;0),NOT(H396=0)),Variables!$B$18*Variables!$E$50+Variables!$B$19*Variables!$E$50*SUM(E396:E397)+$G$1*Variables!$B$19*Variables!$E$50*SUM(D396:D397),0)</f>
        <v>0</v>
      </c>
      <c r="Q397" s="64">
        <f>IF(AND(B397="Autumn",AND((E397+E396)&lt;Variables!$B$20,(D396+D397)=0)),-Variables!$B$21*Variables!$E$50,0)</f>
        <v>0</v>
      </c>
      <c r="R397" s="64">
        <f>IF(B397="Autumn",(SUM(F396:F397)*$G$1*Variables!$B$22*Variables!$E$50),0)</f>
        <v>0</v>
      </c>
      <c r="S397" s="64">
        <f>IF(B397="Spring",($G$1*Variables!$E$50*SUM('Guts (option 2)'!F396:F397)*Variables!$B$23),0)</f>
        <v>0</v>
      </c>
      <c r="T397" s="63">
        <f>IF((H396+SUM(J397:Q397))&lt;(Variables!$B$26*Variables!$E$50),$F$1*((Variables!$B$26*Variables!$E$50)-H396-SUM(J397:Q397)),0)</f>
        <v>0</v>
      </c>
      <c r="U397" s="64">
        <f>IF(AND(AND(B397="Autumn",SUM(D394:E397)&gt;Variables!$B$27),SUM(J397:Q397)&lt;Variables!$B$28*H396),$F$1*(Variables!$B$28*H396-SUM(J397:Q397)),0)</f>
        <v>0</v>
      </c>
      <c r="V397" s="96">
        <f>IF(AND((J397+K397)=0,(Q397+T397)=0),$H$1*H397*Variables!$I$23*0.25,0)</f>
        <v>14.808857328020089</v>
      </c>
      <c r="W397" s="97">
        <f>IF(AND((K397+J397)=0,(T397+Q397)=0),$I$1*H397*Variables!$Q$23*0.25,0)</f>
        <v>15.500956606417759</v>
      </c>
      <c r="X397" s="95">
        <f>IF(AND(NOT(K397=0),(H397-H396)&gt;0),(H397-H396)*(Variables!$M$5*$H$1+Variables!$U$5*$I$1),0)+IF(AND(NOT((J397+N397+Q397)=0),(H396-H397)&gt;0),(H396-H397)*(Variables!$M$4*$H$1+Variables!$U$4*$I$1),0)</f>
        <v>0</v>
      </c>
      <c r="Y397" s="95">
        <f>IF(SUM(T397,U396:U397)&gt;0,H397*Variables!$Y$11*0.25*(1-$J$1),0)</f>
        <v>0</v>
      </c>
      <c r="Z397" s="95">
        <f>IF(T397=0,H397*$J$1*Variables!$Y$5*0.25,0)</f>
        <v>4.9951646786418671</v>
      </c>
      <c r="AA397" s="95">
        <f t="shared" si="11"/>
        <v>35.304978613079712</v>
      </c>
      <c r="AB397" s="91">
        <f>AA397/Variables!$E$49</f>
        <v>5.694351389206405</v>
      </c>
    </row>
    <row r="398" spans="1:28" x14ac:dyDescent="0.25">
      <c r="A398" s="61">
        <f>'Water runs'!C405</f>
        <v>38321</v>
      </c>
      <c r="B398" s="61" t="str">
        <f>'Water runs'!B405</f>
        <v>Spring</v>
      </c>
      <c r="C398" s="54">
        <f>'Water runs'!D405/100</f>
        <v>0.51708571428571404</v>
      </c>
      <c r="D398" s="108">
        <f>VLOOKUP(ROW(D398)+4,'Water runs'!$BS$3:$CF$423,MATCH($B$1,Scenarios,0)+1)</f>
        <v>0</v>
      </c>
      <c r="E398" s="54">
        <f>IF(B398=Variables!$D$8,C398-Variables!$E$8,IF(B398=Variables!$D$9,C398-Variables!$E$9,IF(B398=Variables!$D$10,C398-Variables!$E$10,IF(B398=Variables!$D$11,C398-Variables!$E$11,"ELSE"))))</f>
        <v>-0.24689649470899511</v>
      </c>
      <c r="F398" s="108">
        <f>VLOOKUP(ROW(F398)+4,'Water runs'!$CH$3:$CU$423,MATCH($B$1,Scenarios,0)+1)</f>
        <v>0</v>
      </c>
      <c r="G398" s="65">
        <f>H398/Variables!$E$49</f>
        <v>0.37184848724381148</v>
      </c>
      <c r="H398" s="62">
        <f>IF((H397+I398)&gt;(1.1*Variables!$E$50),(1.1*Variables!$E$50),IF((H397+I398)&gt;0,H397+I398,0))</f>
        <v>2.3054606209116311</v>
      </c>
      <c r="I398" s="64">
        <f t="shared" si="12"/>
        <v>0</v>
      </c>
      <c r="J398" s="63">
        <f>IF(SUM(E394:E397)&lt;Variables!$B$3,-H397,0)</f>
        <v>0</v>
      </c>
      <c r="K398" s="64">
        <f>IF(AND(H397&lt;Variables!$B$6*Variables!$E$50,OR(SUM(D395:D398)&gt;Variables!$B$5,SUM(E395:E398)&gt;Variables!$B$4)),Variables!$B$6*Variables!$E$50+Variables!$B$7*$G$1*Variables!$E$50*SUM(D395:D398),0)</f>
        <v>0</v>
      </c>
      <c r="L398" s="64">
        <f>IF(B398="Winter",Variables!$B$8*H397,0)</f>
        <v>0</v>
      </c>
      <c r="M398" s="64">
        <f>IF(AND(B398="Spring",AND(NOT(H397=0),H397&lt;(Variables!$B$9*Variables!$E$50))),(Variables!$B$10*Variables!$E$50+Variables!$B$11*Variables!$E$50*SUM(E395:E398)+$G$1*SUM(D397:D398)*Variables!$E$50*Variables!$B$12),0)</f>
        <v>0</v>
      </c>
      <c r="N398" s="64">
        <f>IF(AND(B398="Spring",AND(SUM(D395:D398)&gt;Variables!$B$13,SUM(D391:D394)&gt;Variables!$B$13)),-Variables!$B$14*Variables!$E$50,0)</f>
        <v>0</v>
      </c>
      <c r="O398" s="64">
        <f>IF(AND(B398="Summer",SUM(C394:D398)&gt;Variables!$B$15),(Variables!$B$16*Variables!$E$50*SUM(C394:C398)+$G$1*Variables!$B$16*Variables!$E$50*SUM(D394:D398)+$G$1*Variables!$E$50*Variables!$B$17*F398),0)</f>
        <v>0</v>
      </c>
      <c r="P398" s="64">
        <f>IF(AND(AND(B398="Autumn",SUM(D397:E398)&gt;0),NOT(H397=0)),Variables!$B$18*Variables!$E$50+Variables!$B$19*Variables!$E$50*SUM(E397:E398)+$G$1*Variables!$B$19*Variables!$E$50*SUM(D397:D398),0)</f>
        <v>0</v>
      </c>
      <c r="Q398" s="64">
        <f>IF(AND(B398="Autumn",AND((E398+E397)&lt;Variables!$B$20,(D397+D398)=0)),-Variables!$B$21*Variables!$E$50,0)</f>
        <v>0</v>
      </c>
      <c r="R398" s="64">
        <f>IF(B398="Autumn",(SUM(F397:F398)*$G$1*Variables!$B$22*Variables!$E$50),0)</f>
        <v>0</v>
      </c>
      <c r="S398" s="64">
        <f>IF(B398="Spring",($G$1*Variables!$E$50*SUM('Guts (option 2)'!F397:F398)*Variables!$B$23),0)</f>
        <v>0</v>
      </c>
      <c r="T398" s="63">
        <f>IF((H397+SUM(J398:Q398))&lt;(Variables!$B$26*Variables!$E$50),$F$1*((Variables!$B$26*Variables!$E$50)-H397-SUM(J398:Q398)),0)</f>
        <v>0</v>
      </c>
      <c r="U398" s="64">
        <f>IF(AND(AND(B398="Autumn",SUM(D395:E398)&gt;Variables!$B$27),SUM(J398:Q398)&lt;Variables!$B$28*H397),$F$1*(Variables!$B$28*H397-SUM(J398:Q398)),0)</f>
        <v>0</v>
      </c>
      <c r="V398" s="96">
        <f>IF(AND((J398+K398)=0,(Q398+T398)=0),$H$1*H398*Variables!$I$23*0.25,0)</f>
        <v>14.808857328020089</v>
      </c>
      <c r="W398" s="97">
        <f>IF(AND((K398+J398)=0,(T398+Q398)=0),$I$1*H398*Variables!$Q$23*0.25,0)</f>
        <v>15.500956606417759</v>
      </c>
      <c r="X398" s="95">
        <f>IF(AND(NOT(K398=0),(H398-H397)&gt;0),(H398-H397)*(Variables!$M$5*$H$1+Variables!$U$5*$I$1),0)+IF(AND(NOT((J398+N398+Q398)=0),(H397-H398)&gt;0),(H397-H398)*(Variables!$M$4*$H$1+Variables!$U$4*$I$1),0)</f>
        <v>0</v>
      </c>
      <c r="Y398" s="95">
        <f>IF(SUM(T398,U397:U398)&gt;0,H398*Variables!$Y$11*0.25*(1-$J$1),0)</f>
        <v>0</v>
      </c>
      <c r="Z398" s="95">
        <f>IF(T398=0,H398*$J$1*Variables!$Y$5*0.25,0)</f>
        <v>4.9951646786418671</v>
      </c>
      <c r="AA398" s="95">
        <f t="shared" si="11"/>
        <v>35.304978613079712</v>
      </c>
      <c r="AB398" s="91">
        <f>AA398/Variables!$E$49</f>
        <v>5.694351389206405</v>
      </c>
    </row>
    <row r="399" spans="1:28" x14ac:dyDescent="0.25">
      <c r="A399" s="61">
        <f>'Water runs'!C406</f>
        <v>38411</v>
      </c>
      <c r="B399" s="61" t="str">
        <f>'Water runs'!B406</f>
        <v>Summer</v>
      </c>
      <c r="C399" s="54">
        <f>'Water runs'!D406/100</f>
        <v>0.66964285714285698</v>
      </c>
      <c r="D399" s="108">
        <f>VLOOKUP(ROW(D399)+4,'Water runs'!$BS$3:$CF$423,MATCH($B$1,Scenarios,0)+1)</f>
        <v>8.6714859183366459E-3</v>
      </c>
      <c r="E399" s="54">
        <f>IF(B399=Variables!$D$8,C399-Variables!$E$8,IF(B399=Variables!$D$9,C399-Variables!$E$9,IF(B399=Variables!$D$10,C399-Variables!$E$10,IF(B399=Variables!$D$11,C399-Variables!$E$11,"ELSE"))))</f>
        <v>-0.58872727891156473</v>
      </c>
      <c r="F399" s="108">
        <f>VLOOKUP(ROW(F399)+4,'Water runs'!$CH$3:$CU$423,MATCH($B$1,Scenarios,0)+1)</f>
        <v>0</v>
      </c>
      <c r="G399" s="65">
        <f>H399/Variables!$E$49</f>
        <v>0.37184848724381148</v>
      </c>
      <c r="H399" s="62">
        <f>IF((H398+I399)&gt;(1.1*Variables!$E$50),(1.1*Variables!$E$50),IF((H398+I399)&gt;0,H398+I399,0))</f>
        <v>2.3054606209116311</v>
      </c>
      <c r="I399" s="64">
        <f t="shared" si="12"/>
        <v>0</v>
      </c>
      <c r="J399" s="63">
        <f>IF(SUM(E395:E398)&lt;Variables!$B$3,-H398,0)</f>
        <v>0</v>
      </c>
      <c r="K399" s="64">
        <f>IF(AND(H398&lt;Variables!$B$6*Variables!$E$50,OR(SUM(D396:D399)&gt;Variables!$B$5,SUM(E396:E399)&gt;Variables!$B$4)),Variables!$B$6*Variables!$E$50+Variables!$B$7*$G$1*Variables!$E$50*SUM(D396:D399),0)</f>
        <v>0</v>
      </c>
      <c r="L399" s="64">
        <f>IF(B399="Winter",Variables!$B$8*H398,0)</f>
        <v>0</v>
      </c>
      <c r="M399" s="64">
        <f>IF(AND(B399="Spring",AND(NOT(H398=0),H398&lt;(Variables!$B$9*Variables!$E$50))),(Variables!$B$10*Variables!$E$50+Variables!$B$11*Variables!$E$50*SUM(E396:E399)+$G$1*SUM(D398:D399)*Variables!$E$50*Variables!$B$12),0)</f>
        <v>0</v>
      </c>
      <c r="N399" s="64">
        <f>IF(AND(B399="Spring",AND(SUM(D396:D399)&gt;Variables!$B$13,SUM(D392:D395)&gt;Variables!$B$13)),-Variables!$B$14*Variables!$E$50,0)</f>
        <v>0</v>
      </c>
      <c r="O399" s="64">
        <f>IF(AND(B399="Summer",SUM(C395:D399)&gt;Variables!$B$15),(Variables!$B$16*Variables!$E$50*SUM(C395:C399)+$G$1*Variables!$B$16*Variables!$E$50*SUM(D395:D399)+$G$1*Variables!$E$50*Variables!$B$17*F399),0)</f>
        <v>0</v>
      </c>
      <c r="P399" s="64">
        <f>IF(AND(AND(B399="Autumn",SUM(D398:E399)&gt;0),NOT(H398=0)),Variables!$B$18*Variables!$E$50+Variables!$B$19*Variables!$E$50*SUM(E398:E399)+$G$1*Variables!$B$19*Variables!$E$50*SUM(D398:D399),0)</f>
        <v>0</v>
      </c>
      <c r="Q399" s="64">
        <f>IF(AND(B399="Autumn",AND((E399+E398)&lt;Variables!$B$20,(D398+D399)=0)),-Variables!$B$21*Variables!$E$50,0)</f>
        <v>0</v>
      </c>
      <c r="R399" s="64">
        <f>IF(B399="Autumn",(SUM(F398:F399)*$G$1*Variables!$B$22*Variables!$E$50),0)</f>
        <v>0</v>
      </c>
      <c r="S399" s="64">
        <f>IF(B399="Spring",($G$1*Variables!$E$50*SUM('Guts (option 2)'!F398:F399)*Variables!$B$23),0)</f>
        <v>0</v>
      </c>
      <c r="T399" s="63">
        <f>IF((H398+SUM(J399:Q399))&lt;(Variables!$B$26*Variables!$E$50),$F$1*((Variables!$B$26*Variables!$E$50)-H398-SUM(J399:Q399)),0)</f>
        <v>0</v>
      </c>
      <c r="U399" s="64">
        <f>IF(AND(AND(B399="Autumn",SUM(D396:E399)&gt;Variables!$B$27),SUM(J399:Q399)&lt;Variables!$B$28*H398),$F$1*(Variables!$B$28*H398-SUM(J399:Q399)),0)</f>
        <v>0</v>
      </c>
      <c r="V399" s="96">
        <f>IF(AND((J399+K399)=0,(Q399+T399)=0),$H$1*H399*Variables!$I$23*0.25,0)</f>
        <v>14.808857328020089</v>
      </c>
      <c r="W399" s="97">
        <f>IF(AND((K399+J399)=0,(T399+Q399)=0),$I$1*H399*Variables!$Q$23*0.25,0)</f>
        <v>15.500956606417759</v>
      </c>
      <c r="X399" s="95">
        <f>IF(AND(NOT(K399=0),(H399-H398)&gt;0),(H399-H398)*(Variables!$M$5*$H$1+Variables!$U$5*$I$1),0)+IF(AND(NOT((J399+N399+Q399)=0),(H398-H399)&gt;0),(H398-H399)*(Variables!$M$4*$H$1+Variables!$U$4*$I$1),0)</f>
        <v>0</v>
      </c>
      <c r="Y399" s="95">
        <f>IF(SUM(T399,U398:U399)&gt;0,H399*Variables!$Y$11*0.25*(1-$J$1),0)</f>
        <v>0</v>
      </c>
      <c r="Z399" s="95">
        <f>IF(T399=0,H399*$J$1*Variables!$Y$5*0.25,0)</f>
        <v>4.9951646786418671</v>
      </c>
      <c r="AA399" s="95">
        <f t="shared" si="11"/>
        <v>35.304978613079712</v>
      </c>
      <c r="AB399" s="91">
        <f>AA399/Variables!$E$49</f>
        <v>5.694351389206405</v>
      </c>
    </row>
    <row r="400" spans="1:28" x14ac:dyDescent="0.25">
      <c r="A400" s="61">
        <f>'Water runs'!C407</f>
        <v>38503</v>
      </c>
      <c r="B400" s="61" t="str">
        <f>'Water runs'!B407</f>
        <v>Autumn</v>
      </c>
      <c r="C400" s="54">
        <f>'Water runs'!D407/100</f>
        <v>0.24485714285714302</v>
      </c>
      <c r="D400" s="108">
        <f>VLOOKUP(ROW(D400)+4,'Water runs'!$BS$3:$CF$423,MATCH($B$1,Scenarios,0)+1)</f>
        <v>0</v>
      </c>
      <c r="E400" s="54">
        <f>IF(B400=Variables!$D$8,C400-Variables!$E$8,IF(B400=Variables!$D$9,C400-Variables!$E$9,IF(B400=Variables!$D$10,C400-Variables!$E$10,IF(B400=Variables!$D$11,C400-Variables!$E$11,"ELSE"))))</f>
        <v>-0.74978615646258484</v>
      </c>
      <c r="F400" s="108">
        <f>VLOOKUP(ROW(F400)+4,'Water runs'!$CH$3:$CU$423,MATCH($B$1,Scenarios,0)+1)</f>
        <v>0</v>
      </c>
      <c r="G400" s="65">
        <f>H400/Variables!$E$49</f>
        <v>0.37184848724381148</v>
      </c>
      <c r="H400" s="62">
        <f>IF((H399+I400)&gt;(1.1*Variables!$E$50),(1.1*Variables!$E$50),IF((H399+I400)&gt;0,H399+I400,0))</f>
        <v>2.3054606209116311</v>
      </c>
      <c r="I400" s="64">
        <f t="shared" si="12"/>
        <v>0</v>
      </c>
      <c r="J400" s="63">
        <f>IF(SUM(E396:E399)&lt;Variables!$B$3,-H399,0)</f>
        <v>0</v>
      </c>
      <c r="K400" s="64">
        <f>IF(AND(H399&lt;Variables!$B$6*Variables!$E$50,OR(SUM(D397:D400)&gt;Variables!$B$5,SUM(E397:E400)&gt;Variables!$B$4)),Variables!$B$6*Variables!$E$50+Variables!$B$7*$G$1*Variables!$E$50*SUM(D397:D400),0)</f>
        <v>0</v>
      </c>
      <c r="L400" s="64">
        <f>IF(B400="Winter",Variables!$B$8*H399,0)</f>
        <v>0</v>
      </c>
      <c r="M400" s="64">
        <f>IF(AND(B400="Spring",AND(NOT(H399=0),H399&lt;(Variables!$B$9*Variables!$E$50))),(Variables!$B$10*Variables!$E$50+Variables!$B$11*Variables!$E$50*SUM(E397:E400)+$G$1*SUM(D399:D400)*Variables!$E$50*Variables!$B$12),0)</f>
        <v>0</v>
      </c>
      <c r="N400" s="64">
        <f>IF(AND(B400="Spring",AND(SUM(D397:D400)&gt;Variables!$B$13,SUM(D393:D396)&gt;Variables!$B$13)),-Variables!$B$14*Variables!$E$50,0)</f>
        <v>0</v>
      </c>
      <c r="O400" s="64">
        <f>IF(AND(B400="Summer",SUM(C396:D400)&gt;Variables!$B$15),(Variables!$B$16*Variables!$E$50*SUM(C396:C400)+$G$1*Variables!$B$16*Variables!$E$50*SUM(D396:D400)+$G$1*Variables!$E$50*Variables!$B$17*F400),0)</f>
        <v>0</v>
      </c>
      <c r="P400" s="64">
        <f>IF(AND(AND(B400="Autumn",SUM(D399:E400)&gt;0),NOT(H399=0)),Variables!$B$18*Variables!$E$50+Variables!$B$19*Variables!$E$50*SUM(E399:E400)+$G$1*Variables!$B$19*Variables!$E$50*SUM(D399:D400),0)</f>
        <v>0</v>
      </c>
      <c r="Q400" s="64">
        <f>IF(AND(B400="Autumn",AND((E400+E399)&lt;Variables!$B$20,(D399+D400)=0)),-Variables!$B$21*Variables!$E$50,0)</f>
        <v>0</v>
      </c>
      <c r="R400" s="64">
        <f>IF(B400="Autumn",(SUM(F399:F400)*$G$1*Variables!$B$22*Variables!$E$50),0)</f>
        <v>0</v>
      </c>
      <c r="S400" s="64">
        <f>IF(B400="Spring",($G$1*Variables!$E$50*SUM('Guts (option 2)'!F399:F400)*Variables!$B$23),0)</f>
        <v>0</v>
      </c>
      <c r="T400" s="63">
        <f>IF((H399+SUM(J400:Q400))&lt;(Variables!$B$26*Variables!$E$50),$F$1*((Variables!$B$26*Variables!$E$50)-H399-SUM(J400:Q400)),0)</f>
        <v>0</v>
      </c>
      <c r="U400" s="64">
        <f>IF(AND(AND(B400="Autumn",SUM(D397:E400)&gt;Variables!$B$27),SUM(J400:Q400)&lt;Variables!$B$28*H399),$F$1*(Variables!$B$28*H399-SUM(J400:Q400)),0)</f>
        <v>0</v>
      </c>
      <c r="V400" s="96">
        <f>IF(AND((J400+K400)=0,(Q400+T400)=0),$H$1*H400*Variables!$I$23*0.25,0)</f>
        <v>14.808857328020089</v>
      </c>
      <c r="W400" s="97">
        <f>IF(AND((K400+J400)=0,(T400+Q400)=0),$I$1*H400*Variables!$Q$23*0.25,0)</f>
        <v>15.500956606417759</v>
      </c>
      <c r="X400" s="95">
        <f>IF(AND(NOT(K400=0),(H400-H399)&gt;0),(H400-H399)*(Variables!$M$5*$H$1+Variables!$U$5*$I$1),0)+IF(AND(NOT((J400+N400+Q400)=0),(H399-H400)&gt;0),(H399-H400)*(Variables!$M$4*$H$1+Variables!$U$4*$I$1),0)</f>
        <v>0</v>
      </c>
      <c r="Y400" s="95">
        <f>IF(SUM(T400,U399:U400)&gt;0,H400*Variables!$Y$11*0.25*(1-$J$1),0)</f>
        <v>0</v>
      </c>
      <c r="Z400" s="95">
        <f>IF(T400=0,H400*$J$1*Variables!$Y$5*0.25,0)</f>
        <v>4.9951646786418671</v>
      </c>
      <c r="AA400" s="95">
        <f t="shared" ref="AA400:AA417" si="13">SUM(V400:Z400)</f>
        <v>35.304978613079712</v>
      </c>
      <c r="AB400" s="91">
        <f>AA400/Variables!$E$49</f>
        <v>5.694351389206405</v>
      </c>
    </row>
    <row r="401" spans="1:28" x14ac:dyDescent="0.25">
      <c r="A401" s="61">
        <f>'Water runs'!C408</f>
        <v>38595</v>
      </c>
      <c r="B401" s="61" t="str">
        <f>'Water runs'!B408</f>
        <v>Winter</v>
      </c>
      <c r="C401" s="54">
        <f>'Water runs'!D408/100</f>
        <v>0.817533333333333</v>
      </c>
      <c r="D401" s="108">
        <f>VLOOKUP(ROW(D401)+4,'Water runs'!$BS$3:$CF$423,MATCH($B$1,Scenarios,0)+1)</f>
        <v>1.0013539299598572E-2</v>
      </c>
      <c r="E401" s="54">
        <f>IF(B401=Variables!$D$8,C401-Variables!$E$8,IF(B401=Variables!$D$9,C401-Variables!$E$9,IF(B401=Variables!$D$10,C401-Variables!$E$10,IF(B401=Variables!$D$11,C401-Variables!$E$11,"ELSE"))))</f>
        <v>0.24576570767195727</v>
      </c>
      <c r="F401" s="108">
        <f>VLOOKUP(ROW(F401)+4,'Water runs'!$CH$3:$CU$423,MATCH($B$1,Scenarios,0)+1)</f>
        <v>0</v>
      </c>
      <c r="G401" s="65">
        <f>H401/Variables!$E$49</f>
        <v>0.16100000000000003</v>
      </c>
      <c r="H401" s="62">
        <f>IF((H400+I401)&gt;(1.1*Variables!$E$50),(1.1*Variables!$E$50),IF((H400+I401)&gt;0,H400+I401,0))</f>
        <v>0.9982000000000002</v>
      </c>
      <c r="I401" s="64">
        <f t="shared" si="12"/>
        <v>-1.3072606209116309</v>
      </c>
      <c r="J401" s="63">
        <f>IF(SUM(E397:E400)&lt;Variables!$B$3,-H400,0)</f>
        <v>-2.3054606209116311</v>
      </c>
      <c r="K401" s="64">
        <f>IF(AND(H400&lt;Variables!$B$6*Variables!$E$50,OR(SUM(D398:D401)&gt;Variables!$B$5,SUM(E398:E401)&gt;Variables!$B$4)),Variables!$B$6*Variables!$E$50+Variables!$B$7*$G$1*Variables!$E$50*SUM(D398:D401),0)</f>
        <v>0</v>
      </c>
      <c r="L401" s="64">
        <f>IF(B401="Winter",Variables!$B$8*H400,0)</f>
        <v>-1.1479931567958639</v>
      </c>
      <c r="M401" s="64">
        <f>IF(AND(B401="Spring",AND(NOT(H400=0),H400&lt;(Variables!$B$9*Variables!$E$50))),(Variables!$B$10*Variables!$E$50+Variables!$B$11*Variables!$E$50*SUM(E398:E401)+$G$1*SUM(D400:D401)*Variables!$E$50*Variables!$B$12),0)</f>
        <v>0</v>
      </c>
      <c r="N401" s="64">
        <f>IF(AND(B401="Spring",AND(SUM(D398:D401)&gt;Variables!$B$13,SUM(D394:D397)&gt;Variables!$B$13)),-Variables!$B$14*Variables!$E$50,0)</f>
        <v>0</v>
      </c>
      <c r="O401" s="64">
        <f>IF(AND(B401="Summer",SUM(C397:D401)&gt;Variables!$B$15),(Variables!$B$16*Variables!$E$50*SUM(C397:C401)+$G$1*Variables!$B$16*Variables!$E$50*SUM(D397:D401)+$G$1*Variables!$E$50*Variables!$B$17*F401),0)</f>
        <v>0</v>
      </c>
      <c r="P401" s="64">
        <f>IF(AND(AND(B401="Autumn",SUM(D400:E401)&gt;0),NOT(H400=0)),Variables!$B$18*Variables!$E$50+Variables!$B$19*Variables!$E$50*SUM(E400:E401)+$G$1*Variables!$B$19*Variables!$E$50*SUM(D400:D401),0)</f>
        <v>0</v>
      </c>
      <c r="Q401" s="64">
        <f>IF(AND(B401="Autumn",AND((E401+E400)&lt;Variables!$B$20,(D400+D401)=0)),-Variables!$B$21*Variables!$E$50,0)</f>
        <v>0</v>
      </c>
      <c r="R401" s="64">
        <f>IF(B401="Autumn",(SUM(F400:F401)*$G$1*Variables!$B$22*Variables!$E$50),0)</f>
        <v>0</v>
      </c>
      <c r="S401" s="64">
        <f>IF(B401="Spring",($G$1*Variables!$E$50*SUM('Guts (option 2)'!F400:F401)*Variables!$B$23),0)</f>
        <v>0</v>
      </c>
      <c r="T401" s="63">
        <f>IF((H400+SUM(J401:Q401))&lt;(Variables!$B$26*Variables!$E$50),$F$1*((Variables!$B$26*Variables!$E$50)-H400-SUM(J401:Q401)),0)</f>
        <v>2.1461931567958641</v>
      </c>
      <c r="U401" s="64">
        <f>IF(AND(AND(B401="Autumn",SUM(D398:E401)&gt;Variables!$B$27),SUM(J401:Q401)&lt;Variables!$B$28*H400),$F$1*(Variables!$B$28*H400-SUM(J401:Q401)),0)</f>
        <v>0</v>
      </c>
      <c r="V401" s="96">
        <f>IF(AND((J401+K401)=0,(Q401+T401)=0),$H$1*H401*Variables!$I$23*0.25,0)</f>
        <v>0</v>
      </c>
      <c r="W401" s="97">
        <f>IF(AND((K401+J401)=0,(T401+Q401)=0),$I$1*H401*Variables!$Q$23*0.25,0)</f>
        <v>0</v>
      </c>
      <c r="X401" s="95">
        <f>IF(AND(NOT(K401=0),(H401-H400)&gt;0),(H401-H400)*(Variables!$M$5*$H$1+Variables!$U$5*$I$1),0)+IF(AND(NOT((J401+N401+Q401)=0),(H400-H401)&gt;0),(H400-H401)*(Variables!$M$4*$H$1+Variables!$U$4*$I$1),0)</f>
        <v>54.469192537984618</v>
      </c>
      <c r="Y401" s="95">
        <f>IF(SUM(T401,U400:U401)&gt;0,H401*Variables!$Y$11*0.25*(1-$J$1),0)</f>
        <v>-6.9874000000000018</v>
      </c>
      <c r="Z401" s="95">
        <f>IF(T401=0,H401*$J$1*Variables!$Y$5*0.25,0)</f>
        <v>0</v>
      </c>
      <c r="AA401" s="95">
        <f t="shared" si="13"/>
        <v>47.481792537984617</v>
      </c>
      <c r="AB401" s="91">
        <f>AA401/Variables!$E$49</f>
        <v>7.6583536351588091</v>
      </c>
    </row>
    <row r="402" spans="1:28" x14ac:dyDescent="0.25">
      <c r="A402" s="61">
        <f>'Water runs'!C409</f>
        <v>38686</v>
      </c>
      <c r="B402" s="61" t="str">
        <f>'Water runs'!B409</f>
        <v>Spring</v>
      </c>
      <c r="C402" s="54">
        <f>'Water runs'!D409/100</f>
        <v>0.83304761904761904</v>
      </c>
      <c r="D402" s="108">
        <f>VLOOKUP(ROW(D402)+4,'Water runs'!$BS$3:$CF$423,MATCH($B$1,Scenarios,0)+1)</f>
        <v>0</v>
      </c>
      <c r="E402" s="54">
        <f>IF(B402=Variables!$D$8,C402-Variables!$E$8,IF(B402=Variables!$D$9,C402-Variables!$E$9,IF(B402=Variables!$D$10,C402-Variables!$E$10,IF(B402=Variables!$D$11,C402-Variables!$E$11,"ELSE"))))</f>
        <v>6.9065410052909892E-2</v>
      </c>
      <c r="F402" s="108">
        <f>VLOOKUP(ROW(F402)+4,'Water runs'!$CH$3:$CU$423,MATCH($B$1,Scenarios,0)+1)</f>
        <v>0</v>
      </c>
      <c r="G402" s="65">
        <f>H402/Variables!$E$49</f>
        <v>0.161</v>
      </c>
      <c r="H402" s="62">
        <f>IF((H401+I402)&gt;(1.1*Variables!$E$50),(1.1*Variables!$E$50),IF((H401+I402)&gt;0,H401+I402,0))</f>
        <v>0.99820000000000009</v>
      </c>
      <c r="I402" s="64">
        <f t="shared" si="12"/>
        <v>-1.1102230246251565E-16</v>
      </c>
      <c r="J402" s="63">
        <f>IF(SUM(E398:E401)&lt;Variables!$B$3,-H401,0)</f>
        <v>0</v>
      </c>
      <c r="K402" s="64">
        <f>IF(AND(H401&lt;Variables!$B$6*Variables!$E$50,OR(SUM(D399:D402)&gt;Variables!$B$5,SUM(E399:E402)&gt;Variables!$B$4)),Variables!$B$6*Variables!$E$50+Variables!$B$7*$G$1*Variables!$E$50*SUM(D399:D402),0)</f>
        <v>0</v>
      </c>
      <c r="L402" s="64">
        <f>IF(B402="Winter",Variables!$B$8*H401,0)</f>
        <v>0</v>
      </c>
      <c r="M402" s="64">
        <f>IF(AND(B402="Spring",AND(NOT(H401=0),H401&lt;(Variables!$B$9*Variables!$E$50))),(Variables!$B$10*Variables!$E$50+Variables!$B$11*Variables!$E$50*SUM(E399:E402)+$G$1*SUM(D401:D402)*Variables!$E$50*Variables!$B$12),0)</f>
        <v>-0.69348381298969142</v>
      </c>
      <c r="N402" s="64">
        <f>IF(AND(B402="Spring",AND(SUM(D399:D402)&gt;Variables!$B$13,SUM(D395:D398)&gt;Variables!$B$13)),-Variables!$B$14*Variables!$E$50,0)</f>
        <v>0</v>
      </c>
      <c r="O402" s="64">
        <f>IF(AND(B402="Summer",SUM(C398:D402)&gt;Variables!$B$15),(Variables!$B$16*Variables!$E$50*SUM(C398:C402)+$G$1*Variables!$B$16*Variables!$E$50*SUM(D398:D402)+$G$1*Variables!$E$50*Variables!$B$17*F402),0)</f>
        <v>0</v>
      </c>
      <c r="P402" s="64">
        <f>IF(AND(AND(B402="Autumn",SUM(D401:E402)&gt;0),NOT(H401=0)),Variables!$B$18*Variables!$E$50+Variables!$B$19*Variables!$E$50*SUM(E401:E402)+$G$1*Variables!$B$19*Variables!$E$50*SUM(D401:D402),0)</f>
        <v>0</v>
      </c>
      <c r="Q402" s="64">
        <f>IF(AND(B402="Autumn",AND((E402+E401)&lt;Variables!$B$20,(D401+D402)=0)),-Variables!$B$21*Variables!$E$50,0)</f>
        <v>0</v>
      </c>
      <c r="R402" s="64">
        <f>IF(B402="Autumn",(SUM(F401:F402)*$G$1*Variables!$B$22*Variables!$E$50),0)</f>
        <v>0</v>
      </c>
      <c r="S402" s="64">
        <f>IF(B402="Spring",($G$1*Variables!$E$50*SUM('Guts (option 2)'!F401:F402)*Variables!$B$23),0)</f>
        <v>0</v>
      </c>
      <c r="T402" s="63">
        <f>IF((H401+SUM(J402:Q402))&lt;(Variables!$B$26*Variables!$E$50),$F$1*((Variables!$B$26*Variables!$E$50)-H401-SUM(J402:Q402)),0)</f>
        <v>0.69348381298969131</v>
      </c>
      <c r="U402" s="64">
        <f>IF(AND(AND(B402="Autumn",SUM(D399:E402)&gt;Variables!$B$27),SUM(J402:Q402)&lt;Variables!$B$28*H401),$F$1*(Variables!$B$28*H401-SUM(J402:Q402)),0)</f>
        <v>0</v>
      </c>
      <c r="V402" s="96">
        <f>IF(AND((J402+K402)=0,(Q402+T402)=0),$H$1*H402*Variables!$I$23*0.25,0)</f>
        <v>0</v>
      </c>
      <c r="W402" s="97">
        <f>IF(AND((K402+J402)=0,(T402+Q402)=0),$I$1*H402*Variables!$Q$23*0.25,0)</f>
        <v>0</v>
      </c>
      <c r="X402" s="95">
        <f>IF(AND(NOT(K402=0),(H402-H401)&gt;0),(H402-H401)*(Variables!$M$5*$H$1+Variables!$U$5*$I$1),0)+IF(AND(NOT((J402+N402+Q402)=0),(H401-H402)&gt;0),(H401-H402)*(Variables!$M$4*$H$1+Variables!$U$4*$I$1),0)</f>
        <v>0</v>
      </c>
      <c r="Y402" s="95">
        <f>IF(SUM(T402,U401:U402)&gt;0,H402*Variables!$Y$11*0.25*(1-$J$1),0)</f>
        <v>-6.9874000000000018</v>
      </c>
      <c r="Z402" s="95">
        <f>IF(T402=0,H402*$J$1*Variables!$Y$5*0.25,0)</f>
        <v>0</v>
      </c>
      <c r="AA402" s="95">
        <f t="shared" si="13"/>
        <v>-6.9874000000000018</v>
      </c>
      <c r="AB402" s="91">
        <f>AA402/Variables!$E$49</f>
        <v>-1.1270000000000002</v>
      </c>
    </row>
    <row r="403" spans="1:28" x14ac:dyDescent="0.25">
      <c r="A403" s="61">
        <f>'Water runs'!C410</f>
        <v>38776</v>
      </c>
      <c r="B403" s="61" t="str">
        <f>'Water runs'!B410</f>
        <v>Summer</v>
      </c>
      <c r="C403" s="54">
        <f>'Water runs'!D410/100</f>
        <v>1.0407142857142899</v>
      </c>
      <c r="D403" s="108">
        <f>VLOOKUP(ROW(D403)+4,'Water runs'!$BS$3:$CF$423,MATCH($B$1,Scenarios,0)+1)</f>
        <v>2.5989912825913113E-2</v>
      </c>
      <c r="E403" s="54">
        <f>IF(B403=Variables!$D$8,C403-Variables!$E$8,IF(B403=Variables!$D$9,C403-Variables!$E$9,IF(B403=Variables!$D$10,C403-Variables!$E$10,IF(B403=Variables!$D$11,C403-Variables!$E$11,"ELSE"))))</f>
        <v>-0.2176558503401318</v>
      </c>
      <c r="F403" s="108">
        <f>VLOOKUP(ROW(F403)+4,'Water runs'!$CH$3:$CU$423,MATCH($B$1,Scenarios,0)+1)</f>
        <v>0</v>
      </c>
      <c r="G403" s="65">
        <f>H403/Variables!$E$49</f>
        <v>0.161</v>
      </c>
      <c r="H403" s="62">
        <f>IF((H402+I403)&gt;(1.1*Variables!$E$50),(1.1*Variables!$E$50),IF((H402+I403)&gt;0,H402+I403,0))</f>
        <v>0.99820000000000009</v>
      </c>
      <c r="I403" s="64">
        <f t="shared" si="12"/>
        <v>0</v>
      </c>
      <c r="J403" s="63">
        <f>IF(SUM(E399:E402)&lt;Variables!$B$3,-H402,0)</f>
        <v>0</v>
      </c>
      <c r="K403" s="64">
        <f>IF(AND(H402&lt;Variables!$B$6*Variables!$E$50,OR(SUM(D400:D403)&gt;Variables!$B$5,SUM(E400:E403)&gt;Variables!$B$4)),Variables!$B$6*Variables!$E$50+Variables!$B$7*$G$1*Variables!$E$50*SUM(D400:D403),0)</f>
        <v>0</v>
      </c>
      <c r="L403" s="64">
        <f>IF(B403="Winter",Variables!$B$8*H402,0)</f>
        <v>0</v>
      </c>
      <c r="M403" s="64">
        <f>IF(AND(B403="Spring",AND(NOT(H402=0),H402&lt;(Variables!$B$9*Variables!$E$50))),(Variables!$B$10*Variables!$E$50+Variables!$B$11*Variables!$E$50*SUM(E400:E403)+$G$1*SUM(D402:D403)*Variables!$E$50*Variables!$B$12),0)</f>
        <v>0</v>
      </c>
      <c r="N403" s="64">
        <f>IF(AND(B403="Spring",AND(SUM(D400:D403)&gt;Variables!$B$13,SUM(D396:D399)&gt;Variables!$B$13)),-Variables!$B$14*Variables!$E$50,0)</f>
        <v>0</v>
      </c>
      <c r="O403" s="64">
        <f>IF(AND(B403="Summer",SUM(C399:D403)&gt;Variables!$B$15),(Variables!$B$16*Variables!$E$50*SUM(C399:C403)+$G$1*Variables!$B$16*Variables!$E$50*SUM(D399:D403)+$G$1*Variables!$E$50*Variables!$B$17*F403),0)</f>
        <v>0</v>
      </c>
      <c r="P403" s="64">
        <f>IF(AND(AND(B403="Autumn",SUM(D402:E403)&gt;0),NOT(H402=0)),Variables!$B$18*Variables!$E$50+Variables!$B$19*Variables!$E$50*SUM(E402:E403)+$G$1*Variables!$B$19*Variables!$E$50*SUM(D402:D403),0)</f>
        <v>0</v>
      </c>
      <c r="Q403" s="64">
        <f>IF(AND(B403="Autumn",AND((E403+E402)&lt;Variables!$B$20,(D402+D403)=0)),-Variables!$B$21*Variables!$E$50,0)</f>
        <v>0</v>
      </c>
      <c r="R403" s="64">
        <f>IF(B403="Autumn",(SUM(F402:F403)*$G$1*Variables!$B$22*Variables!$E$50),0)</f>
        <v>0</v>
      </c>
      <c r="S403" s="64">
        <f>IF(B403="Spring",($G$1*Variables!$E$50*SUM('Guts (option 2)'!F402:F403)*Variables!$B$23),0)</f>
        <v>0</v>
      </c>
      <c r="T403" s="63">
        <f>IF((H402+SUM(J403:Q403))&lt;(Variables!$B$26*Variables!$E$50),$F$1*((Variables!$B$26*Variables!$E$50)-H402-SUM(J403:Q403)),0)</f>
        <v>0</v>
      </c>
      <c r="U403" s="64">
        <f>IF(AND(AND(B403="Autumn",SUM(D400:E403)&gt;Variables!$B$27),SUM(J403:Q403)&lt;Variables!$B$28*H402),$F$1*(Variables!$B$28*H402-SUM(J403:Q403)),0)</f>
        <v>0</v>
      </c>
      <c r="V403" s="96">
        <f>IF(AND((J403+K403)=0,(Q403+T403)=0),$H$1*H403*Variables!$I$23*0.25,0)</f>
        <v>6.4118212433333337</v>
      </c>
      <c r="W403" s="97">
        <f>IF(AND((K403+J403)=0,(T403+Q403)=0),$I$1*H403*Variables!$Q$23*0.25,0)</f>
        <v>6.7114808833333326</v>
      </c>
      <c r="X403" s="95">
        <f>IF(AND(NOT(K403=0),(H403-H402)&gt;0),(H403-H402)*(Variables!$M$5*$H$1+Variables!$U$5*$I$1),0)+IF(AND(NOT((J403+N403+Q403)=0),(H402-H403)&gt;0),(H402-H403)*(Variables!$M$4*$H$1+Variables!$U$4*$I$1),0)</f>
        <v>0</v>
      </c>
      <c r="Y403" s="95">
        <f>IF(SUM(T403,U402:U403)&gt;0,H403*Variables!$Y$11*0.25*(1-$J$1),0)</f>
        <v>0</v>
      </c>
      <c r="Z403" s="95">
        <f>IF(T403=0,H403*$J$1*Variables!$Y$5*0.25,0)</f>
        <v>2.1627666666666667</v>
      </c>
      <c r="AA403" s="95">
        <f t="shared" si="13"/>
        <v>15.286068793333332</v>
      </c>
      <c r="AB403" s="91">
        <f>AA403/Variables!$E$49</f>
        <v>2.4654949666666663</v>
      </c>
    </row>
    <row r="404" spans="1:28" x14ac:dyDescent="0.25">
      <c r="A404" s="61">
        <f>'Water runs'!C411</f>
        <v>38868</v>
      </c>
      <c r="B404" s="61" t="str">
        <f>'Water runs'!B411</f>
        <v>Autumn</v>
      </c>
      <c r="C404" s="54">
        <f>'Water runs'!D411/100</f>
        <v>0.213142857142857</v>
      </c>
      <c r="D404" s="108">
        <f>VLOOKUP(ROW(D404)+4,'Water runs'!$BS$3:$CF$423,MATCH($B$1,Scenarios,0)+1)</f>
        <v>0</v>
      </c>
      <c r="E404" s="54">
        <f>IF(B404=Variables!$D$8,C404-Variables!$E$8,IF(B404=Variables!$D$9,C404-Variables!$E$9,IF(B404=Variables!$D$10,C404-Variables!$E$10,IF(B404=Variables!$D$11,C404-Variables!$E$11,"ELSE"))))</f>
        <v>-0.78150044217687087</v>
      </c>
      <c r="F404" s="108">
        <f>VLOOKUP(ROW(F404)+4,'Water runs'!$CH$3:$CU$423,MATCH($B$1,Scenarios,0)+1)</f>
        <v>0</v>
      </c>
      <c r="G404" s="65">
        <f>H404/Variables!$E$49</f>
        <v>0.161</v>
      </c>
      <c r="H404" s="62">
        <f>IF((H403+I404)&gt;(1.1*Variables!$E$50),(1.1*Variables!$E$50),IF((H403+I404)&gt;0,H403+I404,0))</f>
        <v>0.99820000000000009</v>
      </c>
      <c r="I404" s="64">
        <f t="shared" si="12"/>
        <v>0</v>
      </c>
      <c r="J404" s="63">
        <f>IF(SUM(E400:E403)&lt;Variables!$B$3,-H403,0)</f>
        <v>0</v>
      </c>
      <c r="K404" s="64">
        <f>IF(AND(H403&lt;Variables!$B$6*Variables!$E$50,OR(SUM(D401:D404)&gt;Variables!$B$5,SUM(E401:E404)&gt;Variables!$B$4)),Variables!$B$6*Variables!$E$50+Variables!$B$7*$G$1*Variables!$E$50*SUM(D401:D404),0)</f>
        <v>0</v>
      </c>
      <c r="L404" s="64">
        <f>IF(B404="Winter",Variables!$B$8*H403,0)</f>
        <v>0</v>
      </c>
      <c r="M404" s="64">
        <f>IF(AND(B404="Spring",AND(NOT(H403=0),H403&lt;(Variables!$B$9*Variables!$E$50))),(Variables!$B$10*Variables!$E$50+Variables!$B$11*Variables!$E$50*SUM(E401:E404)+$G$1*SUM(D403:D404)*Variables!$E$50*Variables!$B$12),0)</f>
        <v>0</v>
      </c>
      <c r="N404" s="64">
        <f>IF(AND(B404="Spring",AND(SUM(D401:D404)&gt;Variables!$B$13,SUM(D397:D400)&gt;Variables!$B$13)),-Variables!$B$14*Variables!$E$50,0)</f>
        <v>0</v>
      </c>
      <c r="O404" s="64">
        <f>IF(AND(B404="Summer",SUM(C400:D404)&gt;Variables!$B$15),(Variables!$B$16*Variables!$E$50*SUM(C400:C404)+$G$1*Variables!$B$16*Variables!$E$50*SUM(D400:D404)+$G$1*Variables!$E$50*Variables!$B$17*F404),0)</f>
        <v>0</v>
      </c>
      <c r="P404" s="64">
        <f>IF(AND(AND(B404="Autumn",SUM(D403:E404)&gt;0),NOT(H403=0)),Variables!$B$18*Variables!$E$50+Variables!$B$19*Variables!$E$50*SUM(E403:E404)+$G$1*Variables!$B$19*Variables!$E$50*SUM(D403:D404),0)</f>
        <v>0</v>
      </c>
      <c r="Q404" s="64">
        <f>IF(AND(B404="Autumn",AND((E404+E403)&lt;Variables!$B$20,(D403+D404)=0)),-Variables!$B$21*Variables!$E$50,0)</f>
        <v>0</v>
      </c>
      <c r="R404" s="64">
        <f>IF(B404="Autumn",(SUM(F403:F404)*$G$1*Variables!$B$22*Variables!$E$50),0)</f>
        <v>0</v>
      </c>
      <c r="S404" s="64">
        <f>IF(B404="Spring",($G$1*Variables!$E$50*SUM('Guts (option 2)'!F403:F404)*Variables!$B$23),0)</f>
        <v>0</v>
      </c>
      <c r="T404" s="63">
        <f>IF((H403+SUM(J404:Q404))&lt;(Variables!$B$26*Variables!$E$50),$F$1*((Variables!$B$26*Variables!$E$50)-H403-SUM(J404:Q404)),0)</f>
        <v>0</v>
      </c>
      <c r="U404" s="64">
        <f>IF(AND(AND(B404="Autumn",SUM(D401:E404)&gt;Variables!$B$27),SUM(J404:Q404)&lt;Variables!$B$28*H403),$F$1*(Variables!$B$28*H403-SUM(J404:Q404)),0)</f>
        <v>0</v>
      </c>
      <c r="V404" s="96">
        <f>IF(AND((J404+K404)=0,(Q404+T404)=0),$H$1*H404*Variables!$I$23*0.25,0)</f>
        <v>6.4118212433333337</v>
      </c>
      <c r="W404" s="97">
        <f>IF(AND((K404+J404)=0,(T404+Q404)=0),$I$1*H404*Variables!$Q$23*0.25,0)</f>
        <v>6.7114808833333326</v>
      </c>
      <c r="X404" s="95">
        <f>IF(AND(NOT(K404=0),(H404-H403)&gt;0),(H404-H403)*(Variables!$M$5*$H$1+Variables!$U$5*$I$1),0)+IF(AND(NOT((J404+N404+Q404)=0),(H403-H404)&gt;0),(H403-H404)*(Variables!$M$4*$H$1+Variables!$U$4*$I$1),0)</f>
        <v>0</v>
      </c>
      <c r="Y404" s="95">
        <f>IF(SUM(T404,U403:U404)&gt;0,H404*Variables!$Y$11*0.25*(1-$J$1),0)</f>
        <v>0</v>
      </c>
      <c r="Z404" s="95">
        <f>IF(T404=0,H404*$J$1*Variables!$Y$5*0.25,0)</f>
        <v>2.1627666666666667</v>
      </c>
      <c r="AA404" s="95">
        <f t="shared" si="13"/>
        <v>15.286068793333332</v>
      </c>
      <c r="AB404" s="91">
        <f>AA404/Variables!$E$49</f>
        <v>2.4654949666666663</v>
      </c>
    </row>
    <row r="405" spans="1:28" x14ac:dyDescent="0.25">
      <c r="A405" s="61">
        <f>'Water runs'!C412</f>
        <v>38960</v>
      </c>
      <c r="B405" s="61" t="str">
        <f>'Water runs'!B412</f>
        <v>Winter</v>
      </c>
      <c r="C405" s="54">
        <f>'Water runs'!D412/100</f>
        <v>0.74531428571428604</v>
      </c>
      <c r="D405" s="108">
        <f>VLOOKUP(ROW(D405)+4,'Water runs'!$BS$3:$CF$423,MATCH($B$1,Scenarios,0)+1)</f>
        <v>0</v>
      </c>
      <c r="E405" s="54">
        <f>IF(B405=Variables!$D$8,C405-Variables!$E$8,IF(B405=Variables!$D$9,C405-Variables!$E$9,IF(B405=Variables!$D$10,C405-Variables!$E$10,IF(B405=Variables!$D$11,C405-Variables!$E$11,"ELSE"))))</f>
        <v>0.17354666005291031</v>
      </c>
      <c r="F405" s="108">
        <f>VLOOKUP(ROW(F405)+4,'Water runs'!$CH$3:$CU$423,MATCH($B$1,Scenarios,0)+1)</f>
        <v>0</v>
      </c>
      <c r="G405" s="65">
        <f>H405/Variables!$E$49</f>
        <v>0.161</v>
      </c>
      <c r="H405" s="62">
        <f>IF((H404+I405)&gt;(1.1*Variables!$E$50),(1.1*Variables!$E$50),IF((H404+I405)&gt;0,H404+I405,0))</f>
        <v>0.99820000000000009</v>
      </c>
      <c r="I405" s="64">
        <f t="shared" si="12"/>
        <v>0</v>
      </c>
      <c r="J405" s="63">
        <f>IF(SUM(E401:E404)&lt;Variables!$B$3,-H404,0)</f>
        <v>0</v>
      </c>
      <c r="K405" s="64">
        <f>IF(AND(H404&lt;Variables!$B$6*Variables!$E$50,OR(SUM(D402:D405)&gt;Variables!$B$5,SUM(E402:E405)&gt;Variables!$B$4)),Variables!$B$6*Variables!$E$50+Variables!$B$7*$G$1*Variables!$E$50*SUM(D402:D405),0)</f>
        <v>0</v>
      </c>
      <c r="L405" s="64">
        <f>IF(B405="Winter",Variables!$B$8*H404,0)</f>
        <v>-0.49704894489176149</v>
      </c>
      <c r="M405" s="64">
        <f>IF(AND(B405="Spring",AND(NOT(H404=0),H404&lt;(Variables!$B$9*Variables!$E$50))),(Variables!$B$10*Variables!$E$50+Variables!$B$11*Variables!$E$50*SUM(E402:E405)+$G$1*SUM(D404:D405)*Variables!$E$50*Variables!$B$12),0)</f>
        <v>0</v>
      </c>
      <c r="N405" s="64">
        <f>IF(AND(B405="Spring",AND(SUM(D402:D405)&gt;Variables!$B$13,SUM(D398:D401)&gt;Variables!$B$13)),-Variables!$B$14*Variables!$E$50,0)</f>
        <v>0</v>
      </c>
      <c r="O405" s="64">
        <f>IF(AND(B405="Summer",SUM(C401:D405)&gt;Variables!$B$15),(Variables!$B$16*Variables!$E$50*SUM(C401:C405)+$G$1*Variables!$B$16*Variables!$E$50*SUM(D401:D405)+$G$1*Variables!$E$50*Variables!$B$17*F405),0)</f>
        <v>0</v>
      </c>
      <c r="P405" s="64">
        <f>IF(AND(AND(B405="Autumn",SUM(D404:E405)&gt;0),NOT(H404=0)),Variables!$B$18*Variables!$E$50+Variables!$B$19*Variables!$E$50*SUM(E404:E405)+$G$1*Variables!$B$19*Variables!$E$50*SUM(D404:D405),0)</f>
        <v>0</v>
      </c>
      <c r="Q405" s="64">
        <f>IF(AND(B405="Autumn",AND((E405+E404)&lt;Variables!$B$20,(D404+D405)=0)),-Variables!$B$21*Variables!$E$50,0)</f>
        <v>0</v>
      </c>
      <c r="R405" s="64">
        <f>IF(B405="Autumn",(SUM(F404:F405)*$G$1*Variables!$B$22*Variables!$E$50),0)</f>
        <v>0</v>
      </c>
      <c r="S405" s="64">
        <f>IF(B405="Spring",($G$1*Variables!$E$50*SUM('Guts (option 2)'!F404:F405)*Variables!$B$23),0)</f>
        <v>0</v>
      </c>
      <c r="T405" s="63">
        <f>IF((H404+SUM(J405:Q405))&lt;(Variables!$B$26*Variables!$E$50),$F$1*((Variables!$B$26*Variables!$E$50)-H404-SUM(J405:Q405)),0)</f>
        <v>0.49704894489176149</v>
      </c>
      <c r="U405" s="64">
        <f>IF(AND(AND(B405="Autumn",SUM(D402:E405)&gt;Variables!$B$27),SUM(J405:Q405)&lt;Variables!$B$28*H404),$F$1*(Variables!$B$28*H404-SUM(J405:Q405)),0)</f>
        <v>0</v>
      </c>
      <c r="V405" s="96">
        <f>IF(AND((J405+K405)=0,(Q405+T405)=0),$H$1*H405*Variables!$I$23*0.25,0)</f>
        <v>0</v>
      </c>
      <c r="W405" s="97">
        <f>IF(AND((K405+J405)=0,(T405+Q405)=0),$I$1*H405*Variables!$Q$23*0.25,0)</f>
        <v>0</v>
      </c>
      <c r="X405" s="95">
        <f>IF(AND(NOT(K405=0),(H405-H404)&gt;0),(H405-H404)*(Variables!$M$5*$H$1+Variables!$U$5*$I$1),0)+IF(AND(NOT((J405+N405+Q405)=0),(H404-H405)&gt;0),(H404-H405)*(Variables!$M$4*$H$1+Variables!$U$4*$I$1),0)</f>
        <v>0</v>
      </c>
      <c r="Y405" s="95">
        <f>IF(SUM(T405,U404:U405)&gt;0,H405*Variables!$Y$11*0.25*(1-$J$1),0)</f>
        <v>-6.9874000000000018</v>
      </c>
      <c r="Z405" s="95">
        <f>IF(T405=0,H405*$J$1*Variables!$Y$5*0.25,0)</f>
        <v>0</v>
      </c>
      <c r="AA405" s="95">
        <f t="shared" si="13"/>
        <v>-6.9874000000000018</v>
      </c>
      <c r="AB405" s="91">
        <f>AA405/Variables!$E$49</f>
        <v>-1.1270000000000002</v>
      </c>
    </row>
    <row r="406" spans="1:28" x14ac:dyDescent="0.25">
      <c r="A406" s="61">
        <f>'Water runs'!C413</f>
        <v>39051</v>
      </c>
      <c r="B406" s="61" t="str">
        <f>'Water runs'!B413</f>
        <v>Spring</v>
      </c>
      <c r="C406" s="54">
        <f>'Water runs'!D413/100</f>
        <v>0.30138571428571398</v>
      </c>
      <c r="D406" s="108">
        <f>VLOOKUP(ROW(D406)+4,'Water runs'!$BS$3:$CF$423,MATCH($B$1,Scenarios,0)+1)</f>
        <v>0</v>
      </c>
      <c r="E406" s="54">
        <f>IF(B406=Variables!$D$8,C406-Variables!$E$8,IF(B406=Variables!$D$9,C406-Variables!$E$9,IF(B406=Variables!$D$10,C406-Variables!$E$10,IF(B406=Variables!$D$11,C406-Variables!$E$11,"ELSE"))))</f>
        <v>-0.46259649470899517</v>
      </c>
      <c r="F406" s="108">
        <f>VLOOKUP(ROW(F406)+4,'Water runs'!$CH$3:$CU$423,MATCH($B$1,Scenarios,0)+1)</f>
        <v>0</v>
      </c>
      <c r="G406" s="65">
        <f>H406/Variables!$E$49</f>
        <v>0.161</v>
      </c>
      <c r="H406" s="62">
        <f>IF((H405+I406)&gt;(1.1*Variables!$E$50),(1.1*Variables!$E$50),IF((H405+I406)&gt;0,H405+I406,0))</f>
        <v>0.99820000000000009</v>
      </c>
      <c r="I406" s="64">
        <f t="shared" si="12"/>
        <v>0</v>
      </c>
      <c r="J406" s="63">
        <f>IF(SUM(E402:E405)&lt;Variables!$B$3,-H405,0)</f>
        <v>0</v>
      </c>
      <c r="K406" s="64">
        <f>IF(AND(H405&lt;Variables!$B$6*Variables!$E$50,OR(SUM(D403:D406)&gt;Variables!$B$5,SUM(E403:E406)&gt;Variables!$B$4)),Variables!$B$6*Variables!$E$50+Variables!$B$7*$G$1*Variables!$E$50*SUM(D403:D406),0)</f>
        <v>0</v>
      </c>
      <c r="L406" s="64">
        <f>IF(B406="Winter",Variables!$B$8*H405,0)</f>
        <v>0</v>
      </c>
      <c r="M406" s="64">
        <f>IF(AND(B406="Spring",AND(NOT(H405=0),H405&lt;(Variables!$B$9*Variables!$E$50))),(Variables!$B$10*Variables!$E$50+Variables!$B$11*Variables!$E$50*SUM(E403:E406)+$G$1*SUM(D405:D406)*Variables!$E$50*Variables!$B$12),0)</f>
        <v>-0.87734783693999652</v>
      </c>
      <c r="N406" s="64">
        <f>IF(AND(B406="Spring",AND(SUM(D403:D406)&gt;Variables!$B$13,SUM(D399:D402)&gt;Variables!$B$13)),-Variables!$B$14*Variables!$E$50,0)</f>
        <v>0</v>
      </c>
      <c r="O406" s="64">
        <f>IF(AND(B406="Summer",SUM(C402:D406)&gt;Variables!$B$15),(Variables!$B$16*Variables!$E$50*SUM(C402:C406)+$G$1*Variables!$B$16*Variables!$E$50*SUM(D402:D406)+$G$1*Variables!$E$50*Variables!$B$17*F406),0)</f>
        <v>0</v>
      </c>
      <c r="P406" s="64">
        <f>IF(AND(AND(B406="Autumn",SUM(D405:E406)&gt;0),NOT(H405=0)),Variables!$B$18*Variables!$E$50+Variables!$B$19*Variables!$E$50*SUM(E405:E406)+$G$1*Variables!$B$19*Variables!$E$50*SUM(D405:D406),0)</f>
        <v>0</v>
      </c>
      <c r="Q406" s="64">
        <f>IF(AND(B406="Autumn",AND((E406+E405)&lt;Variables!$B$20,(D405+D406)=0)),-Variables!$B$21*Variables!$E$50,0)</f>
        <v>0</v>
      </c>
      <c r="R406" s="64">
        <f>IF(B406="Autumn",(SUM(F405:F406)*$G$1*Variables!$B$22*Variables!$E$50),0)</f>
        <v>0</v>
      </c>
      <c r="S406" s="64">
        <f>IF(B406="Spring",($G$1*Variables!$E$50*SUM('Guts (option 2)'!F405:F406)*Variables!$B$23),0)</f>
        <v>0</v>
      </c>
      <c r="T406" s="63">
        <f>IF((H405+SUM(J406:Q406))&lt;(Variables!$B$26*Variables!$E$50),$F$1*((Variables!$B$26*Variables!$E$50)-H405-SUM(J406:Q406)),0)</f>
        <v>0.87734783693999652</v>
      </c>
      <c r="U406" s="64">
        <f>IF(AND(AND(B406="Autumn",SUM(D403:E406)&gt;Variables!$B$27),SUM(J406:Q406)&lt;Variables!$B$28*H405),$F$1*(Variables!$B$28*H405-SUM(J406:Q406)),0)</f>
        <v>0</v>
      </c>
      <c r="V406" s="96">
        <f>IF(AND((J406+K406)=0,(Q406+T406)=0),$H$1*H406*Variables!$I$23*0.25,0)</f>
        <v>0</v>
      </c>
      <c r="W406" s="97">
        <f>IF(AND((K406+J406)=0,(T406+Q406)=0),$I$1*H406*Variables!$Q$23*0.25,0)</f>
        <v>0</v>
      </c>
      <c r="X406" s="95">
        <f>IF(AND(NOT(K406=0),(H406-H405)&gt;0),(H406-H405)*(Variables!$M$5*$H$1+Variables!$U$5*$I$1),0)+IF(AND(NOT((J406+N406+Q406)=0),(H405-H406)&gt;0),(H405-H406)*(Variables!$M$4*$H$1+Variables!$U$4*$I$1),0)</f>
        <v>0</v>
      </c>
      <c r="Y406" s="95">
        <f>IF(SUM(T406,U405:U406)&gt;0,H406*Variables!$Y$11*0.25*(1-$J$1),0)</f>
        <v>-6.9874000000000018</v>
      </c>
      <c r="Z406" s="95">
        <f>IF(T406=0,H406*$J$1*Variables!$Y$5*0.25,0)</f>
        <v>0</v>
      </c>
      <c r="AA406" s="95">
        <f t="shared" si="13"/>
        <v>-6.9874000000000018</v>
      </c>
      <c r="AB406" s="91">
        <f>AA406/Variables!$E$49</f>
        <v>-1.1270000000000002</v>
      </c>
    </row>
    <row r="407" spans="1:28" x14ac:dyDescent="0.25">
      <c r="A407" s="61">
        <f>'Water runs'!C414</f>
        <v>39141</v>
      </c>
      <c r="B407" s="61" t="str">
        <f>'Water runs'!B414</f>
        <v>Summer</v>
      </c>
      <c r="C407" s="54">
        <f>'Water runs'!D414/100</f>
        <v>0.7374285714285711</v>
      </c>
      <c r="D407" s="108">
        <f>VLOOKUP(ROW(D407)+4,'Water runs'!$BS$3:$CF$423,MATCH($B$1,Scenarios,0)+1)</f>
        <v>0</v>
      </c>
      <c r="E407" s="54">
        <f>IF(B407=Variables!$D$8,C407-Variables!$E$8,IF(B407=Variables!$D$9,C407-Variables!$E$9,IF(B407=Variables!$D$10,C407-Variables!$E$10,IF(B407=Variables!$D$11,C407-Variables!$E$11,"ELSE"))))</f>
        <v>-0.52094156462585062</v>
      </c>
      <c r="F407" s="108">
        <f>VLOOKUP(ROW(F407)+4,'Water runs'!$CH$3:$CU$423,MATCH($B$1,Scenarios,0)+1)</f>
        <v>0</v>
      </c>
      <c r="G407" s="65">
        <f>H407/Variables!$E$49</f>
        <v>0.161</v>
      </c>
      <c r="H407" s="62">
        <f>IF((H406+I407)&gt;(1.1*Variables!$E$50),(1.1*Variables!$E$50),IF((H406+I407)&gt;0,H406+I407,0))</f>
        <v>0.99820000000000009</v>
      </c>
      <c r="I407" s="64">
        <f t="shared" si="12"/>
        <v>0</v>
      </c>
      <c r="J407" s="63">
        <f>IF(SUM(E403:E406)&lt;Variables!$B$3,-H406,0)</f>
        <v>0</v>
      </c>
      <c r="K407" s="64">
        <f>IF(AND(H406&lt;Variables!$B$6*Variables!$E$50,OR(SUM(D404:D407)&gt;Variables!$B$5,SUM(E404:E407)&gt;Variables!$B$4)),Variables!$B$6*Variables!$E$50+Variables!$B$7*$G$1*Variables!$E$50*SUM(D404:D407),0)</f>
        <v>0</v>
      </c>
      <c r="L407" s="64">
        <f>IF(B407="Winter",Variables!$B$8*H406,0)</f>
        <v>0</v>
      </c>
      <c r="M407" s="64">
        <f>IF(AND(B407="Spring",AND(NOT(H406=0),H406&lt;(Variables!$B$9*Variables!$E$50))),(Variables!$B$10*Variables!$E$50+Variables!$B$11*Variables!$E$50*SUM(E404:E407)+$G$1*SUM(D406:D407)*Variables!$E$50*Variables!$B$12),0)</f>
        <v>0</v>
      </c>
      <c r="N407" s="64">
        <f>IF(AND(B407="Spring",AND(SUM(D404:D407)&gt;Variables!$B$13,SUM(D400:D403)&gt;Variables!$B$13)),-Variables!$B$14*Variables!$E$50,0)</f>
        <v>0</v>
      </c>
      <c r="O407" s="64">
        <f>IF(AND(B407="Summer",SUM(C403:D407)&gt;Variables!$B$15),(Variables!$B$16*Variables!$E$50*SUM(C403:C407)+$G$1*Variables!$B$16*Variables!$E$50*SUM(D403:D407)+$G$1*Variables!$E$50*Variables!$B$17*F407),0)</f>
        <v>0</v>
      </c>
      <c r="P407" s="64">
        <f>IF(AND(AND(B407="Autumn",SUM(D406:E407)&gt;0),NOT(H406=0)),Variables!$B$18*Variables!$E$50+Variables!$B$19*Variables!$E$50*SUM(E406:E407)+$G$1*Variables!$B$19*Variables!$E$50*SUM(D406:D407),0)</f>
        <v>0</v>
      </c>
      <c r="Q407" s="64">
        <f>IF(AND(B407="Autumn",AND((E407+E406)&lt;Variables!$B$20,(D406+D407)=0)),-Variables!$B$21*Variables!$E$50,0)</f>
        <v>0</v>
      </c>
      <c r="R407" s="64">
        <f>IF(B407="Autumn",(SUM(F406:F407)*$G$1*Variables!$B$22*Variables!$E$50),0)</f>
        <v>0</v>
      </c>
      <c r="S407" s="64">
        <f>IF(B407="Spring",($G$1*Variables!$E$50*SUM('Guts (option 2)'!F406:F407)*Variables!$B$23),0)</f>
        <v>0</v>
      </c>
      <c r="T407" s="63">
        <f>IF((H406+SUM(J407:Q407))&lt;(Variables!$B$26*Variables!$E$50),$F$1*((Variables!$B$26*Variables!$E$50)-H406-SUM(J407:Q407)),0)</f>
        <v>0</v>
      </c>
      <c r="U407" s="64">
        <f>IF(AND(AND(B407="Autumn",SUM(D404:E407)&gt;Variables!$B$27),SUM(J407:Q407)&lt;Variables!$B$28*H406),$F$1*(Variables!$B$28*H406-SUM(J407:Q407)),0)</f>
        <v>0</v>
      </c>
      <c r="V407" s="96">
        <f>IF(AND((J407+K407)=0,(Q407+T407)=0),$H$1*H407*Variables!$I$23*0.25,0)</f>
        <v>6.4118212433333337</v>
      </c>
      <c r="W407" s="97">
        <f>IF(AND((K407+J407)=0,(T407+Q407)=0),$I$1*H407*Variables!$Q$23*0.25,0)</f>
        <v>6.7114808833333326</v>
      </c>
      <c r="X407" s="95">
        <f>IF(AND(NOT(K407=0),(H407-H406)&gt;0),(H407-H406)*(Variables!$M$5*$H$1+Variables!$U$5*$I$1),0)+IF(AND(NOT((J407+N407+Q407)=0),(H406-H407)&gt;0),(H406-H407)*(Variables!$M$4*$H$1+Variables!$U$4*$I$1),0)</f>
        <v>0</v>
      </c>
      <c r="Y407" s="95">
        <f>IF(SUM(T407,U406:U407)&gt;0,H407*Variables!$Y$11*0.25*(1-$J$1),0)</f>
        <v>0</v>
      </c>
      <c r="Z407" s="95">
        <f>IF(T407=0,H407*$J$1*Variables!$Y$5*0.25,0)</f>
        <v>2.1627666666666667</v>
      </c>
      <c r="AA407" s="95">
        <f t="shared" si="13"/>
        <v>15.286068793333332</v>
      </c>
      <c r="AB407" s="91">
        <f>AA407/Variables!$E$49</f>
        <v>2.4654949666666663</v>
      </c>
    </row>
    <row r="408" spans="1:28" x14ac:dyDescent="0.25">
      <c r="A408" s="61">
        <f>'Water runs'!C415</f>
        <v>39233</v>
      </c>
      <c r="B408" s="61" t="str">
        <f>'Water runs'!B415</f>
        <v>Autumn</v>
      </c>
      <c r="C408" s="54">
        <f>'Water runs'!D415/100</f>
        <v>1.1905714285714302</v>
      </c>
      <c r="D408" s="108">
        <f>VLOOKUP(ROW(D408)+4,'Water runs'!$BS$3:$CF$423,MATCH($B$1,Scenarios,0)+1)</f>
        <v>0</v>
      </c>
      <c r="E408" s="54">
        <f>IF(B408=Variables!$D$8,C408-Variables!$E$8,IF(B408=Variables!$D$9,C408-Variables!$E$9,IF(B408=Variables!$D$10,C408-Variables!$E$10,IF(B408=Variables!$D$11,C408-Variables!$E$11,"ELSE"))))</f>
        <v>0.19592812925170233</v>
      </c>
      <c r="F408" s="108">
        <f>VLOOKUP(ROW(F408)+4,'Water runs'!$CH$3:$CU$423,MATCH($B$1,Scenarios,0)+1)</f>
        <v>0</v>
      </c>
      <c r="G408" s="65">
        <f>H408/Variables!$E$49</f>
        <v>0.161</v>
      </c>
      <c r="H408" s="62">
        <f>IF((H407+I408)&gt;(1.1*Variables!$E$50),(1.1*Variables!$E$50),IF((H407+I408)&gt;0,H407+I408,0))</f>
        <v>0.99820000000000009</v>
      </c>
      <c r="I408" s="64">
        <f t="shared" si="12"/>
        <v>0</v>
      </c>
      <c r="J408" s="63">
        <f>IF(SUM(E404:E407)&lt;Variables!$B$3,-H407,0)</f>
        <v>0</v>
      </c>
      <c r="K408" s="64">
        <f>IF(AND(H407&lt;Variables!$B$6*Variables!$E$50,OR(SUM(D405:D408)&gt;Variables!$B$5,SUM(E405:E408)&gt;Variables!$B$4)),Variables!$B$6*Variables!$E$50+Variables!$B$7*$G$1*Variables!$E$50*SUM(D405:D408),0)</f>
        <v>0</v>
      </c>
      <c r="L408" s="64">
        <f>IF(B408="Winter",Variables!$B$8*H407,0)</f>
        <v>0</v>
      </c>
      <c r="M408" s="64">
        <f>IF(AND(B408="Spring",AND(NOT(H407=0),H407&lt;(Variables!$B$9*Variables!$E$50))),(Variables!$B$10*Variables!$E$50+Variables!$B$11*Variables!$E$50*SUM(E405:E408)+$G$1*SUM(D407:D408)*Variables!$E$50*Variables!$B$12),0)</f>
        <v>0</v>
      </c>
      <c r="N408" s="64">
        <f>IF(AND(B408="Spring",AND(SUM(D405:D408)&gt;Variables!$B$13,SUM(D401:D404)&gt;Variables!$B$13)),-Variables!$B$14*Variables!$E$50,0)</f>
        <v>0</v>
      </c>
      <c r="O408" s="64">
        <f>IF(AND(B408="Summer",SUM(C404:D408)&gt;Variables!$B$15),(Variables!$B$16*Variables!$E$50*SUM(C404:C408)+$G$1*Variables!$B$16*Variables!$E$50*SUM(D404:D408)+$G$1*Variables!$E$50*Variables!$B$17*F408),0)</f>
        <v>0</v>
      </c>
      <c r="P408" s="64">
        <f>IF(AND(AND(B408="Autumn",SUM(D407:E408)&gt;0),NOT(H407=0)),Variables!$B$18*Variables!$E$50+Variables!$B$19*Variables!$E$50*SUM(E407:E408)+$G$1*Variables!$B$19*Variables!$E$50*SUM(D407:D408),0)</f>
        <v>0</v>
      </c>
      <c r="Q408" s="64">
        <f>IF(AND(B408="Autumn",AND((E408+E407)&lt;Variables!$B$20,(D407+D408)=0)),-Variables!$B$21*Variables!$E$50,0)</f>
        <v>0</v>
      </c>
      <c r="R408" s="64">
        <f>IF(B408="Autumn",(SUM(F407:F408)*$G$1*Variables!$B$22*Variables!$E$50),0)</f>
        <v>0</v>
      </c>
      <c r="S408" s="64">
        <f>IF(B408="Spring",($G$1*Variables!$E$50*SUM('Guts (option 2)'!F407:F408)*Variables!$B$23),0)</f>
        <v>0</v>
      </c>
      <c r="T408" s="63">
        <f>IF((H407+SUM(J408:Q408))&lt;(Variables!$B$26*Variables!$E$50),$F$1*((Variables!$B$26*Variables!$E$50)-H407-SUM(J408:Q408)),0)</f>
        <v>0</v>
      </c>
      <c r="U408" s="64">
        <f>IF(AND(AND(B408="Autumn",SUM(D405:E408)&gt;Variables!$B$27),SUM(J408:Q408)&lt;Variables!$B$28*H407),$F$1*(Variables!$B$28*H407-SUM(J408:Q408)),0)</f>
        <v>0</v>
      </c>
      <c r="V408" s="96">
        <f>IF(AND((J408+K408)=0,(Q408+T408)=0),$H$1*H408*Variables!$I$23*0.25,0)</f>
        <v>6.4118212433333337</v>
      </c>
      <c r="W408" s="97">
        <f>IF(AND((K408+J408)=0,(T408+Q408)=0),$I$1*H408*Variables!$Q$23*0.25,0)</f>
        <v>6.7114808833333326</v>
      </c>
      <c r="X408" s="95">
        <f>IF(AND(NOT(K408=0),(H408-H407)&gt;0),(H408-H407)*(Variables!$M$5*$H$1+Variables!$U$5*$I$1),0)+IF(AND(NOT((J408+N408+Q408)=0),(H407-H408)&gt;0),(H407-H408)*(Variables!$M$4*$H$1+Variables!$U$4*$I$1),0)</f>
        <v>0</v>
      </c>
      <c r="Y408" s="95">
        <f>IF(SUM(T408,U407:U408)&gt;0,H408*Variables!$Y$11*0.25*(1-$J$1),0)</f>
        <v>0</v>
      </c>
      <c r="Z408" s="95">
        <f>IF(T408=0,H408*$J$1*Variables!$Y$5*0.25,0)</f>
        <v>2.1627666666666667</v>
      </c>
      <c r="AA408" s="95">
        <f t="shared" si="13"/>
        <v>15.286068793333332</v>
      </c>
      <c r="AB408" s="91">
        <f>AA408/Variables!$E$49</f>
        <v>2.4654949666666663</v>
      </c>
    </row>
    <row r="409" spans="1:28" x14ac:dyDescent="0.25">
      <c r="A409" s="61">
        <f>'Water runs'!C416</f>
        <v>39325</v>
      </c>
      <c r="B409" s="61" t="str">
        <f>'Water runs'!B416</f>
        <v>Winter</v>
      </c>
      <c r="C409" s="54">
        <f>'Water runs'!D416/100</f>
        <v>0.14285714285714302</v>
      </c>
      <c r="D409" s="108">
        <f>VLOOKUP(ROW(D409)+4,'Water runs'!$BS$3:$CF$423,MATCH($B$1,Scenarios,0)+1)</f>
        <v>0</v>
      </c>
      <c r="E409" s="54">
        <f>IF(B409=Variables!$D$8,C409-Variables!$E$8,IF(B409=Variables!$D$9,C409-Variables!$E$9,IF(B409=Variables!$D$10,C409-Variables!$E$10,IF(B409=Variables!$D$11,C409-Variables!$E$11,"ELSE"))))</f>
        <v>-0.42891048280423272</v>
      </c>
      <c r="F409" s="108">
        <f>VLOOKUP(ROW(F409)+4,'Water runs'!$CH$3:$CU$423,MATCH($B$1,Scenarios,0)+1)</f>
        <v>0</v>
      </c>
      <c r="G409" s="65">
        <f>H409/Variables!$E$49</f>
        <v>0.161</v>
      </c>
      <c r="H409" s="62">
        <f>IF((H408+I409)&gt;(1.1*Variables!$E$50),(1.1*Variables!$E$50),IF((H408+I409)&gt;0,H408+I409,0))</f>
        <v>0.99820000000000009</v>
      </c>
      <c r="I409" s="64">
        <f t="shared" si="12"/>
        <v>0</v>
      </c>
      <c r="J409" s="63">
        <f>IF(SUM(E405:E408)&lt;Variables!$B$3,-H408,0)</f>
        <v>0</v>
      </c>
      <c r="K409" s="64">
        <f>IF(AND(H408&lt;Variables!$B$6*Variables!$E$50,OR(SUM(D406:D409)&gt;Variables!$B$5,SUM(E406:E409)&gt;Variables!$B$4)),Variables!$B$6*Variables!$E$50+Variables!$B$7*$G$1*Variables!$E$50*SUM(D406:D409),0)</f>
        <v>0</v>
      </c>
      <c r="L409" s="64">
        <f>IF(B409="Winter",Variables!$B$8*H408,0)</f>
        <v>-0.49704894489176149</v>
      </c>
      <c r="M409" s="64">
        <f>IF(AND(B409="Spring",AND(NOT(H408=0),H408&lt;(Variables!$B$9*Variables!$E$50))),(Variables!$B$10*Variables!$E$50+Variables!$B$11*Variables!$E$50*SUM(E406:E409)+$G$1*SUM(D408:D409)*Variables!$E$50*Variables!$B$12),0)</f>
        <v>0</v>
      </c>
      <c r="N409" s="64">
        <f>IF(AND(B409="Spring",AND(SUM(D406:D409)&gt;Variables!$B$13,SUM(D402:D405)&gt;Variables!$B$13)),-Variables!$B$14*Variables!$E$50,0)</f>
        <v>0</v>
      </c>
      <c r="O409" s="64">
        <f>IF(AND(B409="Summer",SUM(C405:D409)&gt;Variables!$B$15),(Variables!$B$16*Variables!$E$50*SUM(C405:C409)+$G$1*Variables!$B$16*Variables!$E$50*SUM(D405:D409)+$G$1*Variables!$E$50*Variables!$B$17*F409),0)</f>
        <v>0</v>
      </c>
      <c r="P409" s="64">
        <f>IF(AND(AND(B409="Autumn",SUM(D408:E409)&gt;0),NOT(H408=0)),Variables!$B$18*Variables!$E$50+Variables!$B$19*Variables!$E$50*SUM(E408:E409)+$G$1*Variables!$B$19*Variables!$E$50*SUM(D408:D409),0)</f>
        <v>0</v>
      </c>
      <c r="Q409" s="64">
        <f>IF(AND(B409="Autumn",AND((E409+E408)&lt;Variables!$B$20,(D408+D409)=0)),-Variables!$B$21*Variables!$E$50,0)</f>
        <v>0</v>
      </c>
      <c r="R409" s="64">
        <f>IF(B409="Autumn",(SUM(F408:F409)*$G$1*Variables!$B$22*Variables!$E$50),0)</f>
        <v>0</v>
      </c>
      <c r="S409" s="64">
        <f>IF(B409="Spring",($G$1*Variables!$E$50*SUM('Guts (option 2)'!F408:F409)*Variables!$B$23),0)</f>
        <v>0</v>
      </c>
      <c r="T409" s="63">
        <f>IF((H408+SUM(J409:Q409))&lt;(Variables!$B$26*Variables!$E$50),$F$1*((Variables!$B$26*Variables!$E$50)-H408-SUM(J409:Q409)),0)</f>
        <v>0.49704894489176149</v>
      </c>
      <c r="U409" s="64">
        <f>IF(AND(AND(B409="Autumn",SUM(D406:E409)&gt;Variables!$B$27),SUM(J409:Q409)&lt;Variables!$B$28*H408),$F$1*(Variables!$B$28*H408-SUM(J409:Q409)),0)</f>
        <v>0</v>
      </c>
      <c r="V409" s="96">
        <f>IF(AND((J409+K409)=0,(Q409+T409)=0),$H$1*H409*Variables!$I$23*0.25,0)</f>
        <v>0</v>
      </c>
      <c r="W409" s="97">
        <f>IF(AND((K409+J409)=0,(T409+Q409)=0),$I$1*H409*Variables!$Q$23*0.25,0)</f>
        <v>0</v>
      </c>
      <c r="X409" s="95">
        <f>IF(AND(NOT(K409=0),(H409-H408)&gt;0),(H409-H408)*(Variables!$M$5*$H$1+Variables!$U$5*$I$1),0)+IF(AND(NOT((J409+N409+Q409)=0),(H408-H409)&gt;0),(H408-H409)*(Variables!$M$4*$H$1+Variables!$U$4*$I$1),0)</f>
        <v>0</v>
      </c>
      <c r="Y409" s="95">
        <f>IF(SUM(T409,U408:U409)&gt;0,H409*Variables!$Y$11*0.25*(1-$J$1),0)</f>
        <v>-6.9874000000000018</v>
      </c>
      <c r="Z409" s="95">
        <f>IF(T409=0,H409*$J$1*Variables!$Y$5*0.25,0)</f>
        <v>0</v>
      </c>
      <c r="AA409" s="95">
        <f t="shared" si="13"/>
        <v>-6.9874000000000018</v>
      </c>
      <c r="AB409" s="91">
        <f>AA409/Variables!$E$49</f>
        <v>-1.1270000000000002</v>
      </c>
    </row>
    <row r="410" spans="1:28" x14ac:dyDescent="0.25">
      <c r="A410" s="61">
        <f>'Water runs'!C417</f>
        <v>39416</v>
      </c>
      <c r="B410" s="61" t="str">
        <f>'Water runs'!B417</f>
        <v>Spring</v>
      </c>
      <c r="C410" s="54">
        <f>'Water runs'!D417/100</f>
        <v>0.82057142857142795</v>
      </c>
      <c r="D410" s="108">
        <f>VLOOKUP(ROW(D410)+4,'Water runs'!$BS$3:$CF$423,MATCH($B$1,Scenarios,0)+1)</f>
        <v>0</v>
      </c>
      <c r="E410" s="54">
        <f>IF(B410=Variables!$D$8,C410-Variables!$E$8,IF(B410=Variables!$D$9,C410-Variables!$E$9,IF(B410=Variables!$D$10,C410-Variables!$E$10,IF(B410=Variables!$D$11,C410-Variables!$E$11,"ELSE"))))</f>
        <v>5.6589219576718808E-2</v>
      </c>
      <c r="F410" s="108">
        <f>VLOOKUP(ROW(F410)+4,'Water runs'!$CH$3:$CU$423,MATCH($B$1,Scenarios,0)+1)</f>
        <v>0</v>
      </c>
      <c r="G410" s="65">
        <f>H410/Variables!$E$49</f>
        <v>0.161</v>
      </c>
      <c r="H410" s="62">
        <f>IF((H409+I410)&gt;(1.1*Variables!$E$50),(1.1*Variables!$E$50),IF((H409+I410)&gt;0,H409+I410,0))</f>
        <v>0.99820000000000009</v>
      </c>
      <c r="I410" s="64">
        <f t="shared" si="12"/>
        <v>0</v>
      </c>
      <c r="J410" s="63">
        <f>IF(SUM(E406:E409)&lt;Variables!$B$3,-H409,0)</f>
        <v>0</v>
      </c>
      <c r="K410" s="64">
        <f>IF(AND(H409&lt;Variables!$B$6*Variables!$E$50,OR(SUM(D407:D410)&gt;Variables!$B$5,SUM(E407:E410)&gt;Variables!$B$4)),Variables!$B$6*Variables!$E$50+Variables!$B$7*$G$1*Variables!$E$50*SUM(D407:D410),0)</f>
        <v>0</v>
      </c>
      <c r="L410" s="64">
        <f>IF(B410="Winter",Variables!$B$8*H409,0)</f>
        <v>0</v>
      </c>
      <c r="M410" s="64">
        <f>IF(AND(B410="Spring",AND(NOT(H409=0),H409&lt;(Variables!$B$9*Variables!$E$50))),(Variables!$B$10*Variables!$E$50+Variables!$B$11*Variables!$E$50*SUM(E407:E410)+$G$1*SUM(D409:D410)*Variables!$E$50*Variables!$B$12),0)</f>
        <v>-0.47492794556407869</v>
      </c>
      <c r="N410" s="64">
        <f>IF(AND(B410="Spring",AND(SUM(D407:D410)&gt;Variables!$B$13,SUM(D403:D406)&gt;Variables!$B$13)),-Variables!$B$14*Variables!$E$50,0)</f>
        <v>0</v>
      </c>
      <c r="O410" s="64">
        <f>IF(AND(B410="Summer",SUM(C406:D410)&gt;Variables!$B$15),(Variables!$B$16*Variables!$E$50*SUM(C406:C410)+$G$1*Variables!$B$16*Variables!$E$50*SUM(D406:D410)+$G$1*Variables!$E$50*Variables!$B$17*F410),0)</f>
        <v>0</v>
      </c>
      <c r="P410" s="64">
        <f>IF(AND(AND(B410="Autumn",SUM(D409:E410)&gt;0),NOT(H409=0)),Variables!$B$18*Variables!$E$50+Variables!$B$19*Variables!$E$50*SUM(E409:E410)+$G$1*Variables!$B$19*Variables!$E$50*SUM(D409:D410),0)</f>
        <v>0</v>
      </c>
      <c r="Q410" s="64">
        <f>IF(AND(B410="Autumn",AND((E410+E409)&lt;Variables!$B$20,(D409+D410)=0)),-Variables!$B$21*Variables!$E$50,0)</f>
        <v>0</v>
      </c>
      <c r="R410" s="64">
        <f>IF(B410="Autumn",(SUM(F409:F410)*$G$1*Variables!$B$22*Variables!$E$50),0)</f>
        <v>0</v>
      </c>
      <c r="S410" s="64">
        <f>IF(B410="Spring",($G$1*Variables!$E$50*SUM('Guts (option 2)'!F409:F410)*Variables!$B$23),0)</f>
        <v>0</v>
      </c>
      <c r="T410" s="63">
        <f>IF((H409+SUM(J410:Q410))&lt;(Variables!$B$26*Variables!$E$50),$F$1*((Variables!$B$26*Variables!$E$50)-H409-SUM(J410:Q410)),0)</f>
        <v>0.47492794556407869</v>
      </c>
      <c r="U410" s="64">
        <f>IF(AND(AND(B410="Autumn",SUM(D407:E410)&gt;Variables!$B$27),SUM(J410:Q410)&lt;Variables!$B$28*H409),$F$1*(Variables!$B$28*H409-SUM(J410:Q410)),0)</f>
        <v>0</v>
      </c>
      <c r="V410" s="96">
        <f>IF(AND((J410+K410)=0,(Q410+T410)=0),$H$1*H410*Variables!$I$23*0.25,0)</f>
        <v>0</v>
      </c>
      <c r="W410" s="97">
        <f>IF(AND((K410+J410)=0,(T410+Q410)=0),$I$1*H410*Variables!$Q$23*0.25,0)</f>
        <v>0</v>
      </c>
      <c r="X410" s="95">
        <f>IF(AND(NOT(K410=0),(H410-H409)&gt;0),(H410-H409)*(Variables!$M$5*$H$1+Variables!$U$5*$I$1),0)+IF(AND(NOT((J410+N410+Q410)=0),(H409-H410)&gt;0),(H409-H410)*(Variables!$M$4*$H$1+Variables!$U$4*$I$1),0)</f>
        <v>0</v>
      </c>
      <c r="Y410" s="95">
        <f>IF(SUM(T410,U409:U410)&gt;0,H410*Variables!$Y$11*0.25*(1-$J$1),0)</f>
        <v>-6.9874000000000018</v>
      </c>
      <c r="Z410" s="95">
        <f>IF(T410=0,H410*$J$1*Variables!$Y$5*0.25,0)</f>
        <v>0</v>
      </c>
      <c r="AA410" s="95">
        <f t="shared" si="13"/>
        <v>-6.9874000000000018</v>
      </c>
      <c r="AB410" s="91">
        <f>AA410/Variables!$E$49</f>
        <v>-1.1270000000000002</v>
      </c>
    </row>
    <row r="411" spans="1:28" x14ac:dyDescent="0.25">
      <c r="A411" s="61">
        <f>'Water runs'!C418</f>
        <v>39506</v>
      </c>
      <c r="B411" s="61" t="str">
        <f>'Water runs'!B418</f>
        <v>Summer</v>
      </c>
      <c r="C411" s="54">
        <f>'Water runs'!D418/100</f>
        <v>3.8432285714285701</v>
      </c>
      <c r="D411" s="108">
        <f>VLOOKUP(ROW(D411)+4,'Water runs'!$BS$3:$CF$423,MATCH($B$1,Scenarios,0)+1)</f>
        <v>0.2568943538745358</v>
      </c>
      <c r="E411" s="54">
        <f>IF(B411=Variables!$D$8,C411-Variables!$E$8,IF(B411=Variables!$D$9,C411-Variables!$E$9,IF(B411=Variables!$D$10,C411-Variables!$E$10,IF(B411=Variables!$D$11,C411-Variables!$E$11,"ELSE"))))</f>
        <v>2.5848584353741484</v>
      </c>
      <c r="F411" s="108">
        <f>VLOOKUP(ROW(F411)+4,'Water runs'!$CH$3:$CU$423,MATCH($B$1,Scenarios,0)+1)</f>
        <v>0.10169439187958733</v>
      </c>
      <c r="G411" s="65">
        <f>H411/Variables!$E$49</f>
        <v>0.78626094396229351</v>
      </c>
      <c r="H411" s="62">
        <f>IF((H410+I411)&gt;(1.1*Variables!$E$50),(1.1*Variables!$E$50),IF((H410+I411)&gt;0,H410+I411,0))</f>
        <v>4.8748178525662196</v>
      </c>
      <c r="I411" s="64">
        <f t="shared" si="12"/>
        <v>3.8766178525662198</v>
      </c>
      <c r="J411" s="63">
        <f>IF(SUM(E407:E410)&lt;Variables!$B$3,-H410,0)</f>
        <v>0</v>
      </c>
      <c r="K411" s="64">
        <f>IF(AND(H410&lt;Variables!$B$6*Variables!$E$50,OR(SUM(D408:D411)&gt;Variables!$B$5,SUM(E408:E411)&gt;Variables!$B$4)),Variables!$B$6*Variables!$E$50+Variables!$B$7*$G$1*Variables!$E$50*SUM(D408:D411),0)</f>
        <v>1.1543542598991283</v>
      </c>
      <c r="L411" s="64">
        <f>IF(B411="Winter",Variables!$B$8*H410,0)</f>
        <v>0</v>
      </c>
      <c r="M411" s="64">
        <f>IF(AND(B411="Spring",AND(NOT(H410=0),H410&lt;(Variables!$B$9*Variables!$E$50))),(Variables!$B$10*Variables!$E$50+Variables!$B$11*Variables!$E$50*SUM(E408:E411)+$G$1*SUM(D410:D411)*Variables!$E$50*Variables!$B$12),0)</f>
        <v>0</v>
      </c>
      <c r="N411" s="64">
        <f>IF(AND(B411="Spring",AND(SUM(D408:D411)&gt;Variables!$B$13,SUM(D404:D407)&gt;Variables!$B$13)),-Variables!$B$14*Variables!$E$50,0)</f>
        <v>0</v>
      </c>
      <c r="O411" s="64">
        <f>IF(AND(B411="Summer",SUM(C407:D411)&gt;Variables!$B$15),(Variables!$B$16*Variables!$E$50*SUM(C407:C411)+$G$1*Variables!$B$16*Variables!$E$50*SUM(D407:D411)+$G$1*Variables!$E$50*Variables!$B$17*F411),0)</f>
        <v>2.7222635926670917</v>
      </c>
      <c r="P411" s="64">
        <f>IF(AND(AND(B411="Autumn",SUM(D410:E411)&gt;0),NOT(H410=0)),Variables!$B$18*Variables!$E$50+Variables!$B$19*Variables!$E$50*SUM(E410:E411)+$G$1*Variables!$B$19*Variables!$E$50*SUM(D410:D411),0)</f>
        <v>0</v>
      </c>
      <c r="Q411" s="64">
        <f>IF(AND(B411="Autumn",AND((E411+E410)&lt;Variables!$B$20,(D410+D411)=0)),-Variables!$B$21*Variables!$E$50,0)</f>
        <v>0</v>
      </c>
      <c r="R411" s="64">
        <f>IF(B411="Autumn",(SUM(F410:F411)*$G$1*Variables!$B$22*Variables!$E$50),0)</f>
        <v>0</v>
      </c>
      <c r="S411" s="64">
        <f>IF(B411="Spring",($G$1*Variables!$E$50*SUM('Guts (option 2)'!F410:F411)*Variables!$B$23),0)</f>
        <v>0</v>
      </c>
      <c r="T411" s="63">
        <f>IF((H410+SUM(J411:Q411))&lt;(Variables!$B$26*Variables!$E$50),$F$1*((Variables!$B$26*Variables!$E$50)-H410-SUM(J411:Q411)),0)</f>
        <v>0</v>
      </c>
      <c r="U411" s="64">
        <f>IF(AND(AND(B411="Autumn",SUM(D408:E411)&gt;Variables!$B$27),SUM(J411:Q411)&lt;Variables!$B$28*H410),$F$1*(Variables!$B$28*H410-SUM(J411:Q411)),0)</f>
        <v>0</v>
      </c>
      <c r="V411" s="96">
        <f>IF(AND((J411+K411)=0,(Q411+T411)=0),$H$1*H411*Variables!$I$23*0.25,0)</f>
        <v>0</v>
      </c>
      <c r="W411" s="97">
        <f>IF(AND((K411+J411)=0,(T411+Q411)=0),$I$1*H411*Variables!$Q$23*0.25,0)</f>
        <v>0</v>
      </c>
      <c r="X411" s="95">
        <f>IF(AND(NOT(K411=0),(H411-H410)&gt;0),(H411-H410)*(Variables!$M$5*$H$1+Variables!$U$5*$I$1),0)+IF(AND(NOT((J411+N411+Q411)=0),(H410-H411)&gt;0),(H410-H411)*(Variables!$M$4*$H$1+Variables!$U$4*$I$1),0)</f>
        <v>-323.0514877138516</v>
      </c>
      <c r="Y411" s="95">
        <f>IF(SUM(T411,U410:U411)&gt;0,H411*Variables!$Y$11*0.25*(1-$J$1),0)</f>
        <v>0</v>
      </c>
      <c r="Z411" s="95">
        <f>IF(T411=0,H411*$J$1*Variables!$Y$5*0.25,0)</f>
        <v>10.562105347226808</v>
      </c>
      <c r="AA411" s="95">
        <f t="shared" si="13"/>
        <v>-312.4893823666248</v>
      </c>
      <c r="AB411" s="91">
        <f>AA411/Variables!$E$49</f>
        <v>-50.401513284939483</v>
      </c>
    </row>
    <row r="412" spans="1:28" x14ac:dyDescent="0.25">
      <c r="A412" s="61">
        <f>'Water runs'!C419</f>
        <v>39599</v>
      </c>
      <c r="B412" s="61" t="str">
        <f>'Water runs'!B419</f>
        <v>Autumn</v>
      </c>
      <c r="C412" s="54">
        <f>'Water runs'!D419/100</f>
        <v>0.7037333333333331</v>
      </c>
      <c r="D412" s="108">
        <f>VLOOKUP(ROW(D412)+4,'Water runs'!$BS$3:$CF$423,MATCH($B$1,Scenarios,0)+1)</f>
        <v>5.0111243952842069E-3</v>
      </c>
      <c r="E412" s="54">
        <f>IF(B412=Variables!$D$8,C412-Variables!$E$8,IF(B412=Variables!$D$9,C412-Variables!$E$9,IF(B412=Variables!$D$10,C412-Variables!$E$10,IF(B412=Variables!$D$11,C412-Variables!$E$11,"ELSE"))))</f>
        <v>-0.29090996598639474</v>
      </c>
      <c r="F412" s="108">
        <f>VLOOKUP(ROW(F412)+4,'Water runs'!$CH$3:$CU$423,MATCH($B$1,Scenarios,0)+1)</f>
        <v>0</v>
      </c>
      <c r="G412" s="65">
        <f>H412/Variables!$E$49</f>
        <v>1.7251125472615594</v>
      </c>
      <c r="H412" s="62">
        <f>IF((H411+I412)&gt;(1.1*Variables!$E$50),(1.1*Variables!$E$50),IF((H411+I412)&gt;0,H411+I412,0))</f>
        <v>10.695697793021669</v>
      </c>
      <c r="I412" s="64">
        <f t="shared" si="12"/>
        <v>5.8208799404554492</v>
      </c>
      <c r="J412" s="63">
        <f>IF(SUM(E408:E411)&lt;Variables!$B$3,-H411,0)</f>
        <v>0</v>
      </c>
      <c r="K412" s="64">
        <f>IF(AND(H411&lt;Variables!$B$6*Variables!$E$50,OR(SUM(D409:D412)&gt;Variables!$B$5,SUM(E409:E412)&gt;Variables!$B$4)),Variables!$B$6*Variables!$E$50+Variables!$B$7*$G$1*Variables!$E$50*SUM(D409:D412),0)</f>
        <v>0</v>
      </c>
      <c r="L412" s="64">
        <f>IF(B412="Winter",Variables!$B$8*H411,0)</f>
        <v>0</v>
      </c>
      <c r="M412" s="64">
        <f>IF(AND(B412="Spring",AND(NOT(H411=0),H411&lt;(Variables!$B$9*Variables!$E$50))),(Variables!$B$10*Variables!$E$50+Variables!$B$11*Variables!$E$50*SUM(E409:E412)+$G$1*SUM(D411:D412)*Variables!$E$50*Variables!$B$12),0)</f>
        <v>0</v>
      </c>
      <c r="N412" s="64">
        <f>IF(AND(B412="Spring",AND(SUM(D409:D412)&gt;Variables!$B$13,SUM(D405:D408)&gt;Variables!$B$13)),-Variables!$B$14*Variables!$E$50,0)</f>
        <v>0</v>
      </c>
      <c r="O412" s="64">
        <f>IF(AND(B412="Summer",SUM(C408:D412)&gt;Variables!$B$15),(Variables!$B$16*Variables!$E$50*SUM(C408:C412)+$G$1*Variables!$B$16*Variables!$E$50*SUM(D408:D412)+$G$1*Variables!$E$50*Variables!$B$17*F412),0)</f>
        <v>0</v>
      </c>
      <c r="P412" s="64">
        <f>IF(AND(AND(B412="Autumn",SUM(D411:E412)&gt;0),NOT(H411=0)),Variables!$B$18*Variables!$E$50+Variables!$B$19*Variables!$E$50*SUM(E411:E412)+$G$1*Variables!$B$19*Variables!$E$50*SUM(D411:D412),0)</f>
        <v>5.8065520851657393</v>
      </c>
      <c r="Q412" s="64">
        <f>IF(AND(B412="Autumn",AND((E412+E411)&lt;Variables!$B$20,(D411+D412)=0)),-Variables!$B$21*Variables!$E$50,0)</f>
        <v>0</v>
      </c>
      <c r="R412" s="64">
        <f>IF(B412="Autumn",(SUM(F411:F412)*$G$1*Variables!$B$22*Variables!$E$50),0)</f>
        <v>1.4327855289709823E-2</v>
      </c>
      <c r="S412" s="64">
        <f>IF(B412="Spring",($G$1*Variables!$E$50*SUM('Guts (option 2)'!F411:F412)*Variables!$B$23),0)</f>
        <v>0</v>
      </c>
      <c r="T412" s="63">
        <f>IF((H411+SUM(J412:Q412))&lt;(Variables!$B$26*Variables!$E$50),$F$1*((Variables!$B$26*Variables!$E$50)-H411-SUM(J412:Q412)),0)</f>
        <v>0</v>
      </c>
      <c r="U412" s="64">
        <f>IF(AND(AND(B412="Autumn",SUM(D409:E412)&gt;Variables!$B$27),SUM(J412:Q412)&lt;Variables!$B$28*H411),$F$1*(Variables!$B$28*H411-SUM(J412:Q412)),0)</f>
        <v>0</v>
      </c>
      <c r="V412" s="96">
        <f>IF(AND((J412+K412)=0,(Q412+T412)=0),$H$1*H412*Variables!$I$23*0.25,0)</f>
        <v>68.702566942065502</v>
      </c>
      <c r="W412" s="97">
        <f>IF(AND((K412+J412)=0,(T412+Q412)=0),$I$1*H412*Variables!$Q$23*0.25,0)</f>
        <v>71.913415419530594</v>
      </c>
      <c r="X412" s="95">
        <f>IF(AND(NOT(K412=0),(H412-H411)&gt;0),(H412-H411)*(Variables!$M$5*$H$1+Variables!$U$5*$I$1),0)+IF(AND(NOT((J412+N412+Q412)=0),(H411-H412)&gt;0),(H411-H412)*(Variables!$M$4*$H$1+Variables!$U$4*$I$1),0)</f>
        <v>0</v>
      </c>
      <c r="Y412" s="95">
        <f>IF(SUM(T412,U411:U412)&gt;0,H412*Variables!$Y$11*0.25*(1-$J$1),0)</f>
        <v>0</v>
      </c>
      <c r="Z412" s="95">
        <f>IF(T412=0,H412*$J$1*Variables!$Y$5*0.25,0)</f>
        <v>23.174011884880283</v>
      </c>
      <c r="AA412" s="95">
        <f t="shared" si="13"/>
        <v>163.78999424647637</v>
      </c>
      <c r="AB412" s="91">
        <f>AA412/Variables!$E$49</f>
        <v>26.417741007496186</v>
      </c>
    </row>
    <row r="413" spans="1:28" x14ac:dyDescent="0.25">
      <c r="A413" s="61">
        <f>'Water runs'!C420</f>
        <v>39691</v>
      </c>
      <c r="B413" s="61" t="str">
        <f>'Water runs'!B420</f>
        <v>Winter</v>
      </c>
      <c r="C413" s="54">
        <f>'Water runs'!D420/100</f>
        <v>0.52597142857142898</v>
      </c>
      <c r="D413" s="108">
        <f>VLOOKUP(ROW(D413)+4,'Water runs'!$BS$3:$CF$423,MATCH($B$1,Scenarios,0)+1)</f>
        <v>0</v>
      </c>
      <c r="E413" s="54">
        <f>IF(B413=Variables!$D$8,C413-Variables!$E$8,IF(B413=Variables!$D$9,C413-Variables!$E$9,IF(B413=Variables!$D$10,C413-Variables!$E$10,IF(B413=Variables!$D$11,C413-Variables!$E$11,"ELSE"))))</f>
        <v>-4.5796197089946755E-2</v>
      </c>
      <c r="F413" s="108">
        <f>VLOOKUP(ROW(F413)+4,'Water runs'!$CH$3:$CU$423,MATCH($B$1,Scenarios,0)+1)</f>
        <v>0</v>
      </c>
      <c r="G413" s="65">
        <f>H413/Variables!$E$49</f>
        <v>0.86610095495951867</v>
      </c>
      <c r="H413" s="62">
        <f>IF((H412+I413)&gt;(1.1*Variables!$E$50),(1.1*Variables!$E$50),IF((H412+I413)&gt;0,H412+I413,0))</f>
        <v>5.3698259207490162</v>
      </c>
      <c r="I413" s="64">
        <f t="shared" si="12"/>
        <v>-5.3258718722726526</v>
      </c>
      <c r="J413" s="63">
        <f>IF(SUM(E409:E412)&lt;Variables!$B$3,-H412,0)</f>
        <v>0</v>
      </c>
      <c r="K413" s="64">
        <f>IF(AND(H412&lt;Variables!$B$6*Variables!$E$50,OR(SUM(D410:D413)&gt;Variables!$B$5,SUM(E410:E413)&gt;Variables!$B$4)),Variables!$B$6*Variables!$E$50+Variables!$B$7*$G$1*Variables!$E$50*SUM(D410:D413),0)</f>
        <v>0</v>
      </c>
      <c r="L413" s="64">
        <f>IF(B413="Winter",Variables!$B$8*H412,0)</f>
        <v>-5.3258718722726526</v>
      </c>
      <c r="M413" s="64">
        <f>IF(AND(B413="Spring",AND(NOT(H412=0),H412&lt;(Variables!$B$9*Variables!$E$50))),(Variables!$B$10*Variables!$E$50+Variables!$B$11*Variables!$E$50*SUM(E410:E413)+$G$1*SUM(D412:D413)*Variables!$E$50*Variables!$B$12),0)</f>
        <v>0</v>
      </c>
      <c r="N413" s="64">
        <f>IF(AND(B413="Spring",AND(SUM(D410:D413)&gt;Variables!$B$13,SUM(D406:D409)&gt;Variables!$B$13)),-Variables!$B$14*Variables!$E$50,0)</f>
        <v>0</v>
      </c>
      <c r="O413" s="64">
        <f>IF(AND(B413="Summer",SUM(C409:D413)&gt;Variables!$B$15),(Variables!$B$16*Variables!$E$50*SUM(C409:C413)+$G$1*Variables!$B$16*Variables!$E$50*SUM(D409:D413)+$G$1*Variables!$E$50*Variables!$B$17*F413),0)</f>
        <v>0</v>
      </c>
      <c r="P413" s="64">
        <f>IF(AND(AND(B413="Autumn",SUM(D412:E413)&gt;0),NOT(H412=0)),Variables!$B$18*Variables!$E$50+Variables!$B$19*Variables!$E$50*SUM(E412:E413)+$G$1*Variables!$B$19*Variables!$E$50*SUM(D412:D413),0)</f>
        <v>0</v>
      </c>
      <c r="Q413" s="64">
        <f>IF(AND(B413="Autumn",AND((E413+E412)&lt;Variables!$B$20,(D412+D413)=0)),-Variables!$B$21*Variables!$E$50,0)</f>
        <v>0</v>
      </c>
      <c r="R413" s="64">
        <f>IF(B413="Autumn",(SUM(F412:F413)*$G$1*Variables!$B$22*Variables!$E$50),0)</f>
        <v>0</v>
      </c>
      <c r="S413" s="64">
        <f>IF(B413="Spring",($G$1*Variables!$E$50*SUM('Guts (option 2)'!F412:F413)*Variables!$B$23),0)</f>
        <v>0</v>
      </c>
      <c r="T413" s="63">
        <f>IF((H412+SUM(J413:Q413))&lt;(Variables!$B$26*Variables!$E$50),$F$1*((Variables!$B$26*Variables!$E$50)-H412-SUM(J413:Q413)),0)</f>
        <v>0</v>
      </c>
      <c r="U413" s="64">
        <f>IF(AND(AND(B413="Autumn",SUM(D410:E413)&gt;Variables!$B$27),SUM(J413:Q413)&lt;Variables!$B$28*H412),$F$1*(Variables!$B$28*H412-SUM(J413:Q413)),0)</f>
        <v>0</v>
      </c>
      <c r="V413" s="96">
        <f>IF(AND((J413+K413)=0,(Q413+T413)=0),$H$1*H413*Variables!$I$23*0.25,0)</f>
        <v>34.492450322240551</v>
      </c>
      <c r="W413" s="97">
        <f>IF(AND((K413+J413)=0,(T413+Q413)=0),$I$1*H413*Variables!$Q$23*0.25,0)</f>
        <v>36.104472063649403</v>
      </c>
      <c r="X413" s="95">
        <f>IF(AND(NOT(K413=0),(H413-H412)&gt;0),(H413-H412)*(Variables!$M$5*$H$1+Variables!$U$5*$I$1),0)+IF(AND(NOT((J413+N413+Q413)=0),(H412-H413)&gt;0),(H412-H413)*(Variables!$M$4*$H$1+Variables!$U$4*$I$1),0)</f>
        <v>0</v>
      </c>
      <c r="Y413" s="95">
        <f>IF(SUM(T413,U412:U413)&gt;0,H413*Variables!$Y$11*0.25*(1-$J$1),0)</f>
        <v>0</v>
      </c>
      <c r="Z413" s="95">
        <f>IF(T413=0,H413*$J$1*Variables!$Y$5*0.25,0)</f>
        <v>11.634622828289535</v>
      </c>
      <c r="AA413" s="95">
        <f t="shared" si="13"/>
        <v>82.231545214179491</v>
      </c>
      <c r="AB413" s="91">
        <f>AA413/Variables!$E$49</f>
        <v>13.263152453899917</v>
      </c>
    </row>
    <row r="414" spans="1:28" x14ac:dyDescent="0.25">
      <c r="A414" s="61">
        <f>'Water runs'!C421</f>
        <v>39782</v>
      </c>
      <c r="B414" s="61" t="str">
        <f>'Water runs'!B421</f>
        <v>Spring</v>
      </c>
      <c r="C414" s="54">
        <f>'Water runs'!D421/100</f>
        <v>1.1983333333333299</v>
      </c>
      <c r="D414" s="108">
        <f>VLOOKUP(ROW(D414)+4,'Water runs'!$BS$3:$CF$423,MATCH($B$1,Scenarios,0)+1)</f>
        <v>0</v>
      </c>
      <c r="E414" s="54">
        <f>IF(B414=Variables!$D$8,C414-Variables!$E$8,IF(B414=Variables!$D$9,C414-Variables!$E$9,IF(B414=Variables!$D$10,C414-Variables!$E$10,IF(B414=Variables!$D$11,C414-Variables!$E$11,"ELSE"))))</f>
        <v>0.43435112433862078</v>
      </c>
      <c r="F414" s="108">
        <f>VLOOKUP(ROW(F414)+4,'Water runs'!$CH$3:$CU$423,MATCH($B$1,Scenarios,0)+1)</f>
        <v>0</v>
      </c>
      <c r="G414" s="65">
        <f>H414/Variables!$E$49</f>
        <v>0.86610095495951867</v>
      </c>
      <c r="H414" s="62">
        <f>IF((H413+I414)&gt;(1.1*Variables!$E$50),(1.1*Variables!$E$50),IF((H413+I414)&gt;0,H413+I414,0))</f>
        <v>5.3698259207490162</v>
      </c>
      <c r="I414" s="64">
        <f t="shared" si="12"/>
        <v>0</v>
      </c>
      <c r="J414" s="63">
        <f>IF(SUM(E410:E413)&lt;Variables!$B$3,-H413,0)</f>
        <v>0</v>
      </c>
      <c r="K414" s="64">
        <f>IF(AND(H413&lt;Variables!$B$6*Variables!$E$50,OR(SUM(D411:D414)&gt;Variables!$B$5,SUM(E411:E414)&gt;Variables!$B$4)),Variables!$B$6*Variables!$E$50+Variables!$B$7*$G$1*Variables!$E$50*SUM(D411:D414),0)</f>
        <v>0</v>
      </c>
      <c r="L414" s="64">
        <f>IF(B414="Winter",Variables!$B$8*H413,0)</f>
        <v>0</v>
      </c>
      <c r="M414" s="64">
        <f>IF(AND(B414="Spring",AND(NOT(H413=0),H413&lt;(Variables!$B$9*Variables!$E$50))),(Variables!$B$10*Variables!$E$50+Variables!$B$11*Variables!$E$50*SUM(E411:E414)+$G$1*SUM(D413:D414)*Variables!$E$50*Variables!$B$12),0)</f>
        <v>0</v>
      </c>
      <c r="N414" s="64">
        <f>IF(AND(B414="Spring",AND(SUM(D411:D414)&gt;Variables!$B$13,SUM(D407:D410)&gt;Variables!$B$13)),-Variables!$B$14*Variables!$E$50,0)</f>
        <v>0</v>
      </c>
      <c r="O414" s="64">
        <f>IF(AND(B414="Summer",SUM(C410:D414)&gt;Variables!$B$15),(Variables!$B$16*Variables!$E$50*SUM(C410:C414)+$G$1*Variables!$B$16*Variables!$E$50*SUM(D410:D414)+$G$1*Variables!$E$50*Variables!$B$17*F414),0)</f>
        <v>0</v>
      </c>
      <c r="P414" s="64">
        <f>IF(AND(AND(B414="Autumn",SUM(D413:E414)&gt;0),NOT(H413=0)),Variables!$B$18*Variables!$E$50+Variables!$B$19*Variables!$E$50*SUM(E413:E414)+$G$1*Variables!$B$19*Variables!$E$50*SUM(D413:D414),0)</f>
        <v>0</v>
      </c>
      <c r="Q414" s="64">
        <f>IF(AND(B414="Autumn",AND((E414+E413)&lt;Variables!$B$20,(D413+D414)=0)),-Variables!$B$21*Variables!$E$50,0)</f>
        <v>0</v>
      </c>
      <c r="R414" s="64">
        <f>IF(B414="Autumn",(SUM(F413:F414)*$G$1*Variables!$B$22*Variables!$E$50),0)</f>
        <v>0</v>
      </c>
      <c r="S414" s="64">
        <f>IF(B414="Spring",($G$1*Variables!$E$50*SUM('Guts (option 2)'!F413:F414)*Variables!$B$23),0)</f>
        <v>0</v>
      </c>
      <c r="T414" s="63">
        <f>IF((H413+SUM(J414:Q414))&lt;(Variables!$B$26*Variables!$E$50),$F$1*((Variables!$B$26*Variables!$E$50)-H413-SUM(J414:Q414)),0)</f>
        <v>0</v>
      </c>
      <c r="U414" s="64">
        <f>IF(AND(AND(B414="Autumn",SUM(D411:E414)&gt;Variables!$B$27),SUM(J414:Q414)&lt;Variables!$B$28*H413),$F$1*(Variables!$B$28*H413-SUM(J414:Q414)),0)</f>
        <v>0</v>
      </c>
      <c r="V414" s="96">
        <f>IF(AND((J414+K414)=0,(Q414+T414)=0),$H$1*H414*Variables!$I$23*0.25,0)</f>
        <v>34.492450322240551</v>
      </c>
      <c r="W414" s="97">
        <f>IF(AND((K414+J414)=0,(T414+Q414)=0),$I$1*H414*Variables!$Q$23*0.25,0)</f>
        <v>36.104472063649403</v>
      </c>
      <c r="X414" s="95">
        <f>IF(AND(NOT(K414=0),(H414-H413)&gt;0),(H414-H413)*(Variables!$M$5*$H$1+Variables!$U$5*$I$1),0)+IF(AND(NOT((J414+N414+Q414)=0),(H413-H414)&gt;0),(H413-H414)*(Variables!$M$4*$H$1+Variables!$U$4*$I$1),0)</f>
        <v>0</v>
      </c>
      <c r="Y414" s="95">
        <f>IF(SUM(T414,U413:U414)&gt;0,H414*Variables!$Y$11*0.25*(1-$J$1),0)</f>
        <v>0</v>
      </c>
      <c r="Z414" s="95">
        <f>IF(T414=0,H414*$J$1*Variables!$Y$5*0.25,0)</f>
        <v>11.634622828289535</v>
      </c>
      <c r="AA414" s="95">
        <f t="shared" si="13"/>
        <v>82.231545214179491</v>
      </c>
      <c r="AB414" s="91">
        <f>AA414/Variables!$E$49</f>
        <v>13.263152453899917</v>
      </c>
    </row>
    <row r="415" spans="1:28" x14ac:dyDescent="0.25">
      <c r="A415" s="61">
        <f>'Water runs'!C422</f>
        <v>39872</v>
      </c>
      <c r="B415" s="61" t="str">
        <f>'Water runs'!B422</f>
        <v>Summer</v>
      </c>
      <c r="C415" s="54">
        <f>'Water runs'!D422/100</f>
        <v>1.3737142857142899</v>
      </c>
      <c r="D415" s="108">
        <f>VLOOKUP(ROW(D415)+4,'Water runs'!$BS$3:$CF$423,MATCH($B$1,Scenarios,0)+1)</f>
        <v>1.5431634454746277E-2</v>
      </c>
      <c r="E415" s="54">
        <f>IF(B415=Variables!$D$8,C415-Variables!$E$8,IF(B415=Variables!$D$9,C415-Variables!$E$9,IF(B415=Variables!$D$10,C415-Variables!$E$10,IF(B415=Variables!$D$11,C415-Variables!$E$11,"ELSE"))))</f>
        <v>0.11534414965986817</v>
      </c>
      <c r="F415" s="108">
        <f>VLOOKUP(ROW(F415)+4,'Water runs'!$CH$3:$CU$423,MATCH($B$1,Scenarios,0)+1)</f>
        <v>0</v>
      </c>
      <c r="G415" s="65">
        <f>H415/Variables!$E$49</f>
        <v>1.3427331962509403</v>
      </c>
      <c r="H415" s="62">
        <f>IF((H414+I415)&gt;(1.1*Variables!$E$50),(1.1*Variables!$E$50),IF((H414+I415)&gt;0,H414+I415,0))</f>
        <v>8.3249458167558306</v>
      </c>
      <c r="I415" s="64">
        <f t="shared" si="12"/>
        <v>2.9551198960068148</v>
      </c>
      <c r="J415" s="63">
        <f>IF(SUM(E411:E414)&lt;Variables!$B$3,-H414,0)</f>
        <v>0</v>
      </c>
      <c r="K415" s="64">
        <f>IF(AND(H414&lt;Variables!$B$6*Variables!$E$50,OR(SUM(D412:D415)&gt;Variables!$B$5,SUM(E412:E415)&gt;Variables!$B$4)),Variables!$B$6*Variables!$E$50+Variables!$B$7*$G$1*Variables!$E$50*SUM(D412:D415),0)</f>
        <v>0</v>
      </c>
      <c r="L415" s="64">
        <f>IF(B415="Winter",Variables!$B$8*H414,0)</f>
        <v>0</v>
      </c>
      <c r="M415" s="64">
        <f>IF(AND(B415="Spring",AND(NOT(H414=0),H414&lt;(Variables!$B$9*Variables!$E$50))),(Variables!$B$10*Variables!$E$50+Variables!$B$11*Variables!$E$50*SUM(E412:E415)+$G$1*SUM(D414:D415)*Variables!$E$50*Variables!$B$12),0)</f>
        <v>0</v>
      </c>
      <c r="N415" s="64">
        <f>IF(AND(B415="Spring",AND(SUM(D412:D415)&gt;Variables!$B$13,SUM(D408:D411)&gt;Variables!$B$13)),-Variables!$B$14*Variables!$E$50,0)</f>
        <v>0</v>
      </c>
      <c r="O415" s="64">
        <f>IF(AND(B415="Summer",SUM(C411:D415)&gt;Variables!$B$15),(Variables!$B$16*Variables!$E$50*SUM(C411:C415)+$G$1*Variables!$B$16*Variables!$E$50*SUM(D411:D415)+$G$1*Variables!$E$50*Variables!$B$17*F415),0)</f>
        <v>2.9551198960068148</v>
      </c>
      <c r="P415" s="64">
        <f>IF(AND(AND(B415="Autumn",SUM(D414:E415)&gt;0),NOT(H414=0)),Variables!$B$18*Variables!$E$50+Variables!$B$19*Variables!$E$50*SUM(E414:E415)+$G$1*Variables!$B$19*Variables!$E$50*SUM(D414:D415),0)</f>
        <v>0</v>
      </c>
      <c r="Q415" s="64">
        <f>IF(AND(B415="Autumn",AND((E415+E414)&lt;Variables!$B$20,(D414+D415)=0)),-Variables!$B$21*Variables!$E$50,0)</f>
        <v>0</v>
      </c>
      <c r="R415" s="64">
        <f>IF(B415="Autumn",(SUM(F414:F415)*$G$1*Variables!$B$22*Variables!$E$50),0)</f>
        <v>0</v>
      </c>
      <c r="S415" s="64">
        <f>IF(B415="Spring",($G$1*Variables!$E$50*SUM('Guts (option 2)'!F414:F415)*Variables!$B$23),0)</f>
        <v>0</v>
      </c>
      <c r="T415" s="63">
        <f>IF((H414+SUM(J415:Q415))&lt;(Variables!$B$26*Variables!$E$50),$F$1*((Variables!$B$26*Variables!$E$50)-H414-SUM(J415:Q415)),0)</f>
        <v>0</v>
      </c>
      <c r="U415" s="64">
        <f>IF(AND(AND(B415="Autumn",SUM(D412:E415)&gt;Variables!$B$27),SUM(J415:Q415)&lt;Variables!$B$28*H414),$F$1*(Variables!$B$28*H414-SUM(J415:Q415)),0)</f>
        <v>0</v>
      </c>
      <c r="V415" s="96">
        <f>IF(AND((J415+K415)=0,(Q415+T415)=0),$H$1*H415*Variables!$I$23*0.25,0)</f>
        <v>53.474318210252456</v>
      </c>
      <c r="W415" s="97">
        <f>IF(AND((K415+J415)=0,(T415+Q415)=0),$I$1*H415*Variables!$Q$23*0.25,0)</f>
        <v>55.973466944442542</v>
      </c>
      <c r="X415" s="95">
        <f>IF(AND(NOT(K415=0),(H415-H414)&gt;0),(H415-H414)*(Variables!$M$5*$H$1+Variables!$U$5*$I$1),0)+IF(AND(NOT((J415+N415+Q415)=0),(H414-H415)&gt;0),(H414-H415)*(Variables!$M$4*$H$1+Variables!$U$4*$I$1),0)</f>
        <v>0</v>
      </c>
      <c r="Y415" s="95">
        <f>IF(SUM(T415,U414:U415)&gt;0,H415*Variables!$Y$11*0.25*(1-$J$1),0)</f>
        <v>0</v>
      </c>
      <c r="Z415" s="95">
        <f>IF(T415=0,H415*$J$1*Variables!$Y$5*0.25,0)</f>
        <v>18.037382602970965</v>
      </c>
      <c r="AA415" s="95">
        <f t="shared" si="13"/>
        <v>127.48516775766596</v>
      </c>
      <c r="AB415" s="91">
        <f>AA415/Variables!$E$49</f>
        <v>20.562123831881607</v>
      </c>
    </row>
    <row r="416" spans="1:28" x14ac:dyDescent="0.25">
      <c r="A416" s="61">
        <f>'Water runs'!C423</f>
        <v>39964</v>
      </c>
      <c r="B416" s="61" t="str">
        <f>'Water runs'!B423</f>
        <v>Autumn</v>
      </c>
      <c r="C416" s="54">
        <f>'Water runs'!D423/100</f>
        <v>0.72128571428571409</v>
      </c>
      <c r="D416" s="108">
        <f>VLOOKUP(ROW(D416)+4,'Water runs'!$BS$3:$CF$423,MATCH($B$1,Scenarios,0)+1)</f>
        <v>0</v>
      </c>
      <c r="E416" s="54">
        <f>IF(B416=Variables!$D$8,C416-Variables!$E$8,IF(B416=Variables!$D$9,C416-Variables!$E$9,IF(B416=Variables!$D$10,C416-Variables!$E$10,IF(B416=Variables!$D$11,C416-Variables!$E$11,"ELSE"))))</f>
        <v>-0.27335758503401375</v>
      </c>
      <c r="F416" s="108">
        <f>VLOOKUP(ROW(F416)+4,'Water runs'!$CH$3:$CU$423,MATCH($B$1,Scenarios,0)+1)</f>
        <v>0</v>
      </c>
      <c r="G416" s="65">
        <f>H416/Variables!$E$49</f>
        <v>1.3427331962509403</v>
      </c>
      <c r="H416" s="62">
        <f>IF((H415+I416)&gt;(1.1*Variables!$E$50),(1.1*Variables!$E$50),IF((H415+I416)&gt;0,H415+I416,0))</f>
        <v>8.3249458167558306</v>
      </c>
      <c r="I416" s="64">
        <f t="shared" si="12"/>
        <v>0</v>
      </c>
      <c r="J416" s="63">
        <f>IF(SUM(E412:E415)&lt;Variables!$B$3,-H415,0)</f>
        <v>0</v>
      </c>
      <c r="K416" s="64">
        <f>IF(AND(H415&lt;Variables!$B$6*Variables!$E$50,OR(SUM(D413:D416)&gt;Variables!$B$5,SUM(E413:E416)&gt;Variables!$B$4)),Variables!$B$6*Variables!$E$50+Variables!$B$7*$G$1*Variables!$E$50*SUM(D413:D416),0)</f>
        <v>0</v>
      </c>
      <c r="L416" s="64">
        <f>IF(B416="Winter",Variables!$B$8*H415,0)</f>
        <v>0</v>
      </c>
      <c r="M416" s="64">
        <f>IF(AND(B416="Spring",AND(NOT(H415=0),H415&lt;(Variables!$B$9*Variables!$E$50))),(Variables!$B$10*Variables!$E$50+Variables!$B$11*Variables!$E$50*SUM(E413:E416)+$G$1*SUM(D415:D416)*Variables!$E$50*Variables!$B$12),0)</f>
        <v>0</v>
      </c>
      <c r="N416" s="64">
        <f>IF(AND(B416="Spring",AND(SUM(D413:D416)&gt;Variables!$B$13,SUM(D409:D412)&gt;Variables!$B$13)),-Variables!$B$14*Variables!$E$50,0)</f>
        <v>0</v>
      </c>
      <c r="O416" s="64">
        <f>IF(AND(B416="Summer",SUM(C412:D416)&gt;Variables!$B$15),(Variables!$B$16*Variables!$E$50*SUM(C412:C416)+$G$1*Variables!$B$16*Variables!$E$50*SUM(D412:D416)+$G$1*Variables!$E$50*Variables!$B$17*F416),0)</f>
        <v>0</v>
      </c>
      <c r="P416" s="64">
        <f>IF(AND(AND(B416="Autumn",SUM(D415:E416)&gt;0),NOT(H415=0)),Variables!$B$18*Variables!$E$50+Variables!$B$19*Variables!$E$50*SUM(E415:E416)+$G$1*Variables!$B$19*Variables!$E$50*SUM(D415:D416),0)</f>
        <v>0</v>
      </c>
      <c r="Q416" s="64">
        <f>IF(AND(B416="Autumn",AND((E416+E415)&lt;Variables!$B$20,(D415+D416)=0)),-Variables!$B$21*Variables!$E$50,0)</f>
        <v>0</v>
      </c>
      <c r="R416" s="64">
        <f>IF(B416="Autumn",(SUM(F415:F416)*$G$1*Variables!$B$22*Variables!$E$50),0)</f>
        <v>0</v>
      </c>
      <c r="S416" s="64">
        <f>IF(B416="Spring",($G$1*Variables!$E$50*SUM('Guts (option 2)'!F415:F416)*Variables!$B$23),0)</f>
        <v>0</v>
      </c>
      <c r="T416" s="63">
        <f>IF((H415+SUM(J416:Q416))&lt;(Variables!$B$26*Variables!$E$50),$F$1*((Variables!$B$26*Variables!$E$50)-H415-SUM(J416:Q416)),0)</f>
        <v>0</v>
      </c>
      <c r="U416" s="64">
        <f>IF(AND(AND(B416="Autumn",SUM(D413:E416)&gt;Variables!$B$27),SUM(J416:Q416)&lt;Variables!$B$28*H415),$F$1*(Variables!$B$28*H415-SUM(J416:Q416)),0)</f>
        <v>0</v>
      </c>
      <c r="V416" s="96">
        <f>IF(AND((J416+K416)=0,(Q416+T416)=0),$H$1*H416*Variables!$I$23*0.25,0)</f>
        <v>53.474318210252456</v>
      </c>
      <c r="W416" s="97">
        <f>IF(AND((K416+J416)=0,(T416+Q416)=0),$I$1*H416*Variables!$Q$23*0.25,0)</f>
        <v>55.973466944442542</v>
      </c>
      <c r="X416" s="95">
        <f>IF(AND(NOT(K416=0),(H416-H415)&gt;0),(H416-H415)*(Variables!$M$5*$H$1+Variables!$U$5*$I$1),0)+IF(AND(NOT((J416+N416+Q416)=0),(H415-H416)&gt;0),(H415-H416)*(Variables!$M$4*$H$1+Variables!$U$4*$I$1),0)</f>
        <v>0</v>
      </c>
      <c r="Y416" s="95">
        <f>IF(SUM(T416,U415:U416)&gt;0,H416*Variables!$Y$11*0.25*(1-$J$1),0)</f>
        <v>0</v>
      </c>
      <c r="Z416" s="95">
        <f>IF(T416=0,H416*$J$1*Variables!$Y$5*0.25,0)</f>
        <v>18.037382602970965</v>
      </c>
      <c r="AA416" s="95">
        <f t="shared" si="13"/>
        <v>127.48516775766596</v>
      </c>
      <c r="AB416" s="91">
        <f>AA416/Variables!$E$49</f>
        <v>20.562123831881607</v>
      </c>
    </row>
    <row r="417" spans="1:28" x14ac:dyDescent="0.25">
      <c r="A417" s="61">
        <f>'Water runs'!C424</f>
        <v>40056</v>
      </c>
      <c r="B417" s="61" t="str">
        <f>'Water runs'!B424</f>
        <v>Winter</v>
      </c>
      <c r="C417" s="54">
        <f>'Water runs'!D424/100</f>
        <v>0.442857142857143</v>
      </c>
      <c r="D417" s="108">
        <f>VLOOKUP(ROW(D417)+4,'Water runs'!$BS$3:$CF$423,MATCH($B$1,Scenarios,0)+1)</f>
        <v>0</v>
      </c>
      <c r="E417" s="54">
        <f>IF(B417=Variables!$D$8,C417-Variables!$E$8,IF(B417=Variables!$D$9,C417-Variables!$E$9,IF(B417=Variables!$D$10,C417-Variables!$E$10,IF(B417=Variables!$D$11,C417-Variables!$E$11,"ELSE"))))</f>
        <v>-0.12891048280423273</v>
      </c>
      <c r="F417" s="108">
        <f>VLOOKUP(ROW(F417)+4,'Water runs'!$CH$3:$CU$423,MATCH($B$1,Scenarios,0)+1)</f>
        <v>0</v>
      </c>
      <c r="G417" s="65">
        <f>H417/Variables!$E$49</f>
        <v>0.67412558408136269</v>
      </c>
      <c r="H417" s="62">
        <f>IF((H416+I417)&gt;(1.1*Variables!$E$50),(1.1*Variables!$E$50),IF((H416+I417)&gt;0,H416+I417,0))</f>
        <v>4.179578621304449</v>
      </c>
      <c r="I417" s="64">
        <f t="shared" si="12"/>
        <v>-4.1453671954513815</v>
      </c>
      <c r="J417" s="63">
        <f>IF(SUM(E413:E416)&lt;Variables!$B$3,-H416,0)</f>
        <v>0</v>
      </c>
      <c r="K417" s="64">
        <f>IF(AND(H416&lt;Variables!$B$6*Variables!$E$50,OR(SUM(D414:D417)&gt;Variables!$B$5,SUM(E414:E417)&gt;Variables!$B$4)),Variables!$B$6*Variables!$E$50+Variables!$B$7*$G$1*Variables!$E$50*SUM(D414:D417),0)</f>
        <v>0</v>
      </c>
      <c r="L417" s="64">
        <f>IF(B417="Winter",Variables!$B$8*H416,0)</f>
        <v>-4.1453671954513815</v>
      </c>
      <c r="M417" s="64">
        <f>IF(AND(B417="Spring",AND(NOT(H416=0),H416&lt;(Variables!$B$9*Variables!$E$50))),(Variables!$B$10*Variables!$E$50+Variables!$B$11*Variables!$E$50*SUM(E414:E417)+$G$1*SUM(D416:D417)*Variables!$E$50*Variables!$B$12),0)</f>
        <v>0</v>
      </c>
      <c r="N417" s="64">
        <f>IF(AND(B417="Spring",AND(SUM(D414:D417)&gt;Variables!$B$13,SUM(D410:D413)&gt;Variables!$B$13)),-Variables!$B$14*Variables!$E$50,0)</f>
        <v>0</v>
      </c>
      <c r="O417" s="64">
        <f>IF(AND(B417="Summer",SUM(C413:D417)&gt;Variables!$B$15),(Variables!$B$16*Variables!$E$50*SUM(C413:C417)+$G$1*Variables!$B$16*Variables!$E$50*SUM(D413:D417)+$G$1*Variables!$E$50*Variables!$B$17*F417),0)</f>
        <v>0</v>
      </c>
      <c r="P417" s="64">
        <f>IF(AND(AND(B417="Autumn",SUM(D416:E417)&gt;0),NOT(H416=0)),Variables!$B$18*Variables!$E$50+Variables!$B$19*Variables!$E$50*SUM(E416:E417)+$G$1*Variables!$B$19*Variables!$E$50*SUM(D416:D417),0)</f>
        <v>0</v>
      </c>
      <c r="Q417" s="64">
        <f>IF(AND(B417="Autumn",AND((E417+E416)&lt;Variables!$B$20,(D416+D417)=0)),-Variables!$B$21*Variables!$E$50,0)</f>
        <v>0</v>
      </c>
      <c r="R417" s="64">
        <f>IF(B417="Autumn",(SUM(F416:F417)*$G$1*Variables!$B$22*Variables!$E$50),0)</f>
        <v>0</v>
      </c>
      <c r="S417" s="64">
        <f>IF(B417="Spring",($G$1*Variables!$E$50*SUM('Guts (option 2)'!F416:F417)*Variables!$B$23),0)</f>
        <v>0</v>
      </c>
      <c r="T417" s="63">
        <f>IF((H416+SUM(J417:Q417))&lt;(Variables!$B$26*Variables!$E$50),$F$1*((Variables!$B$26*Variables!$E$50)-H416-SUM(J417:Q417)),0)</f>
        <v>0</v>
      </c>
      <c r="U417" s="64">
        <f>IF(AND(AND(B417="Autumn",SUM(D414:E417)&gt;Variables!$B$27),SUM(J417:Q417)&lt;Variables!$B$28*H416),$F$1*(Variables!$B$28*H416-SUM(J417:Q417)),0)</f>
        <v>0</v>
      </c>
      <c r="V417" s="96">
        <f>IF(AND((J417+K417)=0,(Q417+T417)=0),$H$1*H417*Variables!$I$23*0.25,0)</f>
        <v>26.84703565644331</v>
      </c>
      <c r="W417" s="97">
        <f>IF(AND((K417+J417)=0,(T417+Q417)=0),$I$1*H417*Variables!$Q$23*0.25,0)</f>
        <v>28.101745158558902</v>
      </c>
      <c r="X417" s="95">
        <f>IF(AND(NOT(K417=0),(H417-H416)&gt;0),(H417-H416)*(Variables!$M$5*$H$1+Variables!$U$5*$I$1),0)+IF(AND(NOT((J417+N417+Q417)=0),(H416-H417)&gt;0),(H416-H417)*(Variables!$M$4*$H$1+Variables!$U$4*$I$1),0)</f>
        <v>0</v>
      </c>
      <c r="Y417" s="95">
        <f>IF(SUM(T417,U416:U417)&gt;0,H417*Variables!$Y$11*0.25*(1-$J$1),0)</f>
        <v>0</v>
      </c>
      <c r="Z417" s="95">
        <f>IF(T417=0,H417*$J$1*Variables!$Y$5*0.25,0)</f>
        <v>9.0557536794929732</v>
      </c>
      <c r="AA417" s="95">
        <f t="shared" si="13"/>
        <v>64.004534494495175</v>
      </c>
      <c r="AB417" s="91">
        <f>AA417/Variables!$E$49</f>
        <v>10.323312015241157</v>
      </c>
    </row>
    <row r="418" spans="1:28" x14ac:dyDescent="0.25">
      <c r="A418" s="61"/>
      <c r="B418" s="61"/>
      <c r="C418" s="54"/>
      <c r="D418" s="108"/>
      <c r="E418" s="54"/>
      <c r="F418" s="54"/>
      <c r="G418" s="65"/>
      <c r="H418" s="62"/>
      <c r="I418" s="64"/>
      <c r="J418" s="63"/>
      <c r="K418" s="64"/>
      <c r="L418" s="64"/>
      <c r="M418" s="64"/>
      <c r="N418" s="64"/>
      <c r="O418" s="64"/>
      <c r="P418" s="64"/>
      <c r="Q418" s="64"/>
      <c r="R418" s="64"/>
      <c r="S418" s="64"/>
      <c r="T418" s="63"/>
      <c r="U418" s="64"/>
      <c r="V418" s="96"/>
      <c r="W418" s="97"/>
      <c r="X418" s="95"/>
      <c r="Y418" s="95"/>
      <c r="Z418" s="95"/>
      <c r="AA418" s="95"/>
      <c r="AB418" s="91"/>
    </row>
    <row r="419" spans="1:28" x14ac:dyDescent="0.25">
      <c r="A419" s="61"/>
      <c r="B419" s="61"/>
      <c r="C419" s="54"/>
      <c r="D419" s="108"/>
      <c r="E419" s="54"/>
      <c r="F419" s="54"/>
      <c r="G419" s="65"/>
      <c r="H419" s="62"/>
      <c r="I419" s="64"/>
      <c r="J419" s="63"/>
      <c r="K419" s="64"/>
      <c r="L419" s="64"/>
      <c r="M419" s="64"/>
      <c r="N419" s="64"/>
      <c r="O419" s="64"/>
      <c r="P419" s="64"/>
      <c r="Q419" s="64"/>
      <c r="R419" s="64"/>
      <c r="S419" s="64"/>
      <c r="T419" s="63"/>
      <c r="U419" s="64"/>
      <c r="V419" s="96"/>
      <c r="W419" s="97"/>
      <c r="X419" s="95"/>
      <c r="Y419" s="95"/>
      <c r="Z419" s="95"/>
      <c r="AA419" s="95"/>
      <c r="AB419" s="91"/>
    </row>
    <row r="420" spans="1:28" x14ac:dyDescent="0.25">
      <c r="A420" s="61"/>
      <c r="B420" s="61"/>
      <c r="C420" s="54"/>
      <c r="D420" s="108"/>
      <c r="E420" s="54"/>
      <c r="F420" s="54"/>
      <c r="G420" s="65"/>
      <c r="H420" s="62"/>
      <c r="I420" s="64"/>
      <c r="J420" s="63"/>
      <c r="K420" s="64"/>
      <c r="L420" s="64"/>
      <c r="M420" s="64"/>
      <c r="N420" s="64"/>
      <c r="O420" s="64"/>
      <c r="P420" s="64"/>
      <c r="Q420" s="64"/>
      <c r="R420" s="64"/>
      <c r="S420" s="64"/>
      <c r="T420" s="63"/>
      <c r="U420" s="64"/>
      <c r="V420" s="96"/>
      <c r="W420" s="97"/>
      <c r="X420" s="95"/>
      <c r="Y420" s="95"/>
      <c r="Z420" s="95"/>
      <c r="AA420" s="95"/>
      <c r="AB420" s="91"/>
    </row>
    <row r="421" spans="1:28" x14ac:dyDescent="0.25">
      <c r="A421" s="61"/>
      <c r="B421" s="61"/>
      <c r="C421" s="54"/>
      <c r="D421" s="108"/>
      <c r="E421" s="54"/>
      <c r="F421" s="54"/>
      <c r="G421" s="65"/>
      <c r="H421" s="62"/>
      <c r="I421" s="64"/>
      <c r="J421" s="63"/>
      <c r="K421" s="64"/>
      <c r="L421" s="64"/>
      <c r="M421" s="64"/>
      <c r="N421" s="64"/>
      <c r="O421" s="64"/>
      <c r="P421" s="64"/>
      <c r="Q421" s="64"/>
      <c r="R421" s="64"/>
      <c r="S421" s="64"/>
      <c r="T421" s="63"/>
      <c r="U421" s="64"/>
      <c r="V421" s="96"/>
      <c r="W421" s="97"/>
      <c r="X421" s="95"/>
      <c r="Y421" s="95"/>
      <c r="Z421" s="95"/>
      <c r="AA421" s="95"/>
      <c r="AB421" s="91"/>
    </row>
    <row r="422" spans="1:28" x14ac:dyDescent="0.25">
      <c r="A422" s="61"/>
      <c r="B422" s="61"/>
      <c r="C422" s="54"/>
      <c r="D422" s="108"/>
      <c r="E422" s="54"/>
      <c r="F422" s="54"/>
      <c r="G422" s="65"/>
      <c r="H422" s="62"/>
      <c r="I422" s="64"/>
      <c r="J422" s="63"/>
      <c r="K422" s="64"/>
      <c r="L422" s="64"/>
      <c r="M422" s="64"/>
      <c r="N422" s="64"/>
      <c r="O422" s="64"/>
      <c r="P422" s="64"/>
      <c r="Q422" s="64"/>
      <c r="R422" s="64"/>
      <c r="S422" s="64"/>
      <c r="T422" s="63"/>
      <c r="U422" s="64"/>
      <c r="V422" s="96"/>
      <c r="W422" s="97"/>
      <c r="X422" s="95"/>
      <c r="Y422" s="95"/>
      <c r="Z422" s="95"/>
      <c r="AA422" s="95"/>
      <c r="AB422" s="91"/>
    </row>
    <row r="423" spans="1:28" x14ac:dyDescent="0.25">
      <c r="A423" s="61"/>
      <c r="B423" s="61"/>
      <c r="C423" s="54"/>
      <c r="D423" s="108"/>
      <c r="E423" s="54"/>
      <c r="F423" s="54"/>
      <c r="G423" s="65"/>
      <c r="H423" s="62"/>
      <c r="I423" s="64"/>
      <c r="J423" s="63"/>
      <c r="K423" s="64"/>
      <c r="L423" s="64"/>
      <c r="M423" s="64"/>
      <c r="N423" s="64"/>
      <c r="O423" s="64"/>
      <c r="P423" s="64"/>
      <c r="Q423" s="64"/>
      <c r="R423" s="64"/>
      <c r="S423" s="64"/>
      <c r="T423" s="63"/>
      <c r="U423" s="64"/>
      <c r="V423" s="96"/>
      <c r="W423" s="97"/>
      <c r="X423" s="95"/>
      <c r="Y423" s="95"/>
      <c r="Z423" s="95"/>
      <c r="AA423" s="95"/>
      <c r="AB423" s="91"/>
    </row>
    <row r="424" spans="1:28" x14ac:dyDescent="0.25">
      <c r="A424" s="61"/>
      <c r="B424" s="61"/>
      <c r="C424" s="54"/>
      <c r="D424" s="108"/>
      <c r="E424" s="54"/>
      <c r="F424" s="54"/>
      <c r="G424" s="65"/>
      <c r="H424" s="62"/>
      <c r="I424" s="64"/>
      <c r="J424" s="63"/>
      <c r="K424" s="64"/>
      <c r="L424" s="64"/>
      <c r="M424" s="64"/>
      <c r="N424" s="64"/>
      <c r="O424" s="64"/>
      <c r="P424" s="64"/>
      <c r="Q424" s="64"/>
      <c r="R424" s="64"/>
      <c r="S424" s="64"/>
      <c r="T424" s="63"/>
      <c r="U424" s="64"/>
      <c r="V424" s="96"/>
      <c r="W424" s="97"/>
      <c r="X424" s="95"/>
      <c r="Y424" s="95"/>
      <c r="Z424" s="95"/>
      <c r="AA424" s="95"/>
      <c r="AB424" s="91"/>
    </row>
    <row r="425" spans="1:28" x14ac:dyDescent="0.25">
      <c r="A425" s="61"/>
      <c r="B425" s="61"/>
      <c r="C425" s="54"/>
      <c r="D425" s="108"/>
      <c r="E425" s="54"/>
      <c r="F425" s="54"/>
      <c r="G425" s="65"/>
      <c r="H425" s="62"/>
      <c r="I425" s="64"/>
      <c r="J425" s="63"/>
      <c r="K425" s="64"/>
      <c r="L425" s="64"/>
      <c r="M425" s="64"/>
      <c r="N425" s="64"/>
      <c r="O425" s="64"/>
      <c r="P425" s="64"/>
      <c r="Q425" s="64"/>
      <c r="R425" s="64"/>
      <c r="S425" s="64"/>
      <c r="T425" s="63"/>
      <c r="U425" s="64"/>
      <c r="V425" s="96"/>
      <c r="W425" s="97"/>
      <c r="X425" s="95"/>
      <c r="Y425" s="95"/>
      <c r="Z425" s="95"/>
      <c r="AA425" s="95"/>
      <c r="AB425" s="91"/>
    </row>
    <row r="426" spans="1:28" x14ac:dyDescent="0.25">
      <c r="A426" s="61"/>
      <c r="B426" s="61"/>
      <c r="C426" s="54"/>
      <c r="D426" s="108"/>
      <c r="E426" s="54"/>
      <c r="F426" s="54"/>
      <c r="G426" s="65"/>
      <c r="H426" s="62"/>
      <c r="I426" s="64"/>
      <c r="J426" s="63"/>
      <c r="K426" s="64"/>
      <c r="L426" s="64"/>
      <c r="M426" s="64"/>
      <c r="N426" s="64"/>
      <c r="O426" s="64"/>
      <c r="P426" s="64"/>
      <c r="Q426" s="64"/>
      <c r="R426" s="64"/>
      <c r="S426" s="64"/>
      <c r="T426" s="63"/>
      <c r="U426" s="64"/>
      <c r="V426" s="96"/>
      <c r="W426" s="97"/>
      <c r="X426" s="95"/>
      <c r="Y426" s="95"/>
      <c r="Z426" s="95"/>
      <c r="AA426" s="95"/>
      <c r="AB426" s="91"/>
    </row>
    <row r="427" spans="1:28" x14ac:dyDescent="0.25">
      <c r="A427" s="61"/>
      <c r="B427" s="61"/>
      <c r="C427" s="54"/>
      <c r="D427" s="108"/>
      <c r="E427" s="54"/>
      <c r="F427" s="54"/>
      <c r="G427" s="65"/>
      <c r="H427" s="62"/>
      <c r="I427" s="64"/>
      <c r="J427" s="63"/>
      <c r="K427" s="64"/>
      <c r="L427" s="64"/>
      <c r="M427" s="64"/>
      <c r="N427" s="64"/>
      <c r="O427" s="64"/>
      <c r="P427" s="64"/>
      <c r="Q427" s="64"/>
      <c r="R427" s="64"/>
      <c r="S427" s="64"/>
      <c r="T427" s="63"/>
      <c r="U427" s="64"/>
      <c r="V427" s="96"/>
      <c r="W427" s="97"/>
      <c r="X427" s="95"/>
      <c r="Y427" s="95"/>
      <c r="Z427" s="95"/>
      <c r="AA427" s="95"/>
      <c r="AB427" s="91"/>
    </row>
    <row r="428" spans="1:28" x14ac:dyDescent="0.25">
      <c r="A428" s="61"/>
      <c r="B428" s="61"/>
      <c r="C428" s="54"/>
      <c r="D428" s="108"/>
      <c r="E428" s="54"/>
      <c r="F428" s="54"/>
      <c r="G428" s="65"/>
      <c r="H428" s="62"/>
      <c r="I428" s="64"/>
      <c r="J428" s="63"/>
      <c r="K428" s="64"/>
      <c r="L428" s="64"/>
      <c r="M428" s="64"/>
      <c r="N428" s="64"/>
      <c r="O428" s="64"/>
      <c r="P428" s="64"/>
      <c r="Q428" s="64"/>
      <c r="R428" s="64"/>
      <c r="S428" s="64"/>
      <c r="T428" s="63"/>
      <c r="U428" s="64"/>
      <c r="V428" s="96"/>
      <c r="W428" s="97"/>
      <c r="X428" s="95"/>
      <c r="Y428" s="95"/>
      <c r="Z428" s="95"/>
      <c r="AA428" s="95"/>
      <c r="AB428" s="91"/>
    </row>
    <row r="429" spans="1:28" x14ac:dyDescent="0.25">
      <c r="A429" s="61"/>
      <c r="B429" s="61"/>
      <c r="C429" s="54"/>
      <c r="D429" s="108"/>
      <c r="E429" s="54"/>
      <c r="F429" s="54"/>
      <c r="G429" s="65"/>
      <c r="H429" s="62"/>
      <c r="I429" s="64"/>
      <c r="J429" s="63"/>
      <c r="K429" s="64"/>
      <c r="L429" s="64"/>
      <c r="M429" s="64"/>
      <c r="N429" s="64"/>
      <c r="O429" s="64"/>
      <c r="P429" s="64"/>
      <c r="Q429" s="64"/>
      <c r="R429" s="64"/>
      <c r="S429" s="64"/>
      <c r="T429" s="63"/>
      <c r="U429" s="64"/>
      <c r="V429" s="96"/>
      <c r="W429" s="97"/>
      <c r="X429" s="95"/>
      <c r="Y429" s="95"/>
      <c r="Z429" s="95"/>
      <c r="AA429" s="95"/>
      <c r="AB429" s="91"/>
    </row>
    <row r="430" spans="1:28" x14ac:dyDescent="0.25">
      <c r="A430" s="61"/>
      <c r="B430" s="61"/>
      <c r="C430" s="54"/>
      <c r="D430" s="108"/>
      <c r="E430" s="54"/>
      <c r="F430" s="54"/>
      <c r="G430" s="65"/>
      <c r="H430" s="62"/>
      <c r="I430" s="64"/>
      <c r="J430" s="63"/>
      <c r="K430" s="64"/>
      <c r="L430" s="64"/>
      <c r="M430" s="64"/>
      <c r="N430" s="64"/>
      <c r="O430" s="64"/>
      <c r="P430" s="64"/>
      <c r="Q430" s="64"/>
      <c r="R430" s="64"/>
      <c r="S430" s="64"/>
      <c r="T430" s="63"/>
      <c r="U430" s="64"/>
      <c r="V430" s="96"/>
      <c r="W430" s="97"/>
      <c r="X430" s="95"/>
      <c r="Y430" s="95"/>
      <c r="Z430" s="95"/>
      <c r="AA430" s="95"/>
      <c r="AB430" s="91"/>
    </row>
    <row r="431" spans="1:28" x14ac:dyDescent="0.25">
      <c r="A431" s="61"/>
      <c r="B431" s="61"/>
      <c r="C431" s="54"/>
      <c r="D431" s="108"/>
      <c r="E431" s="54"/>
      <c r="F431" s="54"/>
      <c r="G431" s="65"/>
      <c r="H431" s="62"/>
      <c r="I431" s="64"/>
      <c r="J431" s="63"/>
      <c r="K431" s="64"/>
      <c r="L431" s="64"/>
      <c r="M431" s="64"/>
      <c r="N431" s="64"/>
      <c r="O431" s="64"/>
      <c r="P431" s="64"/>
      <c r="Q431" s="64"/>
      <c r="R431" s="64"/>
      <c r="S431" s="64"/>
      <c r="T431" s="63"/>
      <c r="U431" s="64"/>
      <c r="V431" s="96"/>
      <c r="W431" s="97"/>
      <c r="X431" s="95"/>
      <c r="Y431" s="95"/>
      <c r="Z431" s="95"/>
      <c r="AA431" s="95"/>
      <c r="AB431" s="91"/>
    </row>
    <row r="432" spans="1:28" x14ac:dyDescent="0.25">
      <c r="A432" s="61"/>
      <c r="B432" s="61"/>
      <c r="C432" s="54"/>
      <c r="D432" s="108"/>
      <c r="E432" s="54"/>
      <c r="F432" s="54"/>
      <c r="G432" s="65"/>
      <c r="H432" s="62"/>
      <c r="I432" s="64"/>
      <c r="J432" s="63"/>
      <c r="K432" s="64"/>
      <c r="L432" s="64"/>
      <c r="M432" s="64"/>
      <c r="N432" s="64"/>
      <c r="O432" s="64"/>
      <c r="P432" s="64"/>
      <c r="Q432" s="64"/>
      <c r="R432" s="64"/>
      <c r="S432" s="64"/>
      <c r="T432" s="63"/>
      <c r="U432" s="64"/>
      <c r="V432" s="96"/>
      <c r="W432" s="97"/>
      <c r="X432" s="95"/>
      <c r="Y432" s="95"/>
      <c r="Z432" s="95"/>
      <c r="AA432" s="95"/>
      <c r="AB432" s="91"/>
    </row>
    <row r="433" spans="1:28" x14ac:dyDescent="0.25">
      <c r="A433" s="61"/>
      <c r="B433" s="61"/>
      <c r="C433" s="54"/>
      <c r="D433" s="108"/>
      <c r="E433" s="54"/>
      <c r="F433" s="54"/>
      <c r="G433" s="65"/>
      <c r="H433" s="62"/>
      <c r="I433" s="64"/>
      <c r="J433" s="63"/>
      <c r="K433" s="64"/>
      <c r="L433" s="64"/>
      <c r="M433" s="64"/>
      <c r="N433" s="64"/>
      <c r="O433" s="64"/>
      <c r="P433" s="64"/>
      <c r="Q433" s="64"/>
      <c r="R433" s="64"/>
      <c r="S433" s="64"/>
      <c r="T433" s="63"/>
      <c r="U433" s="64"/>
      <c r="V433" s="96"/>
      <c r="W433" s="97"/>
      <c r="X433" s="95"/>
      <c r="Y433" s="95"/>
      <c r="Z433" s="95"/>
      <c r="AA433" s="95"/>
      <c r="AB433" s="91"/>
    </row>
    <row r="434" spans="1:28" x14ac:dyDescent="0.25">
      <c r="A434" s="61"/>
      <c r="B434" s="61"/>
      <c r="C434" s="54"/>
      <c r="D434" s="108"/>
      <c r="E434" s="54"/>
      <c r="F434" s="54"/>
      <c r="G434" s="65"/>
      <c r="H434" s="62"/>
      <c r="I434" s="64"/>
      <c r="J434" s="63"/>
      <c r="K434" s="64"/>
      <c r="L434" s="64"/>
      <c r="M434" s="64"/>
      <c r="N434" s="64"/>
      <c r="O434" s="64"/>
      <c r="P434" s="64"/>
      <c r="Q434" s="64"/>
      <c r="R434" s="64"/>
      <c r="S434" s="64"/>
      <c r="T434" s="63"/>
      <c r="U434" s="64"/>
      <c r="V434" s="96"/>
      <c r="W434" s="97"/>
      <c r="X434" s="95"/>
      <c r="Y434" s="95"/>
      <c r="Z434" s="95"/>
      <c r="AA434" s="95"/>
      <c r="AB434" s="91"/>
    </row>
    <row r="435" spans="1:28" x14ac:dyDescent="0.25">
      <c r="A435" s="61"/>
      <c r="B435" s="61"/>
      <c r="C435" s="54"/>
      <c r="D435" s="108"/>
      <c r="E435" s="54"/>
      <c r="F435" s="54"/>
      <c r="G435" s="65"/>
      <c r="H435" s="62"/>
      <c r="I435" s="64"/>
      <c r="J435" s="63"/>
      <c r="K435" s="64"/>
      <c r="L435" s="64"/>
      <c r="M435" s="64"/>
      <c r="N435" s="64"/>
      <c r="O435" s="64"/>
      <c r="P435" s="64"/>
      <c r="Q435" s="64"/>
      <c r="R435" s="64"/>
      <c r="S435" s="64"/>
      <c r="T435" s="63"/>
      <c r="U435" s="64"/>
      <c r="V435" s="96"/>
      <c r="W435" s="97"/>
      <c r="X435" s="95"/>
      <c r="Y435" s="95"/>
      <c r="Z435" s="95"/>
      <c r="AA435" s="95"/>
      <c r="AB435" s="91"/>
    </row>
    <row r="436" spans="1:28" x14ac:dyDescent="0.25">
      <c r="A436" s="61"/>
      <c r="B436" s="61"/>
      <c r="C436" s="54"/>
      <c r="D436" s="108"/>
      <c r="E436" s="54"/>
      <c r="F436" s="54"/>
      <c r="G436" s="65"/>
      <c r="H436" s="62"/>
      <c r="I436" s="64"/>
      <c r="J436" s="63"/>
      <c r="K436" s="64"/>
      <c r="L436" s="64"/>
      <c r="M436" s="64"/>
      <c r="N436" s="64"/>
      <c r="O436" s="64"/>
      <c r="P436" s="64"/>
      <c r="Q436" s="64"/>
      <c r="R436" s="64"/>
      <c r="S436" s="64"/>
      <c r="T436" s="63"/>
      <c r="U436" s="64"/>
      <c r="V436" s="96"/>
      <c r="W436" s="97"/>
      <c r="X436" s="95"/>
      <c r="Y436" s="95"/>
      <c r="Z436" s="95"/>
      <c r="AA436" s="95"/>
      <c r="AB436" s="91"/>
    </row>
    <row r="437" spans="1:28" x14ac:dyDescent="0.25">
      <c r="A437" s="61"/>
      <c r="B437" s="61"/>
      <c r="C437" s="54"/>
      <c r="D437" s="108"/>
      <c r="E437" s="54"/>
      <c r="F437" s="54"/>
      <c r="G437" s="65"/>
      <c r="H437" s="62"/>
      <c r="I437" s="64"/>
      <c r="J437" s="63"/>
      <c r="K437" s="64"/>
      <c r="L437" s="64"/>
      <c r="M437" s="64"/>
      <c r="N437" s="64"/>
      <c r="O437" s="64"/>
      <c r="P437" s="64"/>
      <c r="Q437" s="64"/>
      <c r="R437" s="64"/>
      <c r="S437" s="64"/>
      <c r="T437" s="63"/>
      <c r="U437" s="64"/>
      <c r="V437" s="96"/>
      <c r="W437" s="97"/>
      <c r="X437" s="95"/>
      <c r="Y437" s="95"/>
      <c r="Z437" s="95"/>
      <c r="AA437" s="95"/>
      <c r="AB437" s="91"/>
    </row>
    <row r="438" spans="1:28" x14ac:dyDescent="0.25">
      <c r="A438" s="61"/>
      <c r="B438" s="61"/>
      <c r="C438" s="54"/>
      <c r="D438" s="108"/>
      <c r="E438" s="54"/>
      <c r="F438" s="54"/>
      <c r="G438" s="65"/>
      <c r="H438" s="62"/>
      <c r="I438" s="64"/>
      <c r="J438" s="63"/>
      <c r="K438" s="64"/>
      <c r="L438" s="64"/>
      <c r="M438" s="64"/>
      <c r="N438" s="64"/>
      <c r="O438" s="64"/>
      <c r="P438" s="64"/>
      <c r="Q438" s="64"/>
      <c r="R438" s="64"/>
      <c r="S438" s="64"/>
      <c r="T438" s="63"/>
      <c r="U438" s="64"/>
      <c r="V438" s="96"/>
      <c r="W438" s="97"/>
      <c r="X438" s="95"/>
      <c r="Y438" s="95"/>
      <c r="Z438" s="95"/>
      <c r="AA438" s="95"/>
      <c r="AB438" s="91"/>
    </row>
    <row r="439" spans="1:28" x14ac:dyDescent="0.25">
      <c r="A439" s="61"/>
      <c r="B439" s="61"/>
      <c r="C439" s="54"/>
      <c r="D439" s="108"/>
      <c r="E439" s="54"/>
      <c r="F439" s="54"/>
      <c r="G439" s="65"/>
      <c r="H439" s="62"/>
      <c r="I439" s="64"/>
      <c r="J439" s="63"/>
      <c r="K439" s="64"/>
      <c r="L439" s="64"/>
      <c r="M439" s="64"/>
      <c r="N439" s="64"/>
      <c r="O439" s="64"/>
      <c r="P439" s="64"/>
      <c r="Q439" s="64"/>
      <c r="R439" s="64"/>
      <c r="S439" s="64"/>
      <c r="T439" s="63"/>
      <c r="U439" s="64"/>
      <c r="V439" s="96"/>
      <c r="W439" s="97"/>
      <c r="X439" s="95"/>
      <c r="Y439" s="95"/>
      <c r="Z439" s="95"/>
      <c r="AA439" s="95"/>
      <c r="AB439" s="91"/>
    </row>
    <row r="440" spans="1:28" x14ac:dyDescent="0.25">
      <c r="A440" s="61"/>
      <c r="B440" s="61"/>
      <c r="C440" s="54"/>
      <c r="D440" s="108"/>
      <c r="E440" s="54"/>
      <c r="F440" s="54"/>
      <c r="G440" s="65"/>
      <c r="H440" s="62"/>
      <c r="I440" s="64"/>
      <c r="J440" s="63"/>
      <c r="K440" s="64"/>
      <c r="L440" s="64"/>
      <c r="M440" s="64"/>
      <c r="N440" s="64"/>
      <c r="O440" s="64"/>
      <c r="P440" s="64"/>
      <c r="Q440" s="64"/>
      <c r="R440" s="64"/>
      <c r="S440" s="64"/>
      <c r="T440" s="63"/>
      <c r="U440" s="64"/>
      <c r="V440" s="96"/>
      <c r="W440" s="97"/>
      <c r="X440" s="95"/>
      <c r="Y440" s="95"/>
      <c r="Z440" s="95"/>
      <c r="AA440" s="95"/>
      <c r="AB440" s="91"/>
    </row>
    <row r="441" spans="1:28" x14ac:dyDescent="0.25">
      <c r="A441" s="61"/>
      <c r="B441" s="61"/>
      <c r="C441" s="54"/>
      <c r="D441" s="108"/>
      <c r="E441" s="54"/>
      <c r="F441" s="54"/>
      <c r="G441" s="65"/>
      <c r="H441" s="62"/>
      <c r="I441" s="64"/>
      <c r="J441" s="63"/>
      <c r="K441" s="64"/>
      <c r="L441" s="64"/>
      <c r="M441" s="64"/>
      <c r="N441" s="64"/>
      <c r="O441" s="64"/>
      <c r="P441" s="64"/>
      <c r="Q441" s="64"/>
      <c r="R441" s="64"/>
      <c r="S441" s="64"/>
      <c r="T441" s="63"/>
      <c r="U441" s="64"/>
      <c r="V441" s="96"/>
      <c r="W441" s="97"/>
      <c r="X441" s="95"/>
      <c r="Y441" s="95"/>
      <c r="Z441" s="95"/>
      <c r="AA441" s="95"/>
      <c r="AB441" s="91"/>
    </row>
    <row r="442" spans="1:28" x14ac:dyDescent="0.25">
      <c r="A442" s="61"/>
      <c r="B442" s="61"/>
      <c r="C442" s="54"/>
      <c r="D442" s="108"/>
      <c r="E442" s="54"/>
      <c r="F442" s="54"/>
      <c r="G442" s="65"/>
      <c r="H442" s="62"/>
      <c r="I442" s="64"/>
      <c r="J442" s="63"/>
      <c r="K442" s="64"/>
      <c r="L442" s="64"/>
      <c r="M442" s="64"/>
      <c r="N442" s="64"/>
      <c r="O442" s="64"/>
      <c r="P442" s="64"/>
      <c r="Q442" s="64"/>
      <c r="R442" s="64"/>
      <c r="S442" s="64"/>
      <c r="T442" s="63"/>
      <c r="U442" s="64"/>
      <c r="V442" s="96"/>
      <c r="W442" s="97"/>
      <c r="X442" s="95"/>
      <c r="Y442" s="95"/>
      <c r="Z442" s="95"/>
      <c r="AA442" s="95"/>
      <c r="AB442" s="91"/>
    </row>
    <row r="443" spans="1:28" x14ac:dyDescent="0.25">
      <c r="A443" s="61"/>
      <c r="B443" s="61"/>
      <c r="C443" s="54"/>
      <c r="D443" s="108"/>
      <c r="E443" s="54"/>
      <c r="F443" s="54"/>
      <c r="G443" s="65"/>
      <c r="H443" s="62"/>
      <c r="I443" s="64"/>
      <c r="J443" s="63"/>
      <c r="K443" s="64"/>
      <c r="L443" s="64"/>
      <c r="M443" s="64"/>
      <c r="N443" s="64"/>
      <c r="O443" s="64"/>
      <c r="P443" s="64"/>
      <c r="Q443" s="64"/>
      <c r="R443" s="64"/>
      <c r="S443" s="64"/>
      <c r="T443" s="63"/>
      <c r="U443" s="64"/>
      <c r="V443" s="96"/>
      <c r="W443" s="97"/>
      <c r="X443" s="95"/>
      <c r="Y443" s="95"/>
      <c r="Z443" s="95"/>
      <c r="AA443" s="95"/>
      <c r="AB443" s="91"/>
    </row>
    <row r="444" spans="1:28" x14ac:dyDescent="0.25">
      <c r="A444" s="61"/>
      <c r="B444" s="61"/>
      <c r="C444" s="54"/>
      <c r="D444" s="108"/>
      <c r="E444" s="54"/>
      <c r="F444" s="54"/>
      <c r="G444" s="65"/>
      <c r="H444" s="62"/>
      <c r="I444" s="64"/>
      <c r="J444" s="63"/>
      <c r="K444" s="64"/>
      <c r="L444" s="64"/>
      <c r="M444" s="64"/>
      <c r="N444" s="64"/>
      <c r="O444" s="64"/>
      <c r="P444" s="64"/>
      <c r="Q444" s="64"/>
      <c r="R444" s="64"/>
      <c r="S444" s="64"/>
      <c r="T444" s="63"/>
      <c r="U444" s="64"/>
      <c r="V444" s="96"/>
      <c r="W444" s="97"/>
      <c r="X444" s="95"/>
      <c r="Y444" s="95"/>
      <c r="Z444" s="95"/>
      <c r="AA444" s="95"/>
      <c r="AB444" s="91"/>
    </row>
    <row r="445" spans="1:28" x14ac:dyDescent="0.25">
      <c r="A445" s="61"/>
      <c r="B445" s="61"/>
      <c r="C445" s="54"/>
      <c r="D445" s="108"/>
      <c r="E445" s="54"/>
      <c r="F445" s="54"/>
      <c r="G445" s="65"/>
      <c r="H445" s="62"/>
      <c r="I445" s="64"/>
      <c r="J445" s="63"/>
      <c r="K445" s="64"/>
      <c r="L445" s="64"/>
      <c r="M445" s="64"/>
      <c r="N445" s="64"/>
      <c r="O445" s="64"/>
      <c r="P445" s="64"/>
      <c r="Q445" s="64"/>
      <c r="R445" s="64"/>
      <c r="S445" s="64"/>
      <c r="T445" s="63"/>
      <c r="U445" s="64"/>
      <c r="V445" s="96"/>
      <c r="W445" s="97"/>
      <c r="X445" s="95"/>
      <c r="Y445" s="95"/>
      <c r="Z445" s="95"/>
      <c r="AA445" s="95"/>
      <c r="AB445" s="91"/>
    </row>
    <row r="446" spans="1:28" x14ac:dyDescent="0.25">
      <c r="A446" s="61"/>
      <c r="B446" s="61"/>
      <c r="C446" s="54"/>
      <c r="D446" s="108"/>
      <c r="E446" s="54"/>
      <c r="F446" s="54"/>
      <c r="G446" s="65"/>
      <c r="H446" s="62"/>
      <c r="I446" s="64"/>
      <c r="J446" s="63"/>
      <c r="K446" s="64"/>
      <c r="L446" s="64"/>
      <c r="M446" s="64"/>
      <c r="N446" s="64"/>
      <c r="O446" s="64"/>
      <c r="P446" s="64"/>
      <c r="Q446" s="64"/>
      <c r="R446" s="64"/>
      <c r="S446" s="64"/>
      <c r="T446" s="63"/>
      <c r="U446" s="64"/>
      <c r="V446" s="96"/>
      <c r="W446" s="97"/>
      <c r="X446" s="95"/>
      <c r="Y446" s="95"/>
      <c r="Z446" s="95"/>
      <c r="AA446" s="95"/>
      <c r="AB446" s="91"/>
    </row>
    <row r="447" spans="1:28" x14ac:dyDescent="0.25">
      <c r="A447" s="61"/>
      <c r="B447" s="61"/>
      <c r="C447" s="54"/>
      <c r="D447" s="108"/>
      <c r="E447" s="54"/>
      <c r="F447" s="54"/>
      <c r="G447" s="65"/>
      <c r="H447" s="62"/>
      <c r="I447" s="64"/>
      <c r="J447" s="63"/>
      <c r="K447" s="64"/>
      <c r="L447" s="64"/>
      <c r="M447" s="64"/>
      <c r="N447" s="64"/>
      <c r="O447" s="64"/>
      <c r="P447" s="64"/>
      <c r="Q447" s="64"/>
      <c r="R447" s="64"/>
      <c r="S447" s="64"/>
      <c r="T447" s="63"/>
      <c r="U447" s="64"/>
      <c r="V447" s="96"/>
      <c r="W447" s="97"/>
      <c r="X447" s="95"/>
      <c r="Y447" s="95"/>
      <c r="Z447" s="95"/>
      <c r="AA447" s="95"/>
      <c r="AB447" s="91"/>
    </row>
    <row r="448" spans="1:28" x14ac:dyDescent="0.25">
      <c r="A448" s="61"/>
      <c r="B448" s="61"/>
      <c r="C448" s="54"/>
      <c r="D448" s="108"/>
      <c r="E448" s="54"/>
      <c r="F448" s="54"/>
      <c r="G448" s="65"/>
      <c r="H448" s="62"/>
      <c r="I448" s="64"/>
      <c r="J448" s="63"/>
      <c r="K448" s="64"/>
      <c r="L448" s="64"/>
      <c r="M448" s="64"/>
      <c r="N448" s="64"/>
      <c r="O448" s="64"/>
      <c r="P448" s="64"/>
      <c r="Q448" s="64"/>
      <c r="R448" s="64"/>
      <c r="S448" s="64"/>
      <c r="T448" s="63"/>
      <c r="U448" s="64"/>
      <c r="V448" s="96"/>
      <c r="W448" s="97"/>
      <c r="X448" s="95"/>
      <c r="Y448" s="95"/>
      <c r="Z448" s="95"/>
      <c r="AA448" s="95"/>
      <c r="AB448" s="91"/>
    </row>
    <row r="449" spans="1:28" x14ac:dyDescent="0.25">
      <c r="A449" s="61"/>
      <c r="B449" s="61"/>
      <c r="C449" s="54"/>
      <c r="D449" s="108"/>
      <c r="E449" s="54"/>
      <c r="F449" s="54"/>
      <c r="G449" s="65"/>
      <c r="H449" s="62"/>
      <c r="I449" s="64"/>
      <c r="J449" s="63"/>
      <c r="K449" s="64"/>
      <c r="L449" s="64"/>
      <c r="M449" s="64"/>
      <c r="N449" s="64"/>
      <c r="O449" s="64"/>
      <c r="P449" s="64"/>
      <c r="Q449" s="64"/>
      <c r="R449" s="64"/>
      <c r="S449" s="64"/>
      <c r="T449" s="63"/>
      <c r="U449" s="64"/>
      <c r="V449" s="96"/>
      <c r="W449" s="97"/>
      <c r="X449" s="95"/>
      <c r="Y449" s="95"/>
      <c r="Z449" s="95"/>
      <c r="AA449" s="95"/>
      <c r="AB449" s="91"/>
    </row>
    <row r="450" spans="1:28" x14ac:dyDescent="0.25">
      <c r="A450" s="61"/>
      <c r="B450" s="61"/>
      <c r="C450" s="54"/>
      <c r="D450" s="108"/>
      <c r="E450" s="54"/>
      <c r="F450" s="54"/>
      <c r="G450" s="65"/>
      <c r="H450" s="62"/>
      <c r="I450" s="64"/>
      <c r="J450" s="63"/>
      <c r="K450" s="64"/>
      <c r="L450" s="64"/>
      <c r="M450" s="64"/>
      <c r="N450" s="64"/>
      <c r="O450" s="64"/>
      <c r="P450" s="64"/>
      <c r="Q450" s="64"/>
      <c r="R450" s="64"/>
      <c r="S450" s="64"/>
      <c r="T450" s="63"/>
      <c r="U450" s="64"/>
      <c r="V450" s="96"/>
      <c r="W450" s="97"/>
      <c r="X450" s="95"/>
      <c r="Y450" s="95"/>
      <c r="Z450" s="95"/>
      <c r="AA450" s="95"/>
      <c r="AB450" s="91"/>
    </row>
    <row r="451" spans="1:28" x14ac:dyDescent="0.25">
      <c r="A451" s="61"/>
      <c r="B451" s="61"/>
      <c r="C451" s="54"/>
      <c r="D451" s="108"/>
      <c r="E451" s="54"/>
      <c r="F451" s="54"/>
      <c r="G451" s="65"/>
      <c r="H451" s="62"/>
      <c r="I451" s="64"/>
      <c r="J451" s="63"/>
      <c r="K451" s="64"/>
      <c r="L451" s="64"/>
      <c r="M451" s="64"/>
      <c r="N451" s="64"/>
      <c r="O451" s="64"/>
      <c r="P451" s="64"/>
      <c r="Q451" s="64"/>
      <c r="R451" s="64"/>
      <c r="S451" s="64"/>
      <c r="T451" s="63"/>
      <c r="U451" s="64"/>
      <c r="V451" s="96"/>
      <c r="W451" s="97"/>
      <c r="X451" s="95"/>
      <c r="Y451" s="95"/>
      <c r="Z451" s="95"/>
      <c r="AA451" s="95"/>
      <c r="AB451" s="91"/>
    </row>
    <row r="452" spans="1:28" x14ac:dyDescent="0.25">
      <c r="A452" s="61"/>
      <c r="B452" s="61"/>
      <c r="C452" s="54"/>
      <c r="D452" s="108"/>
      <c r="E452" s="54"/>
      <c r="F452" s="54"/>
      <c r="G452" s="65"/>
      <c r="H452" s="62"/>
      <c r="I452" s="64"/>
      <c r="J452" s="63"/>
      <c r="K452" s="64"/>
      <c r="L452" s="64"/>
      <c r="M452" s="64"/>
      <c r="N452" s="64"/>
      <c r="O452" s="64"/>
      <c r="P452" s="64"/>
      <c r="Q452" s="64"/>
      <c r="R452" s="64"/>
      <c r="S452" s="64"/>
      <c r="T452" s="63"/>
      <c r="U452" s="64"/>
      <c r="V452" s="96"/>
      <c r="W452" s="97"/>
      <c r="X452" s="95"/>
      <c r="Y452" s="95"/>
      <c r="Z452" s="95"/>
      <c r="AA452" s="95"/>
      <c r="AB452" s="91"/>
    </row>
    <row r="453" spans="1:28" x14ac:dyDescent="0.25">
      <c r="A453" s="61"/>
      <c r="B453" s="61"/>
      <c r="C453" s="54"/>
      <c r="D453" s="108"/>
      <c r="E453" s="54"/>
      <c r="F453" s="54"/>
      <c r="G453" s="65"/>
      <c r="H453" s="62"/>
      <c r="I453" s="64"/>
      <c r="J453" s="63"/>
      <c r="K453" s="64"/>
      <c r="L453" s="64"/>
      <c r="M453" s="64"/>
      <c r="N453" s="64"/>
      <c r="O453" s="64"/>
      <c r="P453" s="64"/>
      <c r="Q453" s="64"/>
      <c r="R453" s="64"/>
      <c r="S453" s="64"/>
      <c r="T453" s="63"/>
      <c r="U453" s="64"/>
      <c r="V453" s="96"/>
      <c r="W453" s="97"/>
      <c r="X453" s="95"/>
      <c r="Y453" s="95"/>
      <c r="Z453" s="95"/>
      <c r="AA453" s="95"/>
      <c r="AB453" s="91"/>
    </row>
    <row r="454" spans="1:28" x14ac:dyDescent="0.25">
      <c r="A454" s="61"/>
      <c r="B454" s="61"/>
      <c r="C454" s="54"/>
      <c r="D454" s="108"/>
      <c r="E454" s="54"/>
      <c r="F454" s="54"/>
      <c r="G454" s="65"/>
      <c r="H454" s="62"/>
      <c r="I454" s="64"/>
      <c r="J454" s="63"/>
      <c r="K454" s="64"/>
      <c r="L454" s="64"/>
      <c r="M454" s="64"/>
      <c r="N454" s="64"/>
      <c r="O454" s="64"/>
      <c r="P454" s="64"/>
      <c r="Q454" s="64"/>
      <c r="R454" s="64"/>
      <c r="S454" s="64"/>
      <c r="T454" s="63"/>
      <c r="U454" s="64"/>
      <c r="V454" s="96"/>
      <c r="W454" s="97"/>
      <c r="X454" s="95"/>
      <c r="Y454" s="95"/>
      <c r="Z454" s="95"/>
      <c r="AA454" s="95"/>
      <c r="AB454" s="91"/>
    </row>
    <row r="455" spans="1:28" x14ac:dyDescent="0.25">
      <c r="A455" s="61"/>
      <c r="B455" s="61"/>
      <c r="C455" s="54"/>
      <c r="D455" s="108"/>
      <c r="E455" s="54"/>
      <c r="F455" s="54"/>
      <c r="G455" s="65"/>
      <c r="H455" s="62"/>
      <c r="I455" s="64"/>
      <c r="J455" s="63"/>
      <c r="K455" s="64"/>
      <c r="L455" s="64"/>
      <c r="M455" s="64"/>
      <c r="N455" s="64"/>
      <c r="O455" s="64"/>
      <c r="P455" s="64"/>
      <c r="Q455" s="64"/>
      <c r="R455" s="64"/>
      <c r="S455" s="64"/>
      <c r="T455" s="63"/>
      <c r="U455" s="64"/>
      <c r="V455" s="96"/>
      <c r="W455" s="97"/>
      <c r="X455" s="95"/>
      <c r="Y455" s="95"/>
      <c r="Z455" s="95"/>
      <c r="AA455" s="95"/>
      <c r="AB455" s="91"/>
    </row>
    <row r="456" spans="1:28" x14ac:dyDescent="0.25">
      <c r="A456" s="61"/>
      <c r="B456" s="61"/>
      <c r="C456" s="54"/>
      <c r="D456" s="108"/>
      <c r="E456" s="54"/>
      <c r="F456" s="54"/>
      <c r="G456" s="65"/>
      <c r="H456" s="62"/>
      <c r="I456" s="64"/>
      <c r="J456" s="63"/>
      <c r="K456" s="64"/>
      <c r="L456" s="64"/>
      <c r="M456" s="64"/>
      <c r="N456" s="64"/>
      <c r="O456" s="64"/>
      <c r="P456" s="64"/>
      <c r="Q456" s="64"/>
      <c r="R456" s="64"/>
      <c r="S456" s="64"/>
      <c r="T456" s="63"/>
      <c r="U456" s="64"/>
      <c r="V456" s="96"/>
      <c r="W456" s="97"/>
      <c r="X456" s="95"/>
      <c r="Y456" s="95"/>
      <c r="Z456" s="95"/>
      <c r="AA456" s="95"/>
      <c r="AB456" s="91"/>
    </row>
    <row r="457" spans="1:28" x14ac:dyDescent="0.25">
      <c r="A457" s="61"/>
      <c r="B457" s="61"/>
      <c r="C457" s="54"/>
      <c r="D457" s="108"/>
      <c r="E457" s="54"/>
      <c r="F457" s="54"/>
      <c r="G457" s="65"/>
      <c r="H457" s="62"/>
      <c r="I457" s="64"/>
      <c r="J457" s="63"/>
      <c r="K457" s="64"/>
      <c r="L457" s="64"/>
      <c r="M457" s="64"/>
      <c r="N457" s="64"/>
      <c r="O457" s="64"/>
      <c r="P457" s="64"/>
      <c r="Q457" s="64"/>
      <c r="R457" s="64"/>
      <c r="S457" s="64"/>
      <c r="T457" s="63"/>
      <c r="U457" s="64"/>
      <c r="V457" s="96"/>
      <c r="W457" s="97"/>
      <c r="X457" s="95"/>
      <c r="Y457" s="95"/>
      <c r="Z457" s="95"/>
      <c r="AA457" s="95"/>
      <c r="AB457" s="91"/>
    </row>
    <row r="458" spans="1:28" x14ac:dyDescent="0.25">
      <c r="A458" s="61"/>
      <c r="B458" s="61"/>
      <c r="C458" s="54"/>
      <c r="D458" s="108"/>
      <c r="E458" s="54"/>
      <c r="F458" s="54"/>
      <c r="G458" s="65"/>
      <c r="H458" s="62"/>
      <c r="I458" s="64"/>
      <c r="J458" s="63"/>
      <c r="K458" s="64"/>
      <c r="L458" s="64"/>
      <c r="M458" s="64"/>
      <c r="N458" s="64"/>
      <c r="O458" s="64"/>
      <c r="P458" s="64"/>
      <c r="Q458" s="64"/>
      <c r="R458" s="64"/>
      <c r="S458" s="64"/>
      <c r="T458" s="63"/>
      <c r="U458" s="64"/>
      <c r="V458" s="96"/>
      <c r="W458" s="97"/>
      <c r="X458" s="95"/>
      <c r="Y458" s="95"/>
      <c r="Z458" s="95"/>
      <c r="AA458" s="95"/>
      <c r="AB458" s="91"/>
    </row>
    <row r="459" spans="1:28" x14ac:dyDescent="0.25">
      <c r="A459" s="61"/>
      <c r="B459" s="61"/>
      <c r="C459" s="54"/>
      <c r="D459" s="108"/>
      <c r="E459" s="54"/>
      <c r="F459" s="54"/>
      <c r="G459" s="65"/>
      <c r="H459" s="62"/>
      <c r="I459" s="64"/>
      <c r="J459" s="63"/>
      <c r="K459" s="64"/>
      <c r="L459" s="64"/>
      <c r="M459" s="64"/>
      <c r="N459" s="64"/>
      <c r="O459" s="64"/>
      <c r="P459" s="64"/>
      <c r="Q459" s="64"/>
      <c r="R459" s="64"/>
      <c r="S459" s="64"/>
      <c r="T459" s="63"/>
      <c r="U459" s="64"/>
      <c r="V459" s="96"/>
      <c r="W459" s="97"/>
      <c r="X459" s="95"/>
      <c r="Y459" s="95"/>
      <c r="Z459" s="95"/>
      <c r="AA459" s="95"/>
      <c r="AB459" s="91"/>
    </row>
    <row r="460" spans="1:28" x14ac:dyDescent="0.25">
      <c r="A460" s="61"/>
      <c r="B460" s="61"/>
      <c r="C460" s="54"/>
      <c r="D460" s="108"/>
      <c r="E460" s="54"/>
      <c r="F460" s="54"/>
      <c r="G460" s="65"/>
      <c r="H460" s="62"/>
      <c r="I460" s="64"/>
      <c r="J460" s="63"/>
      <c r="K460" s="64"/>
      <c r="L460" s="64"/>
      <c r="M460" s="64"/>
      <c r="N460" s="64"/>
      <c r="O460" s="64"/>
      <c r="P460" s="64"/>
      <c r="Q460" s="64"/>
      <c r="R460" s="64"/>
      <c r="S460" s="64"/>
      <c r="T460" s="63"/>
      <c r="U460" s="64"/>
      <c r="V460" s="96"/>
      <c r="W460" s="97"/>
      <c r="X460" s="95"/>
      <c r="Y460" s="95"/>
      <c r="Z460" s="95"/>
      <c r="AA460" s="95"/>
      <c r="AB460" s="91"/>
    </row>
    <row r="461" spans="1:28" x14ac:dyDescent="0.25">
      <c r="A461" s="61"/>
      <c r="B461" s="61"/>
      <c r="C461" s="54"/>
      <c r="D461" s="108"/>
      <c r="E461" s="54"/>
      <c r="F461" s="54"/>
      <c r="G461" s="65"/>
      <c r="H461" s="62"/>
      <c r="I461" s="64"/>
      <c r="J461" s="63"/>
      <c r="K461" s="64"/>
      <c r="L461" s="64"/>
      <c r="M461" s="64"/>
      <c r="N461" s="64"/>
      <c r="O461" s="64"/>
      <c r="P461" s="64"/>
      <c r="Q461" s="64"/>
      <c r="R461" s="64"/>
      <c r="S461" s="64"/>
      <c r="T461" s="63"/>
      <c r="U461" s="64"/>
      <c r="V461" s="96"/>
      <c r="W461" s="97"/>
      <c r="X461" s="95"/>
      <c r="Y461" s="95"/>
      <c r="Z461" s="95"/>
      <c r="AA461" s="95"/>
      <c r="AB461" s="91"/>
    </row>
    <row r="462" spans="1:28" x14ac:dyDescent="0.25">
      <c r="A462" s="61"/>
      <c r="B462" s="61"/>
      <c r="C462" s="54"/>
      <c r="D462" s="108"/>
      <c r="E462" s="54"/>
      <c r="F462" s="54"/>
      <c r="G462" s="65"/>
      <c r="H462" s="62"/>
      <c r="I462" s="64"/>
      <c r="J462" s="63"/>
      <c r="K462" s="64"/>
      <c r="L462" s="64"/>
      <c r="M462" s="64"/>
      <c r="N462" s="64"/>
      <c r="O462" s="64"/>
      <c r="P462" s="64"/>
      <c r="Q462" s="64"/>
      <c r="R462" s="64"/>
      <c r="S462" s="64"/>
      <c r="T462" s="63"/>
      <c r="U462" s="64"/>
      <c r="V462" s="96"/>
      <c r="W462" s="97"/>
      <c r="X462" s="95"/>
      <c r="Y462" s="95"/>
      <c r="Z462" s="95"/>
      <c r="AA462" s="95"/>
      <c r="AB462" s="91"/>
    </row>
    <row r="463" spans="1:28" x14ac:dyDescent="0.25">
      <c r="A463" s="61"/>
      <c r="B463" s="61"/>
      <c r="C463" s="54"/>
      <c r="D463" s="108"/>
      <c r="E463" s="54"/>
      <c r="F463" s="54"/>
      <c r="G463" s="65"/>
      <c r="H463" s="62"/>
      <c r="I463" s="64"/>
      <c r="J463" s="63"/>
      <c r="K463" s="64"/>
      <c r="L463" s="64"/>
      <c r="M463" s="64"/>
      <c r="N463" s="64"/>
      <c r="O463" s="64"/>
      <c r="P463" s="64"/>
      <c r="Q463" s="64"/>
      <c r="R463" s="64"/>
      <c r="S463" s="64"/>
      <c r="T463" s="63"/>
      <c r="U463" s="64"/>
      <c r="V463" s="96"/>
      <c r="W463" s="97"/>
      <c r="X463" s="95"/>
      <c r="Y463" s="95"/>
      <c r="Z463" s="95"/>
      <c r="AA463" s="95"/>
      <c r="AB463" s="91"/>
    </row>
    <row r="464" spans="1:28" x14ac:dyDescent="0.25">
      <c r="A464" s="61"/>
      <c r="B464" s="61"/>
      <c r="C464" s="54"/>
      <c r="D464" s="108"/>
      <c r="E464" s="54"/>
      <c r="F464" s="54"/>
      <c r="G464" s="65"/>
      <c r="H464" s="62"/>
      <c r="I464" s="64"/>
      <c r="J464" s="63"/>
      <c r="K464" s="64"/>
      <c r="L464" s="64"/>
      <c r="M464" s="64"/>
      <c r="N464" s="64"/>
      <c r="O464" s="64"/>
      <c r="P464" s="64"/>
      <c r="Q464" s="64"/>
      <c r="R464" s="64"/>
      <c r="S464" s="64"/>
      <c r="T464" s="63"/>
      <c r="U464" s="64"/>
      <c r="V464" s="96"/>
      <c r="W464" s="97"/>
      <c r="X464" s="95"/>
      <c r="Y464" s="95"/>
      <c r="Z464" s="95"/>
      <c r="AA464" s="95"/>
      <c r="AB464" s="91"/>
    </row>
    <row r="465" spans="1:28" x14ac:dyDescent="0.25">
      <c r="A465" s="61"/>
      <c r="B465" s="61"/>
      <c r="C465" s="54"/>
      <c r="D465" s="108"/>
      <c r="E465" s="54"/>
      <c r="F465" s="54"/>
      <c r="G465" s="65"/>
      <c r="H465" s="62"/>
      <c r="I465" s="64"/>
      <c r="J465" s="63"/>
      <c r="K465" s="64"/>
      <c r="L465" s="64"/>
      <c r="M465" s="64"/>
      <c r="N465" s="64"/>
      <c r="O465" s="64"/>
      <c r="P465" s="64"/>
      <c r="Q465" s="64"/>
      <c r="R465" s="64"/>
      <c r="S465" s="64"/>
      <c r="T465" s="63"/>
      <c r="U465" s="64"/>
      <c r="V465" s="96"/>
      <c r="W465" s="97"/>
      <c r="X465" s="95"/>
      <c r="Y465" s="95"/>
      <c r="Z465" s="95"/>
      <c r="AA465" s="95"/>
      <c r="AB465" s="91"/>
    </row>
    <row r="466" spans="1:28" x14ac:dyDescent="0.25">
      <c r="A466" s="61"/>
      <c r="B466" s="61"/>
      <c r="C466" s="54"/>
      <c r="D466" s="108"/>
      <c r="E466" s="54"/>
      <c r="F466" s="54"/>
      <c r="G466" s="65"/>
      <c r="H466" s="62"/>
      <c r="I466" s="64"/>
      <c r="J466" s="63"/>
      <c r="K466" s="64"/>
      <c r="L466" s="64"/>
      <c r="M466" s="64"/>
      <c r="N466" s="64"/>
      <c r="O466" s="64"/>
      <c r="P466" s="64"/>
      <c r="Q466" s="64"/>
      <c r="R466" s="64"/>
      <c r="S466" s="64"/>
      <c r="T466" s="63"/>
      <c r="U466" s="64"/>
      <c r="V466" s="96"/>
      <c r="W466" s="97"/>
      <c r="X466" s="95"/>
      <c r="Y466" s="95"/>
      <c r="Z466" s="95"/>
      <c r="AA466" s="95"/>
      <c r="AB466" s="91"/>
    </row>
    <row r="467" spans="1:28" x14ac:dyDescent="0.25">
      <c r="A467" s="61"/>
      <c r="B467" s="61"/>
      <c r="C467" s="54"/>
      <c r="D467" s="108"/>
      <c r="E467" s="54"/>
      <c r="F467" s="54"/>
      <c r="G467" s="65"/>
      <c r="H467" s="62"/>
      <c r="I467" s="64"/>
      <c r="J467" s="63"/>
      <c r="K467" s="64"/>
      <c r="L467" s="64"/>
      <c r="M467" s="64"/>
      <c r="N467" s="64"/>
      <c r="O467" s="64"/>
      <c r="P467" s="64"/>
      <c r="Q467" s="64"/>
      <c r="R467" s="64"/>
      <c r="S467" s="64"/>
      <c r="T467" s="63"/>
      <c r="U467" s="64"/>
      <c r="V467" s="96"/>
      <c r="W467" s="97"/>
      <c r="X467" s="95"/>
      <c r="Y467" s="95"/>
      <c r="Z467" s="95"/>
      <c r="AA467" s="95"/>
      <c r="AB467" s="91"/>
    </row>
    <row r="468" spans="1:28" x14ac:dyDescent="0.25">
      <c r="A468" s="61"/>
      <c r="B468" s="61"/>
      <c r="C468" s="54"/>
      <c r="D468" s="108"/>
      <c r="E468" s="54"/>
      <c r="F468" s="54"/>
      <c r="G468" s="65"/>
      <c r="H468" s="62"/>
      <c r="I468" s="64"/>
      <c r="J468" s="63"/>
      <c r="K468" s="64"/>
      <c r="L468" s="64"/>
      <c r="M468" s="64"/>
      <c r="N468" s="64"/>
      <c r="O468" s="64"/>
      <c r="P468" s="64"/>
      <c r="Q468" s="64"/>
      <c r="R468" s="64"/>
      <c r="S468" s="64"/>
      <c r="T468" s="63"/>
      <c r="U468" s="64"/>
      <c r="V468" s="96"/>
      <c r="W468" s="97"/>
      <c r="X468" s="95"/>
      <c r="Y468" s="95"/>
      <c r="Z468" s="95"/>
      <c r="AA468" s="95"/>
      <c r="AB468" s="91"/>
    </row>
    <row r="469" spans="1:28" x14ac:dyDescent="0.25">
      <c r="A469" s="61"/>
      <c r="B469" s="61"/>
      <c r="C469" s="54"/>
      <c r="D469" s="108"/>
      <c r="E469" s="54"/>
      <c r="F469" s="54"/>
      <c r="G469" s="65"/>
      <c r="H469" s="62"/>
      <c r="I469" s="64"/>
      <c r="J469" s="63"/>
      <c r="K469" s="64"/>
      <c r="L469" s="64"/>
      <c r="M469" s="64"/>
      <c r="N469" s="64"/>
      <c r="O469" s="64"/>
      <c r="P469" s="64"/>
      <c r="Q469" s="64"/>
      <c r="R469" s="64"/>
      <c r="S469" s="64"/>
      <c r="T469" s="63"/>
      <c r="U469" s="64"/>
      <c r="V469" s="96"/>
      <c r="W469" s="97"/>
      <c r="X469" s="95"/>
      <c r="Y469" s="95"/>
      <c r="Z469" s="95"/>
      <c r="AA469" s="95"/>
      <c r="AB469" s="91"/>
    </row>
    <row r="470" spans="1:28" x14ac:dyDescent="0.25">
      <c r="A470" s="61"/>
      <c r="B470" s="61"/>
      <c r="C470" s="54"/>
      <c r="D470" s="108"/>
      <c r="E470" s="54"/>
      <c r="F470" s="54"/>
      <c r="G470" s="65"/>
      <c r="H470" s="62"/>
      <c r="I470" s="64"/>
      <c r="J470" s="63"/>
      <c r="K470" s="64"/>
      <c r="L470" s="64"/>
      <c r="M470" s="64"/>
      <c r="N470" s="64"/>
      <c r="O470" s="64"/>
      <c r="P470" s="64"/>
      <c r="Q470" s="64"/>
      <c r="R470" s="64"/>
      <c r="S470" s="64"/>
      <c r="T470" s="63"/>
      <c r="U470" s="64"/>
      <c r="V470" s="96"/>
      <c r="W470" s="97"/>
      <c r="X470" s="95"/>
      <c r="Y470" s="95"/>
      <c r="Z470" s="95"/>
      <c r="AA470" s="95"/>
      <c r="AB470" s="91"/>
    </row>
    <row r="471" spans="1:28" x14ac:dyDescent="0.25">
      <c r="A471" s="61"/>
      <c r="B471" s="61"/>
      <c r="C471" s="54"/>
      <c r="D471" s="108"/>
      <c r="E471" s="54"/>
      <c r="F471" s="54"/>
      <c r="G471" s="65"/>
      <c r="H471" s="62"/>
      <c r="I471" s="64"/>
      <c r="J471" s="63"/>
      <c r="K471" s="64"/>
      <c r="L471" s="64"/>
      <c r="M471" s="64"/>
      <c r="N471" s="64"/>
      <c r="O471" s="64"/>
      <c r="P471" s="64"/>
      <c r="Q471" s="64"/>
      <c r="R471" s="64"/>
      <c r="S471" s="64"/>
      <c r="T471" s="63"/>
      <c r="U471" s="64"/>
      <c r="V471" s="96"/>
      <c r="W471" s="97"/>
      <c r="X471" s="95"/>
      <c r="Y471" s="95"/>
      <c r="Z471" s="95"/>
      <c r="AA471" s="95"/>
      <c r="AB471" s="91"/>
    </row>
    <row r="472" spans="1:28" x14ac:dyDescent="0.25">
      <c r="A472" s="61"/>
      <c r="B472" s="61"/>
      <c r="C472" s="54"/>
      <c r="D472" s="108"/>
      <c r="E472" s="54"/>
      <c r="F472" s="54"/>
      <c r="G472" s="65"/>
      <c r="H472" s="62"/>
      <c r="I472" s="64"/>
      <c r="J472" s="63"/>
      <c r="K472" s="64"/>
      <c r="L472" s="64"/>
      <c r="M472" s="64"/>
      <c r="N472" s="64"/>
      <c r="O472" s="64"/>
      <c r="P472" s="64"/>
      <c r="Q472" s="64"/>
      <c r="R472" s="64"/>
      <c r="S472" s="64"/>
      <c r="T472" s="63"/>
      <c r="U472" s="64"/>
      <c r="V472" s="96"/>
      <c r="W472" s="97"/>
      <c r="X472" s="95"/>
      <c r="Y472" s="95"/>
      <c r="Z472" s="95"/>
      <c r="AA472" s="95"/>
      <c r="AB472" s="91"/>
    </row>
    <row r="473" spans="1:28" x14ac:dyDescent="0.25">
      <c r="A473" s="61"/>
      <c r="B473" s="61"/>
      <c r="C473" s="54"/>
      <c r="D473" s="108"/>
      <c r="E473" s="54"/>
      <c r="F473" s="54"/>
      <c r="G473" s="65"/>
      <c r="H473" s="62"/>
      <c r="I473" s="64"/>
      <c r="J473" s="63"/>
      <c r="K473" s="64"/>
      <c r="L473" s="64"/>
      <c r="M473" s="64"/>
      <c r="N473" s="64"/>
      <c r="O473" s="64"/>
      <c r="P473" s="64"/>
      <c r="Q473" s="64"/>
      <c r="R473" s="64"/>
      <c r="S473" s="64"/>
      <c r="T473" s="63"/>
      <c r="U473" s="64"/>
      <c r="V473" s="96"/>
      <c r="W473" s="97"/>
      <c r="X473" s="95"/>
      <c r="Y473" s="95"/>
      <c r="Z473" s="95"/>
      <c r="AA473" s="95"/>
      <c r="AB473" s="91"/>
    </row>
    <row r="474" spans="1:28" x14ac:dyDescent="0.25">
      <c r="A474" s="61"/>
      <c r="B474" s="61"/>
      <c r="C474" s="54"/>
      <c r="D474" s="108"/>
      <c r="E474" s="54"/>
      <c r="F474" s="54"/>
      <c r="G474" s="65"/>
      <c r="H474" s="62"/>
      <c r="I474" s="64"/>
      <c r="J474" s="63"/>
      <c r="K474" s="64"/>
      <c r="L474" s="64"/>
      <c r="M474" s="64"/>
      <c r="N474" s="64"/>
      <c r="O474" s="64"/>
      <c r="P474" s="64"/>
      <c r="Q474" s="64"/>
      <c r="R474" s="64"/>
      <c r="S474" s="64"/>
      <c r="T474" s="63"/>
      <c r="U474" s="64"/>
      <c r="V474" s="96"/>
      <c r="W474" s="97"/>
      <c r="X474" s="95"/>
      <c r="Y474" s="95"/>
      <c r="Z474" s="95"/>
      <c r="AA474" s="95"/>
      <c r="AB474" s="91"/>
    </row>
    <row r="475" spans="1:28" x14ac:dyDescent="0.25">
      <c r="A475" s="61"/>
      <c r="B475" s="61"/>
      <c r="C475" s="54"/>
      <c r="D475" s="108"/>
      <c r="E475" s="54"/>
      <c r="F475" s="54"/>
      <c r="G475" s="65"/>
      <c r="H475" s="62"/>
      <c r="I475" s="64"/>
      <c r="J475" s="63"/>
      <c r="K475" s="64"/>
      <c r="L475" s="64"/>
      <c r="M475" s="64"/>
      <c r="N475" s="64"/>
      <c r="O475" s="64"/>
      <c r="P475" s="64"/>
      <c r="Q475" s="64"/>
      <c r="R475" s="64"/>
      <c r="S475" s="64"/>
      <c r="T475" s="63"/>
      <c r="U475" s="64"/>
      <c r="V475" s="96"/>
      <c r="W475" s="97"/>
      <c r="X475" s="95"/>
      <c r="Y475" s="95"/>
      <c r="Z475" s="95"/>
      <c r="AA475" s="95"/>
      <c r="AB475" s="91"/>
    </row>
    <row r="476" spans="1:28" x14ac:dyDescent="0.25">
      <c r="A476" s="61"/>
      <c r="B476" s="61"/>
      <c r="C476" s="54"/>
      <c r="D476" s="108"/>
      <c r="E476" s="54"/>
      <c r="F476" s="54"/>
      <c r="G476" s="65"/>
      <c r="H476" s="62"/>
      <c r="I476" s="64"/>
      <c r="J476" s="63"/>
      <c r="K476" s="64"/>
      <c r="L476" s="64"/>
      <c r="M476" s="64"/>
      <c r="N476" s="64"/>
      <c r="O476" s="64"/>
      <c r="P476" s="64"/>
      <c r="Q476" s="64"/>
      <c r="R476" s="64"/>
      <c r="S476" s="64"/>
      <c r="T476" s="63"/>
      <c r="U476" s="64"/>
      <c r="V476" s="96"/>
      <c r="W476" s="97"/>
      <c r="X476" s="95"/>
      <c r="Y476" s="95"/>
      <c r="Z476" s="95"/>
      <c r="AA476" s="95"/>
      <c r="AB476" s="91"/>
    </row>
    <row r="477" spans="1:28" x14ac:dyDescent="0.25">
      <c r="A477" s="61"/>
      <c r="B477" s="61"/>
      <c r="C477" s="54"/>
      <c r="D477" s="108"/>
      <c r="E477" s="54"/>
      <c r="F477" s="54"/>
      <c r="G477" s="65"/>
      <c r="H477" s="62"/>
      <c r="I477" s="64"/>
      <c r="J477" s="63"/>
      <c r="K477" s="64"/>
      <c r="L477" s="64"/>
      <c r="M477" s="64"/>
      <c r="N477" s="64"/>
      <c r="O477" s="64"/>
      <c r="P477" s="64"/>
      <c r="Q477" s="64"/>
      <c r="R477" s="64"/>
      <c r="S477" s="64"/>
      <c r="T477" s="63"/>
      <c r="U477" s="64"/>
      <c r="V477" s="96"/>
      <c r="W477" s="97"/>
      <c r="X477" s="95"/>
      <c r="Y477" s="95"/>
      <c r="Z477" s="95"/>
      <c r="AA477" s="95"/>
      <c r="AB477" s="91"/>
    </row>
    <row r="478" spans="1:28" x14ac:dyDescent="0.25">
      <c r="A478" s="61"/>
      <c r="B478" s="61"/>
      <c r="C478" s="54"/>
      <c r="D478" s="108"/>
      <c r="E478" s="54"/>
      <c r="F478" s="54"/>
      <c r="G478" s="65"/>
      <c r="H478" s="62"/>
      <c r="I478" s="64"/>
      <c r="J478" s="63"/>
      <c r="K478" s="64"/>
      <c r="L478" s="64"/>
      <c r="M478" s="64"/>
      <c r="N478" s="64"/>
      <c r="O478" s="64"/>
      <c r="P478" s="64"/>
      <c r="Q478" s="64"/>
      <c r="R478" s="64"/>
      <c r="S478" s="64"/>
      <c r="T478" s="63"/>
      <c r="U478" s="64"/>
      <c r="V478" s="96"/>
      <c r="W478" s="97"/>
      <c r="X478" s="95"/>
      <c r="Y478" s="95"/>
      <c r="Z478" s="95"/>
      <c r="AA478" s="95"/>
      <c r="AB478" s="91"/>
    </row>
    <row r="479" spans="1:28" x14ac:dyDescent="0.25">
      <c r="A479" s="61"/>
      <c r="B479" s="61"/>
      <c r="C479" s="54"/>
      <c r="D479" s="108"/>
      <c r="E479" s="54"/>
      <c r="F479" s="54"/>
      <c r="G479" s="65"/>
      <c r="H479" s="62"/>
      <c r="I479" s="64"/>
      <c r="J479" s="63"/>
      <c r="K479" s="64"/>
      <c r="L479" s="64"/>
      <c r="M479" s="64"/>
      <c r="N479" s="64"/>
      <c r="O479" s="64"/>
      <c r="P479" s="64"/>
      <c r="Q479" s="64"/>
      <c r="R479" s="64"/>
      <c r="S479" s="64"/>
      <c r="T479" s="63"/>
      <c r="U479" s="64"/>
      <c r="V479" s="96"/>
      <c r="W479" s="97"/>
      <c r="X479" s="95"/>
      <c r="Y479" s="95"/>
      <c r="Z479" s="95"/>
      <c r="AA479" s="95"/>
      <c r="AB479" s="91"/>
    </row>
    <row r="480" spans="1:28" x14ac:dyDescent="0.25">
      <c r="A480" s="61"/>
      <c r="B480" s="61"/>
      <c r="C480" s="54"/>
      <c r="D480" s="108"/>
      <c r="E480" s="54"/>
      <c r="F480" s="54"/>
      <c r="G480" s="65"/>
      <c r="H480" s="62"/>
      <c r="I480" s="64"/>
      <c r="J480" s="63"/>
      <c r="K480" s="64"/>
      <c r="L480" s="64"/>
      <c r="M480" s="64"/>
      <c r="N480" s="64"/>
      <c r="O480" s="64"/>
      <c r="P480" s="64"/>
      <c r="Q480" s="64"/>
      <c r="R480" s="64"/>
      <c r="S480" s="64"/>
      <c r="T480" s="63"/>
      <c r="U480" s="64"/>
      <c r="V480" s="96"/>
      <c r="W480" s="97"/>
      <c r="X480" s="95"/>
      <c r="Y480" s="95"/>
      <c r="Z480" s="95"/>
      <c r="AA480" s="95"/>
      <c r="AB480" s="91"/>
    </row>
    <row r="481" spans="1:28" x14ac:dyDescent="0.25">
      <c r="A481" s="61"/>
      <c r="B481" s="61"/>
      <c r="C481" s="54"/>
      <c r="D481" s="108"/>
      <c r="E481" s="54"/>
      <c r="F481" s="54"/>
      <c r="G481" s="65"/>
      <c r="H481" s="62"/>
      <c r="I481" s="64"/>
      <c r="J481" s="63"/>
      <c r="K481" s="64"/>
      <c r="L481" s="64"/>
      <c r="M481" s="64"/>
      <c r="N481" s="64"/>
      <c r="O481" s="64"/>
      <c r="P481" s="64"/>
      <c r="Q481" s="64"/>
      <c r="R481" s="64"/>
      <c r="S481" s="64"/>
      <c r="T481" s="63"/>
      <c r="U481" s="64"/>
      <c r="V481" s="96"/>
      <c r="W481" s="97"/>
      <c r="X481" s="95"/>
      <c r="Y481" s="95"/>
      <c r="Z481" s="95"/>
      <c r="AA481" s="95"/>
      <c r="AB481" s="91"/>
    </row>
    <row r="482" spans="1:28" x14ac:dyDescent="0.25">
      <c r="A482" s="61"/>
      <c r="B482" s="61"/>
      <c r="C482" s="54"/>
      <c r="D482" s="108"/>
      <c r="E482" s="54"/>
      <c r="F482" s="54"/>
      <c r="G482" s="65"/>
      <c r="H482" s="62"/>
      <c r="I482" s="64"/>
      <c r="J482" s="63"/>
      <c r="K482" s="64"/>
      <c r="L482" s="64"/>
      <c r="M482" s="64"/>
      <c r="N482" s="64"/>
      <c r="O482" s="64"/>
      <c r="P482" s="64"/>
      <c r="Q482" s="64"/>
      <c r="R482" s="64"/>
      <c r="S482" s="64"/>
      <c r="T482" s="63"/>
      <c r="U482" s="64"/>
      <c r="V482" s="96"/>
      <c r="W482" s="97"/>
      <c r="X482" s="95"/>
      <c r="Y482" s="95"/>
      <c r="Z482" s="95"/>
      <c r="AA482" s="95"/>
      <c r="AB482" s="91"/>
    </row>
    <row r="483" spans="1:28" x14ac:dyDescent="0.25">
      <c r="A483" s="61"/>
      <c r="B483" s="61"/>
      <c r="C483" s="54"/>
      <c r="D483" s="108"/>
      <c r="E483" s="54"/>
      <c r="F483" s="54"/>
      <c r="G483" s="65"/>
      <c r="H483" s="62"/>
      <c r="I483" s="64"/>
      <c r="J483" s="63"/>
      <c r="K483" s="64"/>
      <c r="L483" s="64"/>
      <c r="M483" s="64"/>
      <c r="N483" s="64"/>
      <c r="O483" s="64"/>
      <c r="P483" s="64"/>
      <c r="Q483" s="64"/>
      <c r="R483" s="64"/>
      <c r="S483" s="64"/>
      <c r="T483" s="63"/>
      <c r="U483" s="64"/>
      <c r="V483" s="96"/>
      <c r="W483" s="97"/>
      <c r="X483" s="95"/>
      <c r="Y483" s="95"/>
      <c r="Z483" s="95"/>
      <c r="AA483" s="95"/>
      <c r="AB483" s="91"/>
    </row>
    <row r="484" spans="1:28" x14ac:dyDescent="0.25">
      <c r="A484" s="61"/>
      <c r="B484" s="61"/>
      <c r="C484" s="54"/>
      <c r="D484" s="108"/>
      <c r="E484" s="54"/>
      <c r="F484" s="54"/>
      <c r="G484" s="65"/>
      <c r="H484" s="62"/>
      <c r="I484" s="64"/>
      <c r="J484" s="63"/>
      <c r="K484" s="64"/>
      <c r="L484" s="64"/>
      <c r="M484" s="64"/>
      <c r="N484" s="64"/>
      <c r="O484" s="64"/>
      <c r="P484" s="64"/>
      <c r="Q484" s="64"/>
      <c r="R484" s="64"/>
      <c r="S484" s="64"/>
      <c r="T484" s="63"/>
      <c r="U484" s="64"/>
      <c r="V484" s="96"/>
      <c r="W484" s="97"/>
      <c r="X484" s="95"/>
      <c r="Y484" s="95"/>
      <c r="Z484" s="95"/>
      <c r="AA484" s="95"/>
      <c r="AB484" s="91"/>
    </row>
    <row r="485" spans="1:28" x14ac:dyDescent="0.25">
      <c r="A485" s="61"/>
      <c r="B485" s="61"/>
      <c r="C485" s="54"/>
      <c r="D485" s="108"/>
      <c r="E485" s="54"/>
      <c r="F485" s="54"/>
      <c r="G485" s="65"/>
      <c r="H485" s="62"/>
      <c r="I485" s="64"/>
      <c r="J485" s="63"/>
      <c r="K485" s="64"/>
      <c r="L485" s="64"/>
      <c r="M485" s="64"/>
      <c r="N485" s="64"/>
      <c r="O485" s="64"/>
      <c r="P485" s="64"/>
      <c r="Q485" s="64"/>
      <c r="R485" s="64"/>
      <c r="S485" s="64"/>
      <c r="T485" s="63"/>
      <c r="U485" s="64"/>
      <c r="V485" s="96"/>
      <c r="W485" s="97"/>
      <c r="X485" s="95"/>
      <c r="Y485" s="95"/>
      <c r="Z485" s="95"/>
      <c r="AA485" s="95"/>
      <c r="AB485" s="91"/>
    </row>
    <row r="486" spans="1:28" x14ac:dyDescent="0.25">
      <c r="A486" s="61"/>
      <c r="B486" s="61"/>
      <c r="C486" s="54"/>
      <c r="D486" s="108"/>
      <c r="E486" s="54"/>
      <c r="F486" s="54"/>
      <c r="G486" s="65"/>
      <c r="H486" s="62"/>
      <c r="I486" s="64"/>
      <c r="J486" s="63"/>
      <c r="K486" s="64"/>
      <c r="L486" s="64"/>
      <c r="M486" s="64"/>
      <c r="N486" s="64"/>
      <c r="O486" s="64"/>
      <c r="P486" s="64"/>
      <c r="Q486" s="64"/>
      <c r="R486" s="64"/>
      <c r="S486" s="64"/>
      <c r="T486" s="63"/>
      <c r="U486" s="64"/>
      <c r="V486" s="96"/>
      <c r="W486" s="97"/>
      <c r="X486" s="95"/>
      <c r="Y486" s="95"/>
      <c r="Z486" s="95"/>
      <c r="AA486" s="95"/>
      <c r="AB486" s="91"/>
    </row>
    <row r="487" spans="1:28" x14ac:dyDescent="0.25">
      <c r="A487" s="61"/>
      <c r="B487" s="61"/>
      <c r="C487" s="54"/>
      <c r="D487" s="108"/>
      <c r="E487" s="54"/>
      <c r="F487" s="54"/>
      <c r="G487" s="65"/>
      <c r="H487" s="62"/>
      <c r="I487" s="64"/>
      <c r="J487" s="63"/>
      <c r="K487" s="64"/>
      <c r="L487" s="64"/>
      <c r="M487" s="64"/>
      <c r="N487" s="64"/>
      <c r="O487" s="64"/>
      <c r="P487" s="64"/>
      <c r="Q487" s="64"/>
      <c r="R487" s="64"/>
      <c r="S487" s="64"/>
      <c r="T487" s="63"/>
      <c r="U487" s="64"/>
      <c r="V487" s="96"/>
      <c r="W487" s="97"/>
      <c r="X487" s="95"/>
      <c r="Y487" s="95"/>
      <c r="Z487" s="95"/>
      <c r="AA487" s="95"/>
      <c r="AB487" s="91"/>
    </row>
    <row r="488" spans="1:28" x14ac:dyDescent="0.25">
      <c r="A488" s="61"/>
      <c r="B488" s="61"/>
      <c r="C488" s="54"/>
      <c r="D488" s="108"/>
      <c r="E488" s="54"/>
      <c r="F488" s="54"/>
      <c r="G488" s="65"/>
      <c r="H488" s="62"/>
      <c r="I488" s="64"/>
      <c r="J488" s="63"/>
      <c r="K488" s="64"/>
      <c r="L488" s="64"/>
      <c r="M488" s="64"/>
      <c r="N488" s="64"/>
      <c r="O488" s="64"/>
      <c r="P488" s="64"/>
      <c r="Q488" s="64"/>
      <c r="R488" s="64"/>
      <c r="S488" s="64"/>
      <c r="T488" s="63"/>
      <c r="U488" s="64"/>
      <c r="V488" s="96"/>
      <c r="W488" s="97"/>
      <c r="X488" s="95"/>
      <c r="Y488" s="95"/>
      <c r="Z488" s="95"/>
      <c r="AA488" s="95"/>
      <c r="AB488" s="91"/>
    </row>
    <row r="489" spans="1:28" x14ac:dyDescent="0.25">
      <c r="A489" s="61"/>
      <c r="B489" s="61"/>
      <c r="C489" s="54"/>
      <c r="D489" s="108"/>
      <c r="E489" s="54"/>
      <c r="F489" s="54"/>
      <c r="G489" s="65"/>
      <c r="H489" s="62"/>
      <c r="I489" s="64"/>
      <c r="J489" s="63"/>
      <c r="K489" s="64"/>
      <c r="L489" s="64"/>
      <c r="M489" s="64"/>
      <c r="N489" s="64"/>
      <c r="O489" s="64"/>
      <c r="P489" s="64"/>
      <c r="Q489" s="64"/>
      <c r="R489" s="64"/>
      <c r="S489" s="64"/>
      <c r="T489" s="63"/>
      <c r="U489" s="64"/>
      <c r="V489" s="96"/>
      <c r="W489" s="97"/>
      <c r="X489" s="95"/>
      <c r="Y489" s="95"/>
      <c r="Z489" s="95"/>
      <c r="AA489" s="95"/>
      <c r="AB489" s="91"/>
    </row>
  </sheetData>
  <sheetProtection selectLockedCells="1" selectUnlockedCells="1"/>
  <conditionalFormatting sqref="V15:AB489">
    <cfRule type="expression" dxfId="1" priority="1">
      <formula>"$S$13&lt;0"</formula>
    </cfRule>
  </conditionalFormatting>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39fab476-99e4-494f-9cb2-fdc20c3296a4">2WYY7ZCY3WUE-948-179</_dlc_DocId>
    <_dlc_DocIdUrl xmlns="39fab476-99e4-494f-9cb2-fdc20c3296a4">
      <Url>http://teams.prod.local/policy-and-planning/social-and-economic-policy-analysis/Northern-Basin-Social-and-Economic/_layouts/DocIdRedir.aspx?ID=2WYY7ZCY3WUE-948-179</Url>
      <Description>2WYY7ZCY3WUE-948-179</Description>
    </_dlc_DocIdUrl>
    <Document xmlns="f39a7998-aae2-4fb1-96eb-34a9c1e22d45">FPG Mod v5.1 com</Document>
    <Project xmlns="f39a7998-aae2-4fb1-96eb-34a9c1e22d45">Floodplain Grazing model</Project>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0F56F615E565234A98514CDE17BC9FB3" ma:contentTypeVersion="2" ma:contentTypeDescription="Create a new document." ma:contentTypeScope="" ma:versionID="01a97fd7c8c95bb5e684432cb63a6170">
  <xsd:schema xmlns:xsd="http://www.w3.org/2001/XMLSchema" xmlns:xs="http://www.w3.org/2001/XMLSchema" xmlns:p="http://schemas.microsoft.com/office/2006/metadata/properties" xmlns:ns2="39fab476-99e4-494f-9cb2-fdc20c3296a4" xmlns:ns3="f39a7998-aae2-4fb1-96eb-34a9c1e22d45" targetNamespace="http://schemas.microsoft.com/office/2006/metadata/properties" ma:root="true" ma:fieldsID="94c6d5457fd2c74d851f172681abc485" ns2:_="" ns3:_="">
    <xsd:import namespace="39fab476-99e4-494f-9cb2-fdc20c3296a4"/>
    <xsd:import namespace="f39a7998-aae2-4fb1-96eb-34a9c1e22d45"/>
    <xsd:element name="properties">
      <xsd:complexType>
        <xsd:sequence>
          <xsd:element name="documentManagement">
            <xsd:complexType>
              <xsd:all>
                <xsd:element ref="ns2:_dlc_DocId" minOccurs="0"/>
                <xsd:element ref="ns2:_dlc_DocIdUrl" minOccurs="0"/>
                <xsd:element ref="ns2:_dlc_DocIdPersistId" minOccurs="0"/>
                <xsd:element ref="ns3:Document"/>
                <xsd:element ref="ns3:Project"/>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fab476-99e4-494f-9cb2-fdc20c3296a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39a7998-aae2-4fb1-96eb-34a9c1e22d45" elementFormDefault="qualified">
    <xsd:import namespace="http://schemas.microsoft.com/office/2006/documentManagement/types"/>
    <xsd:import namespace="http://schemas.microsoft.com/office/infopath/2007/PartnerControls"/>
    <xsd:element name="Document" ma:index="11" ma:displayName="Document" ma:internalName="Document">
      <xsd:simpleType>
        <xsd:restriction base="dms:Text">
          <xsd:maxLength value="255"/>
        </xsd:restriction>
      </xsd:simpleType>
    </xsd:element>
    <xsd:element name="Project" ma:index="12" ma:displayName="Project" ma:default="Land use model" ma:format="Dropdown" ma:internalName="Project">
      <xsd:simpleType>
        <xsd:restriction base="dms:Choice">
          <xsd:enumeration value="Land use model"/>
          <xsd:enumeration value="Community profiles"/>
          <xsd:enumeration value="Community model"/>
          <xsd:enumeration value="Floodplain Grazing model"/>
          <xsd:enumeration value="Community narratives"/>
          <xsd:enumeration value="Outcomes report"/>
          <xsd:enumeration value="Misc."/>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52CAB7-B9D6-44FD-832F-0A0DBAE4CBA4}">
  <ds:schemaRefs>
    <ds:schemaRef ds:uri="http://schemas.microsoft.com/office/2006/metadata/properties"/>
    <ds:schemaRef ds:uri="http://schemas.microsoft.com/office/infopath/2007/PartnerControls"/>
    <ds:schemaRef ds:uri="39fab476-99e4-494f-9cb2-fdc20c3296a4"/>
    <ds:schemaRef ds:uri="f39a7998-aae2-4fb1-96eb-34a9c1e22d45"/>
  </ds:schemaRefs>
</ds:datastoreItem>
</file>

<file path=customXml/itemProps2.xml><?xml version="1.0" encoding="utf-8"?>
<ds:datastoreItem xmlns:ds="http://schemas.openxmlformats.org/officeDocument/2006/customXml" ds:itemID="{1101173F-91CA-48E3-98CD-7B48E831E108}">
  <ds:schemaRefs>
    <ds:schemaRef ds:uri="http://schemas.microsoft.com/sharepoint/v3/contenttype/forms"/>
  </ds:schemaRefs>
</ds:datastoreItem>
</file>

<file path=customXml/itemProps3.xml><?xml version="1.0" encoding="utf-8"?>
<ds:datastoreItem xmlns:ds="http://schemas.openxmlformats.org/officeDocument/2006/customXml" ds:itemID="{1E2B9B15-BB03-40A5-B254-8FD495CB74A5}">
  <ds:schemaRefs>
    <ds:schemaRef ds:uri="http://schemas.microsoft.com/sharepoint/events"/>
  </ds:schemaRefs>
</ds:datastoreItem>
</file>

<file path=customXml/itemProps4.xml><?xml version="1.0" encoding="utf-8"?>
<ds:datastoreItem xmlns:ds="http://schemas.openxmlformats.org/officeDocument/2006/customXml" ds:itemID="{0C3985ED-C4E5-4C0F-BCCE-FE92FFC82D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fab476-99e4-494f-9cb2-fdc20c3296a4"/>
    <ds:schemaRef ds:uri="f39a7998-aae2-4fb1-96eb-34a9c1e22d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Disclaimer</vt:lpstr>
      <vt:lpstr>Water runs</vt:lpstr>
      <vt:lpstr>Option lists</vt:lpstr>
      <vt:lpstr>LR Comparison</vt:lpstr>
      <vt:lpstr>Model comparison</vt:lpstr>
      <vt:lpstr>MC engine</vt:lpstr>
      <vt:lpstr>Variables</vt:lpstr>
      <vt:lpstr>Guts (option 1)</vt:lpstr>
      <vt:lpstr>Guts (option 2)</vt:lpstr>
      <vt:lpstr>Guts (MC)</vt:lpstr>
      <vt:lpstr>'Guts (MC)'!Scenarios</vt:lpstr>
      <vt:lpstr>'Guts (option 1)'!Scenarios</vt:lpstr>
      <vt:lpstr>'Guts (option 2)'!Scenarios</vt:lpstr>
      <vt:lpstr>'Water runs'!Scenarios</vt:lpstr>
      <vt:lpstr>Scenarios</vt:lpstr>
    </vt:vector>
  </TitlesOfParts>
  <Company>Murray-Darling Basin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FPG Mod v5.1 com</dc:title>
  <dc:creator>Kai Wakerman-Powell</dc:creator>
  <cp:lastModifiedBy>Deborah Hicks (MDBA)</cp:lastModifiedBy>
  <cp:lastPrinted>2016-10-12T04:53:29Z</cp:lastPrinted>
  <dcterms:created xsi:type="dcterms:W3CDTF">2016-05-26T00:15:12Z</dcterms:created>
  <dcterms:modified xsi:type="dcterms:W3CDTF">2022-11-17T00:45:02Z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5b898b9f-ebcc-4254-bfde-22188fcf608d</vt:lpwstr>
  </property>
  <property fmtid="{D5CDD505-2E9C-101B-9397-08002B2CF9AE}" pid="3" name="ContentTypeId">
    <vt:lpwstr>0x0101000F56F615E565234A98514CDE17BC9FB3</vt:lpwstr>
  </property>
</Properties>
</file>